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4.xml"/>
  <Override ContentType="application/vnd.openxmlformats-officedocument.spreadsheetml.table+xml" PartName="/xl/tables/table29.xml"/>
  <Override ContentType="application/vnd.openxmlformats-officedocument.spreadsheetml.table+xml" PartName="/xl/tables/table28.xml"/>
  <Override ContentType="application/vnd.openxmlformats-officedocument.spreadsheetml.table+xml" PartName="/xl/tables/table15.xml"/>
  <Override ContentType="application/vnd.openxmlformats-officedocument.spreadsheetml.table+xml" PartName="/xl/tables/table8.xml"/>
  <Override ContentType="application/vnd.openxmlformats-officedocument.spreadsheetml.table+xml" PartName="/xl/tables/table24.xml"/>
  <Override ContentType="application/vnd.openxmlformats-officedocument.spreadsheetml.table+xml" PartName="/xl/tables/table11.xml"/>
  <Override ContentType="application/vnd.openxmlformats-officedocument.spreadsheetml.table+xml" PartName="/xl/tables/table31.xml"/>
  <Override ContentType="application/vnd.openxmlformats-officedocument.spreadsheetml.table+xml" PartName="/xl/tables/table5.xml"/>
  <Override ContentType="application/vnd.openxmlformats-officedocument.spreadsheetml.table+xml" PartName="/xl/tables/table19.xml"/>
  <Override ContentType="application/vnd.openxmlformats-officedocument.spreadsheetml.table+xml" PartName="/xl/tables/table10.xml"/>
  <Override ContentType="application/vnd.openxmlformats-officedocument.spreadsheetml.table+xml" PartName="/xl/tables/table27.xml"/>
  <Override ContentType="application/vnd.openxmlformats-officedocument.spreadsheetml.table+xml" PartName="/xl/tables/table14.xml"/>
  <Override ContentType="application/vnd.openxmlformats-officedocument.spreadsheetml.table+xml" PartName="/xl/tables/table23.xml"/>
  <Override ContentType="application/vnd.openxmlformats-officedocument.spreadsheetml.table+xml" PartName="/xl/tables/table9.xml"/>
  <Override ContentType="application/vnd.openxmlformats-officedocument.spreadsheetml.table+xml" PartName="/xl/tables/table18.xml"/>
  <Override ContentType="application/vnd.openxmlformats-officedocument.spreadsheetml.table+xml" PartName="/xl/tables/table13.xml"/>
  <Override ContentType="application/vnd.openxmlformats-officedocument.spreadsheetml.table+xml" PartName="/xl/tables/table1.xml"/>
  <Override ContentType="application/vnd.openxmlformats-officedocument.spreadsheetml.table+xml" PartName="/xl/tables/table30.xml"/>
  <Override ContentType="application/vnd.openxmlformats-officedocument.spreadsheetml.table+xml" PartName="/xl/tables/table22.xml"/>
  <Override ContentType="application/vnd.openxmlformats-officedocument.spreadsheetml.table+xml" PartName="/xl/tables/table2.xml"/>
  <Override ContentType="application/vnd.openxmlformats-officedocument.spreadsheetml.table+xml" PartName="/xl/tables/table26.xml"/>
  <Override ContentType="application/vnd.openxmlformats-officedocument.spreadsheetml.table+xml" PartName="/xl/tables/table6.xml"/>
  <Override ContentType="application/vnd.openxmlformats-officedocument.spreadsheetml.table+xml" PartName="/xl/tables/table20.xml"/>
  <Override ContentType="application/vnd.openxmlformats-officedocument.spreadsheetml.table+xml" PartName="/xl/tables/table3.xml"/>
  <Override ContentType="application/vnd.openxmlformats-officedocument.spreadsheetml.table+xml" PartName="/xl/tables/table17.xml"/>
  <Override ContentType="application/vnd.openxmlformats-officedocument.spreadsheetml.table+xml" PartName="/xl/tables/table7.xml"/>
  <Override ContentType="application/vnd.openxmlformats-officedocument.spreadsheetml.table+xml" PartName="/xl/tables/table16.xml"/>
  <Override ContentType="application/vnd.openxmlformats-officedocument.spreadsheetml.table+xml" PartName="/xl/tables/table21.xml"/>
  <Override ContentType="application/vnd.openxmlformats-officedocument.spreadsheetml.table+xml" PartName="/xl/tables/table12.xml"/>
  <Override ContentType="application/vnd.openxmlformats-officedocument.spreadsheetml.table+xml" PartName="/xl/tables/table2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C  Logiciel " sheetId="1" r:id="rId3"/>
    <sheet state="visible" name="Gaming" sheetId="2" r:id="rId4"/>
    <sheet state="visible" name="Bureautique" sheetId="3" r:id="rId5"/>
    <sheet state="visible" name="Son nomadehifi" sheetId="4" r:id="rId6"/>
    <sheet state="visible" name="Image" sheetId="5" r:id="rId7"/>
    <sheet state="visible" name="Access Multimédi" sheetId="6" r:id="rId8"/>
    <sheet state="visible" name="PrintReseauStockage" sheetId="7" r:id="rId9"/>
    <sheet state="visible" name="Feuille 80" sheetId="8" r:id="rId10"/>
    <sheet state="visible" name="SmartphoneTabletteMontre co " sheetId="9" r:id="rId11"/>
    <sheet state="visible" name="Barre de Son" sheetId="10" r:id="rId12"/>
    <sheet state="visible" name="MobilitéSmartkids" sheetId="11" r:id="rId13"/>
    <sheet state="visible" name="PhotoCam SportDrones" sheetId="12" r:id="rId14"/>
    <sheet state="visible" name="Habitat connecté" sheetId="13" r:id="rId15"/>
    <sheet state="hidden" name="Matrice Nico" sheetId="14" r:id="rId16"/>
  </sheets>
  <definedNames>
    <definedName name="Thomas">#REF!</definedName>
    <definedName hidden="1" localSheetId="8" name="Z_1753BDEE_823E_41E5_AD58_CC32D694BC12_.wvu.FilterData">'SmartphoneTabletteMontre co '!$A$1:$L$193</definedName>
    <definedName hidden="1" localSheetId="10" name="Z_1753BDEE_823E_41E5_AD58_CC32D694BC12_.wvu.FilterData">'MobilitéSmartkids'!$A$1:$M$2198</definedName>
    <definedName hidden="1" localSheetId="8" name="Z_7F7A0D3A_7C0E_4A7A_ACCF_16A7717C675B_.wvu.FilterData">'SmartphoneTabletteMontre co '!$A$1:$L$193</definedName>
    <definedName hidden="1" localSheetId="8" name="Z_C24AA198_4F1C_435B_B331_9D6B75A36765_.wvu.FilterData">'SmartphoneTabletteMontre co '!$A$1:$L$661</definedName>
    <definedName hidden="1" localSheetId="8" name="Z_5C0D9FE9_C6D3_4D16_898D_E9CE6D14D223_.wvu.FilterData">'SmartphoneTabletteMontre co '!$A$1:$L$412</definedName>
    <definedName hidden="1" localSheetId="8" name="Z_EDE69FE5_65C3_4950_B5B4_EC735D27C5B4_.wvu.FilterData">'SmartphoneTabletteMontre co '!$A$1:$L$192</definedName>
  </definedNames>
  <calcPr/>
  <customWorkbookViews>
    <customWorkbookView activeSheetId="0" maximized="1" windowHeight="0" windowWidth="0" guid="{7F7A0D3A-7C0E-4A7A-ACCF-16A7717C675B}" name="Filtre 3"/>
    <customWorkbookView activeSheetId="0" maximized="1" windowHeight="0" windowWidth="0" guid="{1753BDEE-823E-41E5-AD58-CC32D694BC12}" name="Filtre 2"/>
    <customWorkbookView activeSheetId="0" maximized="1" windowHeight="0" windowWidth="0" guid="{EDE69FE5-65C3-4950-B5B4-EC735D27C5B4}" name="CM"/>
    <customWorkbookView activeSheetId="0" maximized="1" windowHeight="0" windowWidth="0" guid="{5C0D9FE9-C6D3-4D16-898D-E9CE6D14D223}" name="Filtre 1"/>
    <customWorkbookView activeSheetId="0" maximized="1" windowHeight="0" windowWidth="0" guid="{C24AA198-4F1C-435B-B331-9D6B75A36765}" name="Charline"/>
  </customWorkbookViews>
</workbook>
</file>

<file path=xl/sharedStrings.xml><?xml version="1.0" encoding="utf-8"?>
<sst xmlns="http://schemas.openxmlformats.org/spreadsheetml/2006/main" count="6855" uniqueCount="2913">
  <si>
    <t>Marque</t>
  </si>
  <si>
    <t>Code Produit</t>
  </si>
  <si>
    <t>Type Produit</t>
  </si>
  <si>
    <t>Produit concerné</t>
  </si>
  <si>
    <t>Nom de l'opération</t>
  </si>
  <si>
    <t>Zimm</t>
  </si>
  <si>
    <t>Prix
de départ</t>
  </si>
  <si>
    <t>Prix
de l'opé</t>
  </si>
  <si>
    <t>Date de
début</t>
  </si>
  <si>
    <t>Date
de fin</t>
  </si>
  <si>
    <t>Commentaire</t>
  </si>
  <si>
    <t>ILV (lien PDF)</t>
  </si>
  <si>
    <t>OP Pc portable &amp; fixe</t>
  </si>
  <si>
    <t xml:space="preserve">Financement </t>
  </si>
  <si>
    <t>HP</t>
  </si>
  <si>
    <t xml:space="preserve">PC </t>
  </si>
  <si>
    <t xml:space="preserve">Financement sans frais en 10x 15x 20x sur les PC à partir de 699 € </t>
  </si>
  <si>
    <t xml:space="preserve">ilv </t>
  </si>
  <si>
    <t xml:space="preserve">Opération co </t>
  </si>
  <si>
    <t xml:space="preserve">Acer </t>
  </si>
  <si>
    <t xml:space="preserve">1219091
1222802
1223986
1225002
1225003
</t>
  </si>
  <si>
    <t xml:space="preserve">Aspire A14-52M-70GU Copilot+
Swift SFE14-51T-741C
Aspire A14-11M-X21C
Aspire A14-53M-92X3
Aspire A16-52M-996G
</t>
  </si>
  <si>
    <t>/</t>
  </si>
  <si>
    <t xml:space="preserve">leaflet </t>
  </si>
  <si>
    <t>Lenovo</t>
  </si>
  <si>
    <t>Portable</t>
  </si>
  <si>
    <t>Yoga Slim 7 14ILL10</t>
  </si>
  <si>
    <t xml:space="preserve">Financement 0% </t>
  </si>
  <si>
    <t>ilv</t>
  </si>
  <si>
    <t>Yoga 7 2-in-1 14AKP10</t>
  </si>
  <si>
    <t>Yoga Slim 7 15ILL9</t>
  </si>
  <si>
    <t>YGBook9 13IMU9</t>
  </si>
  <si>
    <t>Zimm Pc portable &amp; fixe</t>
  </si>
  <si>
    <t xml:space="preserve">PC Gamer </t>
  </si>
  <si>
    <t xml:space="preserve">100 € de remise immédiate sur les PC Gamer egal ou supérieur à 3 000 € </t>
  </si>
  <si>
    <t>Yoga Slim 7x 14Q8X9 Copilot+</t>
  </si>
  <si>
    <t xml:space="preserve">100 € de bonus reprise </t>
  </si>
  <si>
    <t>Yoga Book 9 13IMU9 EVO</t>
  </si>
  <si>
    <t>Yoga Pro 9 16IAH10 Copilot+</t>
  </si>
  <si>
    <t>Yoga Slim 7 14AKP10 Copilot+</t>
  </si>
  <si>
    <t>Yoga Slim 7 15ILL9 Copilot+</t>
  </si>
  <si>
    <t>Yoga 7 2-in-1 Copilot+</t>
  </si>
  <si>
    <t>Yoga Slim 7 14ILL10 Copilot+</t>
  </si>
  <si>
    <t>Yoga Slim 7 14ILL10 U5</t>
  </si>
  <si>
    <t>Yoga Slim 7 14ILL10 U7</t>
  </si>
  <si>
    <t xml:space="preserve">Skillkorp </t>
  </si>
  <si>
    <t>PC fixe Skillkorp</t>
  </si>
  <si>
    <t xml:space="preserve">Fixe gamer </t>
  </si>
  <si>
    <t xml:space="preserve">PC Fixe gamer skillkorp </t>
  </si>
  <si>
    <t xml:space="preserve">100 € de remise immédiate </t>
  </si>
  <si>
    <t>Logiciel</t>
  </si>
  <si>
    <t xml:space="preserve">Bitdefender </t>
  </si>
  <si>
    <t xml:space="preserve">Antivirus </t>
  </si>
  <si>
    <t xml:space="preserve">Total Security 2 ans 10 postes </t>
  </si>
  <si>
    <t>-50% en attach avec l'achat d'un PC</t>
  </si>
  <si>
    <t>Norton</t>
  </si>
  <si>
    <t>Norton 360</t>
  </si>
  <si>
    <t xml:space="preserve">Gamme Norton 360 </t>
  </si>
  <si>
    <t>-50% sur la gamme Norton 360</t>
  </si>
  <si>
    <t xml:space="preserve">Microsoft </t>
  </si>
  <si>
    <t xml:space="preserve">M365 </t>
  </si>
  <si>
    <t xml:space="preserve">Bureautique </t>
  </si>
  <si>
    <t xml:space="preserve">-20 € de remise pour l'achat d'un PC W11 et du pack M365 perso </t>
  </si>
  <si>
    <t xml:space="preserve">Offre co Black Friday </t>
  </si>
  <si>
    <t>ASUS</t>
  </si>
  <si>
    <t>ZEPHYRUS-GA403WM-Q50W</t>
  </si>
  <si>
    <t>ACER</t>
  </si>
  <si>
    <t>Aspire A16-61M-R7V1</t>
  </si>
  <si>
    <t>Nitro V 15 ANV15-52-779Q</t>
  </si>
  <si>
    <t>Acer Nitro V 17 AI ANV17-41-R4W3</t>
  </si>
  <si>
    <t>Plus CB516-1HT-358W</t>
  </si>
  <si>
    <t>Vivobook S1404VA-EB1026W</t>
  </si>
  <si>
    <t>SKILLKORP</t>
  </si>
  <si>
    <t>SK08 RTX5060 R5 5500 32Go 512Go</t>
  </si>
  <si>
    <t>Zenbook UM5606WA-RK296W Copilot+</t>
  </si>
  <si>
    <t>Aspire AG14-32P-328W</t>
  </si>
  <si>
    <t>Aspire AG15-42P-R5C9</t>
  </si>
  <si>
    <t>OmniBook 3 14-ha0008nf Copilot+</t>
  </si>
  <si>
    <t>OmniBook 3 15-fn0013nf Copilot+</t>
  </si>
  <si>
    <t>ENVY x360 16-ad0036nf</t>
  </si>
  <si>
    <t>17-cp2003nf</t>
  </si>
  <si>
    <t>Omen Transcend 14-fb0162nf</t>
  </si>
  <si>
    <t>Omen Transcend 14-fb0131nf EVO</t>
  </si>
  <si>
    <t>OMEN 16L TG03-0071nf</t>
  </si>
  <si>
    <t>24-ct2004nf</t>
  </si>
  <si>
    <t>OmniStudio X 27-cs0000nf</t>
  </si>
  <si>
    <t>OmniStudio X 32-c0000nf</t>
  </si>
  <si>
    <t>M01-F3000nf</t>
  </si>
  <si>
    <t>GIGABYTE</t>
  </si>
  <si>
    <t>AORUS MASTER 18 BZHC6FRD45SP</t>
  </si>
  <si>
    <t>AORUS MASTER 16 BZHC6FRE65SP</t>
  </si>
  <si>
    <t>AORUS MASTER 16 BYHC5FRE64SP</t>
  </si>
  <si>
    <t>AORUS MASTER 16 BXHC4FRE64SP</t>
  </si>
  <si>
    <t>AORUS ELITE 16 BWHC3FRC65SP</t>
  </si>
  <si>
    <t>CORSAIR</t>
  </si>
  <si>
    <t>3500X 5070TI 1T32R7</t>
  </si>
  <si>
    <t>LENOVO</t>
  </si>
  <si>
    <t>Duet 11M889 64Go TACTILE</t>
  </si>
  <si>
    <t>LOQ 15AHP10</t>
  </si>
  <si>
    <t>IdeaCentre Tower 08IRH9 8Go</t>
  </si>
  <si>
    <t>IdeaPad Slim 3 14IRH10</t>
  </si>
  <si>
    <t>IdeaPad Slim 3 16IRH10</t>
  </si>
  <si>
    <t>IdeaPad Slim 5 16AKP10</t>
  </si>
  <si>
    <t>IdeaPad Slim 5 16AKP10 OLED</t>
  </si>
  <si>
    <t>MEDION</t>
  </si>
  <si>
    <t>Erazer Recon P45 MD35360</t>
  </si>
  <si>
    <t xml:space="preserve"> IdeaPad 3 17ABA7</t>
  </si>
  <si>
    <t>PACKARD BELL</t>
  </si>
  <si>
    <t>PB15-32P-C3NN</t>
  </si>
  <si>
    <t>CB315-4H-C8Q3</t>
  </si>
  <si>
    <t>MRED</t>
  </si>
  <si>
    <t>GeForce RTX 5070 i7 12700KF 32Go 1To</t>
  </si>
  <si>
    <t>MSI</t>
  </si>
  <si>
    <t>Vector 16 HX AI A2XWIG-039FR</t>
  </si>
  <si>
    <t>SK04 RTX5060 R5 5500 16Go 1To</t>
  </si>
  <si>
    <t>Vector 18 HX AI A2XWIG-685FR</t>
  </si>
  <si>
    <t>2 999,00 €</t>
  </si>
  <si>
    <t>Vector 18 HX AI A2XWHG-686FR</t>
  </si>
  <si>
    <t>Vector 16 HX AI A2XWHG-042FR</t>
  </si>
  <si>
    <t>2 099,00 €</t>
  </si>
  <si>
    <t>Titan 18 HX AI A2XWIG-606FR</t>
  </si>
  <si>
    <t>5 999,00 €</t>
  </si>
  <si>
    <t>Cyborg 17 B2RWFKG-010FR</t>
  </si>
  <si>
    <t>Code produit</t>
  </si>
  <si>
    <t>Détail de l'opération</t>
  </si>
  <si>
    <t>Date début</t>
  </si>
  <si>
    <t>Date fin</t>
  </si>
  <si>
    <t>Prix de Ref</t>
  </si>
  <si>
    <t>Prix Opé</t>
  </si>
  <si>
    <t>Mécanique</t>
  </si>
  <si>
    <t>ILV</t>
  </si>
  <si>
    <t>Commentaires</t>
  </si>
  <si>
    <t>Type d'offre</t>
  </si>
  <si>
    <t xml:space="preserve">Drive ILV OP </t>
  </si>
  <si>
    <t>Console</t>
  </si>
  <si>
    <t>Simulation auto</t>
  </si>
  <si>
    <t>Réalité virtuelle</t>
  </si>
  <si>
    <t>META</t>
  </si>
  <si>
    <t>1211864
1211865</t>
  </si>
  <si>
    <t>Meta Quest 3S 128 &amp; 256Go</t>
  </si>
  <si>
    <t>40€ Bonus rachat</t>
  </si>
  <si>
    <t>-</t>
  </si>
  <si>
    <r>
      <rPr>
        <b/>
        <color rgb="FF000000"/>
        <sz val="9.0"/>
      </rPr>
      <t xml:space="preserve">ZIMM </t>
    </r>
    <r>
      <rPr>
        <color rgb="FF000000"/>
        <sz val="9.0"/>
      </rPr>
      <t>: 1230249</t>
    </r>
  </si>
  <si>
    <t>ICI</t>
  </si>
  <si>
    <t>Capé à 500 pièces</t>
  </si>
  <si>
    <t>Ecran</t>
  </si>
  <si>
    <t>Périphériques</t>
  </si>
  <si>
    <t>SONY INZONE</t>
  </si>
  <si>
    <t>1227443
1227442</t>
  </si>
  <si>
    <t>Inzone H9 II Blanc &amp; Noir</t>
  </si>
  <si>
    <t>50€ Offre de reprise</t>
  </si>
  <si>
    <t>ZIMM : 1214604</t>
  </si>
  <si>
    <t>50€ de remise immédiate lors de la reprise d'un ancien casque fonctionnel ou non, de toutes marques, lors de l'achat d'un casque Inzone H9 II</t>
  </si>
  <si>
    <t>Mobilier</t>
  </si>
  <si>
    <t>Codes produits</t>
  </si>
  <si>
    <t>Codes zimm</t>
  </si>
  <si>
    <t>OFFRES MULTIPLES</t>
  </si>
  <si>
    <t>ECOUTEURS</t>
  </si>
  <si>
    <t>APPLE</t>
  </si>
  <si>
    <t xml:space="preserve">AirPods Pro 3 </t>
  </si>
  <si>
    <t>45€ cagnottés pour les membres Club+/ Infinity en
souscrivant à AppleCare+
(équivalent de 2 ans d'AC+ offert en cagnottage)</t>
  </si>
  <si>
    <t xml:space="preserve">ILV </t>
  </si>
  <si>
    <t>code assurance : 1229408</t>
  </si>
  <si>
    <t>NEW</t>
  </si>
  <si>
    <t>1208463 / 1208464</t>
  </si>
  <si>
    <t>SAMSUNG</t>
  </si>
  <si>
    <t xml:space="preserve">Buds 3 Pro </t>
  </si>
  <si>
    <t>50€ ODR 
50€ bonus reprise 
249,99€ barré 149,99€</t>
  </si>
  <si>
    <t>code zimm : 1209327</t>
  </si>
  <si>
    <t>1227292, 1227304</t>
  </si>
  <si>
    <t>Buds 3 FE</t>
  </si>
  <si>
    <t>99,99€ au lieu de 149,99€, incluant :
20€ de bonus reprise
-30€ avec le code BUDS30 : ZIMM 1209420</t>
  </si>
  <si>
    <t>-30€ : ZIMM 1209420
20€ bonus reprise : 1214578</t>
  </si>
  <si>
    <t>BUDS FE</t>
  </si>
  <si>
    <t>79,99 barré 59,99</t>
  </si>
  <si>
    <t>BARRE DE SON</t>
  </si>
  <si>
    <t>JBL</t>
  </si>
  <si>
    <t>Enchant 1100</t>
  </si>
  <si>
    <t xml:space="preserve">899€ barré 799€ </t>
  </si>
  <si>
    <t xml:space="preserve">HIFI </t>
  </si>
  <si>
    <t>HIFI</t>
  </si>
  <si>
    <t>COUPON REDUCTION ENSEMBLE HIFI : 
5 % pour l’achat de 2 produits
10 % pour l’achat de 3 produits
 15 % pour l’achat de 4 produits et plus</t>
  </si>
  <si>
    <t xml:space="preserve">ZR </t>
  </si>
  <si>
    <t>BONUS REPRISE/RACHAT JOURS ++</t>
  </si>
  <si>
    <t>Ecouteurs</t>
  </si>
  <si>
    <t>Buds 3</t>
  </si>
  <si>
    <t>1227304 / 1227292</t>
  </si>
  <si>
    <t>20€ de bonus reprise</t>
  </si>
  <si>
    <t>Buds 3 pro</t>
  </si>
  <si>
    <t>70€ de bonus reprise</t>
  </si>
  <si>
    <t xml:space="preserve">Ecouteurs </t>
  </si>
  <si>
    <t>1225553 / 1225554</t>
  </si>
  <si>
    <t>SHOKZ</t>
  </si>
  <si>
    <t>Opendots</t>
  </si>
  <si>
    <t>30€ de bonus reprise</t>
  </si>
  <si>
    <t xml:space="preserve">Le bonus reprise/rachat reste disponible même si le rachat d'un ancien casque n'est pas effectué. N'hésitez pas à pousser le bonus reprise pour toute reprise de casques ou écouteurs 
fonctionnel ou non
</t>
  </si>
  <si>
    <t>REMISE CLUB/CLUB+/INFINITY</t>
  </si>
  <si>
    <t>Casque</t>
  </si>
  <si>
    <t>1219912, 1219914, 1219915</t>
  </si>
  <si>
    <t>SONY</t>
  </si>
  <si>
    <t>WH1000XM6</t>
  </si>
  <si>
    <t xml:space="preserve">3 mois infinity </t>
  </si>
  <si>
    <t>code zimm : 1224441</t>
  </si>
  <si>
    <t>Enceinte</t>
  </si>
  <si>
    <t>1218045 / 1218046 / 1218047 / 1218048 / 1218049 / 1218050 / 1218051</t>
  </si>
  <si>
    <t>Charge 6</t>
  </si>
  <si>
    <t>30€ RI club/club+/infinity</t>
  </si>
  <si>
    <t>code zimm : 1228846</t>
  </si>
  <si>
    <t>55g5</t>
  </si>
  <si>
    <t>Montant de la remise</t>
  </si>
  <si>
    <t>Code Zimm / Bundle</t>
  </si>
  <si>
    <t>Prixde départ</t>
  </si>
  <si>
    <t>Prixde l'opé</t>
  </si>
  <si>
    <t>BDS + TV</t>
  </si>
  <si>
    <t>43QLED306 + BBS420</t>
  </si>
  <si>
    <t>8005336
8011306</t>
  </si>
  <si>
    <t>50QLED307 + BBS420</t>
  </si>
  <si>
    <t>8005336
8011307</t>
  </si>
  <si>
    <t>55QLED308 + BBS420</t>
  </si>
  <si>
    <t>8005336
8011308</t>
  </si>
  <si>
    <t xml:space="preserve">TCL </t>
  </si>
  <si>
    <t>OP CLUB/+/INFINITY</t>
  </si>
  <si>
    <t>Produits concernés</t>
  </si>
  <si>
    <t>Produit offert ou remisé</t>
  </si>
  <si>
    <t>VP</t>
  </si>
  <si>
    <t xml:space="preserve"> The Freestyle SP-LFF3</t>
  </si>
  <si>
    <t>200€ Club/+/infinity</t>
  </si>
  <si>
    <t>TV</t>
  </si>
  <si>
    <t>65QN77F</t>
  </si>
  <si>
    <t xml:space="preserve">43QN90F </t>
  </si>
  <si>
    <t>100€ Club/+/infinity</t>
  </si>
  <si>
    <t>BDS</t>
  </si>
  <si>
    <t>HW-Q810F</t>
  </si>
  <si>
    <t>HW-B46CF</t>
  </si>
  <si>
    <t>30€ Club/+/Infiinity</t>
  </si>
  <si>
    <t xml:space="preserve">HQ935F </t>
  </si>
  <si>
    <t>55S92F</t>
  </si>
  <si>
    <t>100€ // ODR</t>
  </si>
  <si>
    <t>77S92F</t>
  </si>
  <si>
    <t>300€// ODR</t>
  </si>
  <si>
    <t>65S92F</t>
  </si>
  <si>
    <t>200€ // ODR</t>
  </si>
  <si>
    <t>ZIMM 10% club+ 15% Reprise</t>
  </si>
  <si>
    <t xml:space="preserve">OP FIL ROUGE TV + BDS = 100€ de remise </t>
  </si>
  <si>
    <t>65S95F + HW-Q810F</t>
  </si>
  <si>
    <t>77S95F + HW-Q810F</t>
  </si>
  <si>
    <t>83S95F + HW-Q810F</t>
  </si>
  <si>
    <t>55LS03FA + HW-S810D</t>
  </si>
  <si>
    <t>65LS03FW + HW-S810D</t>
  </si>
  <si>
    <t>LFC / LC offert</t>
  </si>
  <si>
    <t>TQ55S95F 4K AI Smart TV2025</t>
  </si>
  <si>
    <t>LFC offert</t>
  </si>
  <si>
    <t>TQ65S95F 4K AI Smart TV 2025</t>
  </si>
  <si>
    <t>NeoQLED TQ75QN90F 4K AI 2025</t>
  </si>
  <si>
    <t>TQ77S90F 4K AI Smart TV 2025</t>
  </si>
  <si>
    <t>TQ77S95F 4K AI Smart TV 2025</t>
  </si>
  <si>
    <t>NeoQLED TQ85QN90F 4K AI 2025</t>
  </si>
  <si>
    <t>TV SAMSUNG TQ83S95F Anti-Reflet 4K AI Sm</t>
  </si>
  <si>
    <t>The Frame 65LS03FA 2025</t>
  </si>
  <si>
    <t>The Frame Pro 65LS03FW 2025</t>
  </si>
  <si>
    <t>The Frame Pro 75LS03FW 2025</t>
  </si>
  <si>
    <t>TQ83S95F 4K AI Smart TV2025</t>
  </si>
  <si>
    <t>TQ83S90F 4K AI Smart TV 2025</t>
  </si>
  <si>
    <t>NeoQLED TQ65QN990F 2025</t>
  </si>
  <si>
    <t>NeoQLED TQ75QN990F 8K AI 2025</t>
  </si>
  <si>
    <t>NeoQLED TQ85QN990F 8K AI 2025</t>
  </si>
  <si>
    <t>TQ100QN80F 2025</t>
  </si>
  <si>
    <t>NeoQLED TQ98QN90F 2025</t>
  </si>
  <si>
    <t>55LS03F</t>
  </si>
  <si>
    <t>TV SAMSUNG NeoQLED TQ75QN900F</t>
  </si>
  <si>
    <t>TV SAMSUNG NeoQLED TQ85QN900F</t>
  </si>
  <si>
    <t>TV SAMSUNG TQ115QN90F 2025</t>
  </si>
  <si>
    <t>NeoQLED TQ98QN990F 8K AI 2025</t>
  </si>
  <si>
    <t>LG</t>
  </si>
  <si>
    <t>OP  10% CLUB/+/INFINITY</t>
  </si>
  <si>
    <t>42C4</t>
  </si>
  <si>
    <t>Destockage</t>
  </si>
  <si>
    <t>jusqu'à écoulement des stocks</t>
  </si>
  <si>
    <t>48C4</t>
  </si>
  <si>
    <t>65C4</t>
  </si>
  <si>
    <t>83C4</t>
  </si>
  <si>
    <t>50QNED86</t>
  </si>
  <si>
    <t>55QNED86</t>
  </si>
  <si>
    <t>65QNED86</t>
  </si>
  <si>
    <t>75QNED86</t>
  </si>
  <si>
    <t>43UR78</t>
  </si>
  <si>
    <t>55UR78</t>
  </si>
  <si>
    <t>LFC / LC offert / pied offert</t>
  </si>
  <si>
    <t>65M5</t>
  </si>
  <si>
    <t>77M5</t>
  </si>
  <si>
    <t>83M5</t>
  </si>
  <si>
    <t>83C5</t>
  </si>
  <si>
    <t>77G5</t>
  </si>
  <si>
    <t>77C5</t>
  </si>
  <si>
    <t>65G5</t>
  </si>
  <si>
    <t>55G5</t>
  </si>
  <si>
    <t>83G5</t>
  </si>
  <si>
    <t>65G4</t>
  </si>
  <si>
    <t>Pied offert</t>
  </si>
  <si>
    <t>55G4</t>
  </si>
  <si>
    <t xml:space="preserve">Remise Club </t>
  </si>
  <si>
    <t>55QNED84A</t>
  </si>
  <si>
    <t>50€ Club/+/infinity</t>
  </si>
  <si>
    <t>500€ club/+/infinity</t>
  </si>
  <si>
    <t>700€ club/+/infinity</t>
  </si>
  <si>
    <t>600€ club/+/infinity</t>
  </si>
  <si>
    <t>600€ Club/+/infinity</t>
  </si>
  <si>
    <t>400€ club/+/infinity</t>
  </si>
  <si>
    <t>48G5</t>
  </si>
  <si>
    <t>800€ club/+/infinity</t>
  </si>
  <si>
    <t>1500e Club/+/infinity</t>
  </si>
  <si>
    <t>1000€ Club/+/infinity</t>
  </si>
  <si>
    <t>300€ club/+/infinity</t>
  </si>
  <si>
    <t>SC9S</t>
  </si>
  <si>
    <t>S90TY</t>
  </si>
  <si>
    <t>Offre de destockage</t>
  </si>
  <si>
    <t>55G4 : 949€</t>
  </si>
  <si>
    <t xml:space="preserve"> 65G4 : 1390€ </t>
  </si>
  <si>
    <t xml:space="preserve"> 77G4 : 1890€ </t>
  </si>
  <si>
    <t>55S95D : 1290€</t>
  </si>
  <si>
    <t>65S95D : 1490€</t>
  </si>
  <si>
    <t>77S95D : 2190€</t>
  </si>
  <si>
    <t>OP REPRISE 15%</t>
  </si>
  <si>
    <t>Prix de l'opé</t>
  </si>
  <si>
    <t>XR55A80L</t>
  </si>
  <si>
    <t xml:space="preserve">Prix mag et web différents </t>
  </si>
  <si>
    <t>XR65A80L</t>
  </si>
  <si>
    <t>KD55X85L</t>
  </si>
  <si>
    <t>XR55X90L</t>
  </si>
  <si>
    <t>XR65X90L</t>
  </si>
  <si>
    <t>XR85X90L</t>
  </si>
  <si>
    <t>XR55A95L</t>
  </si>
  <si>
    <t>85BRAVIA7 XR/MINILED 2024</t>
  </si>
  <si>
    <t>65BRAVIA7 XR/MINILED</t>
  </si>
  <si>
    <t>BRAVIA THEATRE BAR 9</t>
  </si>
  <si>
    <t>Caisson de basse SONY Bravia Theatre Sub 7 offert*</t>
  </si>
  <si>
    <t>1221132
1206043</t>
  </si>
  <si>
    <t>HISENSE</t>
  </si>
  <si>
    <t>100L5ND Laser TV + écran ALR FRESNEL</t>
  </si>
  <si>
    <t>120L5ND Laser TV + écran ALR FRESNEL</t>
  </si>
  <si>
    <t>100L5HD Laser TV + écran ALR FRESNEL</t>
  </si>
  <si>
    <t>120L5HA Laser TV + écran ALR FRESNEL</t>
  </si>
  <si>
    <t>100L9HD Laser TV + écran ALR FRESNEL</t>
  </si>
  <si>
    <t>120L9HA Laser TV + écran ALR FRESNEL</t>
  </si>
  <si>
    <t>100L5F-B12 Laser TV + écran</t>
  </si>
  <si>
    <t>100L5F-D12 Laser TV + écran</t>
  </si>
  <si>
    <t>120L5F-A12 Laser TV + écran</t>
  </si>
  <si>
    <t>100U7KQ 2023</t>
  </si>
  <si>
    <t>65U8Q 2025</t>
  </si>
  <si>
    <t>75U8Q 2025</t>
  </si>
  <si>
    <t>100U7Q</t>
  </si>
  <si>
    <t>100U7KQ EXPO</t>
  </si>
  <si>
    <t>100E7Q PRO</t>
  </si>
  <si>
    <t>100U7Q PRO</t>
  </si>
  <si>
    <t>85U8Q 2025</t>
  </si>
  <si>
    <t>116UXQ</t>
  </si>
  <si>
    <t>65E79Q PRO</t>
  </si>
  <si>
    <t>50€ club/+/infinity</t>
  </si>
  <si>
    <t>PHILIPS</t>
  </si>
  <si>
    <t>OP CLUB</t>
  </si>
  <si>
    <t>NEOPIX 230 SMART</t>
  </si>
  <si>
    <t>70€ Club/+/infinity</t>
  </si>
  <si>
    <t>THOMSON</t>
  </si>
  <si>
    <t>XGIMI</t>
  </si>
  <si>
    <t>Aura 2</t>
  </si>
  <si>
    <t>Ecran de protection offert</t>
  </si>
  <si>
    <t>Référence
fournisseur</t>
  </si>
  <si>
    <t>Nom
de l'opération</t>
  </si>
  <si>
    <t>ODR</t>
  </si>
  <si>
    <t xml:space="preserve">SAMSUNG CHARGE </t>
  </si>
  <si>
    <t>Charge</t>
  </si>
  <si>
    <t>Accessoire smartphone Galaxy</t>
  </si>
  <si>
    <t>Spécial charge</t>
  </si>
  <si>
    <t>Flyer</t>
  </si>
  <si>
    <t>BELKIN</t>
  </si>
  <si>
    <t>Gamme complète</t>
  </si>
  <si>
    <t>30% remboursés + séjour à New York</t>
  </si>
  <si>
    <t>BF/ Noel</t>
  </si>
  <si>
    <t>BIGBEN</t>
  </si>
  <si>
    <t>OPE NOVEMBRE</t>
  </si>
  <si>
    <t>HUAWEI</t>
  </si>
  <si>
    <t>Bracelet montre</t>
  </si>
  <si>
    <t>Fit 4 Blanc</t>
  </si>
  <si>
    <t>Black friday</t>
  </si>
  <si>
    <t>Bracelet offert via ZIMM à l'achat de la monte huawei fit 4</t>
  </si>
  <si>
    <t>Fit 4 VIOLET</t>
  </si>
  <si>
    <t>Fit 4 NOIR</t>
  </si>
  <si>
    <t>ESSENTIEL B</t>
  </si>
  <si>
    <t>Etui Tablette</t>
  </si>
  <si>
    <t>Etui ESSENTIELB Samsung Tab A9</t>
  </si>
  <si>
    <t>SAMSONITE</t>
  </si>
  <si>
    <t>Sac à dos</t>
  </si>
  <si>
    <t>15.6'' Securipak Anti-vol Eclipse bleu</t>
  </si>
  <si>
    <t>Prime Boostée</t>
  </si>
  <si>
    <t>14.1'' Securipak Eclipse bleu For Her</t>
  </si>
  <si>
    <t>15.6'' Securipak Anti-vol rouge</t>
  </si>
  <si>
    <t>15.6'' Securipak Anti-vol jaune</t>
  </si>
  <si>
    <t>15.6'' Securipak Anti-vol gris</t>
  </si>
  <si>
    <t>15.6 Securipak Anti-vol noir</t>
  </si>
  <si>
    <t>CASYX</t>
  </si>
  <si>
    <t>Jusqu'à 16' STORM Desert</t>
  </si>
  <si>
    <t>Jusqu'à 16' STORM Abyss Blue</t>
  </si>
  <si>
    <t>Jusqu'à 16' STORM Shadow Black</t>
  </si>
  <si>
    <t>Jusqu'à 16' STORM Rainforest Green</t>
  </si>
  <si>
    <t>XIAOMI</t>
  </si>
  <si>
    <t>Redmi Pad 2 Grey</t>
  </si>
  <si>
    <t>Black Friday</t>
  </si>
  <si>
    <t>Offert à l'achat des tablettes suivantes: 1222942 et 1222943</t>
  </si>
  <si>
    <t>ZR22</t>
  </si>
  <si>
    <t xml:space="preserve">Désignation produit </t>
  </si>
  <si>
    <t xml:space="preserve">Date de debut </t>
  </si>
  <si>
    <t xml:space="preserve">Date de fin </t>
  </si>
  <si>
    <t>Pour l'achat d'une switch 1, -20% sur les deux MicroSD SAMSUNG du 01/11 au 30/11</t>
  </si>
  <si>
    <t xml:space="preserve">SAMSUNG </t>
  </si>
  <si>
    <t>20% de remise</t>
  </si>
  <si>
    <t xml:space="preserve">Carte Micro SD SAMSUNG 256Go Evo plus avec adaptateur
</t>
  </si>
  <si>
    <t>NINTENDO</t>
  </si>
  <si>
    <t>Switch Lite Turquoise</t>
  </si>
  <si>
    <t>Switch Neon Bleue / Rouge</t>
  </si>
  <si>
    <t>Switch Lite Corail</t>
  </si>
  <si>
    <t>Switch Lite Bleue</t>
  </si>
  <si>
    <t>Switch modèle OLED + Joy Con Blanc</t>
  </si>
  <si>
    <t>Switch Oled+Manet Joy-Con+Pochet+Protec</t>
  </si>
  <si>
    <t>Switch Lite Bleue + Animal Crossing</t>
  </si>
  <si>
    <t>Switch Lite Corail + Animal Crossing</t>
  </si>
  <si>
    <t>Switch Lite Turquoise + Animal Crossing</t>
  </si>
  <si>
    <t xml:space="preserve">EPSON </t>
  </si>
  <si>
    <t xml:space="preserve">ODR bundle Expression&amp;WorkForce + Encre FY25 </t>
  </si>
  <si>
    <t>AGHB</t>
  </si>
  <si>
    <t xml:space="preserve"> ODR bundle Expression&amp;WorkForce + Encre FY25 </t>
  </si>
  <si>
    <t>T2428 N/C/M/J/CC/MC Série Eléphant</t>
  </si>
  <si>
    <t>266 noir</t>
  </si>
  <si>
    <t>267 3 couleurs</t>
  </si>
  <si>
    <t>202 série Kiwi (N/NP C/M/J)</t>
  </si>
  <si>
    <t>378 (N/C/M/J/CC/MC) Série Ecureuil</t>
  </si>
  <si>
    <t>XP 15000</t>
  </si>
  <si>
    <t>XP 6100</t>
  </si>
  <si>
    <t>WF-110W</t>
  </si>
  <si>
    <t>XP 970</t>
  </si>
  <si>
    <t>WorkForce WF-4830DTWF</t>
  </si>
  <si>
    <t>WorkForce WF-7835DTWF</t>
  </si>
  <si>
    <t>WorkForce WF-7840DTWF</t>
  </si>
  <si>
    <t>WorkForce WF-3825DWF</t>
  </si>
  <si>
    <t>Pack 405 Valise 4 couleurs</t>
  </si>
  <si>
    <t>Pack XL 405 Valise 4 couleurs</t>
  </si>
  <si>
    <t>WF-7310DTW</t>
  </si>
  <si>
    <t>XP-3205</t>
  </si>
  <si>
    <t>XP-2205</t>
  </si>
  <si>
    <t>XP-4205</t>
  </si>
  <si>
    <t>WorkForce WF-2950DWF</t>
  </si>
  <si>
    <t>604XL CMYN Serie Ananas</t>
  </si>
  <si>
    <t>604 Serie Ananas (CMJ N)</t>
  </si>
  <si>
    <t>WorkFoce WF-7830DTW</t>
  </si>
  <si>
    <t xml:space="preserve">ODR ECOTANK du 01/09 au 31/01/2026
</t>
  </si>
  <si>
    <t xml:space="preserve">ODR ECOTANK du 01/09 au 31/01/2026
 </t>
  </si>
  <si>
    <t>EcoTank ET-15000</t>
  </si>
  <si>
    <t>EcoTank ET-8500</t>
  </si>
  <si>
    <t>EcoTank ET-8550</t>
  </si>
  <si>
    <t>EcoTank ET-2850</t>
  </si>
  <si>
    <t>EcoTank ET-3850</t>
  </si>
  <si>
    <t>EcoTank ET-4800</t>
  </si>
  <si>
    <t>EcoTank ET-4856</t>
  </si>
  <si>
    <t>EcoTank ET-5170</t>
  </si>
  <si>
    <t>EcoTank ET-2856</t>
  </si>
  <si>
    <t>EcoTank ET 2876</t>
  </si>
  <si>
    <t>EcoTank ET-5805</t>
  </si>
  <si>
    <t>EcoTank ET-16605</t>
  </si>
  <si>
    <t>EcoTank ET-2870</t>
  </si>
  <si>
    <t>EcoTank ET-2951</t>
  </si>
  <si>
    <t>EcoTank ET-3956</t>
  </si>
  <si>
    <t>EcoTank ET-4956</t>
  </si>
  <si>
    <t>EcoTank ET-2956 - White</t>
  </si>
  <si>
    <t xml:space="preserve">Type de produit </t>
  </si>
  <si>
    <t>Mécanqiue 
de l'opération</t>
  </si>
  <si>
    <t xml:space="preserve">STARLINK </t>
  </si>
  <si>
    <t>250€ en crédits d’abonnement pour l’achat d’un Kit Standard STARLINK PROLONGATION jusqu’au 30.09</t>
  </si>
  <si>
    <t>Satellite</t>
  </si>
  <si>
    <t>250€ d’abonnement crédités sur le compte STARLINK, pour l’achat d’un Kit Standard STARLINK PROLONGATION jusqu’au 30.09</t>
  </si>
  <si>
    <t>Satellite STARLINK Standard</t>
  </si>
  <si>
    <t xml:space="preserve">Marque </t>
  </si>
  <si>
    <t xml:space="preserve">Gamme </t>
  </si>
  <si>
    <t xml:space="preserve">Nom de l'opé </t>
  </si>
  <si>
    <t>PVN</t>
  </si>
  <si>
    <r>
      <rPr>
        <rFont val="Poppins"/>
        <color rgb="FFFFFFFF"/>
        <sz val="9.0"/>
      </rPr>
      <t xml:space="preserve">PV </t>
    </r>
    <r>
      <rPr>
        <rFont val="Poppins"/>
        <color rgb="FF1155CC"/>
        <sz val="9.0"/>
        <u/>
      </rPr>
      <t>Boulanger.com</t>
    </r>
  </si>
  <si>
    <t>PVOP</t>
  </si>
  <si>
    <t xml:space="preserve">Date de début </t>
  </si>
  <si>
    <t>EPSON</t>
  </si>
  <si>
    <t>02202005 - Multi Jet d'encre</t>
  </si>
  <si>
    <t>C</t>
  </si>
  <si>
    <t>BTS EPSON 2025</t>
  </si>
  <si>
    <t>02202010 - Mult Jet d'encre pro</t>
  </si>
  <si>
    <t>B</t>
  </si>
  <si>
    <t>OP EPSON SEPTEMBRE 2025</t>
  </si>
  <si>
    <t>TP-LINK</t>
  </si>
  <si>
    <t>02303030 - Répéteur / AC</t>
  </si>
  <si>
    <t>RE225BE Wifi 7</t>
  </si>
  <si>
    <t>D</t>
  </si>
  <si>
    <t>BTS T2 TPLINK</t>
  </si>
  <si>
    <t>WESTERN DIGITAL</t>
  </si>
  <si>
    <t>02332005 - Disque dur externe / 1.8 POUCES</t>
  </si>
  <si>
    <t>Drive PLUS 2TB</t>
  </si>
  <si>
    <t>OP WD SEPTEMBRE 2025</t>
  </si>
  <si>
    <t>Drive PLUS 6TB</t>
  </si>
  <si>
    <t>SANDISK</t>
  </si>
  <si>
    <t>02332008 - Disque SSD externe / AUTRES</t>
  </si>
  <si>
    <t>Extreme 1To bleu</t>
  </si>
  <si>
    <t>A</t>
  </si>
  <si>
    <t xml:space="preserve">SANDISK BTS </t>
  </si>
  <si>
    <t>Extreme 2To bleu</t>
  </si>
  <si>
    <t>Extreme 4To bleu</t>
  </si>
  <si>
    <t>02303035 - Routeur / AUTRES</t>
  </si>
  <si>
    <t>Archer AX12 Wifi 6 (AX1500Mbps)</t>
  </si>
  <si>
    <t>Mesh Deco BE65(1-pack)</t>
  </si>
  <si>
    <t>Deco X50-5G(1-pack)</t>
  </si>
  <si>
    <t>02303025 - CPL Wifi / DUO</t>
  </si>
  <si>
    <t>TL-PGW2445 kit Wifi 6</t>
  </si>
  <si>
    <t>RE505X WiFi 6 AX</t>
  </si>
  <si>
    <t>RE365 V3</t>
  </si>
  <si>
    <t>02303020 - CPL / DUO</t>
  </si>
  <si>
    <t>TL-PA7019P - Blanc</t>
  </si>
  <si>
    <t>02303040 - Switch / AUTRES</t>
  </si>
  <si>
    <t>TL-SG105S 5 ports 10 / 100 / 1000Mbps</t>
  </si>
  <si>
    <t>NETGEAR</t>
  </si>
  <si>
    <t>02303045 - Clé/Carte PCI / BLUETOOTH</t>
  </si>
  <si>
    <t>WiFi  A6150 AC1200 USB 2.0 Format Nano</t>
  </si>
  <si>
    <t>T2 BTS NETGEAR</t>
  </si>
  <si>
    <t>ORBI RBK763S Mesh Wifi AX5400</t>
  </si>
  <si>
    <t>T2 T3 BTS NETGEAR</t>
  </si>
  <si>
    <t>GS105E Metal 5 Ports Gbps +Interface web</t>
  </si>
  <si>
    <t>EX6130 WIFI AC1200 avec prise</t>
  </si>
  <si>
    <t>GS108E-400EUS métal 8 Ports Gigabit</t>
  </si>
  <si>
    <t>Envy 6532e</t>
  </si>
  <si>
    <t>BTS T2 - T3 HP</t>
  </si>
  <si>
    <t>Smart Tank 7306</t>
  </si>
  <si>
    <t>TOSHIBA</t>
  </si>
  <si>
    <t>Pack 2To canvio basics + housse</t>
  </si>
  <si>
    <t>BTS T2 TOSHIBA</t>
  </si>
  <si>
    <t>CANON</t>
  </si>
  <si>
    <t>MG 3650S NOIRE</t>
  </si>
  <si>
    <t>CANON BTS</t>
  </si>
  <si>
    <t>Pixma TS 5351i</t>
  </si>
  <si>
    <t>Pixma TS 7650i</t>
  </si>
  <si>
    <t>Pixma TS 8751</t>
  </si>
  <si>
    <t>H</t>
  </si>
  <si>
    <t>Megatank G650</t>
  </si>
  <si>
    <t>MEGATANK G3590</t>
  </si>
  <si>
    <t>Pack T7 1 To bleu + housse</t>
  </si>
  <si>
    <t xml:space="preserve">BTS SAMSUNG </t>
  </si>
  <si>
    <t>portable 2To T7 gris titane</t>
  </si>
  <si>
    <t xml:space="preserve">02251005 - Imprimante&amp;Scanner </t>
  </si>
  <si>
    <t>Zoemini 2 - Rose Doré</t>
  </si>
  <si>
    <t xml:space="preserve">OP AOUT CANON </t>
  </si>
  <si>
    <t>Zoemini 2 - Blanche</t>
  </si>
  <si>
    <t>Zoemini 2 - Bleue Marine</t>
  </si>
  <si>
    <t xml:space="preserve">02250412 - Hybride Expert </t>
  </si>
  <si>
    <t>EOS R8 + RF 24-50mm f/4.5-6.3 IS STM</t>
  </si>
  <si>
    <t>OP BTS CANON PHOTO</t>
  </si>
  <si>
    <t>EOS R8 boitier nu</t>
  </si>
  <si>
    <t>02250410 - Hybride familial</t>
  </si>
  <si>
    <t>EOS R100 + RF-S 18-45mm IS STM</t>
  </si>
  <si>
    <t>EOS R100+RF-S 18-45 IS STM+RF-S 55-210mm</t>
  </si>
  <si>
    <t>Alpha 7C II Black</t>
  </si>
  <si>
    <t>ZV-E10 + Optique 16-50 mm</t>
  </si>
  <si>
    <t>A7 IV Nu</t>
  </si>
  <si>
    <t>A7 IV + 28-70</t>
  </si>
  <si>
    <t>A7 III Nu</t>
  </si>
  <si>
    <t>A7 III + 28-70mm</t>
  </si>
  <si>
    <t>Alpha A7C -kit 28-60  Silver</t>
  </si>
  <si>
    <t>Alpha 7C II Silver</t>
  </si>
  <si>
    <t>Alpha 7C II Black + SEL2860</t>
  </si>
  <si>
    <t>ZV-E10</t>
  </si>
  <si>
    <t xml:space="preserve">   </t>
  </si>
  <si>
    <t>Montant</t>
  </si>
  <si>
    <t>Code ZIMM</t>
  </si>
  <si>
    <t>Codes article à vérifier</t>
  </si>
  <si>
    <t xml:space="preserve">Nothing </t>
  </si>
  <si>
    <t>Smartphone</t>
  </si>
  <si>
    <t>Nothing Phone 2</t>
  </si>
  <si>
    <t>Zimm -99,99€ pour Offrir les écouteurs Nothing Ear Stick Blanc 1187146 pour l'achat du Phone 2</t>
  </si>
  <si>
    <t>1192751
1192752
1192753
1192754</t>
  </si>
  <si>
    <t>Samsung</t>
  </si>
  <si>
    <t>Montre co</t>
  </si>
  <si>
    <t>GW5 44mm BT</t>
  </si>
  <si>
    <t>1182431 : 259€ barré 199€ + 50€ de remise
1182359 : 329€ barré 259€ + 50€ de remise</t>
  </si>
  <si>
    <t>1182431
1182359</t>
  </si>
  <si>
    <t xml:space="preserve">Google </t>
  </si>
  <si>
    <t xml:space="preserve">Pixel / Pixel Watch </t>
  </si>
  <si>
    <t>-40% sur la Pixel Watch pour l'achat simultané d'un Pixel 7a,7,7Pro et d'une Pixel Watch BT / Wifi</t>
  </si>
  <si>
    <t xml:space="preserve">1187764
1187765
1187766
1187767
1187768
1187769
1187770
1187774
1187775
1187776
1187777
1187778
1187779
1187780
1187781
1187791
1187792
1187793
1187794
1187795
1187796
1187797
1187798
1187799
1187801
1187802
1187803
1187804
</t>
  </si>
  <si>
    <t>d'une valeur 103,60€</t>
  </si>
  <si>
    <t>-40% sur la Pixel Watch pour l'achat simultané d'un Pixel 7a,7,7Pro et d'une Pixel Watch 4G</t>
  </si>
  <si>
    <t xml:space="preserve">S23, S23+, S23 Ultra </t>
  </si>
  <si>
    <r>
      <rPr>
        <rFont val="Poppins"/>
        <sz val="9.0"/>
      </rPr>
      <t xml:space="preserve">Buds 2 offerts pour l'achat d'un S23 Family </t>
    </r>
    <r>
      <rPr>
        <rFont val="Poppins"/>
        <color rgb="FFFF0000"/>
        <sz val="9.0"/>
      </rPr>
      <t>(HORS PACK) FINI</t>
    </r>
  </si>
  <si>
    <t>https://drive.google.com/file/d/12Ch78wDepnm93NHl4kOAz23rMZIGNeUP/view?usp=sharing</t>
  </si>
  <si>
    <t>1175336
1175337
1175339
1175340
1175347
1175348
1175349
1175350
1175351
1175354
1175355
1175356
1175357
1175359
1175360
1175371
1175372
1175373
1175374
1175381
1175382
1175383
1175384
1175385
1175386
1175387
1175388
1175389
1183019</t>
  </si>
  <si>
    <t>Buds 2 offerts pour l'achat d'un S23 Family</t>
  </si>
  <si>
    <t>Google Pixel 7a</t>
  </si>
  <si>
    <t>chargeur AWD 30W (8009451)OFFERT pour l'achat d'un Pixel 7a</t>
  </si>
  <si>
    <t>ilv en cours</t>
  </si>
  <si>
    <t>1190103
1190104
1190105
1192731</t>
  </si>
  <si>
    <t>Z-Flip5</t>
  </si>
  <si>
    <t>Watch6 40mm Bt Graphite (1193780) OFFERTE pour l'achat du Z-Flip5</t>
  </si>
  <si>
    <t>https://drive.google.com/file/d/17z-xgjqmjifUzHKPys9q6a8DJyUb0qm7/view?usp=drive_link</t>
  </si>
  <si>
    <t>1194581
1194582
1194583
1194584
1194585
1194586
1194587
1194588</t>
  </si>
  <si>
    <t>Z-Fold5</t>
  </si>
  <si>
    <t>Watch6 40mm Bt Graphite (1193780) OFFERTE pour l'achat du Z-Fold5</t>
  </si>
  <si>
    <t>1194589
1194590
1194591
1194592
1194593
1194594
1194596
1194597
1194598</t>
  </si>
  <si>
    <t>Honor</t>
  </si>
  <si>
    <t>Magic5 Pro</t>
  </si>
  <si>
    <t xml:space="preserve">protection d'écran sur mesure offerte pour les codes Zagg 1177165, Mo 1170398, Web 1118875
</t>
  </si>
  <si>
    <t>Codes article erronés</t>
  </si>
  <si>
    <t>Pack Magic5 Lite 256Go</t>
  </si>
  <si>
    <t>ZAGG offert</t>
  </si>
  <si>
    <t>Honor 90 Lite</t>
  </si>
  <si>
    <t>protection d'écran sur mesure offerte pour les codes Zagg 1177165, Mo 1170398, Web 1118875</t>
  </si>
  <si>
    <t>Ref ?</t>
  </si>
  <si>
    <t>Watch6 Classic 43mm et 47mm BT/4G</t>
  </si>
  <si>
    <r>
      <rPr>
        <rFont val="Poppins"/>
        <sz val="9.0"/>
      </rPr>
      <t>CRM -100€</t>
    </r>
    <r>
      <rPr>
        <rFont val="Poppins"/>
        <sz val="9.0"/>
      </rPr>
      <t xml:space="preserve"> sur la Précommande de la Watch6 Classic 43mm et 47mm BT/4G</t>
    </r>
  </si>
  <si>
    <t>No</t>
  </si>
  <si>
    <t>Capé à 400</t>
  </si>
  <si>
    <t>Watch6 40mm et 44mm BT/4G</t>
  </si>
  <si>
    <r>
      <rPr>
        <rFont val="Poppins"/>
        <sz val="9.0"/>
      </rPr>
      <t xml:space="preserve">CRM -70€ </t>
    </r>
    <r>
      <rPr>
        <rFont val="Poppins"/>
        <sz val="9.0"/>
      </rPr>
      <t>sur la Précommande de la Watch6 40mm et 44mm BT/4G</t>
    </r>
  </si>
  <si>
    <t>Capé à 700</t>
  </si>
  <si>
    <t>Z Flip 5</t>
  </si>
  <si>
    <t>-100€ CRM pour le Z-Flip5 lancement.</t>
  </si>
  <si>
    <t>Z Fold 5</t>
  </si>
  <si>
    <t>-150€ CRM pour le Z-Fold5 lancement.</t>
  </si>
  <si>
    <t xml:space="preserve">Tablette </t>
  </si>
  <si>
    <t>Tab S9</t>
  </si>
  <si>
    <t>-100€ de Bonus Rachat sur les S9</t>
  </si>
  <si>
    <t>https://drive.google.com/file/d/1KEnfHSCPdBvRYJNiqIVYuMcwiBRK0KkV/view?usp=drive_link</t>
  </si>
  <si>
    <t>1194481
1194483
1194484
1194485
1194487
1194488
1194489
1194490
1194501
1194502
1194504
1194505</t>
  </si>
  <si>
    <t>CRM -50€ sur le pré-lancement de la Tab S9</t>
  </si>
  <si>
    <t>capé à 50</t>
  </si>
  <si>
    <t>CRM -70€ sur le pré-lancement de la Tab S9+</t>
  </si>
  <si>
    <t>Capé à 50 pcs</t>
  </si>
  <si>
    <t xml:space="preserve">CRM -100€ sur le pré-lancement de la Tab S9Ultra </t>
  </si>
  <si>
    <t>carte cadeau de -100€ pour l'achat d'une Tab S9 Fam</t>
  </si>
  <si>
    <t>Z-Flip5 / Z-Fold5</t>
  </si>
  <si>
    <t>code promo Flyer</t>
  </si>
  <si>
    <t>Pas d'ILV</t>
  </si>
  <si>
    <t>Phone (2)</t>
  </si>
  <si>
    <t>Bonus Rachat 50€</t>
  </si>
  <si>
    <t>https://drive.google.com/file/d/1sRLqKpV6eAkxsjeBG8RPk0Zwuq7VB5nJ/view?usp=drive_link</t>
  </si>
  <si>
    <t>1192751
1192752
1192753
1192754</t>
  </si>
  <si>
    <t>Crosscall</t>
  </si>
  <si>
    <t>CORE-T4</t>
  </si>
  <si>
    <t xml:space="preserve">30€ de bonus rachat </t>
  </si>
  <si>
    <t>https://drive.google.com/file/d/1gXiZeJtucBCwe0lCv0ccbyZKQ6Al267d/view?usp=sharing</t>
  </si>
  <si>
    <t>Pack S23 + watch 5 1192560</t>
  </si>
  <si>
    <t>Bonus Rachat -50€ supplémentaire sur le pack S23 uniquement pour OP Braderie</t>
  </si>
  <si>
    <t>https://drive.google.com/file/d/1Ej6Q3NLQM2Dvz76CP7nFV_64dVTDAIQ4/view?usp=sharing</t>
  </si>
  <si>
    <t>50€ de remise immédiate</t>
  </si>
  <si>
    <t xml:space="preserve">Code valable uniquement la semaine ! </t>
  </si>
  <si>
    <t>Honor 90</t>
  </si>
  <si>
    <t>100€ de remise immédiate</t>
  </si>
  <si>
    <t>https://drive.google.com/file/d/1AYcRmPpi3uCkr6lApHFHUoXtfd029J1Z/view?usp=sharing</t>
  </si>
  <si>
    <t>Bonus rachat -100€ sur tous les modèles</t>
  </si>
  <si>
    <t>https://drive.google.com/file/d/138pnSx_-L9_6L183K2M58DPi7WXawc-d/view?usp=drive_link</t>
  </si>
  <si>
    <t>Honor Magic 5 Pro</t>
  </si>
  <si>
    <t>200€ de remise immédiate</t>
  </si>
  <si>
    <t>Hors Week-end</t>
  </si>
  <si>
    <t>Fairphone</t>
  </si>
  <si>
    <t>Fairephone 4</t>
  </si>
  <si>
    <t>50€ de Bonus Rachat sur Fairephone 4</t>
  </si>
  <si>
    <t>1193032
1192924
1193031</t>
  </si>
  <si>
    <t xml:space="preserve">Xiaomi </t>
  </si>
  <si>
    <t>Redmi Note 12 Pro Plus</t>
  </si>
  <si>
    <r>
      <rPr>
        <rFont val="Poppins"/>
        <sz val="9.0"/>
      </rPr>
      <t xml:space="preserve">50€ de bonus rachat Note 12 Pro + </t>
    </r>
    <r>
      <rPr>
        <rFont val="Poppins"/>
        <color rgb="FFFF0000"/>
        <sz val="9.0"/>
      </rPr>
      <t>OPERATION PROLONGEE</t>
    </r>
  </si>
  <si>
    <t>https://drive.google.com/file/d/169rzg0MQifhLnOzq71yiMcZ6GBBUxhRJ/view?usp=sharing</t>
  </si>
  <si>
    <t>Xiaomi</t>
  </si>
  <si>
    <t>Redmi Note 12 Pro</t>
  </si>
  <si>
    <r>
      <rPr>
        <rFont val="Poppins"/>
        <sz val="9.0"/>
      </rPr>
      <t xml:space="preserve">30€ de bonus rachat Note 12 Pro </t>
    </r>
    <r>
      <rPr>
        <rFont val="Poppins"/>
        <color rgb="FFFF0000"/>
        <sz val="9.0"/>
      </rPr>
      <t>OPERATION PROLONGEE</t>
    </r>
  </si>
  <si>
    <t>https://drive.google.com/file/d/1QyZJLPqoOXLm1JKrKGoV7a5o06bfUMbJ/view?usp=sharing</t>
  </si>
  <si>
    <t>S22 FAM, S23 FAM,  Z Flip5, Z Fold5</t>
  </si>
  <si>
    <t xml:space="preserve">10€/100 Samsung </t>
  </si>
  <si>
    <t>-70€
-80€
-90€
-100€
-110€
-120€
-130€
-140€
-150€
-160€
-170€
-180€
-190€
-200€
-210€
-220€</t>
  </si>
  <si>
    <t xml:space="preserve">1196561
1196510
1196530
1196571
1196581
1196548
1196529
1196524
1196539
1196528
1196527
1196559
1196562
1196525
1196538
1196560
</t>
  </si>
  <si>
    <t>https://drive.google.com/file/d/1YpaMe5mVmgZcpP6yQpN7AshCOCLCBBRl/view?usp=drive_link</t>
  </si>
  <si>
    <t>Apple</t>
  </si>
  <si>
    <t>iPhone 12 / 13 / 14</t>
  </si>
  <si>
    <t>Chargeur 20W Essentiel B offert (8008865)</t>
  </si>
  <si>
    <t>https://drive.google.com/file/d/1GxwSZX95uyBrdCUeKug7YUWITNcGXjq3/view?usp=drive_link</t>
  </si>
  <si>
    <t>y compris 14 Plus, Pro, Pro Max</t>
  </si>
  <si>
    <t>iPhone 14 Pro / 14 Pro Max</t>
  </si>
  <si>
    <t>Protection d'écran offerte</t>
  </si>
  <si>
    <t>Xiaomi PAD6 UNIQUEMENT</t>
  </si>
  <si>
    <t>3 mois  Infinity offert</t>
  </si>
  <si>
    <t xml:space="preserve">1192762
1192763
1192764
</t>
  </si>
  <si>
    <t>Iphone 15 series</t>
  </si>
  <si>
    <t>Protection sur mesure offerte ZAGG</t>
  </si>
  <si>
    <t>Protection sur mesure offerte MO</t>
  </si>
  <si>
    <t>Powerbank 20 000mAh offerte</t>
  </si>
  <si>
    <t>Tab S</t>
  </si>
  <si>
    <t>6 mois Infinity offert pour l'achat d'une Tab S (toutes références)</t>
  </si>
  <si>
    <t>https://drive.google.com/file/d/19zO21pR6-sOYYhif361gvKsYI845iXWh/view?usp=drive_link</t>
  </si>
  <si>
    <t>ZFlip 5 &amp; ZFold 5</t>
  </si>
  <si>
    <t>Bonus Rachat 100€ Z Flip5 et Z Fold5</t>
  </si>
  <si>
    <t>https://drive.google.com/file/d/12K15LPKbgM1qetodhe8bM48qbRQmJm_8/view?usp=drive_link</t>
  </si>
  <si>
    <t>Code des Z-Flip5
1194581
1194582
1194583
1194584
1194585
1194586
1194587
1194588
Code des Z-Fold5
1194589
1194590
1194591
1194592
1194593
1194594
1194596
1194597
1194598</t>
  </si>
  <si>
    <r>
      <rPr>
        <rFont val="Poppins"/>
        <sz val="9.0"/>
      </rPr>
      <t>Bonus Rachat -100€</t>
    </r>
    <r>
      <rPr>
        <rFont val="Poppins"/>
        <sz val="9.0"/>
      </rPr>
      <t xml:space="preserve"> sur le Lancement de la Watch6 Classic 43mm et 47mm BT/4G </t>
    </r>
  </si>
  <si>
    <t>https://drive.google.com/file/d/1oAGP_dxL-hFbssTT-7QnFDmg8Qn43iqW/view?usp=drive_link</t>
  </si>
  <si>
    <t>Capé à 400.</t>
  </si>
  <si>
    <r>
      <rPr>
        <rFont val="Poppins"/>
        <sz val="9.0"/>
      </rPr>
      <t>Bonus Rachat -70€</t>
    </r>
    <r>
      <rPr>
        <rFont val="Poppins"/>
        <sz val="9.0"/>
      </rPr>
      <t xml:space="preserve"> sur le Lancement de la Watch6 40mm et 44mm BT/4G</t>
    </r>
  </si>
  <si>
    <t>Tab S9 UNIQUEMENT</t>
  </si>
  <si>
    <r>
      <rPr>
        <rFont val="Poppins"/>
        <sz val="9.0"/>
      </rPr>
      <t>6 mois Infinity offert pour l'achat d'une tab S9</t>
    </r>
    <r>
      <rPr>
        <rFont val="Poppins"/>
        <color rgb="FFFF0000"/>
        <sz val="9.0"/>
      </rPr>
      <t xml:space="preserve"> (NON CUMULABLE AVEC L'OFFRE INFINITY S)</t>
    </r>
  </si>
  <si>
    <t>1194481
1194483
1194484
1194485
1194487
1194488
1194489
1194490
1194501
1194502
1194504
1194505</t>
  </si>
  <si>
    <t xml:space="preserve"> Watch6 Classic 43mm et 47mm BT/4G</t>
  </si>
  <si>
    <t xml:space="preserve">CRM -100€ sur le Lancement de la Watch6 Classic 43mm et 47mm BT/4G </t>
  </si>
  <si>
    <t>Capé à 600</t>
  </si>
  <si>
    <r>
      <rPr>
        <rFont val="Poppins"/>
        <sz val="9.0"/>
      </rPr>
      <t xml:space="preserve">CRM -70€ </t>
    </r>
    <r>
      <rPr>
        <rFont val="Poppins"/>
        <sz val="9.0"/>
      </rPr>
      <t>sur le Lancement de la Watch6 40mm et 44mm BT/4G</t>
    </r>
  </si>
  <si>
    <t>-150€ CRM pour le lancement du Z-Fold5</t>
  </si>
  <si>
    <t>-100€ CRM pour le lancement du Z-Flip5</t>
  </si>
  <si>
    <t>https://drive.google.com/file/d/1WlPY-NOG9hpA5BOSmvC1ZViMmQABnt6U/view?usp=drive_link</t>
  </si>
  <si>
    <t xml:space="preserve">CRM -70€ sur le lancement de la Tab S9+  </t>
  </si>
  <si>
    <t>Capé à 150 pcs</t>
  </si>
  <si>
    <t xml:space="preserve">CRM -100€ sur le lancement de la Tab S9 Ultra </t>
  </si>
  <si>
    <t>Acer</t>
  </si>
  <si>
    <t>ICONIA P10 10.4'' 2K 128Go Noire</t>
  </si>
  <si>
    <t>Bonus Rachat -30€</t>
  </si>
  <si>
    <t>30€ de Bonus Rachat</t>
  </si>
  <si>
    <t>https://drive.google.com/file/d/12Pq-rAXKKwISoKceLtA0wRTQGduHpjwr/view?usp=drive_link</t>
  </si>
  <si>
    <t>50€ de Bonus Rachat</t>
  </si>
  <si>
    <t>Redmi Note 12 5G</t>
  </si>
  <si>
    <t>1189203
1189204
1189205</t>
  </si>
  <si>
    <t>Xiaomi 13T Leica</t>
  </si>
  <si>
    <t>100€ de Bonus Rachat</t>
  </si>
  <si>
    <t>1195881
1195882</t>
  </si>
  <si>
    <t>Xiaomi 13T Pro Leica</t>
  </si>
  <si>
    <t>1195884
1195885</t>
  </si>
  <si>
    <t>Xiaomi 13T Pro</t>
  </si>
  <si>
    <t>Tab Pad SE Offert pour l'achat du Xiaomi 13T PRO (1194971)</t>
  </si>
  <si>
    <t>https://drive.google.com/file/d/1Uz-RFLu0XdkUsLqouGDwO6CHzvexbtjD/view?usp=drive_link</t>
  </si>
  <si>
    <t>1195884
1195885</t>
  </si>
  <si>
    <t>Xiaomi 13T et 13T Pro</t>
  </si>
  <si>
    <t>CRM -100€</t>
  </si>
  <si>
    <t>1195881
1195882
1195884
1195885</t>
  </si>
  <si>
    <t>Annulation du CRM</t>
  </si>
  <si>
    <t>full Xiaomi</t>
  </si>
  <si>
    <t>protection d'ecran sur mesure ZAGG offerte 1177165, MO 1170398, Web 1118875</t>
  </si>
  <si>
    <t>https://drive.google.com/file/d/1YOfHgrzH1_MW1ViIBiOA7euGC_DkRlVm/view?usp=drive_link</t>
  </si>
  <si>
    <t>Smartphone Xiaomi</t>
  </si>
  <si>
    <t>Tous les smartphones Xiaomi</t>
  </si>
  <si>
    <t>S21FE-5G, S22, S23, S23+, S23 Ultra, Série Z5
Hors PACK</t>
  </si>
  <si>
    <t>10€/100</t>
  </si>
  <si>
    <t>-40€
-50€
-80€
-90€
-100€
-110€
-130€
-160€
-180€
-200€
-220€</t>
  </si>
  <si>
    <t>1196526
1196563
1196564
1196547
1196546
1196540
1197427
1197428
1197429
1197430
1197431</t>
  </si>
  <si>
    <t>https://boulanger.scene7.com/is/content/Boulanger/2.B.com/Commerce/EMS/2909D.pdf</t>
  </si>
  <si>
    <t>Samsung Tab Gamme S</t>
  </si>
  <si>
    <t>-40€
-50€
-60€
-70€
-80€
-90€
-100€
-110€
-120€
-130€
-140€
-150€
-160€
-180€</t>
  </si>
  <si>
    <t>1197313 
1197315 
1197317 
1197318 
1197319 
1197320 
1197321 
1197322 
1197323 
1197324 
1197325 
1197326 
1197327
1197328</t>
  </si>
  <si>
    <t>https://drive.google.com/file/d/1vESI0sNOeCHAjQi7iziAxHRC9iZhcl_U/view?usp=drive_link</t>
  </si>
  <si>
    <t>Watch Serie 9 ou Ultra 2</t>
  </si>
  <si>
    <t>Protection sur mesure ZAGG -50%</t>
  </si>
  <si>
    <t>Protection sur mesure MO -50%</t>
  </si>
  <si>
    <t>S23 Ultra</t>
  </si>
  <si>
    <t>OP Buds 2 Pro  offerts</t>
  </si>
  <si>
    <t>1187792
1187793
1187794
1187795
1187796
1187797
1187798
1187799
1187801
1187803</t>
  </si>
  <si>
    <t xml:space="preserve">code des Buds 2 Pro Offert 1182416
</t>
  </si>
  <si>
    <t xml:space="preserve"> Tab S6 Lite 128go 1197109</t>
  </si>
  <si>
    <t>carte cadeau de -200€ pour l'achat d'une Tab S6 Lite 128go 1197109</t>
  </si>
  <si>
    <t>UNIQUEMENT sur les Samsung Watch 6</t>
  </si>
  <si>
    <t xml:space="preserve">-30€
-40€
</t>
  </si>
  <si>
    <t xml:space="preserve">1197406
1197407
</t>
  </si>
  <si>
    <t>Redmi 12 128Go Bleu, Noir, Argent</t>
  </si>
  <si>
    <t>Zimm -20€ Remise REDMI 12 128Go, 1192679 1192680 1192761</t>
  </si>
  <si>
    <t>1192679
1192680 
1192761</t>
  </si>
  <si>
    <t>Tab Lenovo 1194969 Pack M10 3er GEN 64Go + Folio</t>
  </si>
  <si>
    <t>écouteur Oglos Muz TWS 2 Noir 8009330 pour l'achat de la Tab Lenovo 1194969 Pack M10 3er GEN 64Go + Folio du 01/09/2023 au 25/09/2023</t>
  </si>
  <si>
    <t xml:space="preserve"> Pixel 7 / Pixel 7a </t>
  </si>
  <si>
    <t>Remise 30€ Pixel 7 / 24€ Pixel 7a</t>
  </si>
  <si>
    <t>-30€ / -24€</t>
  </si>
  <si>
    <t>1198016
1198017</t>
  </si>
  <si>
    <t>-40€
-50€
-70€
-80€
-100€
-110€
-130€
-150€
-180€
-200€
-220€</t>
  </si>
  <si>
    <t>1196526
1196563
1198112
1196564
1196546
1196540
1197427
1197428
1197429
1197430
1197431</t>
  </si>
  <si>
    <t>Gamme S9 / S9FE / S6 Lite</t>
  </si>
  <si>
    <t>-30€
-40€
-50€
-60€
-70€
-80€
-90€
-100€
-110€
-120€
-130€</t>
  </si>
  <si>
    <t>1197325
1197313 
1197315 
1197317 
1197318 
1197319 
1197320
1197321
1197322
1197323
1197431</t>
  </si>
  <si>
    <t>1144858
1144859
1144860
1180123
1180130
1180161
1180162
1194481
1194483
1194484
1194485
1194487
1194488
1194489
1194490
1194501
1194502
1194504
1194505
1196003
1196004
1197109
1197211
1197215
1197216
1197217
1197218
1197219
1197220
1197221
1197222
1197223
1197224
1197225
1197226
1197227</t>
  </si>
  <si>
    <t>Z FOLD 5</t>
  </si>
  <si>
    <t>Galaxy Watch 5 pro offerte ( 1182380 noir / 1182471 titanim ) à l'achat Fold 5</t>
  </si>
  <si>
    <t>1195881
1195882</t>
  </si>
  <si>
    <t>S23; S23+;S23 Ultra;Flip 5</t>
  </si>
  <si>
    <t>Pour achat Watch6 ou d'une Watch6 Classic avec un Smartphone S23, S23+, S23U ou Flip 5</t>
  </si>
  <si>
    <t>Redmi Note 12 Pro 5G</t>
  </si>
  <si>
    <t>https://drive.google.com/file/d/1R7YCe4Bvgv3apO-6DxMpCcgkDSaDSBAV/view?usp=drive_link</t>
  </si>
  <si>
    <t xml:space="preserve">Google Pixel </t>
  </si>
  <si>
    <t>protection d'ecran sur mesure ZAGG à -50% &gt; 1177165, MO 1170398, Web 1118875</t>
  </si>
  <si>
    <t>Tablette Samsung inférieur 12"</t>
  </si>
  <si>
    <t xml:space="preserve">Zimm Protection d'écran sur mesure Tab 1177167 Zagg, 1170401 MO, 1177162  web
</t>
  </si>
  <si>
    <t>Nothing</t>
  </si>
  <si>
    <t>écouteurs Nothing Ear Stick Blanc 1187146 offerts pour l'achat du Phone 2</t>
  </si>
  <si>
    <t>Redmi Note 12 Pro Plus 5G</t>
  </si>
  <si>
    <t>Watch 6</t>
  </si>
  <si>
    <t xml:space="preserve">Zimm -50€ RI </t>
  </si>
  <si>
    <r>
      <rPr>
        <rFont val="Poppins"/>
        <color rgb="FF000000"/>
        <sz val="9.0"/>
      </rPr>
      <t>03/11/2023</t>
    </r>
    <r>
      <rPr>
        <rFont val="Poppins"/>
        <color rgb="FF000000"/>
        <sz val="9.0"/>
      </rPr>
      <t xml:space="preserve">
</t>
    </r>
    <r>
      <rPr>
        <rFont val="Poppins"/>
        <color rgb="FF000000"/>
        <sz val="9.0"/>
      </rPr>
      <t>18H</t>
    </r>
  </si>
  <si>
    <t xml:space="preserve">Coque </t>
  </si>
  <si>
    <t>Coque Lacoste offerte 1197341 achat FLIP5</t>
  </si>
  <si>
    <t>1194581
1194582
1194583
1194584
1194585
1194586
1194587
1194588</t>
  </si>
  <si>
    <t>Coque Lacoste offerte 1197344 achat FOLD5</t>
  </si>
  <si>
    <t>S9 Family (Hors S9FE)</t>
  </si>
  <si>
    <t xml:space="preserve">-10 % </t>
  </si>
  <si>
    <t>-89,90€
-104,9€
-109,9€
-114,9€
-114,9€
-132,9€
-134,9€
-149,9€
-157,9€
-94,9€ 
-119,9€</t>
  </si>
  <si>
    <t xml:space="preserve">1198556 
1198557 
1198558  
1198559 
1198581 
1198582 
1198583 
1198585 
1198587 
1198588 
1198589 </t>
  </si>
  <si>
    <t>1194481 - 1194483
1194484
1194485
1194487 - 1194488
1194489
1194490
 1194501 - 1194502
1194504
1194505
1196003
1196004</t>
  </si>
  <si>
    <t xml:space="preserve">-70€ Supplémentaire de Bonus Rachat sur celui déjà existant </t>
  </si>
  <si>
    <t>https://drive.google.com/drive/folders/1yJiO8mwEn4zzohQpyVvbuFN-fzfWdckQ</t>
  </si>
  <si>
    <t>en complément 1191098 ( code zimm 150€ )</t>
  </si>
  <si>
    <r>
      <rPr>
        <rFont val="Poppins"/>
        <color rgb="FF000000"/>
        <sz val="9.0"/>
      </rPr>
      <t>10/11/2023</t>
    </r>
    <r>
      <rPr>
        <rFont val="Poppins"/>
        <color rgb="FF000000"/>
        <sz val="9.0"/>
      </rPr>
      <t xml:space="preserve">
</t>
    </r>
    <r>
      <rPr>
        <rFont val="Poppins"/>
        <color rgb="FF000000"/>
        <sz val="9.0"/>
      </rPr>
      <t>18H</t>
    </r>
  </si>
  <si>
    <t>Pad SE 4 - Pad6</t>
  </si>
  <si>
    <t xml:space="preserve">Infinity 6 MOIS OFFERTS </t>
  </si>
  <si>
    <t>1192762
1192763
1192764
1194971
1194972
1194973</t>
  </si>
  <si>
    <t>Sur l'ensemble de la gamme Tab S9</t>
  </si>
  <si>
    <t>Bonus Rachat -150€ sur S9 Familly</t>
  </si>
  <si>
    <t>https://drive.google.com/file/d/1O8x0c_eN6J1BDyuXDlko0_gGcuhXsk_I/view?usp=drive_link</t>
  </si>
  <si>
    <t>Zimm -14,99€  Zagg/MO offert pour l'achat d'une GW6 ou GW6 Classic  (Zagg 1177164 Mo1170399)</t>
  </si>
  <si>
    <t>l'ensemble des S23, Z Flip 5 &amp; Z Fold 5</t>
  </si>
  <si>
    <t>Bonus Rachat -150€ S23, Z Flip 5 &amp; Z Fold 5</t>
  </si>
  <si>
    <t>S23 Uniquement et Z-Flip5 Z-Fold5</t>
  </si>
  <si>
    <t xml:space="preserve">Bonus Rachat -50€ supplémentaire </t>
  </si>
  <si>
    <t>A54-5G</t>
  </si>
  <si>
    <t>Bonus Rachat -50€ A54-5G</t>
  </si>
  <si>
    <t xml:space="preserve">S22 </t>
  </si>
  <si>
    <t xml:space="preserve">Bonus Rachat 210€ </t>
  </si>
  <si>
    <t xml:space="preserve">S21FE </t>
  </si>
  <si>
    <t>Pack M10 3er GEN 64Go + Folio 1194969</t>
  </si>
  <si>
    <t xml:space="preserve"> Remise -20€</t>
  </si>
  <si>
    <t>Galaxy Watch 6 40mm</t>
  </si>
  <si>
    <t>70€ de RI</t>
  </si>
  <si>
    <t>1193780
1193791
1193794
1193795
1195506</t>
  </si>
  <si>
    <t>PACK REDMI PAD 4 1195793 - 1195794</t>
  </si>
  <si>
    <t>1195793
1195794</t>
  </si>
  <si>
    <t>Pack Redmi PAD / PAD6 / PAD SE</t>
  </si>
  <si>
    <t>1195793
1195794
1192762
1192763
1192764
1194971
1194972
1194973</t>
  </si>
  <si>
    <t>12, 12 Pro, 12T, 12T Pro, Pack 12X</t>
  </si>
  <si>
    <t>Xiaomi band 7 pro offert (1187168)</t>
  </si>
  <si>
    <t xml:space="preserve">Pas de date </t>
  </si>
  <si>
    <t>https://drive.google.com/file/d/1_gktbc8Mb6MZB1WKSpKEOMSJxyRBxWZZ/view?usp=drive_link</t>
  </si>
  <si>
    <t>Dans la limite des 108 pièces</t>
  </si>
  <si>
    <t>Redmi Note 12 Pro + 5G</t>
  </si>
  <si>
    <t>50€ Bonus Rachat</t>
  </si>
  <si>
    <t>A4_BR_Série RN12_Nov_Dec.pdf</t>
  </si>
  <si>
    <t>Redmi Note 12 5G / 12 Pro 5G</t>
  </si>
  <si>
    <t>30€ Bonus Rachat</t>
  </si>
  <si>
    <t>https://drive.google.com/file/d/1gpqqtzeXwj8fCFVWzMGf69aFmlnzw5nX/view?usp=drive_link</t>
  </si>
  <si>
    <t>Xiaomi 13T 8 256 Go</t>
  </si>
  <si>
    <t>100€ BR</t>
  </si>
  <si>
    <t>1195881 - 1195882</t>
  </si>
  <si>
    <t>Xiaomi 13T Pro 8 256 Go</t>
  </si>
  <si>
    <t>iPhone 14 et 14 Plus Uniquement</t>
  </si>
  <si>
    <t>Bonus Rachat -50€ iPhone 14 et 14 Plus</t>
  </si>
  <si>
    <t>https://drive.google.com/file/d/1Vxwe4Ogsd6bhOoKa7d93iiisbbCj5KiO/view?ts=655fb293</t>
  </si>
  <si>
    <t>A9, A9+, S9FE, S9, S9+,S9Ultra, S8, S8Ultra</t>
  </si>
  <si>
    <r>
      <rPr>
        <rFont val="Poppins"/>
        <color rgb="FF000000"/>
        <sz val="9.0"/>
      </rPr>
      <t xml:space="preserve">22/12/2023
</t>
    </r>
    <r>
      <rPr>
        <rFont val="Poppins"/>
        <color rgb="FF000000"/>
        <sz val="9.0"/>
      </rPr>
      <t>16h</t>
    </r>
  </si>
  <si>
    <r>
      <rPr>
        <rFont val="Poppins"/>
        <color rgb="FF000000"/>
        <sz val="9.0"/>
      </rPr>
      <t xml:space="preserve">24/12/2023
</t>
    </r>
    <r>
      <rPr>
        <rFont val="Poppins"/>
        <color rgb="FF000000"/>
        <sz val="9.0"/>
      </rPr>
      <t>12h</t>
    </r>
  </si>
  <si>
    <t>10€
20€
30€
50€
60€
70€
80€
90€
100€
110€
130€
140€
150€
160€
180€</t>
  </si>
  <si>
    <t>1197313
1197315
1197317
1197318
1197321
1197322
1197323
1197324
1197325
1197326
1197328
1198556
1198557
1198558
1198559</t>
  </si>
  <si>
    <t>https://drive.google.com/file/d/1ixEF6cXqXoEnpPodkwYNxHFVs0nrbRGt/view?usp=sharing</t>
  </si>
  <si>
    <t>Tous les iPhone 15</t>
  </si>
  <si>
    <t>Bonus Rachat -90€ sur toute la Gamme iPhone 15</t>
  </si>
  <si>
    <t>Zflip5 et Zfold 5</t>
  </si>
  <si>
    <t>Bonus Rachat -100€ ( 200 pièces QUANTITE LIMITEE )</t>
  </si>
  <si>
    <t>https://drive.google.com/drive/folders/170k4h9dvnVGoDWR5v9e5jRnZuhpeJxQo</t>
  </si>
  <si>
    <t xml:space="preserve">1194581
1194582
1194583
1194584
1194585
1194586
1194587
1194588
1194589
1194590
1194591
1194592
1194593
1194596
1194597
</t>
  </si>
  <si>
    <t>S23, S23Ultra et Z-Flip5</t>
  </si>
  <si>
    <t>Bonus Rachat -100€</t>
  </si>
  <si>
    <t>1187764
1187765
1187766
1187767
1187768
1187769
1187770
1187781
1187792
1187793
1187794
1187795
1187796
1187797
1187798
1187799
1187801
1187802
1187803
1187804
1192560
1198674
1194581
1194582
1194583
1194584
1194585
1194586
1194587
1194588</t>
  </si>
  <si>
    <t xml:space="preserve">Tab S8 11'' 128Go Anthracite et Argent 
(1175300 - 1175311)
</t>
  </si>
  <si>
    <t>10/100€</t>
  </si>
  <si>
    <t xml:space="preserve">1175300
1175311
</t>
  </si>
  <si>
    <t>Tab S8 Ultra 14.6 Wifi 128Go Anthracite
(1175323)</t>
  </si>
  <si>
    <t>pixel 8</t>
  </si>
  <si>
    <t>https://drive.google.com/file/d/12IIIoZPJLMntkMXQMpXHxvYyIszuK8I_/view?usp=sharing</t>
  </si>
  <si>
    <t xml:space="preserve">1195862
1195864
1195866
1195867
1195868
1195869
</t>
  </si>
  <si>
    <t>Serie TAB S9</t>
  </si>
  <si>
    <t>Bonus Rachat S9/S9FE</t>
  </si>
  <si>
    <t>annulation</t>
  </si>
  <si>
    <t xml:space="preserve">1194481
1194483
1194484
1194485
1197211
1197215
1197216
1197217
1197218
1197219
1197220
1197221
1197222
1197223
1197224
1197225
1197226
1197227
1196003
</t>
  </si>
  <si>
    <t>Serie TAB S9+</t>
  </si>
  <si>
    <t>Bonus Rachat S9+</t>
  </si>
  <si>
    <t xml:space="preserve">1194487
1194488
1194489
1194490
1196004
</t>
  </si>
  <si>
    <t>Serie TAB S9 Ultra</t>
  </si>
  <si>
    <t>Bonus Rachat S9 Ultra</t>
  </si>
  <si>
    <t xml:space="preserve">1194501
1194502
1194504
1194505
</t>
  </si>
  <si>
    <t>pixel 8 Pro</t>
  </si>
  <si>
    <t xml:space="preserve">1195870
1195872
1195873
1195874
1195876
</t>
  </si>
  <si>
    <t>Watch5 Pro 45mm BT/4G</t>
  </si>
  <si>
    <t xml:space="preserve">-70€ de RI </t>
  </si>
  <si>
    <t>1182380
1182471
1182472 
1182473
1185253</t>
  </si>
  <si>
    <t>Buds FE Offert 
1197438
1197439</t>
  </si>
  <si>
    <t>1182380
1182471
1182472
1182473
1185253</t>
  </si>
  <si>
    <t>samsung</t>
  </si>
  <si>
    <t>Galaxy Watch 4 40mm BT Or/Noir</t>
  </si>
  <si>
    <t>RI 60€</t>
  </si>
  <si>
    <t>https://drive.google.com/drive/folders/1HawrF9_w3Lt_KWwma4b89WqLe8w8UYIA?usp=drive_link</t>
  </si>
  <si>
    <t>1166565
1166567</t>
  </si>
  <si>
    <t>Watch5 Pro BT/4G</t>
  </si>
  <si>
    <t>RI 70€</t>
  </si>
  <si>
    <t xml:space="preserve">1182380
1182471
1182472
1182473
1185253 
</t>
  </si>
  <si>
    <t>smartphone</t>
  </si>
  <si>
    <t>S23</t>
  </si>
  <si>
    <t>Bonus Rachat 100€</t>
  </si>
  <si>
    <t>S23FE</t>
  </si>
  <si>
    <t xml:space="preserve">100€ Bonus Rachat </t>
  </si>
  <si>
    <r>
      <rPr>
        <rFont val="Poppins"/>
        <color rgb="FF000000"/>
        <sz val="9.0"/>
      </rPr>
      <t xml:space="preserve">07/12/2023
</t>
    </r>
    <r>
      <rPr>
        <rFont val="Poppins"/>
        <color rgb="FF000000"/>
        <sz val="9.0"/>
      </rPr>
      <t>18h</t>
    </r>
  </si>
  <si>
    <t>1199536
1199537
1199538
1199539
1199540
1199541
1199542
1199543</t>
  </si>
  <si>
    <t>Buds FE offert pour l'achat d'un S23FE
1197438 - 1197439</t>
  </si>
  <si>
    <t>Watch</t>
  </si>
  <si>
    <t>Watch6</t>
  </si>
  <si>
    <t>Remise 50€  sur la gamme Watch6 40 et 44mm BT/4G
Suite mail envoyé a nos Clients</t>
  </si>
  <si>
    <t>1193780
1193791
1193792
1193793
1193794
1193795
1193796
1193797
1195506</t>
  </si>
  <si>
    <t>Code promo 50€ sur le S23FE avec les Buds FE
Suite mail envoyé a nos Clients 
(200 pièces QUANTITE LIMITEE)</t>
  </si>
  <si>
    <t>1199536
1199537
1199538
1199539
1199540
1199541
1199542
1199543</t>
  </si>
  <si>
    <t>Pack S9+</t>
  </si>
  <si>
    <t>200€ Code promo
Suite mail envoyé a nos Clients</t>
  </si>
  <si>
    <t>Watch5 Pro Pro BT/4G Noir et Titanium</t>
  </si>
  <si>
    <t>Remise 50€ pour l'achat d'une Watch5 Pro</t>
  </si>
  <si>
    <t>1182380
1182471
1182472
1182473
1185253</t>
  </si>
  <si>
    <t xml:space="preserve"> Watch4 40mm BT/4G Or/Noir</t>
  </si>
  <si>
    <t>30€ de RI</t>
  </si>
  <si>
    <t>Z Fold 5 / Z Flip 5</t>
  </si>
  <si>
    <t>Watch 4 offerte
1166567
1166565</t>
  </si>
  <si>
    <t xml:space="preserve">13T et 13T Pro </t>
  </si>
  <si>
    <t xml:space="preserve">100€ de Bonus Rachat </t>
  </si>
  <si>
    <t>1195881
1195882
1195884
1195885</t>
  </si>
  <si>
    <t>Rachat</t>
  </si>
  <si>
    <t xml:space="preserve"> Xiaomi Note 13</t>
  </si>
  <si>
    <t xml:space="preserve">Bonus Rachat -20€ </t>
  </si>
  <si>
    <t>1200206
1200207
1200208</t>
  </si>
  <si>
    <t>Pad 4 - 6 SE</t>
  </si>
  <si>
    <t>https://drive.google.com/drive/folders/1izCaiGihcp-d3rxrV68DYXqXqxGmQkjp?usp=sharing</t>
  </si>
  <si>
    <t xml:space="preserve">1195793
1195794
1184827
1184828
1184829
1192762
1192763  
1192764
1194971
1194972
1194973
</t>
  </si>
  <si>
    <t xml:space="preserve"> Z Flip 5</t>
  </si>
  <si>
    <t>https://drive.google.com/file/d/13PyJzzQC0kFNg_3WMKGrenB0Yy5mPGvV/view?usp=drive_link</t>
  </si>
  <si>
    <t>1194589
1194590
1194591
1194592
1194593
1194594
1194596
1194597
1194598
1194581
1194582
1194583
1194584
1194585
1194586
1194587
1194588</t>
  </si>
  <si>
    <t>Terminé</t>
  </si>
  <si>
    <t xml:space="preserve">Z Fold 5 </t>
  </si>
  <si>
    <t>150€ de Bonus Rachat</t>
  </si>
  <si>
    <t>https://drive.google.com/file/d/1kC8suwded0PiBekAnQ4Zt6INnnD7W3Tn/view?usp=drive_link</t>
  </si>
  <si>
    <t>1194589
1194590
1194591
1194592
1194593
1194594
1194596
1194597
1194598</t>
  </si>
  <si>
    <t>Pixel 8 / 8 Pro</t>
  </si>
  <si>
    <t>-50% sur la la protection d'ecran sur mesure Zagg au MO</t>
  </si>
  <si>
    <t>1195862
1195864
1195866
1195867
1195868
1195869
1195870
1195872
1195873
1195874
1195876
1195879
1195880
1198819
1199823
1199824</t>
  </si>
  <si>
    <t xml:space="preserve"> Xiaomi Note 13 Pro et 13 Pro Plus </t>
  </si>
  <si>
    <t xml:space="preserve">Bonus Rachat -50€ </t>
  </si>
  <si>
    <t>Note 13 Pro 5G
1200223
1200224
1200225
1200244
Note 13 Pro 4G
1200210
1200221
1200222  
Note 13 Pro Plus
1200227
1200228
1200229
1200230
1200241
1200242</t>
  </si>
  <si>
    <r>
      <rPr>
        <rFont val="Poppins"/>
        <sz val="9.0"/>
      </rPr>
      <t>Watch 5 Pro et Watch 6 (</t>
    </r>
    <r>
      <rPr>
        <rFont val="Poppins"/>
        <color rgb="FFFF0000"/>
        <sz val="9.0"/>
      </rPr>
      <t>HORS CLASSIC</t>
    </r>
    <r>
      <rPr>
        <rFont val="Poppins"/>
        <sz val="9.0"/>
      </rPr>
      <t>)</t>
    </r>
  </si>
  <si>
    <t>50€ de remise Exclusives Ouvreurs et porteurs de carte Club, Club+ et Infinity sur GW5PRO et GW6 40 et 44</t>
  </si>
  <si>
    <t>Watch5 Pro :
1182471 : 
1182380
1182472
1182473
1185253
1200468
Watch 6 :
1193780 
1193792 
1193791
1193794
1195506
1193797
1193793
1193795
1193796</t>
  </si>
  <si>
    <t>Redmi Note 10 Bleu 5G 1163950</t>
  </si>
  <si>
    <t>30€ de remise Exclusives Ouvreurs et porteurs de carte Club, Club+ et Infinity</t>
  </si>
  <si>
    <t>Redmi Note 10 Noir 5G 1164001</t>
  </si>
  <si>
    <t>20€ de remise Exclusives Ouvreurs et porteurs de carte Club, Club+ et Infinity</t>
  </si>
  <si>
    <t xml:space="preserve">Redmi note 12 Pro 1189209 - 1189208 -1189210
</t>
  </si>
  <si>
    <t xml:space="preserve">1189209
1189208
1189210
</t>
  </si>
  <si>
    <t>S24+ et S24 Ultra</t>
  </si>
  <si>
    <t xml:space="preserve">150€ de bonus rachat </t>
  </si>
  <si>
    <t>https://drive.google.com/drive/folders/1gKyzBE4CAbMOYkwg8p0Nx5v5jRGpKSMC</t>
  </si>
  <si>
    <t>S24+
1200014
1200015
1200016
1200017
1200018
1200019
1200020
1200021
S24 Ultra
1200022
1200023
1200024
1200025
1200026
1200027
1200028
1200029
1200030
1200031
1200032
1200033</t>
  </si>
  <si>
    <t>S24</t>
  </si>
  <si>
    <t xml:space="preserve">100€ de bonus rachat </t>
  </si>
  <si>
    <t>https://drive.google.com/drive/folders/1gKyzBE4CAbMOYkwg8p0Nx5v5jRGpKSMC?usp=drive_link</t>
  </si>
  <si>
    <t>S24
1199976
1199977
1199978
1199979
1199980
1200011
1200012
1200013</t>
  </si>
  <si>
    <r>
      <rPr>
        <rFont val="Poppins"/>
        <sz val="9.0"/>
      </rPr>
      <t xml:space="preserve">S24 </t>
    </r>
    <r>
      <rPr>
        <rFont val="Poppins"/>
        <color rgb="FFFF0000"/>
        <sz val="9.0"/>
      </rPr>
      <t>(capé à 100MAX)</t>
    </r>
  </si>
  <si>
    <t>100€ de remise imédiate + Watch 6 40mm BT offerte sur les S24 (uniquement pour les clients ayant eu le CRM)</t>
  </si>
  <si>
    <t>S24
1199976
1199977
1199978
1199979
1199980
1200011
1200012
1200013
Watch 6 40mm BT
1193780</t>
  </si>
  <si>
    <r>
      <rPr>
        <rFont val="Poppins"/>
        <sz val="9.0"/>
      </rPr>
      <t>S24+ et S24 Ultra (</t>
    </r>
    <r>
      <rPr>
        <rFont val="Poppins"/>
        <color rgb="FFFF0000"/>
        <sz val="9.0"/>
      </rPr>
      <t>Capé 200Max)</t>
    </r>
  </si>
  <si>
    <t>150€ de remise imédiate + Watch 6 40mm BT offerte sur les S24+ et Ultra  (uniquement pour les clients ayant eu le CRM)</t>
  </si>
  <si>
    <t>1200014
1200015
1200016
1200017
1200018
1200019
1200020
1200021
1200022
1200023
1200024
1200025
1200026
1200027
1200028
1200029
1200030
1200031
1200032
1200033
Watch 6 40mm BT
1193780</t>
  </si>
  <si>
    <r>
      <rPr>
        <rFont val="Poppins"/>
        <b/>
        <color rgb="FF000000"/>
        <sz val="14.0"/>
      </rPr>
      <t xml:space="preserve">Toutes les ILV pour ce début d'année sont à retrouver </t>
    </r>
    <r>
      <rPr>
        <rFont val="Poppins"/>
        <b/>
        <color rgb="FF1155CC"/>
        <sz val="14.0"/>
        <u/>
      </rPr>
      <t xml:space="preserve">ici </t>
    </r>
  </si>
  <si>
    <t>WATCH</t>
  </si>
  <si>
    <t>Galaxy Watch Ultra tous modèles</t>
  </si>
  <si>
    <t>Du 20 août au 10 novembre 2025 inclus, pour l’achat ou la location d’une Galaxy Watch Ultra (tous modèles),
Samsung vous rembourse jusqu’à 100€.</t>
  </si>
  <si>
    <r>
      <rPr>
        <rFont val="Poppins"/>
        <sz val="9.0"/>
      </rPr>
      <t xml:space="preserve">ILV DISPO </t>
    </r>
    <r>
      <rPr>
        <rFont val="Poppins"/>
        <color rgb="FF1155CC"/>
        <sz val="9.0"/>
        <u/>
      </rPr>
      <t>ICI</t>
    </r>
    <r>
      <rPr>
        <rFont val="Poppins"/>
        <sz val="9.0"/>
      </rPr>
      <t xml:space="preserve">
LEAFLET DISPO </t>
    </r>
    <r>
      <rPr>
        <rFont val="Poppins"/>
        <color rgb="FF1155CC"/>
        <sz val="9.0"/>
        <u/>
      </rPr>
      <t>ICI</t>
    </r>
  </si>
  <si>
    <t>TABLETTE</t>
  </si>
  <si>
    <t>Gakaxy Tab S10 Lite</t>
  </si>
  <si>
    <t>Du 25/08 au 05/10, pour l'achat ou la locaton d'une Galaxy Tab S10 Lite (tous modèles), Samsung vous offre un Book Coiver Noir</t>
  </si>
  <si>
    <t>Book Cover offerte</t>
  </si>
  <si>
    <r>
      <rPr>
        <rFont val="Poppins"/>
        <sz val="9.0"/>
      </rPr>
      <t xml:space="preserve">ILV DISPO </t>
    </r>
    <r>
      <rPr>
        <rFont val="Poppins"/>
        <color rgb="FF1155CC"/>
        <sz val="9.0"/>
        <u/>
      </rPr>
      <t>ICI</t>
    </r>
    <r>
      <rPr>
        <rFont val="Poppins"/>
        <sz val="9.0"/>
      </rPr>
      <t xml:space="preserve">
LEAFLET DISPO </t>
    </r>
    <r>
      <rPr>
        <rFont val="Poppins"/>
        <color rgb="FF1155CC"/>
        <sz val="9.0"/>
        <u/>
      </rPr>
      <t>ICI</t>
    </r>
  </si>
  <si>
    <t>Du 25/08 au 05/10, pour l'achat ou la locaton d'une Galaxy Tab S10 Lite (tous modèles), Samsung vous rembourse jusqu'à 50€</t>
  </si>
  <si>
    <r>
      <rPr>
        <rFont val="Poppins"/>
        <sz val="9.0"/>
      </rPr>
      <t xml:space="preserve">ILV DISPO </t>
    </r>
    <r>
      <rPr>
        <rFont val="Poppins"/>
        <color rgb="FF1155CC"/>
        <sz val="9.0"/>
        <u/>
      </rPr>
      <t>ICI</t>
    </r>
    <r>
      <rPr>
        <rFont val="Poppins"/>
        <sz val="9.0"/>
      </rPr>
      <t xml:space="preserve">
LEAFLET DISPO </t>
    </r>
    <r>
      <rPr>
        <rFont val="Poppins"/>
        <color rgb="FF1155CC"/>
        <sz val="9.0"/>
        <u/>
      </rPr>
      <t>ICI</t>
    </r>
  </si>
  <si>
    <t>Gakaxy Tab S11</t>
  </si>
  <si>
    <t>Jusqu'au 05/10, pour l'achat ou la locaton d'une Galaxy Tab S11 ou S11 Ultra (tous modèles), Samsung vous offre un Book Cover Keyboard Slim</t>
  </si>
  <si>
    <t xml:space="preserve"> Book Cover Keyboard Slim offert</t>
  </si>
  <si>
    <t xml:space="preserve">S11 </t>
  </si>
  <si>
    <t>Gakaxy Tab S111</t>
  </si>
  <si>
    <t>Jusqu'au 05/10 pour l'achat ou la locaton d'une Galaxy Tab S11 ou S11 Ultra (tous modèles), Samsung vous offre le pack Microsoft 365</t>
  </si>
  <si>
    <t>Microsoft 365</t>
  </si>
  <si>
    <t xml:space="preserve">SMARTPHONE </t>
  </si>
  <si>
    <t>A17
A26
A36</t>
  </si>
  <si>
    <t>Du 15 septembre au 16 novembre 2025 inclus, Samsung vous rembourse :
- Jusqu’à 30€ pour l’achat ou la location d’un Galaxy A17 5G (tous modèles, tous coloris)
- Jusqu’à 50€ pour l’achat ou la location d’un Galaxy A26 5G (tous modèles, tous coloris)
- Jusqu’à 70€ pour l’achat ou la location d’un Galaxy A36 5G ou A56 5G (tous modèles, tous coloris)</t>
  </si>
  <si>
    <t>Jusqu'à 70€</t>
  </si>
  <si>
    <r>
      <rPr>
        <rFont val="Poppins"/>
        <sz val="9.0"/>
      </rPr>
      <t xml:space="preserve">ilv gloable ILV GALAXY A ODR 70€.pdf
</t>
    </r>
    <r>
      <rPr>
        <rFont val="Poppins"/>
        <color rgb="FF1155CC"/>
        <sz val="9.0"/>
        <u/>
      </rPr>
      <t xml:space="preserve">LEAFLET DISPO ICI </t>
    </r>
  </si>
  <si>
    <t>A11 ET A11+</t>
  </si>
  <si>
    <t>Du 3 novembre 2025 au 6 janvier 2026 inclus, pour l’achat ou la location d’une Galaxy Tab A11 ou
Galaxy Tab A11+ (tous modèles), Samsung vous rembourse jusqu’à 30€.</t>
  </si>
  <si>
    <t>JUSQU'a 30€</t>
  </si>
  <si>
    <t>CROSSCALL</t>
  </si>
  <si>
    <t>Stellar X5s Chamonix Mont Blanc</t>
  </si>
  <si>
    <t xml:space="preserve">Du 29/10/2025 au 31/03/2025 : pour l'achat d'un Stellar X5s Chamonix mont blanc ref 1230997, 1 casque audio X-Vibes offert + 1 séjour à gagner </t>
  </si>
  <si>
    <t>Casque Audio X-Vibes offert + 1 séjour à gagner</t>
  </si>
  <si>
    <r>
      <rPr>
        <rFont val="Poppins"/>
        <sz val="9.0"/>
      </rPr>
      <t xml:space="preserve">ILV DISPO </t>
    </r>
    <r>
      <rPr>
        <rFont val="Poppins"/>
        <color rgb="FF1155CC"/>
        <sz val="9.0"/>
        <u/>
      </rPr>
      <t>ICI</t>
    </r>
    <r>
      <rPr>
        <rFont val="Poppins"/>
        <sz val="9.0"/>
      </rPr>
      <t xml:space="preserve">
LEAFLET DISPO </t>
    </r>
    <r>
      <rPr>
        <rFont val="Poppins"/>
        <color rgb="FF1155CC"/>
        <sz val="9.0"/>
        <u/>
      </rPr>
      <t>ICI</t>
    </r>
  </si>
  <si>
    <t>OPPO</t>
  </si>
  <si>
    <t>SMARTPHONE</t>
  </si>
  <si>
    <t>FIND X9 Pro, FIND X9</t>
  </si>
  <si>
    <t>Du 28/10 au 05/11, précommandez votre smartphone OPPO Find X9 Pro ou Find X9, Obtenez jusqu’à 150€ de remboursement + une OPPO Watch X2 ou une tablette OPPO Pad SE</t>
  </si>
  <si>
    <t>Jusqu’à 150€ de remboursement + une OPPO Watch X2 ou une tablette OPPO Pad SE</t>
  </si>
  <si>
    <r>
      <rPr>
        <rFont val="Poppins"/>
        <sz val="9.0"/>
      </rPr>
      <t xml:space="preserve">ILV GLOBALE </t>
    </r>
    <r>
      <rPr>
        <rFont val="Poppins"/>
        <color rgb="FF1155CC"/>
        <sz val="9.0"/>
        <u/>
      </rPr>
      <t>ICI</t>
    </r>
  </si>
  <si>
    <t>BONUS RACHAT</t>
  </si>
  <si>
    <t>iPhone 14 et 14 Plus</t>
  </si>
  <si>
    <t>50€ de bonus rachat</t>
  </si>
  <si>
    <t>https://drive.google.com/file/d/1Uffip175kS5nls_6BJuUTbAL1GpEJzMB/view?usp=drive_link</t>
  </si>
  <si>
    <t>1184024
1184025
1184026
1184027
1184028
1184029
1184030
1184037
1184038
1184039
1184040
1184047
1184048
1184049
1184050
1184057
1184058
1184059
1184060
1184072
1184073
1184074
1184075
1184076
1184077
1184078
1184079
1184080
1184081
1184082
1189392
1189393
1189395
1189396
1189397</t>
  </si>
  <si>
    <t>iPhone 15 - 15 Plus - 15 Pro &amp; 15 Pro Max</t>
  </si>
  <si>
    <t>90€ de bonus rachat</t>
  </si>
  <si>
    <t>https://drive.google.com/file/d/1NlrWZ7YsHgp9MBM-KgSUlKo2K-4cb19m/view?usp=drive_link</t>
  </si>
  <si>
    <t>1196118
1196119
1196120
1196257
1196258
1196259
1196260
1196305
1196306
1196307
1196308
1196309
1196310
1196331
1196332
1196333
1196334
1196335
1196336
1196337
1196338
1196339
1196340
1196341
1196342
1196343
1196344
1196345
1196346
1196347
1196348
1196349
1196350
1196351
1196352
1196353
1196354
1196355
1196356
1196357
1196358
1196359
1196360
1196361
1196362
1196363
1196364
1196365
1196366
1196367
1196368
1196369
1196370
1196371
1196372
1196373
1196374
1196375</t>
  </si>
  <si>
    <t>Xiaomi Redmi Note 13 5G</t>
  </si>
  <si>
    <t>https://drive.google.com/file/d/1LvnnKy-iMsAUl-BN-pUThPRcabAw8Ab_/view?usp=drive_link</t>
  </si>
  <si>
    <t>RACHAT</t>
  </si>
  <si>
    <t>Xiaomi Redmi Note 13  Pro et Pro Plus 5G</t>
  </si>
  <si>
    <t>30€ de bonus rachat</t>
  </si>
  <si>
    <t>1200223
1200224
1200225
1200230
1200241
1200242
1200227
1200228
1200229
1200244</t>
  </si>
  <si>
    <t>Note 13 PRO 5G &amp; Note 13 PRO PLUS 5G</t>
  </si>
  <si>
    <t>https://drive.google.com/file/d/1S1I7H2vDB5pODlHEoeZ0foOou1XzSQkV/view?usp=drive_link</t>
  </si>
  <si>
    <t>1200223
1200224
1200225
1200230
1200241
1200242
1200227
1200228
1200229</t>
  </si>
  <si>
    <t>REDMI NOTE 13 5G</t>
  </si>
  <si>
    <t>1200206
1200207
1200208</t>
  </si>
  <si>
    <t>REDMI NOTE 13 Pro 4G</t>
  </si>
  <si>
    <t xml:space="preserve">1200210
1200221
1200222
</t>
  </si>
  <si>
    <t>13T / 13T Pro 1To</t>
  </si>
  <si>
    <t>100€ de bonus rachat</t>
  </si>
  <si>
    <t>https://drive.google.com/file/d/1YhzOv7bi83kLPZ4EtAq9ALtbEIVbUl6-/view?usp=drive_link</t>
  </si>
  <si>
    <t>Xiaomi 14 ULTRA</t>
  </si>
  <si>
    <t>Bonus rachat de 200€</t>
  </si>
  <si>
    <t>https://drive.google.com/file/d/1u-cUZoB5YhkrR8cd9GaYTxWJSoSCC1HS/view?usp=drive_link</t>
  </si>
  <si>
    <t>1201941
1201942</t>
  </si>
  <si>
    <t>RI</t>
  </si>
  <si>
    <t>Google Pixel 8  PRO</t>
  </si>
  <si>
    <t>150€ de bonus rachat</t>
  </si>
  <si>
    <t>https://drive.google.com/file/d/1ecJvHn3c4doDkUUei9hXOoS0QtkpU5T1/view?usp=drive_link</t>
  </si>
  <si>
    <t xml:space="preserve">1195870
1195872
1195873
1195874
1195876
1195879
1195880
</t>
  </si>
  <si>
    <t>Google Pixel 8</t>
  </si>
  <si>
    <t xml:space="preserve">1195862
1195864
1195866
1199823
1198819
1195867
1195868
1195869
</t>
  </si>
  <si>
    <t xml:space="preserve"> S23</t>
  </si>
  <si>
    <t>https://drive.google.com/file/d/1KKDIbuhj2hJJHYP0u-pdsjoD_K4qF41z/view?usp=drive_link</t>
  </si>
  <si>
    <t>1187764
1187765
1187766
1187767
1187768
1187769
1187770
1187774
1187775
1187776
1187777
1187778
1187779
1187780
1187781
1187791
1187792
1187793
1187794
1187795
1187796
1187797
1187798
1187799
1187801
1187802
1187803
1187804
1192560
1198674</t>
  </si>
  <si>
    <t>Samung</t>
  </si>
  <si>
    <t>https://drive.google.com/file/d/1z_QFhSoq2bXvAWD6VyCUKeg3iD5hCR8W/view?usp=drive_link</t>
  </si>
  <si>
    <t>https://drive.google.com/file/d/19jOBtYFcTLppOhLK6QrFXAohfk-pkcNF/view?usp=drive_link</t>
  </si>
  <si>
    <t>Z flip/ Z Fold</t>
  </si>
  <si>
    <t xml:space="preserve"> 20€ de RI sur une coque / étui pour un achat simultané avec un Zflip ou un ZFold</t>
  </si>
  <si>
    <t>Z-Flip5 
1194581
1194582
1194583
1194584
1194585
1194586
1194587
1194588
Codes Coque Z-Flip5
1193398
1193400
1193402
1193403
1193404
1193406
1193407
1193408
1193410
1193422
1193701
Codes Z-Fold5
1194589
1194590
1194591
1194592
1194593
1194594
1194596
1194597
1194598
Codes Cqoue Z-Fold5
1193373
1193374
1193375
1193377
1193378
1193379
1193380
1193381
1193382</t>
  </si>
  <si>
    <t>S9FE, S9FE+, S9</t>
  </si>
  <si>
    <t>1197211
1197215
1197216
1197217
1197218
1197219
1197220
1197221
1197222
1197223
1197224
1197225
1197226
1197227
1198778
1194481
1194483
1194484
1194485
1196003</t>
  </si>
  <si>
    <t>S9+</t>
  </si>
  <si>
    <t>1194487
1194488
1194489
1194490
1196004</t>
  </si>
  <si>
    <t>S9 ULTRA</t>
  </si>
  <si>
    <t>200€ de bonus rachat</t>
  </si>
  <si>
    <t>1194501
1194502
1194504
1194505</t>
  </si>
  <si>
    <t>Redmi Note 13 4G,  Redmi Note 13 5G</t>
  </si>
  <si>
    <t>15€ de remise</t>
  </si>
  <si>
    <t>09/02/2024 (18h)</t>
  </si>
  <si>
    <t>1200202
1200203
1200204
1200206
1200207
1200208</t>
  </si>
  <si>
    <t>Redmi Note 13 Pro 4G, Redmi Note 13 Pro 5G et 
Redmi Note 13Pro+</t>
  </si>
  <si>
    <t>25€ de remise</t>
  </si>
  <si>
    <t xml:space="preserve">1200210
1200221
1200222
1200223
1200224
1200225
1200227
1200228
1200229
1200230
1200241
1200242
1200244
</t>
  </si>
  <si>
    <t>Tab S9FE et S9FE+</t>
  </si>
  <si>
    <t xml:space="preserve">Remise BudsFE offert </t>
  </si>
  <si>
    <t>1197211
1197215
1197216
1197217
1197218
1197219
1197220
1197221
1197222
1197223
1197224
1197225
1197226
1197227
1197313
1198778</t>
  </si>
  <si>
    <t>Tab S9/S9+ Hors Pack</t>
  </si>
  <si>
    <t xml:space="preserve">Remise Buds2 offert
</t>
  </si>
  <si>
    <t>1194481
1194483
1194484
1194485
1194487
1194488
1194489
1194490</t>
  </si>
  <si>
    <t>Tab S9 Ultra</t>
  </si>
  <si>
    <t>Remise Buds2 Pro offert</t>
  </si>
  <si>
    <t xml:space="preserve"> Xiaomi Redmi 12 4G</t>
  </si>
  <si>
    <t>20€ de remise</t>
  </si>
  <si>
    <t>1199672
1199673
1199674</t>
  </si>
  <si>
    <t>1199672
1199673
1199674</t>
  </si>
  <si>
    <t>Xiaomi 14</t>
  </si>
  <si>
    <t>Tab SE 128GO offerte (1194971) pour l'achat du xiaomi 14</t>
  </si>
  <si>
    <t>https://drive.google.com/file/d/1f2uI03HIoXx8OJxAwS1mwOYRjBL3spSx/view?usp=drive_link</t>
  </si>
  <si>
    <t>1201752
1201753
1201754</t>
  </si>
  <si>
    <t>ARRET &gt; OFFRE WATCH (ligne 216)
A PARTIR DU 08/03 18h</t>
  </si>
  <si>
    <t xml:space="preserve">Valable sur Gamme S8 (S8, S8+, S8 Ultra)
Valable sur gamme S9 (S9, S9+, S9 Ultra, S9FE, S9FE+)
Valable sur gamme A9,( A9, A9+)
</t>
  </si>
  <si>
    <t>Offre 10/100€</t>
  </si>
  <si>
    <r>
      <rPr>
        <rFont val="Poppins"/>
        <color rgb="FF000000"/>
        <sz val="9.0"/>
      </rPr>
      <t xml:space="preserve">01/03/2024 </t>
    </r>
    <r>
      <rPr>
        <rFont val="Poppins"/>
        <color rgb="FF000000"/>
        <sz val="9.0"/>
      </rPr>
      <t>(18H)</t>
    </r>
  </si>
  <si>
    <t>10€
20€
30€
50€
60€
70€
80€
90€
100€
110€
120€
130€
140€
150€
160€</t>
  </si>
  <si>
    <t>1197313
1197315
1197317
1197318 
1197321
1197322
1197323
1197324
1197325
1197326
1197327
1197328
1198556
1198557
1198558</t>
  </si>
  <si>
    <t xml:space="preserve">Valable sur Gamme S8 (S8, S8+, S8 Ultra)
Valable sur gamme S9 (S9, S9+, S9 Ultra, S9FE, S9FE+)
Valable sur gamme A9,( A9, A9+)
</t>
  </si>
  <si>
    <t>S21FE - S23 - S23FE - S24 FAM - ZFLIP5 ET ZFOLD5.</t>
  </si>
  <si>
    <r>
      <rPr>
        <rFont val="Poppins"/>
        <color rgb="FF000000"/>
        <sz val="9.0"/>
      </rPr>
      <t xml:space="preserve">01/03/2024 </t>
    </r>
    <r>
      <rPr>
        <rFont val="Poppins"/>
        <color rgb="FF000000"/>
        <sz val="9.0"/>
      </rPr>
      <t>(18H)</t>
    </r>
  </si>
  <si>
    <t>60€
70€
80€
90€
100€
110€
120€
140€
150€
170€
180€
210€</t>
  </si>
  <si>
    <t xml:space="preserve">1196540
1196526 
1196546
1196547
1196563 
1196564  
1197427 
1197428 
1197429 
1197430 
1197431 
1198112 
</t>
  </si>
  <si>
    <t>Valable sur S21FE - S23 - S23FE - 
S24 FAM - ZFLIP5 ET ZFOLD5.</t>
  </si>
  <si>
    <t>GW6 44 BT - GW5PRO GW6 40 BT/4G GW6 44 -  
GW6 Clas 43 4G/Clas 47 BT/4G</t>
  </si>
  <si>
    <r>
      <rPr>
        <rFont val="Poppins"/>
        <color rgb="FF000000"/>
        <sz val="9.0"/>
      </rPr>
      <t xml:space="preserve">01/03/2024 </t>
    </r>
    <r>
      <rPr>
        <rFont val="Poppins"/>
        <color rgb="FF000000"/>
        <sz val="9.0"/>
      </rPr>
      <t>(18H)</t>
    </r>
  </si>
  <si>
    <t>20€
30€
40€</t>
  </si>
  <si>
    <t xml:space="preserve">1198433 
1197406 
1197407 </t>
  </si>
  <si>
    <t>Valable sur 
GW6 44 BT - GW5PRO GW6 40 BT/4G GW6 44 -  
GW6 Clas 43 4G/Clas 47 BT/4G</t>
  </si>
  <si>
    <t xml:space="preserve">Gamme TAB S9 
(S9, S9+, S9 Ultra, S9FE, S9FE+)
</t>
  </si>
  <si>
    <r>
      <rPr>
        <rFont val="Poppins"/>
        <color rgb="FF000000"/>
        <sz val="9.0"/>
      </rPr>
      <t xml:space="preserve">08/03/2024 </t>
    </r>
    <r>
      <rPr>
        <rFont val="Poppins"/>
        <color rgb="FF000000"/>
        <sz val="9.0"/>
      </rPr>
      <t>(18H)</t>
    </r>
  </si>
  <si>
    <t>40€
50€
60€
70€
80€
90€
100€
110€
130€
140€
150€</t>
  </si>
  <si>
    <t xml:space="preserve">1197317
1197318
1197321
1197322 
1197323 
1197324 
1197325 
1197326 
1197328 
1198556 
1198557 </t>
  </si>
  <si>
    <t>https://drive.google.com/file/d/1e5uyS7uzXNgG6Zw3D36-H89KxCNjoxmA/view?usp=drive_link</t>
  </si>
  <si>
    <t>TAB S9 SERIES S9 FE SERIES : 1194481
1194483
1194484
1194485
1194487
1194488
1194489
1194490
1194501
1194502
1194504
1194505
1196003
1196004
1197211
1197215
1197216
1197217
1197218
1197219
1197220
1197221
1197222
1197223
1197224
1197225
1197226
1197227
1198778</t>
  </si>
  <si>
    <t>Xiaomi 13T ET 13T PRO</t>
  </si>
  <si>
    <t>Remise de 100€</t>
  </si>
  <si>
    <r>
      <rPr>
        <rFont val="Poppins"/>
        <color rgb="FF000000"/>
        <sz val="9.0"/>
      </rPr>
      <t xml:space="preserve">08/03/2024 </t>
    </r>
    <r>
      <rPr>
        <rFont val="Poppins"/>
        <color rgb="FF000000"/>
        <sz val="9.0"/>
      </rPr>
      <t>(18H)</t>
    </r>
  </si>
  <si>
    <t>Xiaomi 14 ET 14 ULTRA</t>
  </si>
  <si>
    <t>Remise de 150€</t>
  </si>
  <si>
    <r>
      <rPr>
        <rFont val="Poppins"/>
        <color rgb="FF000000"/>
        <sz val="9.0"/>
      </rPr>
      <t xml:space="preserve">08/03/2024 </t>
    </r>
    <r>
      <rPr>
        <rFont val="Poppins"/>
        <color rgb="FF000000"/>
        <sz val="9.0"/>
      </rPr>
      <t>(18H)</t>
    </r>
  </si>
  <si>
    <t>1201752
1201753
1201754
1201941
1201942</t>
  </si>
  <si>
    <t xml:space="preserve"> Redmi Watch 3 ou 4 en Mag (à la place de la tab offerte)</t>
  </si>
  <si>
    <r>
      <rPr>
        <rFont val="Poppins"/>
        <strike/>
        <color rgb="FF000000"/>
        <sz val="9.0"/>
      </rPr>
      <t xml:space="preserve">08/03/2024 </t>
    </r>
    <r>
      <rPr>
        <rFont val="Poppins"/>
        <strike/>
        <color rgb="FF000000"/>
        <sz val="9.0"/>
      </rPr>
      <t>(18H)</t>
    </r>
  </si>
  <si>
    <t>99.99</t>
  </si>
  <si>
    <t>https://drive.google.com/file/d/1w1AiT0fyWWhzmqkVxYIaGl2uXyFpNpYK/view?usp=sharing</t>
  </si>
  <si>
    <t>1201752
1201753
1201754</t>
  </si>
  <si>
    <t>Bonus rachat de 100€</t>
  </si>
  <si>
    <t>https://drive.google.com/file/d/1IscG6hrn-CqRdyH3VmSdrgLl7zrKch58/view?usp=drive_link</t>
  </si>
  <si>
    <t>Remise au panier 100€</t>
  </si>
  <si>
    <t>Tablette</t>
  </si>
  <si>
    <t>S9 FE</t>
  </si>
  <si>
    <t>https://drive.google.com/file/d/1SlIrpuvHdEPuCteti0CoJ3Klm7g622IR/view?usp=drive_link</t>
  </si>
  <si>
    <t>Gamme S9 FE</t>
  </si>
  <si>
    <t>S9 FE+</t>
  </si>
  <si>
    <t>Gamme S9 FE+</t>
  </si>
  <si>
    <t>S9</t>
  </si>
  <si>
    <t>Gamme S9</t>
  </si>
  <si>
    <t>250€ de bonus rachat</t>
  </si>
  <si>
    <t xml:space="preserve">Gamme S9+ </t>
  </si>
  <si>
    <t>300€ de bonus rachat</t>
  </si>
  <si>
    <t>Gamme S9 Ultra</t>
  </si>
  <si>
    <t xml:space="preserve">Apple </t>
  </si>
  <si>
    <t>iPhone 14, 14 Plus</t>
  </si>
  <si>
    <t>https://drive.google.com/file/d/13qCFfl5FconnTaajzCJ0AG_7TP270jM_/view?usp=drive_link</t>
  </si>
  <si>
    <t>1199976
1199977
1199978
1199979
1199980
1200011
1200012
1200013</t>
  </si>
  <si>
    <t>1200014
1200015
1200016
1200017
1200018
1200019
1200020
1200021
1200022
1200023
1200024
1200025
1200026
1200027
1200028
1200029
1200030
1200031
1200032
1200033</t>
  </si>
  <si>
    <t xml:space="preserve"> Xiaomi 14 </t>
  </si>
  <si>
    <t>x</t>
  </si>
  <si>
    <t>Xiaomi 14 ultra</t>
  </si>
  <si>
    <t xml:space="preserve">1201941
1201942
</t>
  </si>
  <si>
    <t>Xiaomi 13T</t>
  </si>
  <si>
    <t xml:space="preserve">1195881
1195882
</t>
  </si>
  <si>
    <t>bonus reprise s24.pdf</t>
  </si>
  <si>
    <t>ILV A4_S23.pdf.pdf</t>
  </si>
  <si>
    <t>ILV A4_S23FE.pdf (1).pdf</t>
  </si>
  <si>
    <t xml:space="preserve"> Redmi Note 13 5G</t>
  </si>
  <si>
    <t>20€ de bonus rachat</t>
  </si>
  <si>
    <t>ILV RN13 BONUS .pdf</t>
  </si>
  <si>
    <t xml:space="preserve">1200206
1200207
1200208
</t>
  </si>
  <si>
    <t>Note 13 Pro et 13Pro+</t>
  </si>
  <si>
    <t>1200210
1200221
1200222
1200223 
1200224 
1200225
1200227 
1200228
1200229
1200230
1200241
1200242 
1200244 
1201755</t>
  </si>
  <si>
    <t>Tablette Honor Pad 9</t>
  </si>
  <si>
    <t>HONOR Pad 9 - A4 (2).pdf</t>
  </si>
  <si>
    <t>Tablette Xiaomi Pad 6S Pro</t>
  </si>
  <si>
    <t>ilv pad 6s pro.pdf</t>
  </si>
  <si>
    <t>1204937
1205053</t>
  </si>
  <si>
    <t xml:space="preserve"> iPhone 15 - 15 Plus - 15 Pro &amp; 15 Pro Max.</t>
  </si>
  <si>
    <t>BOOST BR AVRIL MAI</t>
  </si>
  <si>
    <t xml:space="preserve">1196118
1196119
1196120
1196257
1196258
1196259
1196260
1196305
1196306
1196307
1196308
1196309
1196310
1196331
1196332
1196333
1196334
1196335
1196336
1196337
1196338
1196339
1196340
1196341
1196342
1196343
1196344
1196345
1196346
1196347
1196348
1196349
1196350
1196351
1196352
1196353
1196354
1196355
1196356
1196357
1196358
1196359
1196360
1196361
1196362
1196363
1196364
1196365
1196366
1196367
1196368
1196369
1196370
1196371
1196372
1196373
1196374
1196375
</t>
  </si>
  <si>
    <t>iPhone 14 et 14 Plus.</t>
  </si>
  <si>
    <t>1184024
1184025
1184026
1184027
1184028
1184029
1184030
1184037
1184038
1184039
1184040
1184047
1184048
1184049
1184050
1184057
1184058
1184059
1184060
1184072
1184073
1184074
1184075
1184076
1184077
1184078
1184079
1184080
1184081
1184082
1189392
1189393
1189395
1189396
1189397</t>
  </si>
  <si>
    <t>iPad Pro 11 et 13"</t>
  </si>
  <si>
    <t>80€ de bonus rachat</t>
  </si>
  <si>
    <t>ILV IPAD PRO BR.pdf.pdf</t>
  </si>
  <si>
    <t xml:space="preserve">1185914
1185916
1185920
1185922
1185924
1185931
1185933
1185935
1185910 
1185911
1185912
1185913
1185937 </t>
  </si>
  <si>
    <t>Motorola</t>
  </si>
  <si>
    <t xml:space="preserve">Edge 50 Pro </t>
  </si>
  <si>
    <t>46940-MOTO BOSE-ILV BOULANGER-A4-V4-HD (1).pdf</t>
  </si>
  <si>
    <t xml:space="preserve">1205632
1205633
1205634 
1205635 
 </t>
  </si>
  <si>
    <t xml:space="preserve"> S24 Ultra</t>
  </si>
  <si>
    <t>s24.pdf</t>
  </si>
  <si>
    <t>S24 Ultra
1200022
1200023
1200024
1200025
1200026
1200027
1200028
1200029
1200030
1200031
1200032
1200033</t>
  </si>
  <si>
    <t>BR S24 FAM.pdf</t>
  </si>
  <si>
    <t>S24+
1200014
1200015
1200016
1200017
1200018
1200019
1200020
1200021
S24 Ultra
1200022
1200023
1200024
1200025
1200026
1200027
1200028
1200029
1200030
1200031
1200032
1200033</t>
  </si>
  <si>
    <t>Google Pixel 8a</t>
  </si>
  <si>
    <t>Pixel-Boulanger_Akita_ILV_A4_240426.pdf</t>
  </si>
  <si>
    <t>1203977
1203978
1203979
1203980
1203991</t>
  </si>
  <si>
    <t xml:space="preserve"> Pack Pad 6S Pro (1205053) </t>
  </si>
  <si>
    <t>en cours</t>
  </si>
  <si>
    <t xml:space="preserve">Note 13Pro et 13Pro Plus </t>
  </si>
  <si>
    <t>ILV A4_RN13 PRO+ 5G_EURO.jpg</t>
  </si>
  <si>
    <t xml:space="preserve">1200223
1200224
1200225
1200244
1200230
1200241
1200242
1200227
1200228
1200229
1201755
1200210
1200221
1200222
</t>
  </si>
  <si>
    <t>Note 13</t>
  </si>
  <si>
    <t>ILV_A4_RN13 5G_EURO.jpg</t>
  </si>
  <si>
    <t>13T</t>
  </si>
  <si>
    <t>https://drive.google.com/file/d/1ZgQPKAVz-s5dBY2I50NOi1UBIolgmryr/view?usp=drive_link</t>
  </si>
  <si>
    <t>1195881
1195882
1205793</t>
  </si>
  <si>
    <t>ILV A4_Xiaomi 14_EURO.jpg</t>
  </si>
  <si>
    <t xml:space="preserve">1195884
1195885
1201752
1201753
1201754
</t>
  </si>
  <si>
    <t xml:space="preserve">14 Ultra </t>
  </si>
  <si>
    <t xml:space="preserve">1201941
1201942
</t>
  </si>
  <si>
    <t>13T Pro</t>
  </si>
  <si>
    <t>350€ de bonus rachat</t>
  </si>
  <si>
    <t>ILV_A4_Xiaomi 13T Pro.jpg</t>
  </si>
  <si>
    <t>1195885
1195884</t>
  </si>
  <si>
    <t>https://drive.google.com/file/d/19R4-Iqq_RhOaGcK9w_dhndSDf6ocE6iV/view?usp=drive_link</t>
  </si>
  <si>
    <t>1195885
1195884</t>
  </si>
  <si>
    <t>Tablettes</t>
  </si>
  <si>
    <t>iPad air et iPad pro 2024</t>
  </si>
  <si>
    <t xml:space="preserve">Keynote Apple Mai 24 </t>
  </si>
  <si>
    <t xml:space="preserve">1203112
1203113
1203114
1203115
1203116
1203117
1203118
1203119
1203120
1203124
1203125
1203126
1203127
1203128
1203129
1203130
1203132
1203133
1203134
1203135
1203136
1203137
1203138
1203139
1203140
1203200
1203203
1203214
1203215
1203216
1203217
1203218
1203219
1203220
1203221
1203222
1203223
1203224
1203225
1203226
1203231
1203232
1203233
1203234
1203235
1203236
1203237
1203239
1203241
1203242
1203243
1203251
1203252
1203261
1203262
1206650
1206821
1206822
1206823
1206824
1206825
1206826
1206827
1206828
iPad Pro
1206392
1206393
1206394
1206395
1206396
1206397
1206398
1206401
1206402
1206403
1206404
1206405
1206406
1206407
1206409
1206410
1206411
1206412
1206413
1206414
1206415
1206416
1206417
1206418
1206419
1206420
1206421
1206422
1206423
1206424
1206425
1206426
1206431
1206432
1206433
1206434
1206441
1206442
1206451
1206829
1206830
1206831
1206832
1206833
1206834
1206877
1206878
1206879
</t>
  </si>
  <si>
    <t>Tabletttes</t>
  </si>
  <si>
    <t>Pack S9FE/S9FE+</t>
  </si>
  <si>
    <t>70€ de bonus rachat</t>
  </si>
  <si>
    <t xml:space="preserve"> </t>
  </si>
  <si>
    <t>S9 Wifi</t>
  </si>
  <si>
    <t>ILV_TABS9SERIES_DU27MAIAU2JUIN_A4.pdf</t>
  </si>
  <si>
    <t>1194483
1194481
1196003
1194484
1205071</t>
  </si>
  <si>
    <t>S9+ Wifi</t>
  </si>
  <si>
    <t>1194487
1194488
1196004
1194489</t>
  </si>
  <si>
    <t>S9 Ultra Wifi</t>
  </si>
  <si>
    <t>1194501
1194502
1194504</t>
  </si>
  <si>
    <t>iPhone 15 Pro et 15 Pro Max</t>
  </si>
  <si>
    <t>130€ de bonus rachat</t>
  </si>
  <si>
    <t xml:space="preserve">1196348
1196349
1196350
1196351
1196352
1196353
1196354
1196355
1196356
1196357
1196358
1196359
1196360
1196361
1196362
1196363
1196364
1196365
1196366
1196367
1196368
1196369
1196370
1196371
1196372
1196373
1196374
1196375
</t>
  </si>
  <si>
    <t>EDGE 50 PRO</t>
  </si>
  <si>
    <t>https://drive.google.com/file/d/1mqsDmZ35RKLbj7_nUkYt0uy9ELt8QLSs/view?usp=drive_link</t>
  </si>
  <si>
    <t xml:space="preserve">1205635
1205633
1205632
1205634
</t>
  </si>
  <si>
    <t>OFFRE JUIN</t>
  </si>
  <si>
    <t>Note 13Pro et Pro+</t>
  </si>
  <si>
    <t>1200227
1200228
1200229
1201755
1200223
1200224
1200225
1200244
1200230
1200241
1200242
1200210
1200221
1200222</t>
  </si>
  <si>
    <t xml:space="preserve">1195881/ 1195882/ 1205793
</t>
  </si>
  <si>
    <t>Xiaomi 14 Ultra</t>
  </si>
  <si>
    <t>1201941
1201942</t>
  </si>
  <si>
    <t>1195884 /1195885</t>
  </si>
  <si>
    <t>Z FOLD 6</t>
  </si>
  <si>
    <t xml:space="preserve">350€ de bonus rachat </t>
  </si>
  <si>
    <t>ILV Boulanger Galaxy Z Fold6 et Z Flip6.pdf</t>
  </si>
  <si>
    <t>1209198
1209199
1209200
1209201
1209202
1209203
1209204
1209205
1209206</t>
  </si>
  <si>
    <t xml:space="preserve">Z FLIP 6 </t>
  </si>
  <si>
    <t xml:space="preserve">270€ de bonus rachat </t>
  </si>
  <si>
    <t xml:space="preserve">1209140
1209191
1209192
1209193
1209194
1209195
1209196
1209197 </t>
  </si>
  <si>
    <t>iPhone 16e</t>
  </si>
  <si>
    <t xml:space="preserve">50€ de bonus rachat
</t>
  </si>
  <si>
    <t>21/02/2025 (14h)</t>
  </si>
  <si>
    <t>ILVA4_01.pdf</t>
  </si>
  <si>
    <t>1215259
1218470
1218490
1218519
1218520
1218527</t>
  </si>
  <si>
    <t>iPhone 15 et 15 Plus</t>
  </si>
  <si>
    <t>IPHONE 15 BONUS RACHAT.pdf</t>
  </si>
  <si>
    <t xml:space="preserve">iPhone 16
iPhone 16 Plus
iPhone 16 Pro
iPhone 16 Pro Max
</t>
  </si>
  <si>
    <t>iPhone 16 BR 100€.pdf</t>
  </si>
  <si>
    <t>16 : 
1207406
1211509
1211510
1211516
1211518
1211523
1211526
1211530
1211534
1211539
1211543
1211548
1211549
1211551
1211581
16 Plus :
1211497
1211498
1211500
1211515
1211517
1211519
1211522
1211529
1211535
1211537
1211542
1211544
1211552
1211554
1211561
16 Pro :
1211499
1211520
1211524
1211525
1211527
1211528
1211536
1211538
1211540
1211541
1211545
1211546
1211547
1211550
1211553
1211555
1211562
1211563
1211564
1211565
1211571
1211572
1211573
1211574
1211575
1211582
1211583
1211622
16 Pro Max
1211520
1211527
1211540
1211541
1211546
1211555
1211573
1211574
1211575
1211582
1211583
1211622</t>
  </si>
  <si>
    <r>
      <rPr>
        <rFont val="Poppins"/>
      </rPr>
      <t xml:space="preserve">Nouvelle watch 2025 : 
Watch SE 3
Watch Series 11
Watch Ultra 3
</t>
    </r>
    <r>
      <rPr>
        <rFont val="Poppins"/>
        <b/>
        <color rgb="FFFF0000"/>
      </rPr>
      <t>CAPING 400 DOSSIERS</t>
    </r>
  </si>
  <si>
    <r>
      <rPr>
        <rFont val="Poppins"/>
      </rPr>
      <t xml:space="preserve">30€ de bonus rachat
</t>
    </r>
    <r>
      <rPr>
        <rFont val="Poppins"/>
        <b/>
        <color rgb="FFFF0000"/>
      </rPr>
      <t>CAPING 400 DOSSIERS</t>
    </r>
  </si>
  <si>
    <t>IL WATCH</t>
  </si>
  <si>
    <t>1227867
1227901
1227868
1227885
1227873
1227892
1227869
1227902
1227903
1227874
1227886
1227893
1227870
1227904
1227887
1227894
1227875
1227895
1227888
1227911
1227876
1227877
1227896
1227897
1227912
1227905
1227889
1227906
1227890
1227878
1227898
1227907
1227879
1227908
1227913
1227899
1227880
1227909
1227910
1227914
1227900
1227921
1227915
1227922
1227931
1227941
1227951
1227942
1227916
1228379
1228384
1228380
1228401
1228402
1228393
1228320
1228368
1228369
1228394
1228370
1228411
1228395
1228421
1228396
1228397
1228422
1228423
1228424
1228385
1228412
1228398
1228425
1228403
1228426
1228399
1228413
1228404
1228427
1228428
1228405
1228406
1228414
1228400
1228429
1228415
1228416
1228431</t>
  </si>
  <si>
    <t>iPhone 16 Pro et 16 Pro max uniquement</t>
  </si>
  <si>
    <t>X</t>
  </si>
  <si>
    <t>1. ILV IP 16 PRO.pdf</t>
  </si>
  <si>
    <t>1211499
1211520
1211524
1211525
1211527
1211528
1211536
1211538
1211540
1211541
1211545
1211546
1211547
1211550
1211553
1211555
1211562
1211563
1211564
1211565
1211571
1211572
1211573
1211574
1211575
1211582
1211583
1211622</t>
  </si>
  <si>
    <t>iPhone 16 et 16 Plus uniquement</t>
  </si>
  <si>
    <t>1207406
1211497
1211498
1211500
1211509
1211510
1211515
1211516
1211517
1211518
1211519
1211522
1211523
1211526
1211529
1211530
1211534
1211535
1211537
1211539
1211542
1211543
1211544
1211548
1211549
1211551
1211552
1211554
1211561
1211581</t>
  </si>
  <si>
    <t>iPhone 15 Pro Max</t>
  </si>
  <si>
    <t>iPhone 15 Pro.pdf</t>
  </si>
  <si>
    <t>1196364
1196365
1196366
1196367
1196368
1196369
1196370
1196371
1196372
1196373
1196374
1196375</t>
  </si>
  <si>
    <t>iPhone 15 Pro</t>
  </si>
  <si>
    <t>1196348
1196349
1196350
1196351
1196352
1196353
1196354
1196355
1196356
1196357
1196358
1196359
1196360
1196361
1196362
1196363</t>
  </si>
  <si>
    <t>Gamme iPhone 15</t>
  </si>
  <si>
    <t>ilv iphone 15.pdf</t>
  </si>
  <si>
    <t xml:space="preserve">50€ de bonus rachat </t>
  </si>
  <si>
    <t>ILV IPHONE 14 BR 50€.pdf (2) (2).pdf (1).pdf</t>
  </si>
  <si>
    <t xml:space="preserve">iPhone 15 Pro et 15 Pro max </t>
  </si>
  <si>
    <t xml:space="preserve">150€ de bonus avec les 2 zimm 1204583 + 1213580 </t>
  </si>
  <si>
    <t xml:space="preserve">1204583 +1213580 </t>
  </si>
  <si>
    <t>1 . iPhone 15 Pro BR.pdf</t>
  </si>
  <si>
    <r>
      <rPr>
        <rFont val="Poppins"/>
        <color rgb="FF222222"/>
        <sz val="9.0"/>
      </rPr>
      <t>Gamme iPhone 16</t>
    </r>
    <r>
      <rPr>
        <rFont val="Poppins"/>
        <color rgb="FFFF0000"/>
        <sz val="9.0"/>
      </rPr>
      <t xml:space="preserve"> (1000 dossiers max)</t>
    </r>
  </si>
  <si>
    <r>
      <rPr>
        <rFont val="Poppins"/>
        <color rgb="FF222222"/>
        <sz val="9.0"/>
      </rPr>
      <t xml:space="preserve">100€ de bonus rachat </t>
    </r>
    <r>
      <rPr>
        <rFont val="Poppins"/>
        <color rgb="FFFF0000"/>
        <sz val="9.0"/>
      </rPr>
      <t>(1000 dossiers max)</t>
    </r>
  </si>
  <si>
    <t>EN COURS</t>
  </si>
  <si>
    <t>iPhone 16 et 16 Plus UNIQUEMENT</t>
  </si>
  <si>
    <t>2. ILV IP16 RACHAT POUR MAG.pdf</t>
  </si>
  <si>
    <t>1207406
1211497
1211498
1211500
1211509
1211510
1211515
1211516
1211517
1211518
1211519
1211522
1211523
1211526
1211529
1211530
1211534
1211535
1211537
1211539
1211542
1211543
1211544
1211548
1211549
1211551
1211552
1211554
1211561
1211581</t>
  </si>
  <si>
    <t>iPhone 16 Family</t>
  </si>
  <si>
    <t>1207406
1211581
1211534
1211551
1211549
1211510
1211548
1211526
1211543
1211509
1211518
1211523
1211539
1211530
1211516
1211517
1211561
1211552
1211497
1211519
1211554
1211542
1211515
1211537
1211498
1211535
1211529
1211522
1211544
1211500
1211564
1211525
1211563
1211565
1211547
1211536
1211538
1211499
1211572
1211571
1211524
1211545
1211528
1211550
1211562
1211553
1211520
1211541
1211527
1211540
1211546
1211622
1211555
1211582
1211573
1211575
1211574
1211583</t>
  </si>
  <si>
    <t>iPhone 15 - 15 Plus Uniquement  (pas de capé)</t>
  </si>
  <si>
    <t>50€ de Bonus rachat</t>
  </si>
  <si>
    <t xml:space="preserve">OPERATION STOPPEE </t>
  </si>
  <si>
    <t xml:space="preserve">1196118
1196119
1196120
1196257
1196258
1196259
1196260
1196305
1196306
1196307
1196308
1196309
1196310
1196331
1196332
1196333
1196334
1196335
1196336
1196337
1196338
1196339
1196340
1196341
1196342
1196343
1196344
1196345
1196346
1196347
</t>
  </si>
  <si>
    <r>
      <rPr>
        <rFont val="Poppins"/>
        <strike/>
        <color rgb="FFFF0000"/>
        <sz val="9.0"/>
      </rPr>
      <t xml:space="preserve">iPhone 15Pro et 15 Pro Max </t>
    </r>
    <r>
      <rPr>
        <rFont val="Poppins"/>
        <strike/>
        <color rgb="FFFF0000"/>
        <sz val="9.0"/>
      </rPr>
      <t>68</t>
    </r>
    <r>
      <rPr>
        <rFont val="Poppins"/>
        <strike/>
        <color rgb="FFFF0000"/>
        <sz val="9.0"/>
      </rPr>
      <t>0 dossiers</t>
    </r>
  </si>
  <si>
    <t>100€ de Bonus rachat</t>
  </si>
  <si>
    <t>1196348
1196349
1196350
1196351
1196352
1196353
1196354
1196355
1196356
1196357
1196358
1196359
1196360
1196361
1196362
1196363
1196364
1196365
1196366
1196367
1196368
1196369
1196370
1196371
1196372
1196373
1196374
1196375</t>
  </si>
  <si>
    <t>iPad</t>
  </si>
  <si>
    <r>
      <rPr>
        <rFont val="Poppins"/>
        <color rgb="FF222222"/>
        <sz val="9.0"/>
      </rPr>
      <t xml:space="preserve">iPad Pro &amp; Air </t>
    </r>
    <r>
      <rPr>
        <rFont val="Poppins"/>
        <color rgb="FFFD5300"/>
        <sz val="9.0"/>
      </rPr>
      <t xml:space="preserve"> 560</t>
    </r>
    <r>
      <rPr>
        <rFont val="Poppins"/>
        <color rgb="FFFF0000"/>
        <sz val="9.0"/>
      </rPr>
      <t xml:space="preserve"> dossiers</t>
    </r>
  </si>
  <si>
    <t>BR 150E IPAD jusqu'au 17/11/2024.pdf</t>
  </si>
  <si>
    <t>iPad Air
1203112
1203113
1203114
1203115
1203116
1203117
1203118
1203119
1203120
1203124
1203125
1203126
1203127
1203128
1203129
1203130
1203132
1203133
1203134
1203135
1203136
1203137
1203138
1203139
1203140
1203200
1203203
1203214
1203215
1203216
1203217
1203218
1203219
1203220
1203221
1203222
1203223
1203224
1203225
1203226
1203231
1203232
1203233
1203234
1203235
1203236
1203237
1203239
1203241
1203242
1203243
1203251
1203252
1203261
1203262
1206650
1206821
1206822
1206823
1206824
1206825
1206826
1206827
1206828
iPad Pro
1206392
1206393
1206394
1206395
1206396
1206397
1206398
1206401
1206402
1206403
1206404
1206405
1206406
1206407
1206409
1206410
1206411
1206412
1206413
1206414
1206415
1206416
1206417
1206418
1206419
1206420
1206421
1206422
1206423
1206424
1206425
1206426
1206431
1206432
1206433
1206434
1206441
1206442
1206451
1206829
1206830
1206831
1206832
1206833
1206834
1206877
1206878
1206879</t>
  </si>
  <si>
    <t>iPhone</t>
  </si>
  <si>
    <r>
      <rPr>
        <rFont val="Poppins"/>
        <color rgb="FF000000"/>
        <sz val="9.0"/>
      </rPr>
      <t xml:space="preserve">15/11/2024
</t>
    </r>
    <r>
      <rPr>
        <rFont val="Poppins"/>
        <b/>
        <color rgb="FF000000"/>
        <sz val="9.0"/>
      </rPr>
      <t>17h45</t>
    </r>
  </si>
  <si>
    <t>BR 100 IP 16 (1).pdf</t>
  </si>
  <si>
    <t xml:space="preserve">1207406
1211497
1211498
1211499
1211500
1211509
1211510
1211515
1211516
1211517
1211518
1211519
1211520
1211522
1211523
1211524
1211525
1211526
1211527
1211528
1211529
1211530
1211534
1211535
1211536
1211537
1211538
1211539
1211540
1211541
1211542
1211543
1211544
1211545
1211546
1211547
1211548
1211549
1211550
1211551
1211552
1211553
1211554
1211555
1211561
1211562
1211563
1211564
1211565
1211571
1211572
1211573
1211574
1211575
1211581
1211582
1211583
1211622
</t>
  </si>
  <si>
    <t>iPhone 15.pdf</t>
  </si>
  <si>
    <t>1196118
1196119
1196120
1196257
1196258
1196259
1196260
1196305
1196306
1196307
1196308
1196309
1196310
1196331
1196332
1196333
1196334
1196335
1196336
1196337
1196338
1196339
1196340
1196341
1196342
1196343
1196344
1196345
1196346
1196347</t>
  </si>
  <si>
    <r>
      <rPr>
        <rFont val="Poppins"/>
        <color rgb="FF222222"/>
        <sz val="9.0"/>
      </rPr>
      <t xml:space="preserve">iPhone 15 </t>
    </r>
    <r>
      <rPr>
        <rFont val="Poppins"/>
        <b/>
        <color rgb="FFFF0000"/>
        <sz val="9.0"/>
      </rPr>
      <t>uniquement capés 500 dossiers</t>
    </r>
  </si>
  <si>
    <r>
      <rPr>
        <rFont val="Poppins"/>
        <color rgb="FF222222"/>
        <sz val="9.0"/>
      </rPr>
      <t xml:space="preserve">50€ de bonus rachat supplémentaires pour l'achat </t>
    </r>
    <r>
      <rPr>
        <rFont val="Poppins"/>
        <b/>
        <color rgb="FFFF0000"/>
        <sz val="9.0"/>
      </rPr>
      <t xml:space="preserve">simultané </t>
    </r>
    <r>
      <rPr>
        <rFont val="Poppins"/>
        <color rgb="FF222222"/>
        <sz val="9.0"/>
      </rPr>
      <t>d'un</t>
    </r>
    <r>
      <rPr>
        <rFont val="Poppins"/>
        <b/>
        <color rgb="FF000000"/>
        <sz val="9.0"/>
      </rPr>
      <t xml:space="preserve"> iPhone 15 + Watch SE</t>
    </r>
  </si>
  <si>
    <t>1215782 (50€) + 1215783 (50€)</t>
  </si>
  <si>
    <t>IPHONE 15 + WATCH SE (1).pdf</t>
  </si>
  <si>
    <t>Codes iPhone 15
1196118
1196119
1196120
1196257
1196258
1196259
1196260
1196305
1196306
1196307
1196308
1196309
1196310
1196331
1196332
Codes Apple Watch Se 
1152070
1152161
1152162
1152168
1152169
1152170
1152191
1152192
1152193
1152194
1152195
1152196
1152207
1152208
1152212
1152213
1152214
1152215
1152219
1152668
1169803
1169804
1169805
1169806
1169807
1169808
1169809
1169810
1169821
1169822
1169823
1169824
1169825
1169826
1169827
1169829
1169830
1169842
1169843
1169844
1169845
1169846
1169847
1169848
1169849
1184088
1184089
1184090
1184097
1184115
1184117
1184120
1184129
1184130
1184132
1184137
1184138
1196376
1196377
1196381
1196382
1196383
1196384
1196385
1196386
1196387
1196391
1196392
1196393
1196394
1196400
1196401
1196402
1196403
1196404
1196405
1196406
1196407
1196411
1196419
1196420
1196429
1196448
1196459
1196460
1196462
1196474
1196481
1196491
1197163
1197164
1197165
1197166
1211606
1211607
1211608
1211609
1211610
1211615
1211616
1211617
1211618
1211619
1211620
1211624
1211625
1211626
1211627
1211628
1211629
1211630
1211633
1211634
1211635
1211636
1211637
1211638
1211639
1211640
1211641
1211642
1211643
1211644
1211645
1211646
1211647
1211648
1211649
1211650</t>
  </si>
  <si>
    <r>
      <rPr>
        <rFont val="Poppins"/>
        <color rgb="FF222222"/>
        <sz val="9.0"/>
      </rPr>
      <t>IPhone 16 Pro et 16 Pro Max</t>
    </r>
    <r>
      <rPr>
        <rFont val="Poppins"/>
        <color rgb="FFFF0000"/>
        <sz val="9.0"/>
      </rPr>
      <t xml:space="preserve"> </t>
    </r>
    <r>
      <rPr>
        <rFont val="Poppins"/>
        <b/>
        <color rgb="FFFF0000"/>
        <sz val="9.0"/>
      </rPr>
      <t>uniquement capés 3500 dossiers</t>
    </r>
  </si>
  <si>
    <t>150€ de bonus rachat (100€ + 50€)</t>
  </si>
  <si>
    <t>1. 150€ IPHONE 16 PRO.pdf</t>
  </si>
  <si>
    <t xml:space="preserve">1211499
1211520
1211524
1211525
1211527
1211528
1211536
1211538
1211540
1211541
1211545
1211546
1211547
1211550
1211553
1211555
1211562
1211563
1211564
1211565
1211571
1211572
1211573
1211574
1211575
1211582
1211583
1211622
</t>
  </si>
  <si>
    <t>iPhone 16 Pro et 16 Pro Max (pas de capé)</t>
  </si>
  <si>
    <t>1211499
1211520
1211524
1211525
1211527
1211528
1211536
1211538
1211540
1211541
1211545
1211546
1211547
1211550
1211553
1211555
1211562
1211563
1211564
1211565
1211571
1211572
1211573
1211574
1211575
1211582
1211583
1211622</t>
  </si>
  <si>
    <t>iPhone 16, 16 Plus, Pro, Pro Max</t>
  </si>
  <si>
    <r>
      <rPr>
        <rFont val="Poppins"/>
        <color rgb="FF222222"/>
        <sz val="9.0"/>
      </rPr>
      <t xml:space="preserve">Tout les IPhone </t>
    </r>
    <r>
      <rPr>
        <rFont val="Poppins"/>
        <color rgb="FF000000"/>
        <sz val="9.0"/>
      </rPr>
      <t>Sauf les reconditionné</t>
    </r>
  </si>
  <si>
    <t>Tout les IPhone Sauf les reconditionné</t>
  </si>
  <si>
    <t>CH</t>
  </si>
  <si>
    <t xml:space="preserve">150€ de bonus rachat 
utiliser les 2 zimms
1204583 +1209376 </t>
  </si>
  <si>
    <t xml:space="preserve">utiliser les 2 zimms
1204583 +1209376 </t>
  </si>
  <si>
    <t>ILV 150 iPHONE 15 (6).pdf</t>
  </si>
  <si>
    <t>1196118
1196119
1196120
1196257
1196258
1196259
1196260
1196305
1196306
1196307
1196308
1196309
1196310
1196331
1196332</t>
  </si>
  <si>
    <r>
      <rPr>
        <rFont val="Poppins"/>
        <color rgb="FF222222"/>
        <sz val="9.0"/>
      </rPr>
      <t xml:space="preserve">iPhone 16 et 16 Plus UNIQUEMENT </t>
    </r>
    <r>
      <rPr>
        <rFont val="Poppins"/>
        <color rgb="FFFF0000"/>
        <sz val="9.0"/>
      </rPr>
      <t>450 dossiers</t>
    </r>
  </si>
  <si>
    <t>APPLE MOIS DU RACHAT.pdf (2).pdf</t>
  </si>
  <si>
    <t>1207406
1211497
1211498
1211500
1211510
1211515
1211517
1211518
1211519
1211522
1211523
1211529
1211530
1211535
1211537
1211542
1211543
1211544
1211548
1211551
1211552
1211554
1211581</t>
  </si>
  <si>
    <t>APPLE WATCH 2025</t>
  </si>
  <si>
    <t>50€ DE BONUS RACHAT</t>
  </si>
  <si>
    <t>A VENIR</t>
  </si>
  <si>
    <t>IPAD</t>
  </si>
  <si>
    <t>IPAD PRO M5</t>
  </si>
  <si>
    <t>100€ DE BONUS RACHAT 100 PREMIERS CLIENTS</t>
  </si>
  <si>
    <t>ILV IPAD PRO M5 LANCEMENT.pdf</t>
  </si>
  <si>
    <t>1231247
1231248
1231249
1231250
1231261
1231262
1231263
1231264
1231265
1231266
1231267
1231268
1231269
1231270
1231271
1231272
1231273
1231274
1231275
1231276
1231277
1231278
1231279
1231280
1231281
1231282
1231283
1231284
1231285
1231286
1231287
1231288
1231289
1231290
1231335
1231298
1231299
1231344
1231336
1231345
1231300
1231318
1231346
1231337
1231347
1231348
1231260
1231351</t>
  </si>
  <si>
    <t xml:space="preserve"> Z FOLD 6</t>
  </si>
  <si>
    <t>Z FLIP 6 et Z FOLD 6</t>
  </si>
  <si>
    <t>ILV Boulanger offre de lancement Galaxy Z Fold6 et Z Flip6.pdf</t>
  </si>
  <si>
    <t>1209140
1209191
1209192
1209193
1209194
1209195
1209196
1209197 
1209198
1209199
1209200
1209201
1209202
1209203
1209204
1209205
1209206</t>
  </si>
  <si>
    <t>S9FE wifi + s6 lite</t>
  </si>
  <si>
    <t>1197211
1197215
1197216
1197217
1197219
1203589
1205020
1203589 1205020</t>
  </si>
  <si>
    <t>S9FE+ Wifi</t>
  </si>
  <si>
    <t xml:space="preserve">1197221
1197222
1197223
1197224
1197226
1198778
</t>
  </si>
  <si>
    <t>1194481
1194483
1194484
1205071</t>
  </si>
  <si>
    <t xml:space="preserve">1194487
1194488
1194489
</t>
  </si>
  <si>
    <t xml:space="preserve">S9 Ultra </t>
  </si>
  <si>
    <t xml:space="preserve">S24 + </t>
  </si>
  <si>
    <t>S24+ BONUS RACHAT.pdf</t>
  </si>
  <si>
    <t>1200014
1200015
1200016
1200017
1200018
1200019
1200020
1200021</t>
  </si>
  <si>
    <t xml:space="preserve">S24 </t>
  </si>
  <si>
    <t>S24 BONUS RACHAT.pdf</t>
  </si>
  <si>
    <t xml:space="preserve">1199976
1199977
1199978
1199979
1199980
1200011
1200012
1200013
</t>
  </si>
  <si>
    <t>S23FE BONUS RACHAT.pdf</t>
  </si>
  <si>
    <t xml:space="preserve">1199536
1199537
1199538
1199539
1199540
1199541
1199542
1199543
1207187 </t>
  </si>
  <si>
    <t>TAB S10+</t>
  </si>
  <si>
    <t>ILV MAGASIN Galaxy Tab S10 Series copie (1).pdf</t>
  </si>
  <si>
    <t xml:space="preserve">1212618
1212619
1212620
1212651
</t>
  </si>
  <si>
    <t>TAB S10 ULTRA</t>
  </si>
  <si>
    <t>150€ de bonus rachat"</t>
  </si>
  <si>
    <t>1212652
1212653
1212654
1212655
1212656</t>
  </si>
  <si>
    <t>S24FE</t>
  </si>
  <si>
    <t>SAM_IM_ODR_LANCEMENT_S24 FE_A4_02_BUDS3_BONUS_210X297.pdf</t>
  </si>
  <si>
    <t>Pack S9 ref 1205071 - 1212744</t>
  </si>
  <si>
    <t>PACK S9 BONUS RACHAT.pdf</t>
  </si>
  <si>
    <t>1205071 - 1212744.</t>
  </si>
  <si>
    <t xml:space="preserve">Samsung </t>
  </si>
  <si>
    <t>S9FE</t>
  </si>
  <si>
    <t>ILV MAG br 150 S9FE.pdf</t>
  </si>
  <si>
    <t>1197211
1197215
1197216
1197217
1197219
1203574
1210786</t>
  </si>
  <si>
    <t>Pack S6 Lite 1205020</t>
  </si>
  <si>
    <t>ILV MAG BR50 PACK S6 LITE + CLAVIER.pdf</t>
  </si>
  <si>
    <t>S10 Ultra</t>
  </si>
  <si>
    <t>ILV MAG BR 200 S10 ULTRA.pdf</t>
  </si>
  <si>
    <t>1212652
1212653
1212654
1212655
1213885</t>
  </si>
  <si>
    <t>ILV MAGASIN NOEL Galaxy S24 FE copie (1).pdf</t>
  </si>
  <si>
    <t>1213213
1213214
1213215
1213216
1213217
1213218
1213219
1213220</t>
  </si>
  <si>
    <t>GALAXY S25 FAMILY
(S25, S25+, S25 ULTRA)</t>
  </si>
  <si>
    <r>
      <rPr>
        <rFont val="Poppins"/>
        <b/>
      </rPr>
      <t xml:space="preserve">100€ de bonus rachat sur les S25, S25+ et S25 ULTRA
</t>
    </r>
    <r>
      <rPr>
        <rFont val="Poppins"/>
      </rPr>
      <t xml:space="preserve">
Capé : 
S25 600 dossiers
S25+ 300 dossier
S25 Ultra 700 dossiers
</t>
    </r>
  </si>
  <si>
    <r>
      <rPr>
        <rFont val="Poppins"/>
        <color rgb="FF000000"/>
        <sz val="9.0"/>
      </rPr>
      <t>22/02/2025</t>
    </r>
    <r>
      <rPr>
        <rFont val="Poppins"/>
        <color rgb="FFFF0000"/>
        <sz val="9.0"/>
      </rPr>
      <t xml:space="preserve"> (19h)</t>
    </r>
  </si>
  <si>
    <t xml:space="preserve">
1 - ILV S25 ULTRA.pdf
2 - ILV S25-S25+.pdf
4 - ILV OFFRE GENERIQUE.pdf</t>
  </si>
  <si>
    <t>1216115
1217214
1217215
1217216
1217217
1217218
1217219
1217220
1217241
1217246
1217247
1217248
1217249
1217261
1217262
1217263
1217264
1217265
1217266
1217267
1217065
1217268
1217269
1217270
1217271
1217272
1217273
1217275
1217276
1217277
1217278
1217279</t>
  </si>
  <si>
    <t>GALAXY S25 et S25+</t>
  </si>
  <si>
    <r>
      <rPr>
        <rFont val="Poppins"/>
        <b/>
      </rPr>
      <t xml:space="preserve">100€ de bonus rachat </t>
    </r>
    <r>
      <rPr>
        <rFont val="Poppins"/>
        <b/>
        <color rgb="FFFF0000"/>
      </rPr>
      <t>SUPPLEMENTAIRE POUR LES ETUDIANT UNIQUEMENT</t>
    </r>
    <r>
      <rPr>
        <rFont val="Poppins"/>
      </rPr>
      <t xml:space="preserve">
</t>
    </r>
    <r>
      <rPr>
        <rFont val="Poppins"/>
        <i/>
      </rPr>
      <t xml:space="preserve">(sous présentation de la carte étudiante en magasin, 1 fois par facture)
</t>
    </r>
    <r>
      <rPr>
        <rFont val="Poppins"/>
      </rPr>
      <t xml:space="preserve">
</t>
    </r>
    <r>
      <rPr>
        <rFont val="Poppins"/>
        <b/>
        <sz val="12.0"/>
      </rPr>
      <t xml:space="preserve">total bonus rachat = 200€ (bonus national + bonus étudiant)
</t>
    </r>
    <r>
      <rPr>
        <rFont val="Poppins"/>
      </rPr>
      <t>capé : 
S25 200 dossiers
S25+ 100 dossiers</t>
    </r>
  </si>
  <si>
    <r>
      <rPr>
        <rFont val="Poppins"/>
        <color rgb="FF000000"/>
        <sz val="9.0"/>
      </rPr>
      <t>22/02/2025</t>
    </r>
    <r>
      <rPr>
        <rFont val="Poppins"/>
        <color rgb="FFFF0000"/>
        <sz val="9.0"/>
      </rPr>
      <t xml:space="preserve"> (19h)</t>
    </r>
  </si>
  <si>
    <t>200€ =
100€ (1217300) offre nationale
+ 100€ (1217335 ) offre étudiante</t>
  </si>
  <si>
    <t xml:space="preserve">1217300 + 1217335 </t>
  </si>
  <si>
    <t>3 - ILV BR ETUDIANT MAG.pdf</t>
  </si>
  <si>
    <t>1216115
1217214
1217215
1217216
1217217
1217218
1217219
1217220
1217241
1217246
1217247
1217248
1217249
1217261
1217262
1217263
1217264
1217265
1217266
1217267</t>
  </si>
  <si>
    <t>GALAXY S25 ULTRA</t>
  </si>
  <si>
    <r>
      <rPr>
        <rFont val="Poppins"/>
        <b/>
      </rPr>
      <t xml:space="preserve">
150€ de bonus rachat SUPPLEMENTAIRE POUR LES ETUDIANT UNIQUEMENT</t>
    </r>
    <r>
      <rPr>
        <rFont val="Poppins"/>
      </rPr>
      <t xml:space="preserve">
</t>
    </r>
    <r>
      <rPr>
        <rFont val="Poppins"/>
        <i/>
      </rPr>
      <t xml:space="preserve">(sous présentation de la carte étudiante en magasin, 1 fois par facture)
</t>
    </r>
    <r>
      <rPr>
        <rFont val="Poppins"/>
      </rPr>
      <t xml:space="preserve">
</t>
    </r>
    <r>
      <rPr>
        <rFont val="Poppins"/>
        <b/>
        <sz val="12.0"/>
      </rPr>
      <t xml:space="preserve">total bonus rachat = 250€ (bonus national + bonus étudiant)
</t>
    </r>
    <r>
      <rPr>
        <rFont val="Poppins"/>
      </rPr>
      <t>capé : 
S25 ULTRA : 200 dossiers</t>
    </r>
  </si>
  <si>
    <r>
      <rPr>
        <rFont val="Poppins"/>
        <color rgb="FF000000"/>
        <sz val="9.0"/>
      </rPr>
      <t>22/02/2025</t>
    </r>
    <r>
      <rPr>
        <rFont val="Poppins"/>
        <color rgb="FFFF0000"/>
        <sz val="9.0"/>
      </rPr>
      <t xml:space="preserve"> (19h)</t>
    </r>
  </si>
  <si>
    <t>250 = 
100€ (1217300) offre nationale
+ 150€ (1217336 ) offre étudiante</t>
  </si>
  <si>
    <t>1217300 + 1217336</t>
  </si>
  <si>
    <t>1217065
1217268
1217269
1217270
1217271
1217272
1217273
1217275
1217276
1217277
1217278
1217279</t>
  </si>
  <si>
    <t>GALAXY S25 &amp; S25+</t>
  </si>
  <si>
    <r>
      <rPr>
        <rFont val="Poppins"/>
        <b/>
        <color rgb="FFFF0000"/>
      </rPr>
      <t>100€</t>
    </r>
    <r>
      <rPr>
        <rFont val="Poppins"/>
        <b/>
      </rPr>
      <t xml:space="preserve"> de bonus rachat sur les S25, S25+ </t>
    </r>
  </si>
  <si>
    <t xml:space="preserve">LANCEMENT S25 </t>
  </si>
  <si>
    <r>
      <rPr>
        <rFont val="Poppins"/>
        <b/>
        <color rgb="FFFF0000"/>
      </rPr>
      <t>150€</t>
    </r>
    <r>
      <rPr>
        <rFont val="Poppins"/>
        <b/>
      </rPr>
      <t xml:space="preserve"> de bonus rachat sur les S25 ULTRA</t>
    </r>
  </si>
  <si>
    <r>
      <rPr>
        <rFont val="Poppins"/>
        <b/>
      </rPr>
      <t xml:space="preserve">GALAXY S25 &amp; S25+
</t>
    </r>
    <r>
      <rPr>
        <rFont val="Poppins"/>
        <b/>
        <color rgb="FFFF0000"/>
      </rPr>
      <t>(caping 450 dossiers)</t>
    </r>
  </si>
  <si>
    <r>
      <rPr>
        <rFont val="Poppins"/>
        <b/>
        <color rgb="FFFF0000"/>
      </rPr>
      <t>200€</t>
    </r>
    <r>
      <rPr>
        <rFont val="Poppins"/>
        <b/>
      </rPr>
      <t xml:space="preserve"> de bonus rachat sur les S25, S25+ 
(caping 450 dossiers)
pour la reprise d'un  S21FE - S22 -S23 - Flip5
</t>
    </r>
  </si>
  <si>
    <t>15/02 au 17 février - ILV S25 Series.pdf</t>
  </si>
  <si>
    <r>
      <rPr>
        <rFont val="Poppins"/>
        <b/>
      </rPr>
      <t xml:space="preserve">GALAXY S25 ULTRA
</t>
    </r>
    <r>
      <rPr>
        <rFont val="Poppins"/>
        <b/>
        <color rgb="FFFF0000"/>
      </rPr>
      <t>(caping 300 dossiers)</t>
    </r>
  </si>
  <si>
    <r>
      <rPr>
        <rFont val="Poppins"/>
        <b/>
        <color rgb="FFFF0000"/>
      </rPr>
      <t xml:space="preserve">250€ </t>
    </r>
    <r>
      <rPr>
        <rFont val="Poppins"/>
        <b/>
      </rPr>
      <t>de bonus rachat sur les S25 ULTRA
(caping 300 dossiers)
pour la reprise d'un  S22 Ultra - S23 Ultra - Flip5 - Fold5</t>
    </r>
  </si>
  <si>
    <t>15/02 au 17 février  ILV S25 ULTRA.pdf</t>
  </si>
  <si>
    <r>
      <rPr>
        <rFont val="Poppins"/>
        <b/>
      </rPr>
      <t xml:space="preserve">GALAXY S25 &amp; S25+
</t>
    </r>
    <r>
      <rPr>
        <rFont val="Poppins"/>
        <b/>
        <color rgb="FFFF0000"/>
      </rPr>
      <t>(caping 500 dossiers)</t>
    </r>
  </si>
  <si>
    <r>
      <rPr>
        <rFont val="Poppins"/>
        <b/>
        <color rgb="FFFF0000"/>
      </rPr>
      <t>150€</t>
    </r>
    <r>
      <rPr>
        <rFont val="Poppins"/>
        <b/>
      </rPr>
      <t xml:space="preserve"> de bonus rachat sur les S25, S25+ 
(caping 500 dossiers)
</t>
    </r>
  </si>
  <si>
    <t>18/02 au 02 mars ILV S25 SERIES.pdf</t>
  </si>
  <si>
    <r>
      <rPr>
        <rFont val="Poppins"/>
        <b/>
      </rPr>
      <t xml:space="preserve">GALAXY S25 ULTRA
</t>
    </r>
    <r>
      <rPr>
        <rFont val="Poppins"/>
        <b/>
        <color rgb="FFFF0000"/>
      </rPr>
      <t>(caping 600 dossiers)</t>
    </r>
  </si>
  <si>
    <r>
      <rPr>
        <rFont val="Poppins"/>
        <b/>
        <color rgb="FFFF0000"/>
      </rPr>
      <t xml:space="preserve">200€ </t>
    </r>
    <r>
      <rPr>
        <rFont val="Poppins"/>
        <b/>
      </rPr>
      <t xml:space="preserve">de bonus rachat sur les S25 ULTRA
(caping 600 dossiers)
</t>
    </r>
  </si>
  <si>
    <t>18/02 AU 02 mars ILV S25 ULTRA.pdf</t>
  </si>
  <si>
    <t>1217065
1217268
1217269
1217270
1217271
1217272
1217273
1217275
1217276
1217277
1217278
1217279</t>
  </si>
  <si>
    <r>
      <rPr>
        <rFont val="Poppins"/>
        <b/>
      </rPr>
      <t xml:space="preserve">100€ de bonus rachat </t>
    </r>
    <r>
      <rPr>
        <rFont val="Poppins"/>
        <b/>
        <color rgb="FFFF0000"/>
      </rPr>
      <t>SUPPLEMENTAIRE POUR LES ETUDIANT UNIQUEMENT</t>
    </r>
    <r>
      <rPr>
        <rFont val="Poppins"/>
      </rPr>
      <t xml:space="preserve">
</t>
    </r>
    <r>
      <rPr>
        <rFont val="Poppins"/>
        <i/>
      </rPr>
      <t xml:space="preserve">(sous présentation de la carte étudiante en magasin, 1 fois par facture)
</t>
    </r>
    <r>
      <rPr>
        <rFont val="Poppins"/>
      </rPr>
      <t xml:space="preserve">
</t>
    </r>
    <r>
      <rPr>
        <rFont val="Poppins"/>
        <b/>
        <sz val="9.0"/>
      </rPr>
      <t xml:space="preserve">Total bonus rachat = 250€ (bonus national + bonus étudiant)
</t>
    </r>
    <r>
      <rPr>
        <rFont val="Poppins"/>
        <b/>
        <sz val="12.0"/>
      </rPr>
      <t xml:space="preserve">
</t>
    </r>
    <r>
      <rPr>
        <rFont val="Poppins"/>
      </rPr>
      <t>caping : 300 dossiers maximum</t>
    </r>
  </si>
  <si>
    <t>250€ =
150€ (1217300) offre s25 ultra
+ 100€ (1217335 ) offre étudiante</t>
  </si>
  <si>
    <r>
      <rPr>
        <rFont val="Poppins"/>
        <b/>
      </rPr>
      <t xml:space="preserve">
150€ de bonus rachat </t>
    </r>
    <r>
      <rPr>
        <rFont val="Poppins"/>
        <b/>
        <color rgb="FFFF0000"/>
      </rPr>
      <t>SUPPLEMENTAIRE POUR LES ETUDIANT UNIQUEMENT</t>
    </r>
    <r>
      <rPr>
        <rFont val="Poppins"/>
      </rPr>
      <t xml:space="preserve">
</t>
    </r>
    <r>
      <rPr>
        <rFont val="Poppins"/>
        <i/>
      </rPr>
      <t xml:space="preserve">(sous présentation de la carte étudiante en magasin, 1 fois par facture)
</t>
    </r>
    <r>
      <rPr>
        <rFont val="Poppins"/>
      </rPr>
      <t xml:space="preserve">
</t>
    </r>
    <r>
      <rPr>
        <rFont val="Poppins"/>
        <b/>
        <sz val="9.0"/>
      </rPr>
      <t xml:space="preserve">Total bonus rachat = 350€ (bonus national + bonus étudiant)
</t>
    </r>
    <r>
      <rPr>
        <rFont val="Poppins"/>
        <b/>
        <sz val="12.0"/>
      </rPr>
      <t xml:space="preserve">
</t>
    </r>
    <r>
      <rPr>
        <rFont val="Poppins"/>
      </rPr>
      <t>caping : 200 dossiers</t>
    </r>
  </si>
  <si>
    <t>350€ = 
150€ (1217300) offre s25 ultra
+ 150€ (1217336 ) offre étudiante</t>
  </si>
  <si>
    <t>1217331 + 1217336</t>
  </si>
  <si>
    <t>Z FLIP 7 &amp; FLIP 7 FE
Z FOLD 7</t>
  </si>
  <si>
    <t>LANCEMENT</t>
  </si>
  <si>
    <t>1225168
1225182
1225183
1225184
1225185
1225186
1225187
1225188
1225189
1225190
1225201
1225202
1225203
1225204
1225205
1225206
1225207
1225208
1225209</t>
  </si>
  <si>
    <t>S25 EDGE</t>
  </si>
  <si>
    <t>1222049
1222050
1222061
1222062
1222063
1222064</t>
  </si>
  <si>
    <t>A11</t>
  </si>
  <si>
    <t>ILV MAGASIN Galaxy Tab A11.pdf</t>
  </si>
  <si>
    <t>1229409
1229410
1229441</t>
  </si>
  <si>
    <t>Z FOLD 7</t>
  </si>
  <si>
    <t xml:space="preserve"> 300€ de bonus rachat</t>
  </si>
  <si>
    <t>ILV MAGASIN Pack Galaxy Z FOLD7.pdf</t>
  </si>
  <si>
    <t>1225201 
1225202 
1225203 
1225204
1225205 
1225206
1225207
1225208
1225209</t>
  </si>
  <si>
    <t>Filp7 ET Zflip FE</t>
  </si>
  <si>
    <t xml:space="preserve">1225168 
1225182
1225183
1225184
1225185
1225186
1225187
1225188
1225189
1225190
</t>
  </si>
  <si>
    <t>S25Fe</t>
  </si>
  <si>
    <t>a venir</t>
  </si>
  <si>
    <t xml:space="preserve">1227522
1227523
1227524
1227525
1227526
1227527
1227528
1227529
1227530
1227531
</t>
  </si>
  <si>
    <t xml:space="preserve">S10+ </t>
  </si>
  <si>
    <t xml:space="preserve">1212618
1212619
1212620
1212651
</t>
  </si>
  <si>
    <t>S10fe</t>
  </si>
  <si>
    <t>1219831
1219832
1219740
1219833
1219835
1221478</t>
  </si>
  <si>
    <t>S11</t>
  </si>
  <si>
    <t>1227034
1227035
1227036
1227033</t>
  </si>
  <si>
    <t>S11 Ultra</t>
  </si>
  <si>
    <t>S11 BONUS RACHAT ET PRIX.pdf</t>
  </si>
  <si>
    <t xml:space="preserve">S25+ </t>
  </si>
  <si>
    <t>1217249
1217261
1217262
1217263
1217264
1217265
1217266
1217267</t>
  </si>
  <si>
    <t>S10fe+</t>
  </si>
  <si>
    <t>1219837
1219838
1219836
1219840
1219839
1219851
1221479</t>
  </si>
  <si>
    <t>S25 ET S25 ULTRA</t>
  </si>
  <si>
    <t>1216115
1217214
1217215
1217216
1217217
1217218
1217219
1217220
1217241
1217246
1217247
1217248
1221349
1217065
1217268
1217269
1217270
1217271
1217272
1217273
1217275
1217276
1217277
1217278
1217279
1223970
1225358</t>
  </si>
  <si>
    <t>Flip7</t>
  </si>
  <si>
    <t>1225168
1225182
1225183
1225184
1225185
1225186</t>
  </si>
  <si>
    <t>S25Ultra</t>
  </si>
  <si>
    <t>1217065
1217268
1217269
1217270
1217271
1217272
1217273
1217275
1217276
1217277
1217278
1217279
1223970
1225358</t>
  </si>
  <si>
    <t>GOOGLE</t>
  </si>
  <si>
    <t>Google</t>
  </si>
  <si>
    <t>Pixel 10</t>
  </si>
  <si>
    <t xml:space="preserve">1224943
1224944
1224945
1224946
1224947
1224948
1224916
1224917
</t>
  </si>
  <si>
    <t>Pixel 10 Pro</t>
  </si>
  <si>
    <t xml:space="preserve">1224918
1224919
1224920
1224951
1224952
1224953
1224954
1224955
1224972
1224973
1224974
1230987
</t>
  </si>
  <si>
    <t>Pixel 10 Pro XL</t>
  </si>
  <si>
    <t xml:space="preserve">1224975
1224976
1224977
1224978
1224979
1224980
1224982
1224983
</t>
  </si>
  <si>
    <t>MOTOROLA</t>
  </si>
  <si>
    <t>RAZR60</t>
  </si>
  <si>
    <t>100€ DE BONUS RACHAT</t>
  </si>
  <si>
    <t>MOTORAL RAZR60.pdf</t>
  </si>
  <si>
    <t>1228310
1228321 
1224790</t>
  </si>
  <si>
    <t>edge 60 fusion</t>
  </si>
  <si>
    <t>1219585
1220241
1220242
1224788</t>
  </si>
  <si>
    <t>Edge 60 Pro</t>
  </si>
  <si>
    <t xml:space="preserve">200€ de bonus rachat </t>
  </si>
  <si>
    <t xml:space="preserve">1221371
1221372 
1221373 
 </t>
  </si>
  <si>
    <t xml:space="preserve">Magic 6 Pro </t>
  </si>
  <si>
    <t>1202134
1202332
1202333</t>
  </si>
  <si>
    <t>Magic V2</t>
  </si>
  <si>
    <t>Edge 50 Pro</t>
  </si>
  <si>
    <t>1205635
1205633
1205632
1205634</t>
  </si>
  <si>
    <t>Edge 50 FUSION</t>
  </si>
  <si>
    <t>1212004
1212005
1212006
1212007</t>
  </si>
  <si>
    <t>Edge 50 PRO, EDGE 50 ULTRA, RAZR 50</t>
  </si>
  <si>
    <t>Edge 50 NEO</t>
  </si>
  <si>
    <t>ILV_A4_BOULANGER_XIAOMI 14T.jpg</t>
  </si>
  <si>
    <t>Redmi Note 13 5G</t>
  </si>
  <si>
    <t>ILV_A4_BOULANGER_XIAOMI MIX FLIP.jpg</t>
  </si>
  <si>
    <t>Redmi note 13 Pro Plus</t>
  </si>
  <si>
    <t>ILV_A4_BONUS REPRISE_01 AU 14 JUILLET_RN13 Series.jpg</t>
  </si>
  <si>
    <t>1200230
1200241
1200242
1200227
1200228
1200229
1201755</t>
  </si>
  <si>
    <t xml:space="preserve">Redmi note 13 Pro </t>
  </si>
  <si>
    <t>ILV_A4_BONUS REPRISE_15 JUIL 12AOUT.jpg</t>
  </si>
  <si>
    <t>1200223
1200224
1200225
1200244
1207921
1200210
1200221
1200222</t>
  </si>
  <si>
    <t>ILV_A4_BRADERIE_RN13 PRO5G.jpg</t>
  </si>
  <si>
    <t>ILV_A4_BOULANGER_BONUS REPRISE_XIAOMI 13T.pdf</t>
  </si>
  <si>
    <t>1195881
1195882
1205793
1209050</t>
  </si>
  <si>
    <t>Xiaomi 13T pro</t>
  </si>
  <si>
    <t>ILV_A4_BRADERIE_XIAOMI 14.jpg</t>
  </si>
  <si>
    <t>ILV_A4_BOULANGER_BONUS REPRISE_XIAOMI 14 ULTRA.pdf</t>
  </si>
  <si>
    <t>Pad 6s pro</t>
  </si>
  <si>
    <t xml:space="preserve">1195881
1195882
1195884
1195885
</t>
  </si>
  <si>
    <t>XIAOMI 14T PRO</t>
  </si>
  <si>
    <t xml:space="preserve">150€ de bonus rachat   </t>
  </si>
  <si>
    <t>SORTIES SERIES 14</t>
  </si>
  <si>
    <t>1212265
1212266
1212267</t>
  </si>
  <si>
    <t xml:space="preserve">XIAOMI 14T </t>
  </si>
  <si>
    <t xml:space="preserve">100€ de bonus rachat  </t>
  </si>
  <si>
    <t>1212262
1212263
1212264
1212117</t>
  </si>
  <si>
    <t>MIX FLIP</t>
  </si>
  <si>
    <r>
      <rPr>
        <rFont val="Poppins"/>
        <sz val="9.0"/>
      </rPr>
      <t>Pad 6s pr</t>
    </r>
    <r>
      <rPr>
        <rFont val="Poppins"/>
        <sz val="9.0"/>
      </rPr>
      <t xml:space="preserve">o uniquement 1204937 </t>
    </r>
  </si>
  <si>
    <t xml:space="preserve">
150€ de bonus rachat</t>
  </si>
  <si>
    <t>6spro.pdf</t>
  </si>
  <si>
    <t>REDMI PAD PRO</t>
  </si>
  <si>
    <t>REDMI PAD PRO.pdf</t>
  </si>
  <si>
    <t>1206948
1206949
1206950
1212269
1207286</t>
  </si>
  <si>
    <t xml:space="preserve">Xiaomi 15T/15TPro </t>
  </si>
  <si>
    <t>Xiaomi 15T ILV A4 V2.pdf</t>
  </si>
  <si>
    <t xml:space="preserve">1227622
1227623
1227625
1227626
1227627
1227628 
</t>
  </si>
  <si>
    <t>Xiaomi 15T/ 15TPro / 15T /15 Ultra</t>
  </si>
  <si>
    <t>1218605
1218606
1218651
1218654
1227622
1227623
1227625
1227626
1227627
1227628
1231033
1231082</t>
  </si>
  <si>
    <t>Xiaomi 15</t>
  </si>
  <si>
    <t>400€ de bonus rachat</t>
  </si>
  <si>
    <t>ILV MAG 18.03.2025 XIAOMI 15.pdf</t>
  </si>
  <si>
    <t xml:space="preserve">1218605
1218606
1218654
</t>
  </si>
  <si>
    <t>14T Pro</t>
  </si>
  <si>
    <t>14T PRO BR 300 18.03.2025.pdf</t>
  </si>
  <si>
    <t>Pixel 9, 9Pro, 9 Pro XL</t>
  </si>
  <si>
    <t>1209804
1209805
1209806
1209807
1209808
1209809
1209810
1209811
1209812
1209813
1209814
1209815
1209816
1209818
1209819
1209820
1209821
1209822
1209823
1209824
1209825
1209826
1209828
1209829
1209830
1209831
1209832
1209833
1209834
1216714</t>
  </si>
  <si>
    <t>Pixel 9 family</t>
  </si>
  <si>
    <t>br 100 pixel 9.pdf
Pixel-Boulanger_PackPixel9-Phase1_ILV_A4 (3).pdf</t>
  </si>
  <si>
    <t>Smpartphone</t>
  </si>
  <si>
    <t xml:space="preserve">Smartphone GOOGLE Pack Pixel 8a + Cover + Verre trempé 1211495 </t>
  </si>
  <si>
    <t>google 50€ BR PACK.pdf</t>
  </si>
  <si>
    <r>
      <rPr>
        <rFont val="Poppins"/>
        <color rgb="FF222222"/>
        <sz val="9.0"/>
      </rPr>
      <t xml:space="preserve">Smartphone GOOGLE Pixel 8 Pro Porcelaine </t>
    </r>
    <r>
      <rPr>
        <rFont val="Poppins"/>
        <color rgb="FF222222"/>
        <sz val="9.0"/>
      </rPr>
      <t>ref 1195872</t>
    </r>
  </si>
  <si>
    <t>80€ de bonus rachat sur la ref 1195872 uniquement</t>
  </si>
  <si>
    <t>Pixel-Boulanger_Pixel8Pro_ILV_A4.pdf</t>
  </si>
  <si>
    <r>
      <rPr>
        <rFont val="Poppins"/>
        <color rgb="FF222222"/>
        <sz val="9.0"/>
      </rPr>
      <t xml:space="preserve">Google Pixel 8a </t>
    </r>
    <r>
      <rPr>
        <rFont val="Poppins"/>
        <color rgb="FF222222"/>
        <sz val="9.0"/>
      </rPr>
      <t>(HORS PACK)</t>
    </r>
  </si>
  <si>
    <t>google pixel 8a.pdf</t>
  </si>
  <si>
    <t>1203977
1203978
1203979
1203980
1203991</t>
  </si>
  <si>
    <r>
      <rPr>
        <rFont val="Poppins"/>
        <color rgb="FF222222"/>
        <sz val="9.0"/>
      </rPr>
      <t xml:space="preserve">Google Pixel 8 PRO </t>
    </r>
    <r>
      <rPr>
        <rFont val="Poppins"/>
        <color rgb="FF222222"/>
        <sz val="9.0"/>
      </rPr>
      <t>(HORS PACK)</t>
    </r>
  </si>
  <si>
    <t>google pixel 8 pro.pdf</t>
  </si>
  <si>
    <t>1195870
1195873
1195874
1195879
1195880</t>
  </si>
  <si>
    <t>HONOR</t>
  </si>
  <si>
    <t>400 Lite</t>
  </si>
  <si>
    <t>1220526
1220527</t>
  </si>
  <si>
    <t>Magic 7 Pro</t>
  </si>
  <si>
    <t>ILV MAG br 100 magic7 pro +
HONOR Magic7 Pro A4.pdf</t>
  </si>
  <si>
    <t>Honor Magic V3</t>
  </si>
  <si>
    <t>BR HONOR V3 .pdf</t>
  </si>
  <si>
    <t>1211930
1212001</t>
  </si>
  <si>
    <t>Honor 200 Pro</t>
  </si>
  <si>
    <t>fin du Br 170€ 
Passage en remise immédiate</t>
  </si>
  <si>
    <t>BR HONOR 200 PRO  (1).pdf</t>
  </si>
  <si>
    <t>1208156
1208158
1208160</t>
  </si>
  <si>
    <t>Honor 200</t>
  </si>
  <si>
    <t>BR HONOR 200.pdf</t>
  </si>
  <si>
    <t>1208154
1208155
1208159 
1214711</t>
  </si>
  <si>
    <t>HONOR 400</t>
  </si>
  <si>
    <t>1222026
1222027</t>
  </si>
  <si>
    <t>Oppo</t>
  </si>
  <si>
    <t>Reno 13Pro</t>
  </si>
  <si>
    <t>1218971
1218972</t>
  </si>
  <si>
    <t>Reno 13FS et 14FS</t>
  </si>
  <si>
    <t>1218973
1218974
1218975
1227142
1227143</t>
  </si>
  <si>
    <t>Reno 14F</t>
  </si>
  <si>
    <t>1227144
1227145</t>
  </si>
  <si>
    <t>Samrtphone</t>
  </si>
  <si>
    <t>Reno 14</t>
  </si>
  <si>
    <t>1227103
1227141</t>
  </si>
  <si>
    <t xml:space="preserve"> Find X9 Pro 512Go</t>
  </si>
  <si>
    <t xml:space="preserve">1231658
1231659
</t>
  </si>
  <si>
    <t>Find X9 512Go</t>
  </si>
  <si>
    <t>1231656
1231657</t>
  </si>
  <si>
    <t>Reno 14FS</t>
  </si>
  <si>
    <t>1227142
1227143</t>
  </si>
  <si>
    <t>Reno 13FS</t>
  </si>
  <si>
    <t>1218973
1218974
1218975</t>
  </si>
  <si>
    <t>iPhone 15 Pro et 15 Pro Max (600 dossiers de rachat max)</t>
  </si>
  <si>
    <r>
      <rPr>
        <rFont val="Poppins"/>
        <strike/>
        <color rgb="FF222222"/>
        <sz val="9.0"/>
      </rPr>
      <t xml:space="preserve">70€ de Bonus rachat supplémentaire </t>
    </r>
    <r>
      <rPr>
        <rFont val="Poppins"/>
        <strike/>
        <color rgb="FF222222"/>
        <sz val="9.0"/>
      </rPr>
      <t>(mettre les deux zimm 1204583 + 1209376)</t>
    </r>
  </si>
  <si>
    <t>1209376 + 1204583</t>
  </si>
  <si>
    <t>170€ BR IPHONE15PRO.pdf</t>
  </si>
  <si>
    <t>Uniquement iPhone 15 (hors Plus, pro et pro max)</t>
  </si>
  <si>
    <t>1204583 + 1208712</t>
  </si>
  <si>
    <t>ILV 150 iPHONE 15 (1).pdf</t>
  </si>
  <si>
    <t>Pixel 8a</t>
  </si>
  <si>
    <t>50€ de bonus reprise</t>
  </si>
  <si>
    <t>p8a 50e rachat.pdf</t>
  </si>
  <si>
    <t>Pixel 9</t>
  </si>
  <si>
    <t>1209804
1209805
1209806
1209807
1209808
1209809
1209810
1209811</t>
  </si>
  <si>
    <t>Pixel 9 Pro et 9 Pro XL</t>
  </si>
  <si>
    <t>1209812
1209813
1209814
1209815
1209816
1209818
1209819
1209820
1209821
1209822
1209823
1209824
1209825
1209826
1209828
1209829
1209830
1209831
1209832
1209833
1209834</t>
  </si>
  <si>
    <t>Pixel 9 Pro Fold</t>
  </si>
  <si>
    <t>1209750
1209801
1209802
1209803</t>
  </si>
  <si>
    <t>150€ de bonus rachat =&gt; il faut mettre les deux zimm ( 1204583 + 1208712 pour avoir les 150€)</t>
  </si>
  <si>
    <t>1208712 + 1204583 = 150€</t>
  </si>
  <si>
    <t>150€ BR iphone 15 PRO.pdf</t>
  </si>
  <si>
    <t>1196348
1196349
1196350
1196351
1196352
1196353
1196354
1196355
1196356
1196357
1196358
1196359
1196360
1196361
1196362
1196363
1196364
1196365
1196366
1196367
1196368
1196369
1196370
1196371
1196372
1196373
1196374
1196375</t>
  </si>
  <si>
    <t>REMISE/ OFFRES</t>
  </si>
  <si>
    <t>IPHONE 17 / 17 PRO / 17 PRO MAX / AIR</t>
  </si>
  <si>
    <t>50% PROTECTION ECRAN SUR MESURE</t>
  </si>
  <si>
    <t>WATCH SE3 / WATCH ULTRA3 / WATCH SERIES 11</t>
  </si>
  <si>
    <t>OFFRE UNIDAYS</t>
  </si>
  <si>
    <r>
      <rPr>
        <rFont val="Poppins"/>
        <sz val="9.0"/>
      </rPr>
      <t xml:space="preserve">50€ DE REMISE VIA UNIDAYS &gt; attention, le principe premier reste
 de passer par le portail unidays
 </t>
    </r>
    <r>
      <rPr>
        <rFont val="Poppins"/>
        <color rgb="FF1155CC"/>
        <sz val="9.0"/>
        <u/>
      </rPr>
      <t>https://www.myunidays.com/FR/fr-FR/partners/d98f0745-7606-4cdd-ae84-4e04eec48c81/view</t>
    </r>
  </si>
  <si>
    <t>https://drive.google.com/file/d/1tenXe9MSVJm85chyAXD01FSMzRoupKXc/view?usp=sharing</t>
  </si>
  <si>
    <t>S23 family, S23FE, Z-Flip5 et Z-Fold5</t>
  </si>
  <si>
    <t>1200713 = -150€ + + Watch 6 40mm BT offerte sur les S24+ &amp; S24 Ultra Capé 300Max</t>
  </si>
  <si>
    <t>60€
70€
80€
90€
100€
110€
120€
130€
140€
160€
180€
200€
220€</t>
  </si>
  <si>
    <t xml:space="preserve">
1196540
1196526
1196546
1196547
1196563
1196564
1197427
1197428
1197429
1197430
1197431
1198112
1198953        
</t>
  </si>
  <si>
    <t xml:space="preserve"> PAD SE 8 256 GRIS</t>
  </si>
  <si>
    <t>INFINITY 6 mois offerts</t>
  </si>
  <si>
    <t xml:space="preserve"> Xiaomi Note 13 </t>
  </si>
  <si>
    <t xml:space="preserve">-50% sur protège écran sur mesure lors achat Redmi Note 13 </t>
  </si>
  <si>
    <t>ILV SVP ?</t>
  </si>
  <si>
    <t>1200206
1200207
1200208
1200223
1200224
1200225
1200227
1200228
1200229
1200244
1200230
1200241
1200242
1200202
1200203
1200204
1200210
1200222
1200221</t>
  </si>
  <si>
    <t xml:space="preserve">Samsung Galaxy Z Flip5 </t>
  </si>
  <si>
    <t>-100€ de remise immédiate pour les ouvreurs et porteurs club, club+, infinity</t>
  </si>
  <si>
    <t>https://drive.google.com/file/d/1tlsB42ZA3SzHt3nlG-C0_-IsQjzaxwJ7/view?usp=drive_link</t>
  </si>
  <si>
    <t xml:space="preserve">Samsung Galaxy Z Fold5 </t>
  </si>
  <si>
    <t>-150€ de remise immédiate pour les ouvreurs et porteurs club, club+, infinity</t>
  </si>
  <si>
    <t>https://drive.google.com/file/d/1hsm7dcx5CdczEv8b25pGX1ZzJmwb5gA4/view?usp=drive_link</t>
  </si>
  <si>
    <t>1194589
1194590
1194591
1194592
1194593
1194594
1194596</t>
  </si>
  <si>
    <t>Redmi Note 13 4G</t>
  </si>
  <si>
    <t>-10€  REDMI NOTE 13 4G</t>
  </si>
  <si>
    <t xml:space="preserve">1200202
1200203
1200204
</t>
  </si>
  <si>
    <t>Redmi Note 13 Pro 5G</t>
  </si>
  <si>
    <t>-30€ Redmi Note 13 Pro 5G</t>
  </si>
  <si>
    <t>1200223
1200224
1200225
1200244</t>
  </si>
  <si>
    <t>1200227
1200228
1200229</t>
  </si>
  <si>
    <t xml:space="preserve">Pad SE </t>
  </si>
  <si>
    <t>https://drive.google.com/file/d/1jVfdI4ykuTOGaPJURvcDTAWRtwS1osG_/view?usp=drive_link</t>
  </si>
  <si>
    <t>1194971
1194972
1194973
1192762
1192763
1192764
1195793
1195794
1184827
1184828
1184829</t>
  </si>
  <si>
    <t>Honor Magic V2</t>
  </si>
  <si>
    <t>500€ de remise au panier</t>
  </si>
  <si>
    <t>EN REMISE IMMEDIATE DEPUIS LE 07/03</t>
  </si>
  <si>
    <t xml:space="preserve">S24 Family (200 unités)
</t>
  </si>
  <si>
    <t xml:space="preserve">100€ de remise immédiate </t>
  </si>
  <si>
    <t xml:space="preserve">1199976
1199977
1199978
1199979
1199980
1200011
1200012
1200013
1200014
1200015
1200016
1200017
1200018
1200019
1200020
1200021
1200022
1200023
1200024
1200025
1200026
1200027
1200028
1200029
1200030
1200031
1200032
1200033
</t>
  </si>
  <si>
    <t>Redmi Note 13 Pro 512Go 4G</t>
  </si>
  <si>
    <t>1200210
1200221
1200222</t>
  </si>
  <si>
    <t>Xiaomi 13T 256Go</t>
  </si>
  <si>
    <t>https://drive.google.com/file/d/145fKPKhbspDFxdbWaPEb-KuQUYl5OOgF/view?usp=drive_link</t>
  </si>
  <si>
    <t>13T Pro 1To</t>
  </si>
  <si>
    <t xml:space="preserve">1195884
1195885
</t>
  </si>
  <si>
    <t xml:space="preserve"> Z-Fold5 </t>
  </si>
  <si>
    <t>https://drive.google.com/file/d/1Z_RgUSkKzHS5ckNmsqpfT9sDBLwNAxTf/view?usp=drive_link</t>
  </si>
  <si>
    <t xml:space="preserve"> Z-Flip5</t>
  </si>
  <si>
    <t>https://drive.google.com/file/d/1JPhSg1KsuF-SwZLBNV1Txfw8FLI3q7iE/view?usp=drive_link</t>
  </si>
  <si>
    <t>S24 FAMILY</t>
  </si>
  <si>
    <t xml:space="preserve">ZAGG OFFERT </t>
  </si>
  <si>
    <t>https://drive.google.com/file/d/1VSz6Jc5r9qMuVQKvi3PhdzFSVRq6Puz3/view?usp=drive_link</t>
  </si>
  <si>
    <t>S24
1199976
1199977
1199978
1199979
1199980
1200011
1200012
1200013
S24+
1200014
1200015
1200016
1200017
1200018
1200019
1200020
1200021
S24 Ultra
1200022
1200023
1200024
1200025
1200026
1200027
1200028
1200029
1200030
1200031
1200032
1200033</t>
  </si>
  <si>
    <t xml:space="preserve">MOBILE OUTFITER OFFERT </t>
  </si>
  <si>
    <t>S24
1199976
1199977
1199978
1199979
1199980
1200011
1200012
1200013
S24+
1200014
1200015
1200016
1200017
1200018
1200019
1200020
1200021
S24 Ultra
1200022
1200023
1200024
1200025
1200026
1200027
1200028
1200029
1200030
1200031
1200032
1200033</t>
  </si>
  <si>
    <t xml:space="preserve"> XIAOMI PAD 6 OFFERTE EN 128 GO NOIR (1192764) OFFERTE  </t>
  </si>
  <si>
    <r>
      <rPr>
        <rFont val="Poppins"/>
        <color rgb="FF000000"/>
        <sz val="9.0"/>
      </rPr>
      <t xml:space="preserve">15/03/2024 </t>
    </r>
    <r>
      <rPr>
        <rFont val="Poppins"/>
        <color rgb="FF000000"/>
        <sz val="9.0"/>
      </rPr>
      <t>(14H30)</t>
    </r>
  </si>
  <si>
    <t>https://drive.google.com/drive/folders/1vki-BpWuQGRDk4SuLB0R5qbgMwWokx6o?usp=drive_link</t>
  </si>
  <si>
    <r>
      <rPr>
        <rFont val="Poppins"/>
        <color rgb="FF222222"/>
        <sz val="9.0"/>
      </rPr>
      <t xml:space="preserve"> Redmi Note 13 4G/5G </t>
    </r>
    <r>
      <rPr>
        <rFont val="Poppins"/>
        <color rgb="FFFF0000"/>
        <sz val="9.0"/>
      </rPr>
      <t>300 Max</t>
    </r>
  </si>
  <si>
    <t>45€ de remise</t>
  </si>
  <si>
    <t>1200202
1200203
1200204
1200206
1200207
1200208</t>
  </si>
  <si>
    <t xml:space="preserve">remise </t>
  </si>
  <si>
    <r>
      <rPr>
        <rFont val="Poppins"/>
        <color rgb="FF222222"/>
        <sz val="9.0"/>
      </rPr>
      <t xml:space="preserve">Redmi Note 13 Pro/+ 5G </t>
    </r>
    <r>
      <rPr>
        <rFont val="Poppins"/>
        <color rgb="FFFF0000"/>
        <sz val="9.0"/>
      </rPr>
      <t>300 Max</t>
    </r>
  </si>
  <si>
    <t>65€ de remise</t>
  </si>
  <si>
    <t>1200223
1200224
1200225
1200244
1200227
1200228
1200229</t>
  </si>
  <si>
    <r>
      <rPr>
        <rFont val="Poppins"/>
        <color rgb="FF222222"/>
        <sz val="9.0"/>
      </rPr>
      <t xml:space="preserve">Redmi Note 13 Pro 4G </t>
    </r>
    <r>
      <rPr>
        <rFont val="Poppins"/>
        <color rgb="FFFF0000"/>
        <sz val="9.0"/>
      </rPr>
      <t>100 Max</t>
    </r>
  </si>
  <si>
    <t>1200210
1200221
1200222</t>
  </si>
  <si>
    <t>600€ de remise immédiate</t>
  </si>
  <si>
    <t>https://drive.google.com/file/d/1-WYKtaumn--C5utW5SLoMUJNDQejWil_/view?usp=drive_link</t>
  </si>
  <si>
    <t xml:space="preserve">30€
40€
50€
60€
70€
90€
100€
110€
160€
170€
200€
</t>
  </si>
  <si>
    <t xml:space="preserve">1198953
1197427
1197429
1196540
1196526
1196547
1196563
1196564
1197430
1197431
1198112
</t>
  </si>
  <si>
    <t>https://drive.google.com/file/d/17BX4kefDo173Y5BA7Cfnw730lC8ZP6RU/view?usp=drive_link</t>
  </si>
  <si>
    <t>Valable uniquement sur les S21-FE-5G
 S22 5G
 S23FE 
S23 
Z-FLIP5 
Z-FOLD5</t>
  </si>
  <si>
    <t>Catégorielle</t>
  </si>
  <si>
    <t>10€
20€
30€
50€
 60€
70€
80€
90€
100€
110€
130€
140€</t>
  </si>
  <si>
    <t xml:space="preserve">1197313
1197315
1197317
1197318
1197321 
1197322
1197323
1197324 
1197325
1197326
1197328 
1198556 </t>
  </si>
  <si>
    <t>Valable uniquement sur 
TabA9/+ S9FE / S9 Family</t>
  </si>
  <si>
    <t>10€
20€
30€</t>
  </si>
  <si>
    <t xml:space="preserve">1197407
1198433
1197406 </t>
  </si>
  <si>
    <t>Valable uniquement sur les
 GW4 40mm
 GW4 4G 40mm 
GW5 Pro BT 45mm
 GW5 Pro 4G 45mm 
GW6 Classic</t>
  </si>
  <si>
    <t xml:space="preserve">1194971
1194972
1194973
1195793
1195794
1184827
1184828
1184829
1192762
1192763
1192764
1197829 </t>
  </si>
  <si>
    <t>Honor Magic 6 Pro</t>
  </si>
  <si>
    <t>https://drive.google.com/drive/folders/18DRrHM0hRAbFpwqFPd7zb1JgE1jZ1-tM?usp=drive_link</t>
  </si>
  <si>
    <t>1202134
1202332
1202333</t>
  </si>
  <si>
    <t>S24 Family / Z Fold &amp; Flip 5 / S23 / S23FE</t>
  </si>
  <si>
    <t xml:space="preserve">10€ par tranche de 100e </t>
  </si>
  <si>
    <t xml:space="preserve">
50€
60€
70€
80€
90€
100€
110€
120€
140€
150€
170€
180€
200€</t>
  </si>
  <si>
    <t xml:space="preserve">
1206248
1196526 
1196540 
1196546 
1196547 
1196563 
1196564 
1197427 
1197428 
1197429 
1198112 
1197431 
1197430 </t>
  </si>
  <si>
    <t>1194591
1194594
1200030
1200031
1200032
1200033
1194590
1194593
1194597
1194589
1194592
1194596
1200026
1200027
1200028
1200029
1200022
1200023
1200024
1200025
1200018
1200019
1200020
1200021
1200014
1200015
1200016
1200017
1194582
1194584
1194586
1194588
1199980
1200011
1200012
1200013
1194581
1194583
1194585
1194587
1199976
1199977
1199978
1199979
1187768
1187769
1187770
1187781
1187764
1187765
1187766
1187767
1198674
1202967
1199539
1199541
1199543
1199536
1199538
1199540
1199542
1207187</t>
  </si>
  <si>
    <t>IPHONE 16 / PLUS / PRO / MAX</t>
  </si>
  <si>
    <t>PROTECTION ECRAN -50%</t>
  </si>
  <si>
    <t>ZIMM MO: 1212252
ZIMM ZAGG:1212250</t>
  </si>
  <si>
    <t>https://drive.google.com/file/d/1GCfqo_FdcxHcU7sw7fy_8T7ATakzZwuu/view?usp=sharing</t>
  </si>
  <si>
    <t xml:space="preserve">FAIRPHONE </t>
  </si>
  <si>
    <t xml:space="preserve">Fairphone </t>
  </si>
  <si>
    <t xml:space="preserve">Fairphone 5 </t>
  </si>
  <si>
    <t xml:space="preserve">Coque offerte 1198057 </t>
  </si>
  <si>
    <t>Limite des stocks disponibles</t>
  </si>
  <si>
    <t>1216218 
1216219</t>
  </si>
  <si>
    <t>Honor Magic 6 Lite</t>
  </si>
  <si>
    <t>50€ de remise au panier</t>
  </si>
  <si>
    <t>DIRECTEMENT DANS LE PRIX DEPUIS LE 04/03</t>
  </si>
  <si>
    <t>1199579
1199580
1199581</t>
  </si>
  <si>
    <t>DIRECTEMENT DANS LE PRIX DEPUIS LE 04/04</t>
  </si>
  <si>
    <t>200€ de remise au panier</t>
  </si>
  <si>
    <t>150€ de remise au panier</t>
  </si>
  <si>
    <t>1192718
1192719
1197456</t>
  </si>
  <si>
    <t>Magic 6 Pro</t>
  </si>
  <si>
    <t>DIRECTEMENT DANS LE RPIX</t>
  </si>
  <si>
    <t>Huawei</t>
  </si>
  <si>
    <t>HUAWEI GT4 Vert</t>
  </si>
  <si>
    <t>20€ de remise au panier</t>
  </si>
  <si>
    <t>Z Flip 5 / Z Fold 5</t>
  </si>
  <si>
    <t>Watch5 Pro (1182380,1182471) hors pack =&gt; 
offerte au panier pour l'achat d'un ZFlip5 ou ZFold5</t>
  </si>
  <si>
    <r>
      <rPr>
        <rFont val="Poppins"/>
        <color rgb="FF000000"/>
        <sz val="9.0"/>
      </rPr>
      <t xml:space="preserve">29/03/2024 </t>
    </r>
    <r>
      <rPr>
        <rFont val="Poppins"/>
        <color rgb="FF000000"/>
        <sz val="9.0"/>
      </rPr>
      <t>(18H)</t>
    </r>
  </si>
  <si>
    <t>https://drive.google.com/file/d/1H5i41k8IVpk5RzhdgVLaZcFQyMu4Nsxi/view?usp=drive_link</t>
  </si>
  <si>
    <t>codes produit Z-Flip 5 et Fold5
1194581
1194582
1194583
1194584
1194585
1194586
1194587
1194588
1194589
1194590
1194591
1194592
1194593
1194594
1194596
1194597
1194598
Watch 5Pro (Hors Pack)
1182380
1182471
1194581
1194582
1194583
1194584
1194585
1194586
1194587
1194588
1194589
1194590
1194591
1194592
1194593
1194594
1194596
1194597
1194598
Watch 5Pro (Hors Pack)
1182380
1182471</t>
  </si>
  <si>
    <t xml:space="preserve">Galaxy Tab S8, S8+, S8 Ultra, 
S9, S9+, S9 Ultra, S9FE, S9FE+, 
A9, A9+ </t>
  </si>
  <si>
    <t>10€ par tranche de 100€</t>
  </si>
  <si>
    <r>
      <rPr>
        <rFont val="Poppins"/>
        <color rgb="FF000000"/>
        <sz val="9.0"/>
      </rPr>
      <t xml:space="preserve">29/03/2024 </t>
    </r>
    <r>
      <rPr>
        <rFont val="Poppins"/>
        <color rgb="FF000000"/>
        <sz val="9.0"/>
      </rPr>
      <t>(18H)</t>
    </r>
  </si>
  <si>
    <t xml:space="preserve">
10€
20€
30€
40€
50€
60€
70€
80€
90€
100€
110€
120€
130€
140€
150€
160€
</t>
  </si>
  <si>
    <t xml:space="preserve">
1197313 
1197315 
1197317 
1197318 
1197321 
1197322 
1197323 
1197324 
1197325
1197326  
1197327 
1197328 
1198556 
1198557 
1198558
1198559 
</t>
  </si>
  <si>
    <t>https://drive.google.com/file/d/1QcBLe1ewPr8yi9_fkFGmUrD2tdCHTbO3/view?usp=drive_link</t>
  </si>
  <si>
    <t>Galaxy S23/S23FE 
Galaxy S24, S24+, S24 ULTRA 
Galaxy ZFLIP5 ET ZFOLD5.</t>
  </si>
  <si>
    <r>
      <rPr>
        <rFont val="Poppins"/>
        <color rgb="FF000000"/>
        <sz val="9.0"/>
      </rPr>
      <t xml:space="preserve">29/03/2024 </t>
    </r>
    <r>
      <rPr>
        <rFont val="Poppins"/>
        <color rgb="FF000000"/>
        <sz val="9.0"/>
      </rPr>
      <t>(18H)</t>
    </r>
  </si>
  <si>
    <t xml:space="preserve">
60€
70€
80€
90€
110€
120€
140€
150€
160€
170€
190€</t>
  </si>
  <si>
    <t xml:space="preserve">
1196540
1196526 
1196546 
1196547 
1196564 
1197427 
1197428
1197429 
1196563 
1197430 
1198112 </t>
  </si>
  <si>
    <t>Watch 5 Pro et Watch 6 Series</t>
  </si>
  <si>
    <r>
      <rPr>
        <rFont val="Poppins"/>
        <color rgb="FF000000"/>
        <sz val="9.0"/>
      </rPr>
      <t xml:space="preserve">29/03/2024 </t>
    </r>
    <r>
      <rPr>
        <rFont val="Poppins"/>
        <color rgb="FF000000"/>
        <sz val="9.0"/>
      </rPr>
      <t>(18H)</t>
    </r>
  </si>
  <si>
    <t>30€
40€
50€</t>
  </si>
  <si>
    <t xml:space="preserve">1197406 
1197407 
1198433 </t>
  </si>
  <si>
    <t>Watch Fit 2 Active Noir</t>
  </si>
  <si>
    <t>10€ de remise au panier</t>
  </si>
  <si>
    <t>Pad SE4 + Pad 6</t>
  </si>
  <si>
    <t xml:space="preserve"> 3 mois offert infinity sur les Tab Xiaomi Pad6 et SE</t>
  </si>
  <si>
    <t>ILV_A4_INFINITY_AVRIL.jpg</t>
  </si>
  <si>
    <t>1192762
1192763
1192764
1194971
1194972
1194973</t>
  </si>
  <si>
    <t>PAD SE 8 256 GRIS</t>
  </si>
  <si>
    <t xml:space="preserve"> 3 mois offert infinity sur les PAD SE 8 256 GRIS</t>
  </si>
  <si>
    <t>6 mois d'infinity offert</t>
  </si>
  <si>
    <t>INFINITY TAB S9.pdf</t>
  </si>
  <si>
    <t>1194481
1194483
1194484
1194485
1194487
1194488
1194489
1194490
1194501
1194502
1194504
1194505
1196003
1196004</t>
  </si>
  <si>
    <t>Code CRM UNIQUEMENT (présentation de l'email) capping 150 codes</t>
  </si>
  <si>
    <t>100€ de remise sur s24 series, s23fe, s23, z flip5 z fold5</t>
  </si>
  <si>
    <t>3 mois infinity offerts</t>
  </si>
  <si>
    <t>https://drive.google.com/file/d/1rFs9J1cYyLALHejV0mpL7Y-MoHWlXONi/view?usp=sharing</t>
  </si>
  <si>
    <t>Samsung  A54</t>
  </si>
  <si>
    <t>COQUE A54 offerte</t>
  </si>
  <si>
    <t>Verre trempé A54 offert</t>
  </si>
  <si>
    <t>Samsung Flip 5</t>
  </si>
  <si>
    <t>Coque flip5 offerte</t>
  </si>
  <si>
    <t>Tablette S9FE (1197211)</t>
  </si>
  <si>
    <t>Une paide de buds ( ref 1197439) offerte
 pour l'achat d'une tab S9FE (ref 1197211)</t>
  </si>
  <si>
    <t>ILV_TABS9FEBUDSFE_A4 (2).pdf</t>
  </si>
  <si>
    <t>50% sur protection d'écran sur mesure ZAGG (ref 1177165) MO 
pour l'achat d'un P8a (1170399)</t>
  </si>
  <si>
    <t>P8A</t>
  </si>
  <si>
    <t>zagg : 1177165
mo : 1170399
Pixel 8a
1203977
1203978
1203979
1203980
1203991</t>
  </si>
  <si>
    <t xml:space="preserve"> Buds A (ref 1167678) offert pour l'achat d'un Pixel 8 </t>
  </si>
  <si>
    <t>offre web car mags fermés</t>
  </si>
  <si>
    <t>Code des Buds A = 1167678
Code des Pixel 8
1195862
1195864
1195866
1199823
1198819
1203662
1195867
1195868
1195869</t>
  </si>
  <si>
    <t>S24, S24+, S24Ultra</t>
  </si>
  <si>
    <t xml:space="preserve"> Buds 2 Pro  pour l'achat d'un S24, S24+, S24Ultra
(code buds 2 pro Code Buds2 Pro 1182414 1182415 1182416)</t>
  </si>
  <si>
    <t>Code Buds2 Pro 
1182414
1182415
1182416
Code S24
1199976
1199977
1199978
1199979
1199980
1200011
1200012
1200013
1200014
1200015
1200016
1200017
1200018
1200019
1200020
1200021
1200022
1200023
1200024
1200025
1200026
1200027
1200028
1200029
1200030
1200031
1200032
1200033</t>
  </si>
  <si>
    <t>50€ de remise panier</t>
  </si>
  <si>
    <t>Du 2704 au 2904 samsung.pdf</t>
  </si>
  <si>
    <t>Code S24
1199976
1199977
1199978
1199979
1199980
1200011
1200012
1200013</t>
  </si>
  <si>
    <t>S24+ S24 Ultra</t>
  </si>
  <si>
    <t>100€ de remise pabnier</t>
  </si>
  <si>
    <t xml:space="preserve">Code S24+ et S24 Ultra
1200014
1200015
1200016
1200017
1200018
1200019
1200020
1200021
1200022
1200023
1200024
1200025
1200026
1200027
1200028
1200029
1200030
1200031
1200032
1200033
</t>
  </si>
  <si>
    <t xml:space="preserve"> Xiaomi 13T et 13Tpro</t>
  </si>
  <si>
    <t>Watch 2 offerte (1202749  1202750) pour l'achat d'un 13T ou 13T pro</t>
  </si>
  <si>
    <t xml:space="preserve">1195881
1195882
1205793
1195885
</t>
  </si>
  <si>
    <t>XIAOMI 14 ET 14 ULTRA</t>
  </si>
  <si>
    <t>Une tab PAD 6 offerte (ref 1192764) pour l'achat d'un Xiaomi 14 / 14 Ultra</t>
  </si>
  <si>
    <t xml:space="preserve">1201752
1201753
1201754
1201941
1201942
</t>
  </si>
  <si>
    <t>S24+ et S24 ultra</t>
  </si>
  <si>
    <t>Une watch 5 pro offerte ( ref 1182471) pour l'achat d'un S24+ ou S24 ULTRA</t>
  </si>
  <si>
    <t>ILV_S24+S24ULTRA (3).pdf</t>
  </si>
  <si>
    <t>WATH 5 PRO : 1182471 
S24+
1200014
1200015
1200016
1200017
1200018
1200019
1200020
1200021
S24 Ultra
1200022
1200023
1200024
1200025
1200026
1200027
1200028
1200029
1200030
1200031
1200032
1200033</t>
  </si>
  <si>
    <t xml:space="preserve">Z Flip 5 </t>
  </si>
  <si>
    <t>Une watch 6 classic 43 mm offerte (ref 1193799 ) pour l'achat d'un Z FLIP 5</t>
  </si>
  <si>
    <t>SAM24 - Banner ZFlip5 - BOULANGER ILV A4 - LR.pdf</t>
  </si>
  <si>
    <t>watch 6 : 1193799 z flip 5 : 1194581 1194582 1194583 1194584 1194585 1194586 1194587 1194588 "</t>
  </si>
  <si>
    <t xml:space="preserve">Une watch 6 classic offerte 47mm (ref 1193800) pour l'achat d'un Z FOLD 5 </t>
  </si>
  <si>
    <t>SAM24 - Banner ZFold5 - BOULANGER ILV A4 - LR.pdf</t>
  </si>
  <si>
    <t xml:space="preserve">watch 6 : 1193800
z fold 5 : 
1194589
1194590
1194591
1194592
1194593
1194594
1194596
1194597
1194598
</t>
  </si>
  <si>
    <t xml:space="preserve">
S9 :   1194481 1194483 1194484
Pack S9 + Buds 2 pro : 196003
S9 + : 1194487 1194488 1194489
S9 + / Book Cover : 1196004
S9 Ultra 1194501 1194502 1194504</t>
  </si>
  <si>
    <r>
      <rPr>
        <rFont val="Poppins"/>
        <sz val="9.0"/>
      </rPr>
      <t xml:space="preserve">Tab Galaxy Tab A9+ 64Go Wifi Gris Anthracite (1199129) OFFERTE
pour l'achat d'un TAB S9 seulement les codes suivants : </t>
    </r>
    <r>
      <rPr>
        <rFont val="Poppins"/>
        <sz val="9.0"/>
      </rPr>
      <t xml:space="preserve">
S9 :   1194481 1194483 1194484
Pack S9 + Buds 2 pro : 196003
S9 + : 1194487 1194488 1194489
S9 + / Book Cover : 1196004
S9 Ultra 1194501 1194502 1194504</t>
    </r>
  </si>
  <si>
    <t>ILV_TABS9.pdf</t>
  </si>
  <si>
    <t>S9 :   
1194481
1194483
1194484
Pack S9 + Buds 2 pro
1196003
S9 + 
1194487
1194488
1194489
S9 + / Book Cover 
1196004
S9 Ultra
1194501
1194502
1194504</t>
  </si>
  <si>
    <t>S9
S9+
S9 Ultra</t>
  </si>
  <si>
    <t>Pack TAB A9+ 128Go offert (1200632) pour l'achat d'une TAB S9 
Seulement sur les codes suivants :
1196004
1194501
1194483
1194487
1194489
1194488
1194481
1194484
1194502
1194504
1196003
1205071</t>
  </si>
  <si>
    <t xml:space="preserve">1196004
1194501
1194483
1194487
1194489
1194488
1194481
1194484
1194502
1194504
1196003
1205071
</t>
  </si>
  <si>
    <t xml:space="preserve"> Xiaomi 14 Ultra &amp; Xiaomi 13T</t>
  </si>
  <si>
    <t>Watch 2 offerte (1202749, 1202750) 
pour l'achat d'un Xiaomi 14 Ultra ou d'un xiaomi 13T</t>
  </si>
  <si>
    <t>1201941
1201942
1195881
1195882
1205793</t>
  </si>
  <si>
    <t>Watch 2 offerte (1202749, 1202750)</t>
  </si>
  <si>
    <t xml:space="preserve">1195885
1195884
</t>
  </si>
  <si>
    <t>Tab Xiaomi</t>
  </si>
  <si>
    <t>3 mois Infinity Offerts</t>
  </si>
  <si>
    <t>1192762
1192763
1192764
1194971
1194972
1194973
1204937
1205053
1197928</t>
  </si>
  <si>
    <t>Watch 5 Pro, Watch 6, Watch 6 Classic</t>
  </si>
  <si>
    <r>
      <rPr>
        <rFont val="Poppins"/>
        <color rgb="FF000000"/>
        <sz val="9.0"/>
      </rPr>
      <t xml:space="preserve">19/04/2024 </t>
    </r>
    <r>
      <rPr>
        <rFont val="Poppins"/>
        <color rgb="FF000000"/>
        <sz val="9.0"/>
      </rPr>
      <t>16h30</t>
    </r>
  </si>
  <si>
    <t xml:space="preserve">
30€
40€
50€
</t>
  </si>
  <si>
    <t xml:space="preserve">
1197406
1197407
1198433 
</t>
  </si>
  <si>
    <t xml:space="preserve">1182380
1182471
1182472
1182473
1185253
1193780
1193791
1193792
1193793
1193794
1193795
1193796
1193797
1193798
1193799
1193800
1193801
1193802
1193803
1193804
1193805
1195506
1199120
1200468
</t>
  </si>
  <si>
    <t>Tab s8, s8+, s8 Ultra, s9,s9+, s9 Ultra,  s9fe, s9fe+, a9, a9+</t>
  </si>
  <si>
    <r>
      <rPr>
        <rFont val="Poppins"/>
        <color rgb="FF000000"/>
        <sz val="9.0"/>
      </rPr>
      <t xml:space="preserve">19/04/2024 </t>
    </r>
    <r>
      <rPr>
        <rFont val="Poppins"/>
        <color rgb="FF000000"/>
        <sz val="9.0"/>
      </rPr>
      <t>16h30</t>
    </r>
  </si>
  <si>
    <t xml:space="preserve">
10€
20€
30€
50€
60€
70€
80€
90€
100€
110€
120€
130€
140€
160€
180€
</t>
  </si>
  <si>
    <t xml:space="preserve">1197313 
1197315 
1197317 
1197321 
1197322 
1197323 
1197324 
1197325 
1197326 
1197327 
1197328 
1198556 
1198557 
1198558 
1198559 </t>
  </si>
  <si>
    <t xml:space="preserve">1175300
1175307
1175309
1175310
1175311
1175312
1175321
1175322
1175323
1175324
1175325
1175326
1175327
1175363
1175370
1188255
1188256
1190126
1194481
1194483
1194484
1194485
1194487
1194488
1194489
1194490
1194501
1194502
1194504
1194505
1196003
1196004
1197211
1197215
1197216
1197217
1197218
1197219
1197220
1197221
1197222
1197223
1197224
1197225
1197226
1197227
1198778
1199105
1199107
1199109
1199110
1199122
1199124
1199125
1199126
1199127
1199128
1199129
1199130
1199131
1199132
1199133
1199134
1200632
1203322
1203574
1205071
</t>
  </si>
  <si>
    <t>SAMSUN G</t>
  </si>
  <si>
    <t>S23/S23FE S24/S24+/S24ULTRA et ZFLIP5 ET ZFOLD5.</t>
  </si>
  <si>
    <r>
      <rPr>
        <rFont val="Poppins"/>
        <color rgb="FF000000"/>
        <sz val="9.0"/>
      </rPr>
      <t xml:space="preserve">19/04/2024 </t>
    </r>
    <r>
      <rPr>
        <rFont val="Poppins"/>
        <color rgb="FF000000"/>
        <sz val="9.0"/>
      </rPr>
      <t>16h30</t>
    </r>
  </si>
  <si>
    <t xml:space="preserve">
60€
70€
80€
90€
110€
120€
140€
150€
160€
170€
180€
200€
</t>
  </si>
  <si>
    <t xml:space="preserve">1196540 
1196526 
1196546 
1196547 
1196564 
1197427 
1197428
1197429 
1200711 
1198112 
1197431 
1197430 </t>
  </si>
  <si>
    <t xml:space="preserve">1187764
1187765
1187766
1187767
1187768
1187769
1187770
1187781
1194581
1194582
1194583
1194584
1194585
1194586
1194587
1194588
1194589
1194590
1194591
1194592
1194593
1194594
1194596
1194597
1198674
1199536
1199537
1199538
1199539
1199540
1199541
1199542
1199543
1199976
1199977
1199978
1199979
1199980
1200011
1200012
1200013
1200014
1200015
1200016
1200017
1200018
1200019
1200020
1200021
1200022
1200023
1200024
1200025
1200026
1200027
1200028
1200029
1200030
1200031
1200032
1200033
1202967
</t>
  </si>
  <si>
    <t>Tablettes SAMSUNG toutes les références</t>
  </si>
  <si>
    <r>
      <rPr>
        <rFont val="Poppins"/>
        <color rgb="FF000000"/>
        <sz val="9.0"/>
      </rPr>
      <t>12/04/2024</t>
    </r>
    <r>
      <rPr>
        <rFont val="Poppins"/>
        <color rgb="FF000000"/>
        <sz val="9.0"/>
      </rPr>
      <t xml:space="preserve"> (18h)</t>
    </r>
  </si>
  <si>
    <t>10€
20€
30€
40€
50€
60€
70€
80€
90€
100€
110€
120€
130€
140€
150€
160€</t>
  </si>
  <si>
    <t xml:space="preserve">
1197313 
1197315 
1197317 
1197318 
1197321 
1197322 
1197323 
1197324
1197325 
1197326 
1197327 
1197328 
1198556 
1198557 
1198558 
1198559 </t>
  </si>
  <si>
    <t>10100 - tablette 12 au 1404.pdf</t>
  </si>
  <si>
    <t xml:space="preserve">200 Lite </t>
  </si>
  <si>
    <t>30€ de remise au panier</t>
  </si>
  <si>
    <t>1206399
1206400
1206462</t>
  </si>
  <si>
    <t>Watch 5 pro, Watch 6, Watch 6 Classic (packs inclus)</t>
  </si>
  <si>
    <t xml:space="preserve">10€ par tranche de 100€ </t>
  </si>
  <si>
    <t xml:space="preserve">20€
30€
40€
</t>
  </si>
  <si>
    <t xml:space="preserve">1198433
1197406
1197407 
</t>
  </si>
  <si>
    <t>ILV MAGASIN 10€ (1).pdf.pdf</t>
  </si>
  <si>
    <t>1182380 1182471 1182472 1182473 1185253 1193780 1193791 1193792 1193793 1193794 1193795 1193796 1193797 1193798 1193799 1193800 1193801 1193802 1193803 1193804 1193805 1195506 1199120 1200468</t>
  </si>
  <si>
    <t xml:space="preserve">
10€
20€
30€
40€
50€
60€
70€
80€
90€
100€
110€
120€
130€
140€
150€
160€</t>
  </si>
  <si>
    <t xml:space="preserve">
1197313 
1197315 
1197317 
1197318 
1197321 
1197322 
1197323 
1197324 
1197325 
1197326 
1197327 
1197328
1198556 
1198557 
1198558 
1198559 </t>
  </si>
  <si>
    <t>1117923 1124499 1124505 1129601 1148566 1148567 1148569 1148671 1148672 1154417 1154418 1165978 1165979 1165980 1165981 1169065 1169361 1169362 1169364 1174301 1174302 1174303 1175300 1175307 1175309 1175311 1175321 1175322 1175323 1175324 1175325 1175326 1175363 1175370 1177448 1188254 1188255 1188256 1190958 1192546 1194481 1194483 1194484 1194485 1194487 1194488 1194489 1194490 1194501 1194502 1194504 1194505 1196003 1196004 1197211 1197215 1197216 1197217 1197218 1197219 1197220 1197221 1197222 1197223 1197224 1197225 1197226 1197227 1198778 1199105 1199107 1199109 1199110 1199125 1199127 1199128 1199129 1199130 1199131 1199132 1199133 1199134 1200632 1203574 1203589 1203590 1203661 1205020 1205071</t>
  </si>
  <si>
    <r>
      <rPr>
        <rFont val="Poppins"/>
      </rPr>
      <t>S23 + PACK
Z fold 5</t>
    </r>
    <r>
      <rPr>
        <rFont val="Poppins"/>
        <color rgb="FFFF0000"/>
      </rPr>
      <t xml:space="preserve"> (hors 1To)
</t>
    </r>
    <r>
      <rPr>
        <rFont val="Poppins"/>
      </rPr>
      <t xml:space="preserve">Z flip 5
S23FE + PACK
S24 FAMILY
</t>
    </r>
  </si>
  <si>
    <t>60€
70€
80€
90€
100€
110€
120€
130€
140€
160€
170€
180€</t>
  </si>
  <si>
    <t xml:space="preserve">1196540
1196526 
1196546
1196547
1196563
1196564
1198953 
1197427
1197428
1197429
1197430
1197431 </t>
  </si>
  <si>
    <t xml:space="preserve">1187764 1187765 1187766 1187767
1187768 1187769 1187770 1187781
1192560 1194581 1194582 1194583 1194584 1194585 1194586
1194587 1194588 1194589 1194590 1194592 1194593
1194596 1194597 1198674 1199536 1199537 1199538 1199539 1199540
1199541 1199542 1199543 1199976 1199977 1199978 1199979 1199980 1200011
1200012 1200013 1200022 1200023 1200024 1200025 1200026
1200027 1200028 1200029 1200030 1200031 1200032 1200033
1202967
</t>
  </si>
  <si>
    <t xml:space="preserve">S23FE </t>
  </si>
  <si>
    <t>Buds fe offert au panier pour l'achat d'un S23FE</t>
  </si>
  <si>
    <r>
      <rPr>
        <rFont val="Poppins"/>
        <color rgb="FF000000"/>
        <sz val="9.0"/>
      </rPr>
      <t xml:space="preserve">17/05/2024 </t>
    </r>
    <r>
      <rPr>
        <rFont val="Poppins"/>
        <color rgb="FF000000"/>
        <sz val="9.0"/>
      </rPr>
      <t>(17h)</t>
    </r>
  </si>
  <si>
    <r>
      <rPr>
        <rFont val="Poppins"/>
        <color rgb="FF000000"/>
        <sz val="9.0"/>
      </rPr>
      <t xml:space="preserve">21/05/2024 </t>
    </r>
    <r>
      <rPr>
        <rFont val="Poppins"/>
        <color rgb="FF000000"/>
        <sz val="9.0"/>
      </rPr>
      <t>(12h)</t>
    </r>
  </si>
  <si>
    <t>20€
30€
40€</t>
  </si>
  <si>
    <t>ILV MAGASIN 1705.pdf.pdf</t>
  </si>
  <si>
    <t xml:space="preserve">1182380 1182471 1182472 1182473 1185253
1193780 1193791 1193792 1193793 1193794
1193795 1193796 1193797 1193798 1193799 1193800 1193801 1193802 1193803 1193804
1193805 1195506 1199120 1200468
</t>
  </si>
  <si>
    <r>
      <rPr>
        <rFont val="Poppins"/>
        <color rgb="FF000000"/>
        <sz val="9.0"/>
      </rPr>
      <t xml:space="preserve">17/05/2024 </t>
    </r>
    <r>
      <rPr>
        <rFont val="Poppins"/>
        <color rgb="FF000000"/>
        <sz val="9.0"/>
      </rPr>
      <t>(17h)</t>
    </r>
  </si>
  <si>
    <r>
      <rPr>
        <rFont val="Poppins"/>
        <color rgb="FF000000"/>
        <sz val="9.0"/>
      </rPr>
      <t xml:space="preserve">21/05/2024 </t>
    </r>
    <r>
      <rPr>
        <rFont val="Poppins"/>
        <color rgb="FF000000"/>
        <sz val="9.0"/>
      </rPr>
      <t>(12h)</t>
    </r>
  </si>
  <si>
    <t xml:space="preserve">1197313 
1197315 
1197317
1197318 
1197321
1197322
1197323
1197324 
1197325 
1197326
1197327
1197328 
1198556 
1198557 
1198558 
1198559 </t>
  </si>
  <si>
    <t xml:space="preserve">1086359 1124499 1124502 1124505 1148566
1148567 1148569 1148671 1154417 1165978 1165979 1165981 1169065 1169361 1169364 1174301 1174302 1174303 1175300 1175307 1175309 1175311 1175321 1175322 1175323 1175324 1175325 1175326 1177448 1180130 1180161 1188254 1188255 1188256 1190958 1192546 1194481 1194483 1194484 1194485 1194487 1194488 1194489 1194490 1194501 1194502 1194504 1194505 1196003 1196004 1197109 1197211 1197215 1197216 1197217 1197218 1197219 1197220 1197221
1197222 1197223 1197224 1197225 1197226 1197227
1198778 1199105 1199107 1199109 1199110 1199125
1199127 1199128 1199129 1199130 1199131 1199132
1199133 1199134 1200632 1203574 1203589 1203590 1203661
</t>
  </si>
  <si>
    <r>
      <rPr>
        <rFont val="Poppins"/>
      </rPr>
      <t>S23 + PACK
Z fold 5</t>
    </r>
    <r>
      <rPr>
        <rFont val="Poppins"/>
        <color rgb="FFFF0000"/>
      </rPr>
      <t xml:space="preserve"> (hors 1To)
</t>
    </r>
    <r>
      <rPr>
        <rFont val="Poppins"/>
      </rPr>
      <t xml:space="preserve">Z flip 5
S23FE + PACK
S24 FAMILY
</t>
    </r>
  </si>
  <si>
    <t>60€
70€
80€
90€
100€
110€
120€
140€
150€
160€
180€</t>
  </si>
  <si>
    <t xml:space="preserve">1196526
1196540 
1196546 
1196547
1196563 
1196564 
1197427 
1197428
1197429 
1197430 
1197431 </t>
  </si>
  <si>
    <t>1187764 1187765 1187766 1187767 1187768 1187769 1187770 1187781 1192560 1194581 1194582 1194583 1194584 1194585 1194586 1194587 1194588 1194589 1194590 1194592 1194593 1194596 1194597
1198674 1199536 1199537 1199538 1199539 1199540
1199541 1199542 1199543 1199976 1199977 1199978 1199979 1199980
1200011 1200012 1200013 1200014 1200015 1200016 1200017 1200018 1200019 1200020 1200021 1200022 1200023 1200024 1200025 1200026 1200027 1200028 1200029 1200030 1200031
1200032 1200033 1202967 1207187</t>
  </si>
  <si>
    <t xml:space="preserve">les GW6 Classic 47 mm BT/4G &amp; GW6 44 mm BT/4G </t>
  </si>
  <si>
    <t>30€ de remise</t>
  </si>
  <si>
    <t xml:space="preserve">1193800
1193801
1193804
1193805
1199120
1193792
1193793
1193796
1193797
</t>
  </si>
  <si>
    <t xml:space="preserve">REDMI PAD Pro </t>
  </si>
  <si>
    <t>6 mois Infinity Offerts</t>
  </si>
  <si>
    <t>1206948
1206949
1206950
1207286</t>
  </si>
  <si>
    <t>RING</t>
  </si>
  <si>
    <t>Achat d'un baguier = 10€ de remise sur les RING</t>
  </si>
  <si>
    <t>10€ de remise sur les ring pour l'achat d'un baguier (1208928)</t>
  </si>
  <si>
    <t>ALL RING</t>
  </si>
  <si>
    <t xml:space="preserve">WATCH ULTRA ET WATCH 7 </t>
  </si>
  <si>
    <t>50% sur la protection d'écran sur mesure</t>
  </si>
  <si>
    <t>ILV ZAGG -50% MONTRE SAMSUNG WATCH 7 et ULTRA A4 (1).pdf</t>
  </si>
  <si>
    <t>1208985
1208986
1208987 
1208988
1208989
1208990
1209011
1209012
1209013
1209014
1209015</t>
  </si>
  <si>
    <t>Tab S9 Ultra 256 Go / 512Go Wifi</t>
  </si>
  <si>
    <t>Une carte Netflix -50€ (1083026) offert pour l'achat 
d'une Tab S9 Ultra 256 Go / 512Go Wifi</t>
  </si>
  <si>
    <t>DISPO</t>
  </si>
  <si>
    <t xml:space="preserve">1194501
1194502
1194504 </t>
  </si>
  <si>
    <t>Galaxy Watch Ultra</t>
  </si>
  <si>
    <t xml:space="preserve">80€ pour les porteurs / ouvreurs club, club+, infinity </t>
  </si>
  <si>
    <t>Code Bundle  Watch Ultra
1210574
1210575
1210576</t>
  </si>
  <si>
    <t>ILV CLUB WATCH ULTRA.pdf</t>
  </si>
  <si>
    <t>Galaxy Watch 7</t>
  </si>
  <si>
    <t xml:space="preserve">30€ pour les porteurs / ouvreurs club, club+, infinity </t>
  </si>
  <si>
    <t>Code Bundle Watch7 
à utiliser pour la remise en caisse : 
1210577
1210578
1210579
1210580
1210591
1210592
1210593
1210594</t>
  </si>
  <si>
    <t>ILV CLUB WATCH 7.pdf</t>
  </si>
  <si>
    <t>Code Bundle  Watch7
1210577
1210578
1210579
1210580
1210591
1210592
1210593
1210594</t>
  </si>
  <si>
    <t xml:space="preserve">Z FLIP 6
REMISE CODE CRM UNIQUEMENT 600 CODES
</t>
  </si>
  <si>
    <r>
      <rPr>
        <rFont val="Poppins"/>
        <color rgb="FFFF0000"/>
        <sz val="9.0"/>
      </rPr>
      <t xml:space="preserve">150€ de remise au panier 
</t>
    </r>
    <r>
      <rPr>
        <rFont val="Poppins"/>
        <color rgb="FFFF0000"/>
        <sz val="14.0"/>
      </rPr>
      <t>NOMBRE DE CODES ATTEINT : 
FIN DES CODES CRM LE 12/08 A 9H00</t>
    </r>
  </si>
  <si>
    <r>
      <rPr>
        <rFont val="Poppins"/>
        <color rgb="FF000000"/>
        <sz val="9.0"/>
      </rPr>
      <t xml:space="preserve">Z Fold 6
REMISE CODE </t>
    </r>
    <r>
      <rPr>
        <rFont val="Poppins"/>
        <color rgb="FF000000"/>
        <sz val="9.0"/>
      </rPr>
      <t>CRM UNIQUEMENT 500 CODES</t>
    </r>
    <r>
      <rPr>
        <rFont val="Poppins"/>
        <color rgb="FF000000"/>
        <sz val="9.0"/>
      </rPr>
      <t xml:space="preserve">
</t>
    </r>
  </si>
  <si>
    <t xml:space="preserve">200€ de remise au panier
</t>
  </si>
  <si>
    <t>WATCH ULTRA 
REMISE CODE CRM UNIQUEMENT 700 CODES  + 500 supplémentaires
 (client ayant reçu email)</t>
  </si>
  <si>
    <t>100€ de remise au panier</t>
  </si>
  <si>
    <t xml:space="preserve">1208985
1208986
1208987 
 </t>
  </si>
  <si>
    <t>WATCH 7
REMISE CODE CRM UNIQUEMENT 700 CODES + 300 codes supplémentaires
 (client ayant reçu email)</t>
  </si>
  <si>
    <t xml:space="preserve">1208988
1208989
1208990
1209011
1209012
1209013
1209014
1209015 </t>
  </si>
  <si>
    <t>S23 / S23FE / S24 / S24+ / S24 Ultra / Z FLIP6 / Z FOLD 6</t>
  </si>
  <si>
    <t>10€/100€</t>
  </si>
  <si>
    <t>40€
50€
60€
70€
80€
90€
100€
110€
120€
130€
140€
150€
170€
180€
190€
200€
210€
220€
230€</t>
  </si>
  <si>
    <t>1210536
1196526
1196540
1196546
1196547
1196563
1196564
1197427
1198953
1197428
1197429
1197430
1197431
1198112
1210535
1209523
1210537
1209524
1210538</t>
  </si>
  <si>
    <t>ILV Magasin Cérémonie d'Ouverture (2).pdf</t>
  </si>
  <si>
    <t>S6 Lite, S7, S7FE, S8, S8+, S8 Ultra, S9, S9+, S9FE, 
S9FE+, S9 Ultra,
 Active 4 Pro wifi + 5G</t>
  </si>
  <si>
    <t>30€
40€
50€
60€
70€
80€
90€
100€
110€
120€
130€
140€
150€
160€</t>
  </si>
  <si>
    <t>1197317
1197318
1197321
1197322
1197323
1197324
1197325
1197326
1197327
1197328
1198556
1198557
1198558
1198559</t>
  </si>
  <si>
    <t>S24,S24+,S24 ULTRA 
ZFLIP6 ZFOLD6</t>
  </si>
  <si>
    <t>Pour l'achat du S24 Fam ou d'un Flip6, Fold6 avec une Watch ultra une remise de 100€ est appliquée</t>
  </si>
  <si>
    <t>ILV MAG WATCH ULTRA (1).pdf</t>
  </si>
  <si>
    <t>code Watch Ultra
1208985
1208986
1208987
1210574
1210575
1210576
code smartphone
1198953
1199976
1199977
1199978
1199979
1199980
1200011
1200012
1200013
1200014
1200015
1200016
1200017
1200018
1200019
1200020
1200021
1200022
1200023
1200024
1200025
1200026
1200027
1200028
1200029
1200030
1200031
1200032
1200033
1209139
1209140
1209191
1209192
1209193
1209194
1209195
1209196
1209197
1209198
1209199
1209200
1209201
1209202
1209203
1209204
1209205
1209206</t>
  </si>
  <si>
    <t>Pour l'achat du S24 Fam ou d'un Flip6, Fold6 avec une Watch 7 une remise de 40€ est appliquée</t>
  </si>
  <si>
    <t>ILV MAG WATCH7.pdf</t>
  </si>
  <si>
    <t>code Watch7 
1208988
1208989
1208990
1209011
1209012
1209013
1209014
1209015
1210577
1210578
1210579
1210580
1210591
1210592
1210593
1210594
code smartphone
1198953
1199976
1199977
1199978
1199979
1199980
1200011
1200012
1200013
1200014
1200015
1200016
1200017
1200018
1200019
1200020
1200021
1200022
1200023
1200024
1200025
1200026
1200027
1200028
1200029
1200030
1200031
1200032
1200033
1209139
1209140
1209191
1209192
1209193
1209194
1209195
1209196
1209197
1209198
1209199
1209200
1209201
1209202
1209203
1209204
1209205
1209206</t>
  </si>
  <si>
    <t xml:space="preserve">50€ pour les porteurs / ouvreurs club, club+, infinity </t>
  </si>
  <si>
    <t>ILV CLUB 50e W7 (2).pdf</t>
  </si>
  <si>
    <t>Galaxy Watch 7 Ultra</t>
  </si>
  <si>
    <t xml:space="preserve">100€ pour les porteurs / ouvreurs club, club+, infinity </t>
  </si>
  <si>
    <t>Code Bundle Watch Ultra
1210574
1210575
1210576</t>
  </si>
  <si>
    <t>ILV CLUB 100E wu.pdf</t>
  </si>
  <si>
    <t>Z flip 6 et Fold 6</t>
  </si>
  <si>
    <t xml:space="preserve"> Buds 3 (uniquement 1208465 et 1208466)
 offert à l'achat des Z-Flip6 et Fold6</t>
  </si>
  <si>
    <t>25/08:2024</t>
  </si>
  <si>
    <t>buds 3 offert.pdf</t>
  </si>
  <si>
    <t xml:space="preserve">1209198
1209199
1209200
1209201
1209202
1209203
1209204
1209205
1209206
1209140
1209191
1209192
1209193
1209194
1209195
1209196
1209197 </t>
  </si>
  <si>
    <t xml:space="preserve"> Pack Galaxy Tab S6 Lite + Clavier = 1205020</t>
  </si>
  <si>
    <t xml:space="preserve">3 mois infinity offert sur la Pack Galaxy Tab S6 Lite + Clavier </t>
  </si>
  <si>
    <t>ILV CLUB pack s6 lite.pdf</t>
  </si>
  <si>
    <t>Pack S9FE+ 12.4'' + Smart Cover Hybride =  1198778</t>
  </si>
  <si>
    <t>6 mois infinity offert sur Pack S9FE+ 12.4'' + Smart Cover Hybride =  1198778</t>
  </si>
  <si>
    <t>S9FE+ 12.4" + Smart cover + 6 mois INFINITY.pdf</t>
  </si>
  <si>
    <t>Pack A9+ (uniquement 1200632)</t>
  </si>
  <si>
    <t>50€ de remise immédiate pour les ouvreurs et porteurs Club</t>
  </si>
  <si>
    <t>code bunble 1212971</t>
  </si>
  <si>
    <t>GALAXY TAB SERIES S</t>
  </si>
  <si>
    <t xml:space="preserve">
20€
30€
40€
50€
60€
70€
80€
90€
100€
110€
120€
130€
140€
150€
170€</t>
  </si>
  <si>
    <t xml:space="preserve">
1197315 
1197317
1197318 
1197321 
1197322 
1197323 
1197324 
1197325 
1197326 
1197327 
1197328 
1198556 
1198557 
1198558 
1210154 </t>
  </si>
  <si>
    <t>10 par 100 TAB.pdf</t>
  </si>
  <si>
    <t>ALL REF TAB SERES S</t>
  </si>
  <si>
    <t xml:space="preserve">S24,S24+,S24 Ultra, S24FE (a partir du 27/09 12h pour les s24fe),  FLIP/FOLD 6 </t>
  </si>
  <si>
    <t>70€
80€
100€
110€
120€
130€
140€
160€
180€
200€
210€
230€</t>
  </si>
  <si>
    <t xml:space="preserve">1196546
1196547
1196564 
1197427 
1197428 
1197429 
1197430 
1197431 
1198112
1198953 
1200711 
1206248 </t>
  </si>
  <si>
    <t>https://drive.google.com/file/d/1falGwfm06WVyQ8pDdjNfb4z-vV2rASai/view?usp=drive_link</t>
  </si>
  <si>
    <t xml:space="preserve">S24 
S24+ 
S24FE
24 ULTRA
Z FLIP 6 
Z FOLD 6 
</t>
  </si>
  <si>
    <t xml:space="preserve">Watch </t>
  </si>
  <si>
    <t>Watch 6, Watch 6 classic, Watch 5 Pro, Watch Ultra, Watch 7</t>
  </si>
  <si>
    <t>10€
20€
30€
40€
60€</t>
  </si>
  <si>
    <t>1197406
1197407 
1198433 
1208866 
1208867</t>
  </si>
  <si>
    <t>Watch 6, Watch 6 classic, 
Watch 5 Pro, Watch Ultra, Watch 7</t>
  </si>
  <si>
    <t xml:space="preserve">Smartphone </t>
  </si>
  <si>
    <t>4 MOIS INFINITY MOBILE OFFERTS formule solo</t>
  </si>
  <si>
    <t>S24FE.pdf</t>
  </si>
  <si>
    <t>1213213
1213214
1213215
1213216
1213217
1213218
1213219
1213220</t>
  </si>
  <si>
    <r>
      <rPr>
        <rFont val="Poppins"/>
        <color rgb="FF222222"/>
        <sz val="9.0"/>
      </rPr>
      <t xml:space="preserve">Pack S24 + BUDS </t>
    </r>
    <r>
      <rPr>
        <rFont val="Poppins"/>
        <color rgb="FF222222"/>
        <sz val="9.0"/>
      </rPr>
      <t>1210941 UNIQUEMENT</t>
    </r>
  </si>
  <si>
    <t>6 MOIS INFINITY MOBILE OFFERTS formule solo</t>
  </si>
  <si>
    <t>ILV MAGASIN 70 ANS PACK S24 copie.pdf.pdf</t>
  </si>
  <si>
    <t>1210941 UNIQUEMENT</t>
  </si>
  <si>
    <t xml:space="preserve"> uniquement
Pack Galaxy Watch 7 40 mm + Pad</t>
  </si>
  <si>
    <r>
      <rPr>
        <rFont val="Poppins"/>
      </rPr>
      <t xml:space="preserve"> 100€ ouvreurs/porteurs club club+ infinity sur le Pack Galaxy Watch 7 40mm BT Cr + PAD DUO </t>
    </r>
    <r>
      <rPr>
        <rFont val="Poppins"/>
        <b/>
      </rPr>
      <t>uniquement</t>
    </r>
  </si>
  <si>
    <t>CLUB WATCH 7 (2).pdf</t>
  </si>
  <si>
    <t xml:space="preserve">
Pack : 
1210519 </t>
  </si>
  <si>
    <t>GALAXY S25 ET S25+ 
CAPING ATTEINT</t>
  </si>
  <si>
    <r>
      <rPr>
        <rFont val="Poppins"/>
        <b/>
        <strike/>
        <color rgb="FFFF0000"/>
      </rPr>
      <t xml:space="preserve">
REMISE EMAIL</t>
    </r>
    <r>
      <rPr>
        <rFont val="Poppins"/>
        <strike/>
        <color rgb="FFFF0000"/>
      </rPr>
      <t xml:space="preserve">
</t>
    </r>
    <r>
      <rPr>
        <rFont val="Poppins"/>
        <b/>
        <strike/>
        <color rgb="FFFF0000"/>
      </rPr>
      <t xml:space="preserve">100€ de remise sur les S25 et S25+
</t>
    </r>
    <r>
      <rPr>
        <rFont val="Poppins"/>
        <strike/>
        <color rgb="FFFF0000"/>
      </rPr>
      <t xml:space="preserve">
caping : 350 CODES</t>
    </r>
  </si>
  <si>
    <r>
      <rPr>
        <rFont val="Poppins"/>
        <color rgb="FFFF0000"/>
        <sz val="9.0"/>
      </rPr>
      <t xml:space="preserve">1217332
</t>
    </r>
    <r>
      <rPr>
        <rFont val="Poppins"/>
        <b/>
        <color rgb="FFFF0000"/>
        <sz val="9.0"/>
      </rPr>
      <t>ARRET CAPING ATTEINT</t>
    </r>
  </si>
  <si>
    <t>GALAXY S25 ULTRA
CAPING ATTEINT</t>
  </si>
  <si>
    <r>
      <rPr>
        <rFont val="Poppins"/>
        <b/>
        <strike/>
        <color rgb="FFFF0000"/>
      </rPr>
      <t xml:space="preserve">
REMISE EMAIL</t>
    </r>
    <r>
      <rPr>
        <rFont val="Poppins"/>
        <strike/>
        <color rgb="FFFF0000"/>
      </rPr>
      <t xml:space="preserve">
</t>
    </r>
    <r>
      <rPr>
        <rFont val="Poppins"/>
        <b/>
        <strike/>
        <color rgb="FFFF0000"/>
      </rPr>
      <t xml:space="preserve">150€ de remise sur les S25 ULTRA
</t>
    </r>
    <r>
      <rPr>
        <rFont val="Poppins"/>
        <strike/>
        <color rgb="FFFF0000"/>
      </rPr>
      <t xml:space="preserve">
caping : 250 codes </t>
    </r>
  </si>
  <si>
    <r>
      <rPr>
        <rFont val="Poppins"/>
        <color rgb="FFFF0000"/>
        <sz val="9.0"/>
      </rPr>
      <t xml:space="preserve">1217333
</t>
    </r>
    <r>
      <rPr>
        <rFont val="Poppins"/>
        <b/>
        <color rgb="FFFF0000"/>
        <sz val="9.0"/>
      </rPr>
      <t>ARRET CAPING ATTEINT</t>
    </r>
  </si>
  <si>
    <t xml:space="preserve">1217065
1217268
1217269
1217270
1217271
1217272
1217273
1217275
1217276
1217277
1217278
1217279
</t>
  </si>
  <si>
    <t>Galaxy Tab S9</t>
  </si>
  <si>
    <t>1194481
1194483
1194485
1196003
1205071
1212744</t>
  </si>
  <si>
    <t>Galaxy Tab S10+ et S10 Ultra</t>
  </si>
  <si>
    <t>1212618
1212619
1212620
1212651
1212652
1212653
1212654
1212655
1213884
1213885</t>
  </si>
  <si>
    <t>Watch Ultra
Watch 7
Watch 6 Classic</t>
  </si>
  <si>
    <t>27/02 17h</t>
  </si>
  <si>
    <t>20€
30€
50€</t>
  </si>
  <si>
    <t xml:space="preserve">1218080 
1218091 
1218079 </t>
  </si>
  <si>
    <t>OP WEEK END
+
*10 par 100 generique.pdf</t>
  </si>
  <si>
    <t xml:space="preserve">1193798
1193799
1193800
1193801
1193802
1193803
1193804
1193805
1208985
1208986
1208987
1208988
1208989
1208990
1209011
1209012
1209013
1209014
1209015
1210519
1214173
</t>
  </si>
  <si>
    <t xml:space="preserve"> S24 S24+ S24 Ultra S24FE 
S25 S25+ S25 Ultra S25FE
Z Flip6 / Z Fold6
Z Flip5 / Z Fold5</t>
  </si>
  <si>
    <t xml:space="preserve">
60€
70€
80€
90€
100€
110€
120€
140€
150€
180€
190€
200€
210€
220€
230€
</t>
  </si>
  <si>
    <t xml:space="preserve">1217351 
1217352 
1218098 
1217353
1217354 
1217355
1217356
1217357
1218664
1217358
1217359
1198953 
1217360
1218139
1210538 </t>
  </si>
  <si>
    <t>OP WEEK END+
*10 par 100 generique.pdf</t>
  </si>
  <si>
    <t>1194581
1194583
1194585
1194586
1194587
1194588
1194589
1194590
1194591
1194592
1194593
1194594
1194596
1194597
1194598
1199976
1199977
1199978
1199979
1199980
1200011
1200012
1200013
1200014
1200015
1200016
1200017
1200018
1200019
1200020
1200021
1200022
1200023
1200024
1200025
1200026
1200027
1200028
1200029
1200030
1200031
1200032
1200033
1209139
1209198
1209199
1209200
1209201
1209202
1209203
1209204
1209205
1209206
1210941
1213213
1213214
1213215
1213216
1213217
1213218
1213219
1213220
1215251
1216115
1217065
1217214
1217215
1217216
1217217
1217218
1217219
1217220
1217241
1217246
1217247
1217248
1217249
1217261
1217262
1217263
1217264
1217265
1217266
1217267
1217268
1217269
1217270
1217271
1217272
1217273
1217275
1217276
1217277
1217278
1217279
1218265
1218810</t>
  </si>
  <si>
    <t>Toutes les Galaxy Tab</t>
  </si>
  <si>
    <t xml:space="preserve">
10€
20€
30€
40€
50€
60€
70€
80€
90€
110€
120€
130€
140€
150€
170€
</t>
  </si>
  <si>
    <t xml:space="preserve">
1217368 
1217369 
1217370 
1217421
1217422
1217423
1217424
1217425 
1217426
1217428 
1217429
1217430
1217431
1217432 
1218556 
</t>
  </si>
  <si>
    <t>1177448
1194481
1194483
1194484
1194485
1196003
1197216
1197217
1197218
1197219
1197220
1197222
1197223
1197225
1197226
1197227
1198418
1198778
1199001
1199105
1199107
1199109
1199110
1199125
1199127
1199129
1199130
1199131
1199132
1199133
1199134
1200632
1203322
1203590
1203661
1205020
1208104
1208106
1210786
1212618
1212619
1212620
1212651
1212652
1212653
1212654
1212655
1212656
1212744
1213884
1213885</t>
  </si>
  <si>
    <t>-30% à l'achat d'un S25, S25+, S25 Ultra avec une Watch Ultra</t>
  </si>
  <si>
    <t>ILV magasin -30% WATCH.pdf</t>
  </si>
  <si>
    <t>1208985
1208986
1208987
1214173</t>
  </si>
  <si>
    <t>Galaxy Watch 7 40mm</t>
  </si>
  <si>
    <t>-30% à l'achat d'un S25, S25+, S25 Ultra avec une Watch7 40mm</t>
  </si>
  <si>
    <t>1208988
1208989</t>
  </si>
  <si>
    <t>Galaxy Watch 7 44mm BT</t>
  </si>
  <si>
    <t>-30% à l'achat d'un S25, S25+, S25 Ultra avec une Watch7 44mm BT</t>
  </si>
  <si>
    <t>1209012
1209013</t>
  </si>
  <si>
    <t>Pack Galaxy Watch 7 40mm BT Cr + PAD DUO</t>
  </si>
  <si>
    <t>-30% à l'achat du pack Galaxy Watch 7 40mm BT Cr + PAD DUO</t>
  </si>
  <si>
    <t>Galaxy Buds FE</t>
  </si>
  <si>
    <t>-30% à l'achat d'un S25, S25+, S25 Ultra avec une paire de Buds FE</t>
  </si>
  <si>
    <t>ILV MAGASIN -30 watch et buds.pdf (5).pdf</t>
  </si>
  <si>
    <t>1197439
1197438</t>
  </si>
  <si>
    <t>Galaxy Buds3</t>
  </si>
  <si>
    <t>-30% à l'achat d'un S25, S25+, S25 Ultra avec une paire de Buds3</t>
  </si>
  <si>
    <t>1208465
1208466</t>
  </si>
  <si>
    <t>Galaxy Buds3 Pro</t>
  </si>
  <si>
    <t>-30% à l'achat d'un S25, S25+, S25 Ultra avec une paire de Buds3 Pro</t>
  </si>
  <si>
    <t>1208464
1208463</t>
  </si>
  <si>
    <t>Watch Ultra, Watch7 et Watch 6 Classic</t>
  </si>
  <si>
    <t>31/01/2025
16h</t>
  </si>
  <si>
    <t xml:space="preserve">1218080
1218091 
1218079 </t>
  </si>
  <si>
    <t>https://drive.google.com/drive/folders/1QcjF_4nbdMtteCNpp0Pk1efZhpaQN3oR</t>
  </si>
  <si>
    <t>1193798
1193799
1193800
1193801
1193802
1193803
1193804
1193805
1208985
1208986
1208987
1208988
1208989
1208990
1209011
1209012
1209013
1209014
1209015
1210519
1214173</t>
  </si>
  <si>
    <t>Toutes Galaxy tab sauf A9+</t>
  </si>
  <si>
    <t>10€ par tranche de 100€ d'achat</t>
  </si>
  <si>
    <t>10€
20€
30€
40€
50€
60€
70€
80€
90€
100€
110€
120€
130€
140€
150€</t>
  </si>
  <si>
    <t xml:space="preserve">
1217368
1217369
1217370
1217421
1217422
1217423
1217424
1217425
1217426
1217427
1217428
1217429
1217430
1217431
1217432
</t>
  </si>
  <si>
    <t>1165978
1199109
1199105
1124505
1199107
1199110
1199125
1174301
1148569
1190958
1177448
1124499
1203589
1205020
1203590
1197211
1210786
1197216
1197217
1197215
1203661
1203574
1197219
1197221
1197218
1208104
1197223
1197222
1197220
1197224
1198778
1208106
1197226
1197225
1212744
1194483
1194481
1197227
1196003
1194484
1205071
1194485
1194487
1194488
1212618
1212619
1196004
1213884
1188256
1194489
1212620
1194490
1212651
1194501
1212653
1212652
1213885
1194504
1212654
1194505
1212656
1212655</t>
  </si>
  <si>
    <t>Z FOLD 6
Z FLIP 6 
S24 ULTRA
S24+ 
S24
S24FE
A55
A35</t>
  </si>
  <si>
    <t>30€
40€
60€
70€
80€
90€
100€
110€
120€
140€
150€
180€
190€
210€</t>
  </si>
  <si>
    <t xml:space="preserve">1218096 
1218097 
1217351 
1217352
1218098
1217353 
1217354 
1217355 
1217356 
1217357 
1218099 
1217358 
1217359 
1217360 </t>
  </si>
  <si>
    <t>1199976
1199977
1199978
1199979
1199980
1200011
1200012
1200013
1200014
1200015
1200016
1200017
1200018
1200019
1200020
1200021
1200022
1200023
1200024
1200025
1200026
1200027
1200028
1200029
1200030
1200031
1200032
1200033
1203062
1203081
1203082
1203086
1203087
1203089
1203090
1203102
1203105
1203106
1203107
1203108
1207186
1207187
1209139
1209140
1209191
1209192
1209193
1209194
1209195
1209196
1209197
1209198
1209199
1209200
1209201
1209202
1209203
1209204
1209205
1209206
1210941
1213213
1213214
1213215
1213216
1213217
1213218
1213219
1213220
1213306
1215251</t>
  </si>
  <si>
    <t>Watch Ultra</t>
  </si>
  <si>
    <t xml:space="preserve"> 100€ ouvreurs/porteurs club club+ infinity</t>
  </si>
  <si>
    <t xml:space="preserve">1208985
1208986
1208987
1214173
</t>
  </si>
  <si>
    <t>S25 ULTRA</t>
  </si>
  <si>
    <t>6 MOIS INFINITY OFFERTS FORMULE SOLO UNIQUEMENT</t>
  </si>
  <si>
    <t>20€ DE REMISE CLUB CLUB+ INFINITY</t>
  </si>
  <si>
    <t>100€ DE REMISE CLUB CLUB+ INFINITY</t>
  </si>
  <si>
    <t>ILV 100 SAMSUNG S25 + S25 ULTRA MAG.pdf</t>
  </si>
  <si>
    <t>1216115
1217214
1217215
1217216
1217217
1217218
1217219
1217220
1217241
1217246
1217247
1217248
1221349
1217065
1217268
1217269
1217270
1217271
1217272
1217273
1217275
1217276
1217277
1217278
1217279
1223970
1225358</t>
  </si>
  <si>
    <t>Watch Ultra (2025+anciennes)</t>
  </si>
  <si>
    <t>130€ de remise Club, Club+, Infinity ouvreurs porteurs</t>
  </si>
  <si>
    <t>WATCH ULTRA 130 DE MISE CLUB.pdf</t>
  </si>
  <si>
    <t>1208985
1208986
1208987
1214173
1224209
1224210
1224231
1224232</t>
  </si>
  <si>
    <t>WATCH7/8 + pack</t>
  </si>
  <si>
    <t>50€ de remise Club, Club+, Infinity ouvreurs porteurs</t>
  </si>
  <si>
    <t>ILV GW8 du 01.11.2025 au 09.11.2025 MAG.pdf</t>
  </si>
  <si>
    <t xml:space="preserve">1208988
1208989
1208990
1209011
1209012
1209013
1209014
1209015
1210519
1224237
1224238
1224239
1224240
1224241
1224249
1224250
1224281
1226313 </t>
  </si>
  <si>
    <t xml:space="preserve">WATCH8 CLASSIC UNIQUEMENT </t>
  </si>
  <si>
    <t xml:space="preserve">80€ de remise Club, Club+, Infinity ouvreurs porteurs
</t>
  </si>
  <si>
    <t>ILV GW8Classic du 31.10 au 09.11 MAG.pdf</t>
  </si>
  <si>
    <t>1224233
1224234
1224235
1224236
1228864</t>
  </si>
  <si>
    <t xml:space="preserve">WATCH ULTRA (2025 + anciennes)
</t>
  </si>
  <si>
    <t>100€ de remise Club, Club +, Infinity ouvreurs porteurs</t>
  </si>
  <si>
    <t>ILV GWUltra du 10.11.2025 au 16.11.2025 MAG.pdf</t>
  </si>
  <si>
    <t xml:space="preserve">WATCH8 CLASSIC </t>
  </si>
  <si>
    <t xml:space="preserve">50€ de remise Club, Club+, Infinity ouvreurs porteurs
</t>
  </si>
  <si>
    <t>ILV GW8Classic du 10.11.2025 au 31.12.2025 MAG.pdf
ILV GW8 du 01.10 au 01.12 MAG.pdf</t>
  </si>
  <si>
    <t>WATCH7 + pack</t>
  </si>
  <si>
    <t>ILV CLUB WATCH 7 MAG.pdf</t>
  </si>
  <si>
    <t>1208988
1208989
1208990
1209011
1209012
1209013
1209014
1209015
1210519</t>
  </si>
  <si>
    <t>Watch7 40mm + Watch8 40 mm uniquement</t>
  </si>
  <si>
    <t>10% de remise supplémentaire MAG ET APP uniquement</t>
  </si>
  <si>
    <t xml:space="preserve">1225324 = Remise 10 pour-cent GW7 40mm BT (-27,99€)
1225325 = Remise 10 pour-cent GW7 40mm 4G (-32,99€)
1225326 = Remise 10 pour-cent Pack GW7 40mm BT ( 31,99))
1225327 = Remise 10 pour-cent GW8 40mm 4G (-42,99€)
1218603 = Remise 10 pour-cent GW8 40mm BT (-37,99)
</t>
  </si>
  <si>
    <t>1225324 = Remise 10 pour-cent GW7 40mm BT (-27,99€)
1225325 = Remise 10 pour-cent GW7 40mm 4G (-32,99€)
1225326 = Remise 10 pour-cent Pack GW7 40mm BT ( 31,99))
1225327 = Remise 10 pour-cent GW8 40mm 4G (-42,99€)
1218603 = Remise 10 pour-cent GW8 40mm BT (-37,99)</t>
  </si>
  <si>
    <t>ILV PROMO APP (6).pdf</t>
  </si>
  <si>
    <t>1208988
1208989
1208990
1209011
1210519
1224241
1224249
1224250
1224281
1226313</t>
  </si>
  <si>
    <t>Galaxy S25+</t>
  </si>
  <si>
    <t xml:space="preserve">100€ de remise Club, Club +, Infinity </t>
  </si>
  <si>
    <t>ILV S25+ du 31.10 au 13.11 MAG.pdf</t>
  </si>
  <si>
    <t>A26</t>
  </si>
  <si>
    <t>100€ de remise Club, Club+, Infinity</t>
  </si>
  <si>
    <t>A26 100€ DE REMISE CLUB.pdf</t>
  </si>
  <si>
    <t>1218883
1218886
1218887
1218888
1223969</t>
  </si>
  <si>
    <t>Watch Ultra + Watch Ultra 2025</t>
  </si>
  <si>
    <t>ILV Watch Ultra du 01.12 au 31.12 MAG.pdf</t>
  </si>
  <si>
    <t>WATCH 7</t>
  </si>
  <si>
    <t>30€ de remise Club,Club+, Infinity</t>
  </si>
  <si>
    <t>ILV Watch7 du 01.12 au 31.12 MAG.pdf</t>
  </si>
  <si>
    <t>WATCH 8</t>
  </si>
  <si>
    <t>30€ de remise Club, Club+, Infinity</t>
  </si>
  <si>
    <t>ILV Watch8 du 02.12 au 31.12 MAG.pdf</t>
  </si>
  <si>
    <t>1224237
1224238
1224239
1224240
1224241
1224249
1224250
1224281
1226313
1231639</t>
  </si>
  <si>
    <t>TAB</t>
  </si>
  <si>
    <t>A9 ref 1199109</t>
  </si>
  <si>
    <t>50% SUR ETUI TAB A9 REF 8010981</t>
  </si>
  <si>
    <t>50% sur l'etui</t>
  </si>
  <si>
    <t>WATCH / SMARTPHONE</t>
  </si>
  <si>
    <t>WATCH 8 / WATCH 8 CLASSIC / WATCH ULTRA
GALAXY S ET Z</t>
  </si>
  <si>
    <t>Remise 10% watch (ultra, 8, 8 classic) pour l'achat d'un Smartphone de la Gamme S-Z</t>
  </si>
  <si>
    <t>Remise 10% watch pour l'achat d'un Smartphone de la Gamme S-Z</t>
  </si>
  <si>
    <t xml:space="preserve">
1232050 = Remise 10 pour cent GWUltra avec S-Z (-69,99€)
1232114 = Remise 10 pour cent GW8Classic 4G avec S-Z (57,99€)
1232113 = Remise 10 pour cent GW8Classic BT avec S-Z (-52,99€
1232084 = Remise 10 pour cent GW8 44mm 4G avec S-Z (-45,99€)
1232083 = Remise 10 pour cent GW8 44mmBT avec S-Z (-40,99€)
1232082 = Remise 10 pour cent GW8 40mm 4G avec S-Z (-42,99€)
1232081 = Remise 10 pour cent GW8 40mm BT avec S-Z (-37,99€)
1232115 = Remise 10 pour cent Pack GW8Classic avec S-Z (-55,99€)
1232116 = Remise 10 pour cent Pack GW8 40mm avec S-Z (-47,99€)</t>
  </si>
  <si>
    <t xml:space="preserve">ref watch : 1224209
1224210
1224231
1224232
1224233
1224234
1224235
1224236
1224237
1224238
1224239
1224240
1224241
1224249
1224250
1224281
1226313
1228864
1231639
smartphone : </t>
  </si>
  <si>
    <t>Honor 400</t>
  </si>
  <si>
    <r>
      <rPr>
        <rFont val="Poppins"/>
        <sz val="9.0"/>
      </rPr>
      <t xml:space="preserve">80€ de remise Club club+ infinity
</t>
    </r>
    <r>
      <rPr>
        <rFont val="Poppins"/>
        <b/>
        <sz val="20.0"/>
      </rPr>
      <t>Passage en RI</t>
    </r>
  </si>
  <si>
    <t>PASSAGE EN RI</t>
  </si>
  <si>
    <t>1222026
1222027</t>
  </si>
  <si>
    <t>Magic 7 Lite</t>
  </si>
  <si>
    <t>80€ de remise club, club+, infinity</t>
  </si>
  <si>
    <t xml:space="preserve">1216798
1216799
1217139
</t>
  </si>
  <si>
    <t>Honor 400 Smart</t>
  </si>
  <si>
    <t>40€ de remise club, club +, club Infinity</t>
  </si>
  <si>
    <t>ILV 40 HONOR 400 SMART MAG.pdf</t>
  </si>
  <si>
    <t>1228258
1228259 
1229582</t>
  </si>
  <si>
    <t>Magic 7 pro</t>
  </si>
  <si>
    <t xml:space="preserve">1217138
1216796
1216797
</t>
  </si>
  <si>
    <t>MagicV5</t>
  </si>
  <si>
    <t>1227533
1227534</t>
  </si>
  <si>
    <t>Honor 400 5G</t>
  </si>
  <si>
    <t xml:space="preserve">1222026 
1222027
</t>
  </si>
  <si>
    <t>Buds 2 Pro offerts pour l'achat d'un P9 Pro Fold</t>
  </si>
  <si>
    <t>1209802
1209803</t>
  </si>
  <si>
    <t xml:space="preserve"> XIAOMI</t>
  </si>
  <si>
    <t xml:space="preserve">Xiaomi Redmi Note 14 Pro+ </t>
  </si>
  <si>
    <t>50€ de remise sur présentation de l'email CRM 100 UTILISATIONS MAX</t>
  </si>
  <si>
    <t>1216794
1216855
1216856
 1216857</t>
  </si>
  <si>
    <t>Xiaomi Redmi Note 14 Pro</t>
  </si>
  <si>
    <t xml:space="preserve">1216854
1216853
1216852 </t>
  </si>
  <si>
    <t>30€ de remise sur présentation de l'email CRM 100 UTILISATIONS MAX</t>
  </si>
  <si>
    <t xml:space="preserve">1216851
1216820
1216819 
</t>
  </si>
  <si>
    <t xml:space="preserve">Xiaomi Redmi Note 14 Pro </t>
  </si>
  <si>
    <t>Watch 5 Active offerte</t>
  </si>
  <si>
    <t>ILV_A4_BOULANGER_RN14 PRO 5G (1).jpg</t>
  </si>
  <si>
    <t xml:space="preserve">1216852
1216853
1216854 
</t>
  </si>
  <si>
    <t>REDMI NOTE 14 SERIES</t>
  </si>
  <si>
    <t>50% sur le ZAGG</t>
  </si>
  <si>
    <t>ILV ZAGG.png</t>
  </si>
  <si>
    <t xml:space="preserve">1216794
1216818
1216819
1216820
1216848
1216849
1216851 
1216852 
1216853
1216854
1216855
1216856 
1216857 
 </t>
  </si>
  <si>
    <t>ILV MAG 3M INF 14TPRO 14T.pdf</t>
  </si>
  <si>
    <t xml:space="preserve">1212265
1212266
1212267
1217455
</t>
  </si>
  <si>
    <t>14T</t>
  </si>
  <si>
    <t xml:space="preserve">
1212117
1212262
1212263
1212264
</t>
  </si>
  <si>
    <t>Xiaomi 14T</t>
  </si>
  <si>
    <t>150€ de remises club club+ infinity 
ouvreurs porteurs</t>
  </si>
  <si>
    <t>XIAOMI 14T 100 CLUB.pdf</t>
  </si>
  <si>
    <t>1218508
1212264
1212262
1212263
1212117</t>
  </si>
  <si>
    <t>Redmi Pad Pro</t>
  </si>
  <si>
    <t>ILV RI FID XIAOMI REDMI PAD PRO.pdf</t>
  </si>
  <si>
    <t xml:space="preserve">1206948
1206949
1206950
1212269 </t>
  </si>
  <si>
    <t>Gamme Xiaomi : tous les smartphones</t>
  </si>
  <si>
    <t>50% de remise sur la protection d'écran sur mesure</t>
  </si>
  <si>
    <t>ILV_A4_ZAGG OCTOBRE (1).jpg</t>
  </si>
  <si>
    <t>tous les smartphones xiaomi</t>
  </si>
  <si>
    <t>Xiaomi 15T</t>
  </si>
  <si>
    <t>50€ de remise Club, Club+, Infinity</t>
  </si>
  <si>
    <t>1227626
1227627
1227628</t>
  </si>
  <si>
    <t>Xiaomi 15T PRO</t>
  </si>
  <si>
    <t xml:space="preserve">1227622
1227623
1227625 
</t>
  </si>
  <si>
    <t xml:space="preserve"> Pro</t>
  </si>
  <si>
    <t>50% de remise sur l'étui Etui Redmi Pad 2 Pro 1229579</t>
  </si>
  <si>
    <t>Code de étui 1229579
Code de la Pad 2 Pro 1227641</t>
  </si>
  <si>
    <t>Redmi Note 14 Pro+ 256Go 1225901</t>
  </si>
  <si>
    <t>100€ club RN14ProPLus.pdf</t>
  </si>
  <si>
    <t>Redmi Note 14 Pro 256Go 5G</t>
  </si>
  <si>
    <t>ILV 100 XIAOMI REDMI NOTE 14 PRO 256GO MAG.pdf</t>
  </si>
  <si>
    <t xml:space="preserve">1216852
1216853
1216854
1218716
1223122
1231081
</t>
  </si>
  <si>
    <t>A5</t>
  </si>
  <si>
    <t>ILV 30 XIAOMI A5 128GO MAG.pdf</t>
  </si>
  <si>
    <t>1221270
1221292
1221293</t>
  </si>
  <si>
    <t xml:space="preserve">Pad7 </t>
  </si>
  <si>
    <t>ILV 100 XIAOMI PAD 7 MAG.pdf</t>
  </si>
  <si>
    <t xml:space="preserve"> Redmi Note 14 5G
ATTENTION CHANGEMENT UNIQUEMENT SUR LES 5G</t>
  </si>
  <si>
    <t>70€ de remise Club, Club+, Infinity</t>
  </si>
  <si>
    <t>70€
ATTENTION CHANGEMENT UNIQUEMENT SUR LES 5G</t>
  </si>
  <si>
    <t>https://drive.google.com/file/d/10BiGwYwLOs3DHCMKComDXrjcKuuXcj9e/view?usp=drive_link</t>
  </si>
  <si>
    <t>1216819
1216820
1216851</t>
  </si>
  <si>
    <t>Pad2  uniquement sur les 128Go</t>
  </si>
  <si>
    <t>coque Redmi Pad2 Offert ref 1223412</t>
  </si>
  <si>
    <t>1222942
1222943</t>
  </si>
  <si>
    <t>10€ PAR TRANCHE DE 100€</t>
  </si>
  <si>
    <r>
      <rPr>
        <rFont val="Poppins"/>
        <color rgb="FF000000"/>
        <sz val="9.0"/>
      </rPr>
      <t xml:space="preserve">13/06/2025 </t>
    </r>
    <r>
      <rPr>
        <rFont val="Poppins"/>
        <b/>
        <color rgb="FFFF0000"/>
        <sz val="9.0"/>
      </rPr>
      <t>18h</t>
    </r>
  </si>
  <si>
    <t>10€
20€
30€
40€
50€
60€</t>
  </si>
  <si>
    <t xml:space="preserve">1221851 
1221852
1221853
1222607 
1221854 
1221855 </t>
  </si>
  <si>
    <t>10/100 WEEK END 1306</t>
  </si>
  <si>
    <t>1170461
1184827
1184828
1184829
1192764
1194971
1197829
1204937
1206948
1206949
1206950
1212269
1216748
1216750
1216751
1217140
1218505
1218507
1218638
1218639
1218640
1218641
1218642
1218643
1219022
1222942
1222943
1222944
1222945
1223306</t>
  </si>
  <si>
    <t>TOUS LES SMARTPHONES XIAOMI</t>
  </si>
  <si>
    <r>
      <rPr>
        <rFont val="Poppins"/>
        <color rgb="FF000000"/>
        <sz val="9.0"/>
      </rPr>
      <t xml:space="preserve">13/06/2025 </t>
    </r>
    <r>
      <rPr>
        <rFont val="Poppins"/>
        <b/>
        <color rgb="FFFF0000"/>
        <sz val="9.0"/>
      </rPr>
      <t>18h</t>
    </r>
  </si>
  <si>
    <t>10€
20€
30€
40€
50€
60€
70€
80€
90€
120€
140€
150€</t>
  </si>
  <si>
    <t xml:space="preserve">
1218338 
1218339 
1218340 
1218334 
1218337
1218371 
1218372
1218373 
1221774 
1221771 
1222604 
1222605 
</t>
  </si>
  <si>
    <t>1153298
1153299
1163706
1163950
1167064
1170004
1170217
1170361
1170362
1175710
1176152
1176159
1176784
1176787
1176788
1178771
1178772
1184545
1188830
1189198
1189200
1189209
1189212
1190036
1190917
1192679
1192680
1193055
1195072
1195881
1195882
1195885
1199606
1199607
1199673
1199674
1200203
1200204
1200206
1200207
1200208
1200222
1200224
1200225
1200228
1200229
1200230
1200244
1200269
1200301
1200304
1201285
1201752
1201754
1201941
1201942
1202490
1202491
1202493
1204934
1207921
1208716
1209032
1209050
1211369
1212117
1212239
1212240
1212261
1212262
1212263
1212264
1212265
1212266
1212267
1212684
1214803
1215004
1216794
1216818
1216819
1216820
1216848
1216849
1216851
1216852
1216853
1216854
1216855
1216856
1216857
1216934
1217455
1218506
1218508
1218605
1218606
1218607
1218609
1218610
1218651
1218654
1218716
1221270
1221292
1221293
1221448
1222277</t>
  </si>
  <si>
    <t>Toutes les tablettes</t>
  </si>
  <si>
    <t>10€ de remise par tranche de 100€ d'achat</t>
  </si>
  <si>
    <r>
      <rPr>
        <rFont val="Poppins"/>
        <color rgb="FFFF0000"/>
        <sz val="9.0"/>
      </rPr>
      <t xml:space="preserve">07/05/2025 </t>
    </r>
    <r>
      <rPr>
        <rFont val="Poppins"/>
        <b/>
        <color rgb="FFFF0000"/>
        <sz val="19.0"/>
      </rPr>
      <t>18h</t>
    </r>
  </si>
  <si>
    <t>10€
20€
30€
40€
50€
60€
70€</t>
  </si>
  <si>
    <t>1221851 
1221852 
1221853 
1222607 
1221854
1221855 
1222606</t>
  </si>
  <si>
    <t>10/100 07/05 au 11/05</t>
  </si>
  <si>
    <t>Toutes les smartphones</t>
  </si>
  <si>
    <r>
      <rPr>
        <rFont val="Poppins"/>
        <color rgb="FFFF0000"/>
        <sz val="9.0"/>
      </rPr>
      <t xml:space="preserve">07/05/2025 </t>
    </r>
    <r>
      <rPr>
        <rFont val="Poppins"/>
        <b/>
        <color rgb="FFFF0000"/>
        <sz val="19.0"/>
      </rPr>
      <t>18h</t>
    </r>
  </si>
  <si>
    <t xml:space="preserve">1218338
1218339
1218340
1218334
1218337
1218371
1218372 
1218373 
1221774
1221773 
1221772 
1221771 
1221760 
1222604 
1222605 </t>
  </si>
  <si>
    <t>Redmi 13 4G</t>
  </si>
  <si>
    <t>230€ de remises club club+ infinity ouvreurs/porteurs</t>
  </si>
  <si>
    <t>1218607
1218608  
1218609 
1218610</t>
  </si>
  <si>
    <t>GARMIN</t>
  </si>
  <si>
    <t>Garmin</t>
  </si>
  <si>
    <t xml:space="preserve">Montre connectée </t>
  </si>
  <si>
    <t>Venu X1 noir</t>
  </si>
  <si>
    <t>70€ de remise fidélité</t>
  </si>
  <si>
    <t>CLUB VENU X1 (1).pdf</t>
  </si>
  <si>
    <t xml:space="preserve">1223759
1223760  
</t>
  </si>
  <si>
    <t>II</t>
  </si>
  <si>
    <t>Oppo Reno 12/F/FS</t>
  </si>
  <si>
    <t xml:space="preserve"> Enco Buds 2 Pro White (1223304) pour l'achat d'un Oppo Reno 12/F/FS 
</t>
  </si>
  <si>
    <t>1221288
1221289</t>
  </si>
  <si>
    <t>A5 PRO 5G</t>
  </si>
  <si>
    <t>Remise Club 30€ A5Pro 5G</t>
  </si>
  <si>
    <t>CLUB A5 5G.pdf</t>
  </si>
  <si>
    <t>1221288
1221289</t>
  </si>
  <si>
    <t>A5 PRO 4G</t>
  </si>
  <si>
    <t xml:space="preserve">Remise Club 20€ A5Pro </t>
  </si>
  <si>
    <t>CLUB A5 4G.pdf</t>
  </si>
  <si>
    <t>1221287
1221338</t>
  </si>
  <si>
    <t>Remise Club, Club +, Infinity 50€ A5 Pro</t>
  </si>
  <si>
    <t>ILV 50 OPPO A5 PRO 5G MAG.pdf</t>
  </si>
  <si>
    <t>Reno 13 PRO</t>
  </si>
  <si>
    <t>Remise Club, Club +, Infinity 200€ Reno 13 Pro</t>
  </si>
  <si>
    <t>ILV 200 OPPO RENO 13 PRO 5G MAG.pdf</t>
  </si>
  <si>
    <t>SMaRTPHONE</t>
  </si>
  <si>
    <t>Reno 13F</t>
  </si>
  <si>
    <t xml:space="preserve"> Remise Club, Club +, Infinity 60€ Reno 13F</t>
  </si>
  <si>
    <t>ILV 60 OPPO RENO 13F MAG.pdf</t>
  </si>
  <si>
    <t>1218976
1218977
1218978</t>
  </si>
  <si>
    <t>Remise Club, Club +, Infinity 100€ Reno 14</t>
  </si>
  <si>
    <t>ILV 100 OPPO RENO 14 MAG.pdf</t>
  </si>
  <si>
    <t>1227103
1227141</t>
  </si>
  <si>
    <t>SAMRTPHONE</t>
  </si>
  <si>
    <t>Find X9/X9Pro</t>
  </si>
  <si>
    <t>Remise Club, Club+, Infinity 100€ Find X9 / X9 Pro</t>
  </si>
  <si>
    <t>ILV 100 OPPO X9 Pro MAG.pdf</t>
  </si>
  <si>
    <t>1231656
1231657
1231658
1231659</t>
  </si>
  <si>
    <t>Remise Club, Club+, Infinity 30€ A5 Pro 4G</t>
  </si>
  <si>
    <t>ILV 30 OPPO A5 PRO 4G MAG.pdf</t>
  </si>
  <si>
    <t>NOTHING</t>
  </si>
  <si>
    <t>nothing</t>
  </si>
  <si>
    <t>Phone 3a bleu edition uniquement</t>
  </si>
  <si>
    <t>Remise 50€ club, club+, infinity</t>
  </si>
  <si>
    <t>remise club nothing bleu.pdf</t>
  </si>
  <si>
    <t xml:space="preserve">ASUS </t>
  </si>
  <si>
    <t>REDMI PAD</t>
  </si>
  <si>
    <t>ILV_A4_BOULANGER_REDMI PAD PRO_BRADERIE.pdf</t>
  </si>
  <si>
    <t>1206948
1206949
1206950
1207286
1192762
1192763
1192764
1197829
1204937
1205053
1194971
1194972
1194973</t>
  </si>
  <si>
    <t>Xiaomi Pad 4</t>
  </si>
  <si>
    <t>OP0624ACCU.pdf</t>
  </si>
  <si>
    <t>1184827
1184828
1184829</t>
  </si>
  <si>
    <t>S23FE 
S23+
S24
S24+</t>
  </si>
  <si>
    <t>Code remise Mail -100€</t>
  </si>
  <si>
    <t>1187774
1187775
1187776
1187777
1187778
1187779
1187780
1187791
1199536
1199537
1199538
1199539
1199540
1199541
1199542
1199543
1199976
1199977
1199978
1199979
1199980
1200011
1200012
1200013
1200014
1200015
1200016
1200017
1200018
1200019
1200020
1200021
1207187</t>
  </si>
  <si>
    <t>S24 Ultra
Z5</t>
  </si>
  <si>
    <t>Code remise Mail -150€</t>
  </si>
  <si>
    <t>1187792
1187793
1187794
1187795
1187796
1187797
1187798
1187799
1187801
1187802
1187803
1187804
1194589
1194590
1194591
1194592
1194593
1194594
1194596
1194597
1194598
1194581
1194582
1194583
1194584
1194585
1194586
1194587
1194588</t>
  </si>
  <si>
    <t xml:space="preserve">Watch 2 (1202749/1202750) offerte pour l'achat d'un Xiaomi 14 </t>
  </si>
  <si>
    <t xml:space="preserve">1201752
1201753
1201754
</t>
  </si>
  <si>
    <t>TAB S6 Lite 2024</t>
  </si>
  <si>
    <t xml:space="preserve">1203589 / 1205020
</t>
  </si>
  <si>
    <t xml:space="preserve">1203589 / 1205020
</t>
  </si>
  <si>
    <t xml:space="preserve">TAB A9+ 128Go offert (1199129 ) pour l'achat d'une TAB S9 
Seulement sur les codes suivants :
1194481 / 1194483 / 1194484/ 1196003/ 1194487/ 
1194488/1194489/1194501/1194502/1194504/ 1196004
</t>
  </si>
  <si>
    <t>1194481 / 1194483 / 1194484/ 1196003/ 1194487/ 
1194488/1194489/1194501/1194502/1194504/ 1196004</t>
  </si>
  <si>
    <t xml:space="preserve">Z Fold5, Z Flip 5
S24 Family
S23
S23FE
</t>
  </si>
  <si>
    <t xml:space="preserve">50€
60€
70€
80€
90€
100€
110€
120€
140€
150€
170€
180€
200€
</t>
  </si>
  <si>
    <t xml:space="preserve">1206248
1196526 
1196540
1196546 
1196547 
1196563 
1196564 
1197427
1197428 
1197429 
1198112  
1197431
1197430 
</t>
  </si>
  <si>
    <t xml:space="preserve">1194591
1194594
1200030
1200031
1200032
1200033
1194590
1194593
1194597
1194589
1194592
1194596
1200026
1200027
1200028
1200029
1200022
1200023
1200024
1200025
1200018
1200019
1200020
1200021
1200014
1200015
1200016
1200017
1194582
1194584
1194586
1194588
1199980
1200011
1200012
1200013
1194581
1194583
1194585
1194587
1199976
1199977
1199978
1199979
1187768
1187769
1187770
1187781
1187764
1187765
1187766
1187767
1198674
1202967
1199539
1199541
1199543
1199536
1199538
1199540
1199542
1207187
</t>
  </si>
  <si>
    <t xml:space="preserve">S9FE
S9FE+
</t>
  </si>
  <si>
    <r>
      <rPr>
        <rFont val="Poppins"/>
        <color rgb="FF000000"/>
        <sz val="9.0"/>
      </rPr>
      <t>31/05/2024</t>
    </r>
    <r>
      <rPr>
        <rFont val="Poppins"/>
        <color rgb="FF000000"/>
        <sz val="9.0"/>
      </rPr>
      <t xml:space="preserve"> (17H)</t>
    </r>
  </si>
  <si>
    <t>50€
60€
70€</t>
  </si>
  <si>
    <t xml:space="preserve">1197321 
1197322 
1197323 </t>
  </si>
  <si>
    <t>1197211
1197215
1197216
1197217
1197221
1197222
1197223
1197224
1197226
1198778
1203574</t>
  </si>
  <si>
    <t>Montre connectée</t>
  </si>
  <si>
    <t xml:space="preserve">Watch 5 Pro
Watch 6 
Watch 6 classique 
</t>
  </si>
  <si>
    <r>
      <rPr>
        <rFont val="Poppins"/>
        <color rgb="FF000000"/>
        <sz val="9.0"/>
      </rPr>
      <t>31/05/2024</t>
    </r>
    <r>
      <rPr>
        <rFont val="Poppins"/>
        <color rgb="FF000000"/>
        <sz val="9.0"/>
      </rPr>
      <t xml:space="preserve"> (17H)</t>
    </r>
  </si>
  <si>
    <t xml:space="preserve">1198433
1197406 
1197407 </t>
  </si>
  <si>
    <t xml:space="preserve">1182380
1182471
1182472
1182473
1185253
1193780
1193791
1193792
1193793
1193794
1193795
1193796
1193797
1193798
1193799
1193800
1193801
1193802
1193803
1193804
1193805
1195506
1200468
</t>
  </si>
  <si>
    <t>1188080
1188162
1180917
1202748
1192195
1192196
1180918
1192197</t>
  </si>
  <si>
    <t>10€
20€
30€
40€
50€
120€</t>
  </si>
  <si>
    <t xml:space="preserve">1207925 
1207926 
1207927 
1207928 
1207929 
1207930 </t>
  </si>
  <si>
    <r>
      <rPr>
        <rFont val="Poppins"/>
        <sz val="9.0"/>
      </rPr>
      <t xml:space="preserve">Z FLIP 5 / Z FOLD 5 </t>
    </r>
    <r>
      <rPr>
        <rFont val="Poppins"/>
        <color rgb="FFFF0000"/>
        <sz val="9.0"/>
      </rPr>
      <t>(hors 1to)</t>
    </r>
    <r>
      <rPr>
        <rFont val="Poppins"/>
        <sz val="9.0"/>
      </rPr>
      <t xml:space="preserve">
S24 FAMILY
S23 
S23FE</t>
    </r>
  </si>
  <si>
    <r>
      <rPr>
        <rFont val="Poppins"/>
        <color rgb="FF000000"/>
        <sz val="9.0"/>
      </rPr>
      <t xml:space="preserve">07/06 </t>
    </r>
    <r>
      <rPr>
        <rFont val="Poppins"/>
        <color rgb="FF000000"/>
        <sz val="9.0"/>
      </rPr>
      <t>(17h)</t>
    </r>
  </si>
  <si>
    <r>
      <rPr>
        <rFont val="Poppins"/>
        <color rgb="FF000000"/>
        <sz val="9.0"/>
      </rPr>
      <t>10/06</t>
    </r>
    <r>
      <rPr>
        <rFont val="Poppins"/>
        <color rgb="FF000000"/>
        <sz val="9.0"/>
      </rPr>
      <t xml:space="preserve"> (12h)</t>
    </r>
  </si>
  <si>
    <t>50€
60€
70€
80€
90€
100€
110€
120€
140€
150€
170€
180€</t>
  </si>
  <si>
    <t xml:space="preserve">1196526 
1196540 
1196546 
1196547 
1196563 
1196564 
1197427 
1197428 
1197429 
1197430 
1197431 
1198112 </t>
  </si>
  <si>
    <t xml:space="preserve">1104460
1122242
1125720
1126281
1126680
1127577
1135679
1136139
1140604
1140607
1140611
1141475
1145116
1145117
1145918
1148485
1148910
1148923
1148929
1149190
1149682
1149683
1149687
1151633
1151638
1151651
1154152
1156591
1156598
1156791
1156795
1156800
1156803
1156805
1156806
1156807
1156809
1156953
1157245
1157256
1158768
1158796
1158797
1158798
1158806
1160272
1161052
1165469
1165482
1167082
1167083
1167086
1167090
1167111
1167112
1167113
1167632
1167634
1167635
1169127
1169128
1174172
1174173
1174174
1174176
1175336
1175337
1175339
1175340
1175347
1175348
1175349
1175350
1175351
1175357
1175359
1175360
1175371
1175372
1175373
1175374
1175381
1175382
1175383
1175384
1175385
1175386
1175387
1175388
1175389
1176120
1176385
1176428
1176441
1176444
1176445
1176691
1176692
1176693
1176695
1177441
1178344
1178644
1181145
1181147
1181751
1181752
1182693
1182694
1182695
1182696
1182697
1182698
1182699
1182700
1182761
1182762
1182763
1182764
1182765
1182766
1182767
1183019
1183020
1183181
1183182
1183872
1183873
1183874
1184064
1184065
1184735
1184790
1185110
1185248
1185250
1187764
1187765
1187766
1187767
1187768
1187769
1187770
1187774
1187775
1187776
1187777
1187778
1187779
1187780
1187781
1187791
1187792
1187793
1187794
1187795
1187796
1187797
1187798
1187799
1187801
1187802
1187803
1187804
1188367
1189138
1189140
1189507
1189508
1189509
1189510
1189551
1189552
1189553
1189554
1189555
1189556
1189557
1189558
1189559
1189560
1189571
1189572
1189573
1189574
1189575
1190843
1190844
1190846
1190848
1192560
1192652
1192653
1193505
1194581
1194582
1194583
1194584
1194585
1194586
1194587
1194588
1194589
1194590
1194591
1194592
1194593
1194594
1194596
1194597
1194598
1196526
1196540
1196546
1196547
1196563
1196564
1197427
1197428
1197429
1197430
1197431
1198112
1198498
1198499
1198527
1198630
1198672
1198673
1198674
1198820
1198953
1199517
1199521
1199522
1199523
1199524
1199525
1199527
1199528
1199529
1199530
1199531
1199532
1199533
1199534
1199535
1199536
1199537
1199538
1199539
1199540
1199541
1199542
1199543
1199583
1199621
1199622
1199976
1199977
1199978
1199979
1199980
1200011
1200012
1200013
1200014
1200015
1200016
1200017
1200018
1200019
1200020
1200021
1200022
1200023
1200024
1200025
1200026
1200027
1200028
1200029
1200030
1200031
1200032
1200033
1200102
1200283
1200664
1200702
1200703
1200711
1200713
1200716
1200924
1200925
1201151
1201321
1202133
1202967
1203062
1203081
1203082
1203086
1203087
1203089
1203090
1203102
1203105
1203106
1203107
1203108
1203613
1204613
1204614
1204615
1204616
1206141
1206143
1206248
1206249
1207186
1207187
1207404
1207405
1207447
1207448
</t>
  </si>
  <si>
    <t>Montres</t>
  </si>
  <si>
    <r>
      <rPr>
        <rFont val="Poppins"/>
        <color rgb="FF000000"/>
        <sz val="9.0"/>
      </rPr>
      <t xml:space="preserve">07/06 </t>
    </r>
    <r>
      <rPr>
        <rFont val="Poppins"/>
        <color rgb="FF000000"/>
        <sz val="9.0"/>
      </rPr>
      <t>(17h)</t>
    </r>
  </si>
  <si>
    <r>
      <rPr>
        <rFont val="Poppins"/>
        <color rgb="FF000000"/>
        <sz val="9.0"/>
      </rPr>
      <t>10/06</t>
    </r>
    <r>
      <rPr>
        <rFont val="Poppins"/>
        <color rgb="FF000000"/>
        <sz val="9.0"/>
      </rPr>
      <t xml:space="preserve"> (12h)</t>
    </r>
  </si>
  <si>
    <t xml:space="preserve">1198433 
1197406 
1197407 
</t>
  </si>
  <si>
    <t>1182380
1182471
1182472
1182473
1185253
1193780
1193791
1193792
1193793
1193794
1193795
1193796
1193797
1193798
1193799
1193800
1193801
1193802
1193803
1193804
1193805
1195506
1200468</t>
  </si>
  <si>
    <t>Toutes les refs</t>
  </si>
  <si>
    <r>
      <rPr>
        <rFont val="Poppins"/>
        <color rgb="FF000000"/>
        <sz val="9.0"/>
      </rPr>
      <t xml:space="preserve">07/06 </t>
    </r>
    <r>
      <rPr>
        <rFont val="Poppins"/>
        <color rgb="FF000000"/>
        <sz val="9.0"/>
      </rPr>
      <t>(17h)</t>
    </r>
  </si>
  <si>
    <r>
      <rPr>
        <rFont val="Poppins"/>
        <color rgb="FF000000"/>
        <sz val="9.0"/>
      </rPr>
      <t>10/06</t>
    </r>
    <r>
      <rPr>
        <rFont val="Poppins"/>
        <color rgb="FF000000"/>
        <sz val="9.0"/>
      </rPr>
      <t xml:space="preserve"> (12h)</t>
    </r>
  </si>
  <si>
    <t>1197313
1197315 
1197317
1197318 
1197321 
1197322 
1197323 
1197324 
 1197325 
1197326 
1197327 
1197328 
1198556 
1198557 
1198558 
1198559</t>
  </si>
  <si>
    <t>1124499
1129601
1148566
1148567
1148569
1148671
1148672
1165978
1165979
1165981
1169361
1169364
1174301
1174302
1174303
1174304
1175300
1175307
1175309
1175311
1175321
1175322
1175323
1175324
1175326
1175370
1177448
1180130
1180161
1188254
1188255
1188256
1190958
1194481
1194483
1194484
1194485
1194487
1194488
1194489
1194490
1194501
1194502
1194504
1194505
1196003
1196004
1197109
1197211
1197215
1197216
1197217
1197218
1197219
1197220
1197221
1197222
1197223
1197224
1197225
1197226
1197227
1198778
1199001
1199105
1199107
1199109
1199110
1199125
1199127
1199128
1199129
1199130
1199131
1199132
1199133
1199134
1200632
1203574
1203589
1203590
1203661
1205020
1205071
1208104
1208106</t>
  </si>
  <si>
    <t>HONOR 200</t>
  </si>
  <si>
    <t>Remise au panier</t>
  </si>
  <si>
    <t>1208154
1208155
1208159</t>
  </si>
  <si>
    <t>HONOR 200 pro</t>
  </si>
  <si>
    <t>1208156
1208158
1208160</t>
  </si>
  <si>
    <t>1199976
1199977
1199978
1199979
1199980
1200011
1200012
1200013
1200014
1200015
1200016
1200017
1200018
1200019
1200020
1200021
1200022
1200023
1200024
1200025
1200026
1200027
1200028
1200029
1200030
1200031
1200032
1200033</t>
  </si>
  <si>
    <t>Pack Watch 5 Pro + Buds FE</t>
  </si>
  <si>
    <t>Watch 5 pro</t>
  </si>
  <si>
    <t xml:space="preserve">1182380
1182471
1182472
1182473
1185253
1200468
</t>
  </si>
  <si>
    <t>Watch 6 40mm BT/4G</t>
  </si>
  <si>
    <t xml:space="preserve">1193780
1193791
1193794
1193795
1195506
</t>
  </si>
  <si>
    <t>Watch 6 44mm BT/4G</t>
  </si>
  <si>
    <t xml:space="preserve">80€ de remise au panier  </t>
  </si>
  <si>
    <t>1193792
1193793
1193796
1193797</t>
  </si>
  <si>
    <t xml:space="preserve">Tablettes </t>
  </si>
  <si>
    <t>10€ par 100€</t>
  </si>
  <si>
    <r>
      <rPr>
        <rFont val="Poppins"/>
        <color rgb="FF000000"/>
        <sz val="9.0"/>
      </rPr>
      <t xml:space="preserve">14/06/2024 </t>
    </r>
    <r>
      <rPr>
        <rFont val="Poppins"/>
        <color rgb="FF000000"/>
        <sz val="9.0"/>
      </rPr>
      <t>15h</t>
    </r>
  </si>
  <si>
    <r>
      <rPr>
        <rFont val="Poppins"/>
        <color rgb="FF000000"/>
        <sz val="9.0"/>
      </rPr>
      <t xml:space="preserve">17/06/2024 </t>
    </r>
    <r>
      <rPr>
        <rFont val="Poppins"/>
        <color rgb="FF000000"/>
        <sz val="9.0"/>
      </rPr>
      <t>12h</t>
    </r>
  </si>
  <si>
    <t xml:space="preserve">1197313 
1197315 
1197317 
1197318 
1197321 
1197322 
1197323 
1197324 
1197325 
1197326 
1197327 
1197328 
1198556 
1198557 
1198558 </t>
  </si>
  <si>
    <t>GW5 Pro, GW6, GW6 Classic</t>
  </si>
  <si>
    <r>
      <rPr>
        <rFont val="Poppins"/>
        <color rgb="FF000000"/>
        <sz val="9.0"/>
      </rPr>
      <t xml:space="preserve">14/06/2024 </t>
    </r>
    <r>
      <rPr>
        <rFont val="Poppins"/>
        <color rgb="FF000000"/>
        <sz val="9.0"/>
      </rPr>
      <t>17h</t>
    </r>
  </si>
  <si>
    <r>
      <rPr>
        <rFont val="Poppins"/>
        <color rgb="FF000000"/>
        <sz val="9.0"/>
      </rPr>
      <t xml:space="preserve">17/06/2024 </t>
    </r>
    <r>
      <rPr>
        <rFont val="Poppins"/>
        <color rgb="FF000000"/>
        <sz val="9.0"/>
      </rPr>
      <t>12h</t>
    </r>
  </si>
  <si>
    <t>1182380
1182471
1182472
1182473
1185253
1193780
1193791
1193792
1193793
1193794
1193795
1193796
1193797
1193798
1193799
1193800
1193801
1193802
1193803
1193804
1193805
1195506
1199120
1200468</t>
  </si>
  <si>
    <t>Smartphones</t>
  </si>
  <si>
    <t>S24 FAM, S23, S23FE</t>
  </si>
  <si>
    <r>
      <rPr>
        <rFont val="Poppins"/>
        <color rgb="FF000000"/>
        <sz val="9.0"/>
      </rPr>
      <t xml:space="preserve">12/07/2024 </t>
    </r>
    <r>
      <rPr>
        <rFont val="Poppins"/>
        <color rgb="FF000000"/>
        <sz val="9.0"/>
      </rPr>
      <t>18h</t>
    </r>
  </si>
  <si>
    <r>
      <rPr>
        <rFont val="Poppins"/>
        <color rgb="FF000000"/>
        <sz val="9.0"/>
      </rPr>
      <t xml:space="preserve">15/07/2024 </t>
    </r>
    <r>
      <rPr>
        <rFont val="Poppins"/>
        <color rgb="FF000000"/>
        <sz val="9.0"/>
      </rPr>
      <t>12h</t>
    </r>
  </si>
  <si>
    <t xml:space="preserve">50€
60€
70€
80€
100€
110€
130€
140€
170€
</t>
  </si>
  <si>
    <t xml:space="preserve">
1196526 
1196540 
1196546 
1196547 
1196564 
1197427 
1197428 
1197429 
1197431 
</t>
  </si>
  <si>
    <t>Toutes références</t>
  </si>
  <si>
    <r>
      <rPr>
        <rFont val="Poppins"/>
        <color rgb="FF000000"/>
        <sz val="9.0"/>
      </rPr>
      <t xml:space="preserve">12/07/2024 </t>
    </r>
    <r>
      <rPr>
        <rFont val="Poppins"/>
        <color rgb="FF000000"/>
        <sz val="9.0"/>
      </rPr>
      <t>18h</t>
    </r>
  </si>
  <si>
    <r>
      <rPr>
        <rFont val="Poppins"/>
        <color rgb="FF000000"/>
        <sz val="9.0"/>
      </rPr>
      <t xml:space="preserve">15/07/2024 </t>
    </r>
    <r>
      <rPr>
        <rFont val="Poppins"/>
        <color rgb="FF000000"/>
        <sz val="9.0"/>
      </rPr>
      <t>12h</t>
    </r>
  </si>
  <si>
    <t xml:space="preserve">
10€
20€
30€
40€
50€
60€
70€
80€
90€
100€
110€
120€
130€
140€
150€
160€
180€
</t>
  </si>
  <si>
    <t>1197313
1197315
1197317
1197318
1197321
1197322
1197323
1197324
1197325
1197326
1197327
1197328
1198556
1198557
1198558
1198559
1210154</t>
  </si>
  <si>
    <t>DIRECTEMENT DANS LE PRIX</t>
  </si>
  <si>
    <t xml:space="preserve">1193780
1193791
1193794
1193795
1195506
</t>
  </si>
  <si>
    <t xml:space="preserve">10€ par tranche de 100€ sur ces 3 refs : 
1200632 1205020 1203574
</t>
  </si>
  <si>
    <t xml:space="preserve">20€
30€
50€ </t>
  </si>
  <si>
    <t xml:space="preserve">1197315
1197317
1197321 </t>
  </si>
  <si>
    <t xml:space="preserve">1200632
1205020
1203574
</t>
  </si>
  <si>
    <t xml:space="preserve">Toutes les tablettes Samsung
</t>
  </si>
  <si>
    <r>
      <rPr>
        <rFont val="Poppins"/>
        <color rgb="FF000000"/>
        <sz val="9.0"/>
      </rPr>
      <t xml:space="preserve">21/06/2024 </t>
    </r>
    <r>
      <rPr>
        <rFont val="Poppins"/>
        <color rgb="FF000000"/>
        <sz val="9.0"/>
      </rPr>
      <t>17h</t>
    </r>
  </si>
  <si>
    <t xml:space="preserve">1197313 
1197315
1197317 
1197318 
1197321 
1197322 
1197323
1197324 
1197325 
1197326 
1197327 
1197328 
1198556 
1198557 
1198558 </t>
  </si>
  <si>
    <t xml:space="preserve">1063055
1073714
1073716
1073719
1086354
1086359
1103301
1117921
1117923
1122902
1124400
1124493
1124496
1124499
1124500
1124501
1124502
1124505
1124506
1129601
1129602
1129603
1130767
1137118
1144858
1144859
1144860
1148566
1148567
1148568
1148569
1148570
1148671
1148672
1148673
1148674
1148675
1148676
1148677
1148678
1148679
1148680
1154417
1154418
1158702
1165978
1165979
1165980
1165981
1165982
1166857
1167653
1167654
1167655
1169065
1169260
1169361
1169362
1169363
1169364
1169365
1171058
1174301
1174302
1174303
1174304
1175300
1175306
1175307
1175308
1175309
1175310
1175311
1175312
1175321
1175322
1175323
1175324
1175325
1175326
1175327
1175363
1175370
1177448
1177449
1177450
1180121
1180122
1180123
1180130
1180161
1180162
1185261
1188254
1188255
1188256
1190126
1190958
1192546
1194481
1194483
1194484
1194485
1194487
1194488
1194489
1194490
1194501
1194502
1194504
1194505
1194599
1196003
1196004
1197109
1197211
1197215
1197216
1197217
1197218
1197219
1197220
1197221
1197222
1197223
1197224
1197225
1197226
1197227
1197313
1197315
1197317
1197318
1197321
1197322
1197323
1197324
1197325
1197326
1197327
1197328
1197404
1197405
1198415
1198416
1198417
1198418
1198419
1198556
1198557
1198558
1198559
1198778
1199001
1199105
1199107
1199109
1199110
1199122
1199124
1199125
1199126
1199127
1199128
1199129
1199130
1199131
1199132
1199133
1199134
1199474
1200632
1203250
1203322
1203574
1203589
1203590
1203661
1205020
1205071
1206183
1207673
1207924
1208104
1208106
1208545
1208816
1208817
1208818
1208819
1208820
1208821
1208822
1208823
1208824
1208825
1208826
1208827
1208828
1208829
1208830
1208831
</t>
  </si>
  <si>
    <t>S23, S23FE, S24 FAM, ZFold5 ZFold5</t>
  </si>
  <si>
    <t>50€
60€
70€
80€
90€
100€
110€
120€
130€
140€
150€
170€
180€
200€
220€</t>
  </si>
  <si>
    <t>1196526 
1196540 
1196546 
1196547 
1196563 
1196564 
1197427 
1197428 
1209522 
1197429 
1197430 
1197431 
1198112 
1209523 
1209524</t>
  </si>
  <si>
    <t>1199536
1199538
1199540
1199542
1207187
1187764
1187765
1187766
1187767
1198674
1199537
1199539
1199541
1202967
1187768
1187769
1187770
1187781
1199976
1199977
1199978
1199979
1200012
1194581
1194583
1194585
1194586
1194587
1194588
1199980
1200011
1200013
1194582
1194584
1200014
1200015
1200016
1200017
1200018
1200019
1200020
1200021
1200022
1200023
1200024
1200025
1194589
1194592
1194596
1200026
1200027
1200028
1200029
1194590
1194591
1194593
1194597
1200030
1200031
1200032
1200033</t>
  </si>
  <si>
    <t>Honor 200 pro</t>
  </si>
  <si>
    <t>100€ de remise panier</t>
  </si>
  <si>
    <t>1206948
1206949
1206950
1207286
1204937
1205053</t>
  </si>
  <si>
    <t>6 mois infinity offert</t>
  </si>
  <si>
    <t>1206948
1206949
1206950
1207286
1204937
1205053</t>
  </si>
  <si>
    <t>1194971
1194972
1194973
1197829
1195793
1195794
1184827
1184828
1184829</t>
  </si>
  <si>
    <t>3 mois infinity offert</t>
  </si>
  <si>
    <t xml:space="preserve">
1194971
1194972
1194973
1197829
1195793
1195794
1184827
1184828
1184829</t>
  </si>
  <si>
    <t>WATCH ULTRA 
REMISE CODE CRM UNIQUEMENT 700 CODES 
 (client ayant reçu email)</t>
  </si>
  <si>
    <t>WATCH 7
REMISE CODE CRM UNIQUEMENT 700 CODES 
 (client ayant reçu email)</t>
  </si>
  <si>
    <t>Z FLIP 6
REMISE CODE CRM UNIQUEMENT 600 CODES
(client ayant reçu un email crm)</t>
  </si>
  <si>
    <r>
      <rPr>
        <rFont val="Poppins"/>
        <sz val="9.0"/>
      </rPr>
      <t xml:space="preserve">150€ de remise au panier + uniquement buds 3 offerts </t>
    </r>
    <r>
      <rPr>
        <rFont val="Poppins"/>
        <sz val="9.0"/>
      </rPr>
      <t>(1208465
1208466) jusqu'au 14/07</t>
    </r>
    <r>
      <rPr>
        <rFont val="Poppins"/>
        <sz val="9.0"/>
      </rPr>
      <t xml:space="preserve">
</t>
    </r>
  </si>
  <si>
    <t xml:space="preserve">1209140
1209191
1209192
1209193
1209194
1209195
1209196
1209197 </t>
  </si>
  <si>
    <t>Z Fold 6
REMISE CODE CRM UNIQUEMENT 500 CODES
(client ayant reçu un email crm)</t>
  </si>
  <si>
    <r>
      <rPr>
        <rFont val="Poppins"/>
        <sz val="9.0"/>
      </rPr>
      <t xml:space="preserve">200€ de remise au panier + uniquement buds 3 pro offert </t>
    </r>
    <r>
      <rPr>
        <rFont val="Poppins"/>
        <sz val="9.0"/>
      </rPr>
      <t>(1208463 
1208464) jusqu'au 14/07</t>
    </r>
  </si>
  <si>
    <t>1209198
1209199
1209200
1209201
1209202
1209203
1209204
1209205
1209206</t>
  </si>
  <si>
    <t xml:space="preserve">150€ de remise au panier </t>
  </si>
  <si>
    <t xml:space="preserve">200€ de remise au panier </t>
  </si>
  <si>
    <r>
      <rPr>
        <rFont val="Poppins"/>
        <sz val="9.0"/>
      </rPr>
      <t xml:space="preserve">150€ de remise au panier + uniquement buds 3 offerts </t>
    </r>
    <r>
      <rPr>
        <rFont val="Poppins"/>
        <sz val="9.0"/>
      </rPr>
      <t>(1208465
1208466) jusqu'au 22/07</t>
    </r>
    <r>
      <rPr>
        <rFont val="Poppins"/>
        <sz val="9.0"/>
      </rPr>
      <t xml:space="preserve">
</t>
    </r>
  </si>
  <si>
    <r>
      <rPr>
        <rFont val="Poppins"/>
        <sz val="9.0"/>
      </rPr>
      <t xml:space="preserve">200€ de remise au panier + uniquement buds 3 pro offert </t>
    </r>
    <r>
      <rPr>
        <rFont val="Poppins"/>
        <sz val="9.0"/>
      </rPr>
      <t>(1208463 
1208464) jusqu'au 22/07</t>
    </r>
  </si>
  <si>
    <r>
      <rPr>
        <rFont val="Poppins"/>
        <sz val="9.0"/>
      </rPr>
      <t xml:space="preserve">150€ de remise au panier + uniquement buds 3 offerts </t>
    </r>
    <r>
      <rPr>
        <rFont val="Poppins"/>
        <sz val="9.0"/>
      </rPr>
      <t>(1208465
1208466) jusqu'au 23/07</t>
    </r>
    <r>
      <rPr>
        <rFont val="Poppins"/>
        <sz val="9.0"/>
      </rPr>
      <t xml:space="preserve">
</t>
    </r>
  </si>
  <si>
    <r>
      <rPr>
        <rFont val="Poppins"/>
        <sz val="9.0"/>
      </rPr>
      <t xml:space="preserve">200€ de remise au panier + uniquement buds 3 pro offert </t>
    </r>
    <r>
      <rPr>
        <rFont val="Poppins"/>
        <sz val="9.0"/>
      </rPr>
      <t>(1208463 
1208464) jusqu'au 23/07</t>
    </r>
  </si>
  <si>
    <t xml:space="preserve">Z FLIP 6
</t>
  </si>
  <si>
    <t xml:space="preserve">300€ de remise au panier </t>
  </si>
  <si>
    <t xml:space="preserve">Z FOLD 6
</t>
  </si>
  <si>
    <t xml:space="preserve">400€ de remise au panier </t>
  </si>
  <si>
    <t xml:space="preserve"> Scooter 4 lite 2 offert à l'achat d'un Xiaomi 14</t>
  </si>
  <si>
    <t>Code Bundle : 
1209948 
1209949
1209950</t>
  </si>
  <si>
    <t>Code Bundle : 
1209948 
1209949
 1209950</t>
  </si>
  <si>
    <t>XIAOMI toute la gamme</t>
  </si>
  <si>
    <t>-50% de remise sur la protection d'écran sur-mesure zagg</t>
  </si>
  <si>
    <t>ILV MAG_A4_BOULANGER_ZAGG.pdf.pdf</t>
  </si>
  <si>
    <t>tous les smartphones</t>
  </si>
  <si>
    <t>Watch 2 + buds pour l'achat d'un Xiaomi 14T Pro et Mix Flip (1212684)</t>
  </si>
  <si>
    <t>ILV_A4_BOULANGER_XIAOMI 14T PRO.jpg</t>
  </si>
  <si>
    <t>1212265
1212266
1212267
1212684</t>
  </si>
  <si>
    <t xml:space="preserve">XIAOMI 14T + 14T PRO </t>
  </si>
  <si>
    <t>50% de remise sur Zagg pour l'achat d'un Xiaomi 14T + 14T Pro</t>
  </si>
  <si>
    <t>ILV MAG ZAGG XIAOMI.pdf</t>
  </si>
  <si>
    <t>1212265
1212266
1212267
1212262
1212263
1212264
1212117</t>
  </si>
  <si>
    <r>
      <rPr>
        <rFont val="Poppins"/>
        <sz val="9.0"/>
      </rPr>
      <t xml:space="preserve">XIAOMI 14T
</t>
    </r>
    <r>
      <rPr>
        <rFont val="Poppins"/>
        <color rgb="FFFF0000"/>
        <sz val="9.0"/>
      </rPr>
      <t xml:space="preserve"> (300 utilisations max)</t>
    </r>
  </si>
  <si>
    <t>100€ de remise panier (300 max)</t>
  </si>
  <si>
    <r>
      <rPr>
        <rFont val="Poppins"/>
        <sz val="9.0"/>
      </rPr>
      <t xml:space="preserve">XIAOMI MIX FLIP
</t>
    </r>
    <r>
      <rPr>
        <rFont val="Poppins"/>
        <color rgb="FFFF0000"/>
        <sz val="9.0"/>
      </rPr>
      <t xml:space="preserve"> (50 utilisations max)</t>
    </r>
  </si>
  <si>
    <t>100€ de remise panier (50 max)</t>
  </si>
  <si>
    <r>
      <rPr>
        <rFont val="Poppins"/>
        <sz val="9.0"/>
      </rPr>
      <t xml:space="preserve">XIAOMI 14T Pro
</t>
    </r>
    <r>
      <rPr>
        <rFont val="Poppins"/>
        <color rgb="FFFF0000"/>
        <sz val="9.0"/>
      </rPr>
      <t xml:space="preserve"> (300 utilisations max)</t>
    </r>
  </si>
  <si>
    <t xml:space="preserve">1212265 
1212266 
1212267 
</t>
  </si>
  <si>
    <t>PAD SE</t>
  </si>
  <si>
    <t>PAD SE.pdf</t>
  </si>
  <si>
    <t>1194971
1194972
1194973</t>
  </si>
  <si>
    <t xml:space="preserve">XIAOMI 14 T </t>
  </si>
  <si>
    <t>6 mois infinity offerts formule solo</t>
  </si>
  <si>
    <t>XIAOMI INFINITY 14T.pdf</t>
  </si>
  <si>
    <t>1212262 
1212263 
1212264
1212117</t>
  </si>
  <si>
    <t>XIAOMI 14 T PRO</t>
  </si>
  <si>
    <t>XIAOMI INFINITY 14T PRO.pdf</t>
  </si>
  <si>
    <t>REDMI NOTE 13 (1200202
1200203
1200204)</t>
  </si>
  <si>
    <t>3 mois assurance smartphone  essentiel (4,99€)</t>
  </si>
  <si>
    <t>ilv infinity xiaomi rn 13.pdf</t>
  </si>
  <si>
    <t>1200202
1200203
1200204</t>
  </si>
  <si>
    <t>Xiaomi Redmi note 13</t>
  </si>
  <si>
    <t xml:space="preserve"> Remise 30€ Club pour les Porteurs ou les ouvreurs CLUB CLUB+ INFINITY</t>
  </si>
  <si>
    <t>Produit seul 1200202 = Bundle 1211474 
Produit seul 1200203 = Bundle 1211475
Produit seul 1200204 = Bundle 1211477</t>
  </si>
  <si>
    <t>ILV CLUB xiaomi club (1).pdf</t>
  </si>
  <si>
    <t xml:space="preserve">Pixel 8 / 8 Pro </t>
  </si>
  <si>
    <t>30€ de remise au panier (les packs sont éligibles)</t>
  </si>
  <si>
    <t xml:space="preserve">1195862
1208954
1195864
1195866
1199823
1198819
1203662
1195867
1195868
1195869
1195870
1195872
1195873
1203663
1195874
1195876
1195879
1195880
1203663
1208954
1198819
1203662
1198819
1203662
1203663
1208954 </t>
  </si>
  <si>
    <t>Pixel 9, Pixel 9 Pro, Pixel 9 Pro XL</t>
  </si>
  <si>
    <t xml:space="preserve">50% sur la protection d'écran sur mesure
</t>
  </si>
  <si>
    <t>ILV Protection écran -50% P9.pdf</t>
  </si>
  <si>
    <t>1209804
1209805
1209806
1209807
1209808
1209809
1209810
1209811
1209812
1209813
1209814
1209815
1209816
1209818
1209819
1209820
1209821
1209822
1209823
1209824
1209825
1209826
1209828
1209829
1209830
1209831
1209832
1209833
1209834</t>
  </si>
  <si>
    <t>Pixel 9, Pixel 9 Pro, Pixel 9 Pro XL, Pixel 9 Pro Fold</t>
  </si>
  <si>
    <t>50€ remise au panier =&gt; reception du CRM uniquement 
400 codes max</t>
  </si>
  <si>
    <t>E15, G05 et G15
(pack inclus)</t>
  </si>
  <si>
    <t>20€ de remise fidélité Club Club + Infinity ouvreurs/porteurs</t>
  </si>
  <si>
    <t>1217845
1217846
1217847
1217819
1217820
1217842
1217850
1217861
1217862
1219584</t>
  </si>
  <si>
    <t>G05, G15, G15 POWER, G24
(pack inclus)</t>
  </si>
  <si>
    <t>20€ de remise Club Club+ Infinity</t>
  </si>
  <si>
    <t>ILV MAG 30.04 AU 07.05 20E RI FID MOTOROLA.pdf</t>
  </si>
  <si>
    <t>G05 (pack inclus) 
1217845 
1217846 
1217847
1219582 
G15 (pack inclus)
1217819 
1217820 
1217842 
1219583 
G15 Power
1217843 
1217844
G24
1201480
1201491
1201492
1207287 
1209764</t>
  </si>
  <si>
    <t>RAZR 50 ET RAZR 50 ULTRA</t>
  </si>
  <si>
    <t>200€ de remise Club Club+ Infinity</t>
  </si>
  <si>
    <t>ILV MAG REMISE FID 200 RAZR 50 50 ULTRA MOTO.pdf</t>
  </si>
  <si>
    <t xml:space="preserve">Razr 50
1209463
1209464 
1209465
Razr 50 Ultra
1209380
1209461
1209462 
</t>
  </si>
  <si>
    <t>MONTRE</t>
  </si>
  <si>
    <t>Vivofit Jr 2 offerte  (1213321 ou 1213296)
pour l'achat d’une Vivoactive 5 ou d’une Venu 3 / Venu 3s</t>
  </si>
  <si>
    <t>Vivofit Jr 2 offerte (1213321 ou 1213296) 
pour l'achat d’une Vivoactive 5 ou d’une Venu 3 / Venu 3s</t>
  </si>
  <si>
    <t>GARMIN VIVO.pdf</t>
  </si>
  <si>
    <t xml:space="preserve">code Venu 3 et 3S
1195517
1195518
1195519
1195731
1195732
1195733
1195734 
Vivoactive 5
1196224
1196225 
1196226
1196227 </t>
  </si>
  <si>
    <t>rog</t>
  </si>
  <si>
    <t>phone</t>
  </si>
  <si>
    <t xml:space="preserve"> ROG Phone 9 Pro Noir 512Go (1215949) et  ROG Phone 8 Pro 512Go (1200906) </t>
  </si>
  <si>
    <t>accessoire  ROG AeroActive Cooler X 2025 (1223088) offert</t>
  </si>
  <si>
    <t>access offert</t>
  </si>
  <si>
    <t xml:space="preserve">Bonus reprise/Rachat jours++
Le bonus reprise reste disponible même si le rachat d'une ancienne BDS n'est pas effectué. N'hésitez pas à pousser le bonus reprise 
pour toute reprise de barre de son fonctionnel ou non
</t>
  </si>
  <si>
    <t>Bar 800 MK2</t>
  </si>
  <si>
    <t>Arret - 150€ de bonus rachat</t>
  </si>
  <si>
    <t>1195245, 1195246</t>
  </si>
  <si>
    <t>BOSE</t>
  </si>
  <si>
    <t>Smart Soundbar ultra</t>
  </si>
  <si>
    <t>Smart Soundbar</t>
  </si>
  <si>
    <t xml:space="preserve">75€ de bonus rachat </t>
  </si>
  <si>
    <t>Financement</t>
  </si>
  <si>
    <t>1210603;1195245;1195246
;1112094;1112039;1112089</t>
  </si>
  <si>
    <t>caisson de bass module 700 
Smart soundbar
Smart soundbar ultra</t>
  </si>
  <si>
    <t>4x &amp; 10x sans frais</t>
  </si>
  <si>
    <t>OFFRES COMMERCIALES Mobilité / Smartkids</t>
  </si>
  <si>
    <t>OP</t>
  </si>
  <si>
    <t>date de début</t>
  </si>
  <si>
    <t>date de fin</t>
  </si>
  <si>
    <t>Codes</t>
  </si>
  <si>
    <t xml:space="preserve">Codes bundle </t>
  </si>
  <si>
    <t>SEGMENT</t>
  </si>
  <si>
    <t>Référence</t>
  </si>
  <si>
    <t>Gamme PU</t>
  </si>
  <si>
    <t>Prix OP</t>
  </si>
  <si>
    <t>% remise</t>
  </si>
  <si>
    <t xml:space="preserve">MOBILITE </t>
  </si>
  <si>
    <t>NINEBOT // SEGWAY</t>
  </si>
  <si>
    <t xml:space="preserve">OFFRE ADHERANT </t>
  </si>
  <si>
    <t>Trottinette</t>
  </si>
  <si>
    <t>F3 E</t>
  </si>
  <si>
    <t xml:space="preserve"> -100€ de remise immédiate pour les porteurs
 et nouveaux porteurs de carte Club</t>
  </si>
  <si>
    <t xml:space="preserve">BONS PLANS </t>
  </si>
  <si>
    <t>MAX G3 E</t>
  </si>
  <si>
    <t>F3 Pro E</t>
  </si>
  <si>
    <t>E2 Plus II</t>
  </si>
  <si>
    <t>Max G2 E</t>
  </si>
  <si>
    <t>E3 E</t>
  </si>
  <si>
    <t>Trott enfant</t>
  </si>
  <si>
    <t>C2 Lite</t>
  </si>
  <si>
    <t>BLACK FRIDAY TEMPS 2</t>
  </si>
  <si>
    <t>MINIMOTORS</t>
  </si>
  <si>
    <t>Dualtron ToGo plus 48V 12AH</t>
  </si>
  <si>
    <t>E</t>
  </si>
  <si>
    <t>Dualtron ToGo Limited 60V 15Ah</t>
  </si>
  <si>
    <t>Dualtron Mini double moteur 52V 15.6AH</t>
  </si>
  <si>
    <t>PURE ELECTRIC</t>
  </si>
  <si>
    <t>URBANGLIDE</t>
  </si>
  <si>
    <t>Ecross One</t>
  </si>
  <si>
    <t>Scooter 4 Ultra</t>
  </si>
  <si>
    <t>Scooter 4 Lite (2nd Gen)</t>
  </si>
  <si>
    <t>Scooter 5</t>
  </si>
  <si>
    <t>Scooter 5 Pro</t>
  </si>
  <si>
    <t>Scooter 5 Max</t>
  </si>
  <si>
    <t xml:space="preserve"> -20€ de remise immédiate pour les porteurs
 et nouveaux porteurs de carte Club</t>
  </si>
  <si>
    <t>WISPEED</t>
  </si>
  <si>
    <t>BLACK FRIDAY Temps 1</t>
  </si>
  <si>
    <t>AIRO V10 noir</t>
  </si>
  <si>
    <t>Draisienne</t>
  </si>
  <si>
    <t>WIKIDS Vert pastel 14' 100W</t>
  </si>
  <si>
    <t>WIKIDS bleu 14' 100W</t>
  </si>
  <si>
    <t>WIKIDS rouge 14' 100W</t>
  </si>
  <si>
    <t>WIMOB Plus Kaki - Homologué</t>
  </si>
  <si>
    <t>TAVERUN</t>
  </si>
  <si>
    <t>FIGHTER MINI Q 52V 13AH</t>
  </si>
  <si>
    <t>NAVEE</t>
  </si>
  <si>
    <t>GT3 max Noir</t>
  </si>
  <si>
    <t>V40I Pro Noir</t>
  </si>
  <si>
    <t>CASR</t>
  </si>
  <si>
    <t>Style Noir taille M</t>
  </si>
  <si>
    <t>Led Glow crème taille L</t>
  </si>
  <si>
    <t>Style crème taille L</t>
  </si>
  <si>
    <t>Classico gris clair taille L</t>
  </si>
  <si>
    <t>Pack</t>
  </si>
  <si>
    <t>2 pneus alvéolés pour trottinette Xiaomi</t>
  </si>
  <si>
    <t>Led Glow gris taille M</t>
  </si>
  <si>
    <t>Gants</t>
  </si>
  <si>
    <t>Noir taille M</t>
  </si>
  <si>
    <t>Chambre à air</t>
  </si>
  <si>
    <t>8.5'' trottinette électrique</t>
  </si>
  <si>
    <t>Style Noir taille L</t>
  </si>
  <si>
    <t>Style crème taille M</t>
  </si>
  <si>
    <t>Poncho de pluie</t>
  </si>
  <si>
    <t>Poncho premium - taille unique</t>
  </si>
  <si>
    <t>Led Glow crème taille M</t>
  </si>
  <si>
    <t>Style rose taille M</t>
  </si>
  <si>
    <t>Classico noir et marron taille L</t>
  </si>
  <si>
    <t>Style rose taille L</t>
  </si>
  <si>
    <t>Noir taille L</t>
  </si>
  <si>
    <t>Led Glow gris taille L</t>
  </si>
  <si>
    <t>Accessoires</t>
  </si>
  <si>
    <t>Démonte pneu x3</t>
  </si>
  <si>
    <t>Led Glow rose taille M</t>
  </si>
  <si>
    <t>Classico noir et marron taille M</t>
  </si>
  <si>
    <t>Led Glow rose taille L</t>
  </si>
  <si>
    <t>Classico gris clair taille M</t>
  </si>
  <si>
    <t>MADE FOR XIAOMI</t>
  </si>
  <si>
    <t>T'NB</t>
  </si>
  <si>
    <t>MASTER LOCK</t>
  </si>
  <si>
    <t>ANTIVOL</t>
  </si>
  <si>
    <t>Menottes Street Cuff avec cable à boucle</t>
  </si>
  <si>
    <t xml:space="preserve">SMARTKIDS </t>
  </si>
  <si>
    <t>LUNII</t>
  </si>
  <si>
    <t>Jeu</t>
  </si>
  <si>
    <t>Coffret Apprendre en s'amusant</t>
  </si>
  <si>
    <t>Coffret Aventures fantastiques</t>
  </si>
  <si>
    <t>Coffret album</t>
  </si>
  <si>
    <t>Babar au Royaume des éléphants</t>
  </si>
  <si>
    <t>-5€ de remise immédiate
 si 2 livres audio achetés</t>
  </si>
  <si>
    <t>Dino Dino</t>
  </si>
  <si>
    <t>S&amp;G revent avec le Petit Prince</t>
  </si>
  <si>
    <t xml:space="preserve">V TECH </t>
  </si>
  <si>
    <t xml:space="preserve">ODR </t>
  </si>
  <si>
    <t xml:space="preserve">NOEL MAGIQUE jusqu'à 20€ remboursés </t>
  </si>
  <si>
    <t>Modalités ODR</t>
  </si>
  <si>
    <t>TONIES</t>
  </si>
  <si>
    <t>ZIMM</t>
  </si>
  <si>
    <t>ILV 100€ OFFERTS</t>
  </si>
  <si>
    <t xml:space="preserve">OP REPRISE SONY ZV E10 II du 01 au 30 octobre </t>
  </si>
  <si>
    <t xml:space="preserve">SONY </t>
  </si>
  <si>
    <t>Appareil photo Hybride</t>
  </si>
  <si>
    <t xml:space="preserve">Appareil photo Hybride SONY ZV-E10 II + E PZ 16-50 mm 3.5-5.6 OSS II </t>
  </si>
  <si>
    <t xml:space="preserve">GOPRO MAX promo du 18.09 au 02.11 </t>
  </si>
  <si>
    <t xml:space="preserve">GOPRO MAX </t>
  </si>
  <si>
    <t xml:space="preserve">GOPRO  </t>
  </si>
  <si>
    <t xml:space="preserve">camera sport </t>
  </si>
  <si>
    <t xml:space="preserve">Go Pro MAX 360 </t>
  </si>
  <si>
    <t>NOUVEAUTE GO PRO MAX 2</t>
  </si>
  <si>
    <t>Caméra Sport</t>
  </si>
  <si>
    <t xml:space="preserve">NOUVEAUTE Caméra Sport GOPRO MAX 2
</t>
  </si>
  <si>
    <t xml:space="preserve">MAX 2
</t>
  </si>
  <si>
    <t xml:space="preserve">ZIMM </t>
  </si>
  <si>
    <t xml:space="preserve">OP du 01 au 30 octobre </t>
  </si>
  <si>
    <t>NIKON</t>
  </si>
  <si>
    <t xml:space="preserve">OP du 01 au 30 octobre 200€ 								</t>
  </si>
  <si>
    <t>Z 6III boitier nu</t>
  </si>
  <si>
    <t>Z 6III + NIKKOR Z 24-70 f/4 S</t>
  </si>
  <si>
    <t xml:space="preserve">OP du 01 au 30 octobre 100€                                                       </t>
  </si>
  <si>
    <t>Z 5 II boitier nu</t>
  </si>
  <si>
    <t>Z 5 II + NIKKOR Z 24-70 f/4 S</t>
  </si>
  <si>
    <t>Z 5 II + NIKKOR Z 24-50</t>
  </si>
  <si>
    <t>ODR CANON du 1er septembre au 31 octobre 2025</t>
  </si>
  <si>
    <t>CANON PHOTO</t>
  </si>
  <si>
    <t>Obj</t>
  </si>
  <si>
    <t xml:space="preserve">ODR CANON du 1er septembre au 31 octobre 2025									</t>
  </si>
  <si>
    <t>RF 24-105mm f/4 L IS USM</t>
  </si>
  <si>
    <t>RF 28-70mm f/2 L USM</t>
  </si>
  <si>
    <t>RF 35mm f/1.8 MACRO IS STM</t>
  </si>
  <si>
    <t>RF 50mm f/1.2 L USM</t>
  </si>
  <si>
    <t>APN</t>
  </si>
  <si>
    <t>EOS RP boitier nu + bague</t>
  </si>
  <si>
    <t>RF 24-70mm f/2.8 L IS USM</t>
  </si>
  <si>
    <t>RF 24-105mm F4-7.1 IS STM</t>
  </si>
  <si>
    <t>RF 100-500mm F4.5-7.1 L IS USM</t>
  </si>
  <si>
    <t>RF 85mm F2 Macro IS STM</t>
  </si>
  <si>
    <t>RF 600mm F11 IS STM</t>
  </si>
  <si>
    <t>EOS RP boitier nu</t>
  </si>
  <si>
    <t>RF 70-200mm F4 L IS USM</t>
  </si>
  <si>
    <t>RF 100mm MACRO f2.8 L IS USM</t>
  </si>
  <si>
    <t>RF 14-35mm F4 L IS USM</t>
  </si>
  <si>
    <t>RF 100-400mm f/5.6-8.0 IS USM</t>
  </si>
  <si>
    <t>RF 16mm f/2.8 STM</t>
  </si>
  <si>
    <t>RF-S 18-150mm F3.5-6.3 IS STM</t>
  </si>
  <si>
    <t>EOS R10 boitier nu</t>
  </si>
  <si>
    <t>Reflex</t>
  </si>
  <si>
    <t>EOS R10 + RF-S 18-150mm F3.5-6.3 IS STM</t>
  </si>
  <si>
    <t>EOS R7 + RF-S 18-150mm F3.5-6.3 IS STM</t>
  </si>
  <si>
    <t>EOS R7 boitier nu</t>
  </si>
  <si>
    <t>EOS R6 Mark II Boitier Nu</t>
  </si>
  <si>
    <t>EOS R6 Mark II + RF 24-105mm f/4-7.1 IS</t>
  </si>
  <si>
    <t>R6 Mark II+ RF 24-105 F4 L IS USM</t>
  </si>
  <si>
    <t>RF 135mm F1.8L IS USM</t>
  </si>
  <si>
    <t>Lot</t>
  </si>
  <si>
    <t>EOS RP boitier nu + RF 24-105mm f/4 L IS</t>
  </si>
  <si>
    <t>RF 24-50mm f/4.5-6.3 IS STM</t>
  </si>
  <si>
    <t>RF-S 55-210mmf/5-7.IS STM</t>
  </si>
  <si>
    <t>EOS R10 + RF-S 18-45mm F4.5-6.3 IS STM</t>
  </si>
  <si>
    <t>RF 28mm f-2.8</t>
  </si>
  <si>
    <t>EOS R5 Mark II boitier Nu</t>
  </si>
  <si>
    <t>EOS R5 Mark II + RF 24-105 F4 L IS USM</t>
  </si>
  <si>
    <t xml:space="preserve">ZIMM  </t>
  </si>
  <si>
    <t xml:space="preserve">Montant reprise </t>
  </si>
  <si>
    <r>
      <rPr>
        <rFont val="Poppins"/>
        <color rgb="FFFFFFFF"/>
        <sz val="9.0"/>
      </rPr>
      <t xml:space="preserve">PV </t>
    </r>
    <r>
      <rPr>
        <rFont val="Poppins"/>
        <color rgb="FF1155CC"/>
        <sz val="9.0"/>
        <u/>
      </rPr>
      <t>Boulanger.com</t>
    </r>
  </si>
  <si>
    <t>2To Canvio Gaming Xbox PlaySation PC</t>
  </si>
  <si>
    <t>Jour ++ TOSHIBA</t>
  </si>
  <si>
    <t>4To Canvio Gaming XBOX PlaySation PC</t>
  </si>
  <si>
    <t>Portable 1To T7 Shield  Noir</t>
  </si>
  <si>
    <t>Jours++ Samsung</t>
  </si>
  <si>
    <t>ESSENTIELB</t>
  </si>
  <si>
    <t>04450505 - Caméra Sport</t>
  </si>
  <si>
    <t>XTREM 11</t>
  </si>
  <si>
    <t>Archer AX53 Wifi 6 (AX3000Mbps)</t>
  </si>
  <si>
    <t>JOURS++ TPLINK</t>
  </si>
  <si>
    <t>Archer MR600 4G+ cat.6 Wifi 5 (AC1200)</t>
  </si>
  <si>
    <t>Archer TX1800U Nano WIFI/Bluetooth</t>
  </si>
  <si>
    <t>Deco X55(2-pack) mesh Wifi 6</t>
  </si>
  <si>
    <t>TL-PG2405P Kit</t>
  </si>
  <si>
    <t>RE705X Wifi 6-AX3000</t>
  </si>
  <si>
    <t>SG108S 8 ports</t>
  </si>
  <si>
    <t>TL-WPA7617 KIT 1000Mbps 2 adaptateurs</t>
  </si>
  <si>
    <t>UB5A 5.0</t>
  </si>
  <si>
    <t>Sony fin d'année</t>
  </si>
  <si>
    <t>02331015 - Micro SD / AUTRES</t>
  </si>
  <si>
    <t>64Go Evo plus avec adaptateur</t>
  </si>
  <si>
    <t>SAMSUNG MICRO SD OCTOBRE</t>
  </si>
  <si>
    <t>128Go Evo plus avec adaptateur</t>
  </si>
  <si>
    <t>256Go Evo plus avec adaptateur</t>
  </si>
  <si>
    <t>512Go Evo plus avec adaptateur</t>
  </si>
  <si>
    <t>128 Go Pro Ultimate avec adaptateur</t>
  </si>
  <si>
    <t>512 Go Pro Ultimate avec adaptateur</t>
  </si>
  <si>
    <t>128 go PRO PLUS SONIC</t>
  </si>
  <si>
    <t>256 go PRO PLUS SONIC</t>
  </si>
  <si>
    <t>512 go PRO PLUS SONIC</t>
  </si>
  <si>
    <t>1To PRO PLUS SONIC</t>
  </si>
  <si>
    <t>DESTOCKAGE NETGEAR</t>
  </si>
  <si>
    <t>Produit</t>
  </si>
  <si>
    <t>Prix de
 réference</t>
  </si>
  <si>
    <t>ASSITANTS VOCAUX</t>
  </si>
  <si>
    <t>AMAZON</t>
  </si>
  <si>
    <t xml:space="preserve">OFFRE BUNDLE </t>
  </si>
  <si>
    <t>VOIX + ECRAN</t>
  </si>
  <si>
    <t xml:space="preserve">Lot </t>
  </si>
  <si>
    <t>Echo Spot 2024 Bleu x2</t>
  </si>
  <si>
    <t>Echo Spot 2024 Noir x2</t>
  </si>
  <si>
    <t>Echo Show 5 3e gen Bleu x2</t>
  </si>
  <si>
    <t>Echo Show 5 3e gen Blanc x2</t>
  </si>
  <si>
    <t>Echo Show 5 3e gen Anthracite x2</t>
  </si>
  <si>
    <t>Echo Spot 2024 Blanc x2</t>
  </si>
  <si>
    <t>SECURITE SURVEILLANCE</t>
  </si>
  <si>
    <t>ARLO</t>
  </si>
  <si>
    <t>Pack Boulanger</t>
  </si>
  <si>
    <t>BATTERIE</t>
  </si>
  <si>
    <t>2 caméras Essential 2K+2 Panneaux sol.</t>
  </si>
  <si>
    <t>Caméra</t>
  </si>
  <si>
    <t>extérieure Pro 3 Floodlight</t>
  </si>
  <si>
    <t>W</t>
  </si>
  <si>
    <t>extérieure Go 2 3G/4G SIM</t>
  </si>
  <si>
    <t>PACKS</t>
  </si>
  <si>
    <t>Essential2 Outdoor 2K + Indoor 2K</t>
  </si>
  <si>
    <t>2 caméras Essential 2K</t>
  </si>
  <si>
    <t>Sonnette vidéo</t>
  </si>
  <si>
    <t>SONNETTE</t>
  </si>
  <si>
    <t>sans fil 2K</t>
  </si>
  <si>
    <t>3 caméras Essential 2K + 1 Floodlight</t>
  </si>
  <si>
    <t>ALIMENTATION</t>
  </si>
  <si>
    <t>Chargeur</t>
  </si>
  <si>
    <t>cable de charge magnétique noir</t>
  </si>
  <si>
    <t>extérieure blanche Ultra 2</t>
  </si>
  <si>
    <t>2 caméras extérieures blanches Ultra 2</t>
  </si>
  <si>
    <t>3 caméras extérieures blanches Ultra 2</t>
  </si>
  <si>
    <t>4 caméras extérieures blanches Ultra 2</t>
  </si>
  <si>
    <t>PANNEAU SOLAIRE</t>
  </si>
  <si>
    <t>Panneau Solaire</t>
  </si>
  <si>
    <t>Ultra/Pro/Floodlight blanc GO 2</t>
  </si>
  <si>
    <t>Ultra/Pro/Floodlight Noir GO 2</t>
  </si>
  <si>
    <t>Batterie</t>
  </si>
  <si>
    <t>Rechargeable Ultra 2, Pro 3/4/5</t>
  </si>
  <si>
    <t>SUPPORT</t>
  </si>
  <si>
    <t>Adaptateur</t>
  </si>
  <si>
    <t>pour plafond caméra Floodlight</t>
  </si>
  <si>
    <t>Support</t>
  </si>
  <si>
    <t>2 Supports muraux magnétiques</t>
  </si>
  <si>
    <t>AUTRES</t>
  </si>
  <si>
    <t>Pont</t>
  </si>
  <si>
    <t>SmartHub Pro</t>
  </si>
  <si>
    <t>Housse</t>
  </si>
  <si>
    <t>Protection caméra en silicone</t>
  </si>
  <si>
    <t>pour caméras Arlo Essential extérieures</t>
  </si>
  <si>
    <t>sans fil 2K + carillon</t>
  </si>
  <si>
    <t>FILAIRE</t>
  </si>
  <si>
    <t>2 caméras intérieures Essential 2K</t>
  </si>
  <si>
    <t>2 caméras Pro 5 2K+ Spotlight</t>
  </si>
  <si>
    <t>3 caméras Pro 5 2K+ Spotlight</t>
  </si>
  <si>
    <t>4 caméras Pro 5 2K+ Spotlight</t>
  </si>
  <si>
    <t>REOLINK</t>
  </si>
  <si>
    <t>E540 Blanche</t>
  </si>
  <si>
    <t>B430 + panneau solaire</t>
  </si>
  <si>
    <t>D340W Noir</t>
  </si>
  <si>
    <t>B310 Blanche + panneau solaire</t>
  </si>
  <si>
    <t>B440 + panneau solaire</t>
  </si>
  <si>
    <t>W330 Blanche</t>
  </si>
  <si>
    <t>G330 Blanche + panneau solaire</t>
  </si>
  <si>
    <t>G430 Blanche + panneau solaire</t>
  </si>
  <si>
    <t>Enr. Vidéo</t>
  </si>
  <si>
    <t>Hub 1 Blanc</t>
  </si>
  <si>
    <t>Panneau solaire 2 Blanc</t>
  </si>
  <si>
    <t>P320 blanche PoE</t>
  </si>
  <si>
    <t>P334 blanche PoE</t>
  </si>
  <si>
    <t>E321 Blanche interieure</t>
  </si>
  <si>
    <t>B660 + panneau solaire Blanc</t>
  </si>
  <si>
    <t xml:space="preserve">OPE FIDELITE -20€  </t>
  </si>
  <si>
    <t>E330 5MP Blanche</t>
  </si>
  <si>
    <t xml:space="preserve"> -20€ de remise immédiate pour les porteurs
 et nouveaux porteurs de cartes</t>
  </si>
  <si>
    <t xml:space="preserve">BONS PLANS + PANIERE DE DECEMBRE </t>
  </si>
  <si>
    <t>EZVIZ</t>
  </si>
  <si>
    <t>LC3 - 2K+/ext filaire project 700 lumens</t>
  </si>
  <si>
    <t>Wifi H6C 2K+</t>
  </si>
  <si>
    <t>Tête Thermosta.</t>
  </si>
  <si>
    <t>CONSO EAU</t>
  </si>
  <si>
    <t>T55</t>
  </si>
  <si>
    <t>Wifi EB8 2K 4G + panneau solaire</t>
  </si>
  <si>
    <t>2 tetes thermos. + Passerelle A3</t>
  </si>
  <si>
    <t>Wifi H3C 2MP</t>
  </si>
  <si>
    <t>EP3X PRO2K+ 1080p/ 2cam/ 32Go int+Pan S.</t>
  </si>
  <si>
    <t>Wifi exterieure motorisée H8C SE 2K</t>
  </si>
  <si>
    <t>Wifi exterieure motorisée H8c Pro 3K</t>
  </si>
  <si>
    <t>2 EB3 Type C + 2 panneaux solaires</t>
  </si>
  <si>
    <t>Alarme Maison</t>
  </si>
  <si>
    <t>PACK</t>
  </si>
  <si>
    <t>9 modules + 1 caméra int 2MP</t>
  </si>
  <si>
    <t>Wifi H6C PRO 3K</t>
  </si>
  <si>
    <t>Judas Connecté</t>
  </si>
  <si>
    <t>JUDAS</t>
  </si>
  <si>
    <t>Juda connecté HP2 Silver 1080P</t>
  </si>
  <si>
    <t>Juda connecté HP2 Gold 1080P</t>
  </si>
  <si>
    <t>Serrure</t>
  </si>
  <si>
    <t>PILES</t>
  </si>
  <si>
    <t>Smart Lock DL01 Pro</t>
  </si>
  <si>
    <t>DL01 Pro + clavier + hub</t>
  </si>
  <si>
    <t>2 cam. HB8 Lite+ Panneau Solaire</t>
  </si>
  <si>
    <t>Visiophone co</t>
  </si>
  <si>
    <t>VISIOPHONE</t>
  </si>
  <si>
    <t>HP7v2 Kit Famille</t>
  </si>
  <si>
    <t>HP7v2 Kit de demarrage</t>
  </si>
  <si>
    <t>Wifi sur batterie HB8 2K+</t>
  </si>
  <si>
    <t>Wifi EB8 2K 4G</t>
  </si>
  <si>
    <t>HP7 2K / Ecran 7 pouces</t>
  </si>
  <si>
    <t>Wifi HB8 2K+ cam+panneau Solaire</t>
  </si>
  <si>
    <t>Wifi H8C 1080P motorisée</t>
  </si>
  <si>
    <t>Wifi H9C 2k motorisée</t>
  </si>
  <si>
    <t>EP7-2K/Connecté ss fil+ panneau solaire</t>
  </si>
  <si>
    <t>Wifi Caméra EB3 2K Type C + pan S.</t>
  </si>
  <si>
    <t>Wifi sur batterie BC1C 4K pro</t>
  </si>
  <si>
    <t>HP5 1080p</t>
  </si>
  <si>
    <t>Wifi H6C 2K motorisée</t>
  </si>
  <si>
    <t>EB3 2K 4G batterie</t>
  </si>
  <si>
    <t>HP7 PRO 4K</t>
  </si>
  <si>
    <t>BLACK FRIDAY Temps 1&amp;2&amp;3</t>
  </si>
  <si>
    <t>PHILIPS HUE</t>
  </si>
  <si>
    <t>HUE SECURE projecteur Floodlight</t>
  </si>
  <si>
    <t>NETATMO</t>
  </si>
  <si>
    <t>Wifi Welcome connectée</t>
  </si>
  <si>
    <t>Sirène</t>
  </si>
  <si>
    <t>intérieure connectée</t>
  </si>
  <si>
    <t>Je sécurise ma maison</t>
  </si>
  <si>
    <t>Wifi Pack 2 blanches avec sirène</t>
  </si>
  <si>
    <t>Serrure connectée intelligente</t>
  </si>
  <si>
    <t>wifi Advance interieure - noire</t>
  </si>
  <si>
    <t>Wifi Advance interieure - blanche</t>
  </si>
  <si>
    <t>BLINK</t>
  </si>
  <si>
    <t>TP LINK</t>
  </si>
  <si>
    <t xml:space="preserve">DESTOCKAGE </t>
  </si>
  <si>
    <t>Wifi Tapo TC41 &amp; Tapo TC71</t>
  </si>
  <si>
    <t>Wifi Tapo C225</t>
  </si>
  <si>
    <t>Wifi Tapo C320WS</t>
  </si>
  <si>
    <t>WIFI Tapo TC71</t>
  </si>
  <si>
    <t>ENERGIE CONNECTEE</t>
  </si>
  <si>
    <t>TADO</t>
  </si>
  <si>
    <t>THERMOSTAT</t>
  </si>
  <si>
    <t>Thermostat V3+ Filaire et 2 Tetes termos</t>
  </si>
  <si>
    <t>Thermostat</t>
  </si>
  <si>
    <t>Intelligent additionnel</t>
  </si>
  <si>
    <t>Kit démarrage- V3+ version Filaire</t>
  </si>
  <si>
    <t>Intelligent sans fil -Kit demarrage V3+</t>
  </si>
  <si>
    <t>Sonde</t>
  </si>
  <si>
    <t>Sonde de température sans fils</t>
  </si>
  <si>
    <t>connectée</t>
  </si>
  <si>
    <t>Tetes Thermostatiques connectées-Quattro</t>
  </si>
  <si>
    <t>connecté Filaire Kit V3+ Noir</t>
  </si>
  <si>
    <t>Intelligent pour climatisation V3+</t>
  </si>
  <si>
    <t>Kit de démarrage X filaire</t>
  </si>
  <si>
    <t>Kit de démarrage Xsans fil</t>
  </si>
  <si>
    <t>Intelligente X kit de démarrage</t>
  </si>
  <si>
    <t>X pour radiateur</t>
  </si>
  <si>
    <t>Quattro Pack X</t>
  </si>
  <si>
    <t>intelligent Filaire X</t>
  </si>
  <si>
    <t>Sonde de temperature sans Fil X</t>
  </si>
  <si>
    <t>Bridge Internet X</t>
  </si>
  <si>
    <t>Optimiseur de Pompe à chaleur X</t>
  </si>
  <si>
    <t>Kit X filaire et 2 têtes X</t>
  </si>
  <si>
    <t>Kit X sans fil et optimiseur de PAC</t>
  </si>
  <si>
    <t>Prise</t>
  </si>
  <si>
    <t>SIMPLE</t>
  </si>
  <si>
    <t>Tapo P100 Wifi</t>
  </si>
  <si>
    <t>Tapo P110 (suivi conso)</t>
  </si>
  <si>
    <t>Multiprise</t>
  </si>
  <si>
    <t>MULTIPRISE</t>
  </si>
  <si>
    <t>Tapo P300 Wif i+2 USB+1 USB C</t>
  </si>
  <si>
    <t>Pack de 2xTP11 wifi</t>
  </si>
  <si>
    <t>compatible fioul gaz bois</t>
  </si>
  <si>
    <t>STATION MÉTÉO</t>
  </si>
  <si>
    <t>Station Météo</t>
  </si>
  <si>
    <t>connectée &amp; mesure du Co2</t>
  </si>
  <si>
    <t>Pluviomètre</t>
  </si>
  <si>
    <t>connecté pour station météo</t>
  </si>
  <si>
    <t>Module</t>
  </si>
  <si>
    <t>Intérieur Intelligent Additionnel</t>
  </si>
  <si>
    <t>ANÉMOMÈTRE</t>
  </si>
  <si>
    <t>Anémomètre</t>
  </si>
  <si>
    <t>connectée pour la Station Météo</t>
  </si>
  <si>
    <t>pour Pluviomètre et Anémomètre</t>
  </si>
  <si>
    <t>ANALYSE INT</t>
  </si>
  <si>
    <t>Capteur</t>
  </si>
  <si>
    <t>connecté et intelligent</t>
  </si>
  <si>
    <t>2 tetes termostat.+adaptateur connecté</t>
  </si>
  <si>
    <t>connectée additionnelle pour radiateur</t>
  </si>
  <si>
    <t>Détecteur fumée</t>
  </si>
  <si>
    <t>Connecté</t>
  </si>
  <si>
    <t>DETECTEUR OUV.</t>
  </si>
  <si>
    <t>Détecteur</t>
  </si>
  <si>
    <t>connecté pack de 3</t>
  </si>
  <si>
    <t>Connecté et intelligent</t>
  </si>
  <si>
    <t>Abri pour Station Météo Intelligente</t>
  </si>
  <si>
    <t>TÉLECOMMANDE</t>
  </si>
  <si>
    <t>Télécommande</t>
  </si>
  <si>
    <t>connecté pour climatiseur</t>
  </si>
  <si>
    <t xml:space="preserve">ECLAIRAGE CONNECTE </t>
  </si>
  <si>
    <t>WIZ</t>
  </si>
  <si>
    <t>Ampoule</t>
  </si>
  <si>
    <t>E27</t>
  </si>
  <si>
    <t>Couleur E27 60W x3</t>
  </si>
  <si>
    <t>Couleur GU10 50W x2</t>
  </si>
  <si>
    <t>Bandeau LED</t>
  </si>
  <si>
    <t>BANDEAU LED</t>
  </si>
  <si>
    <t>RGB Couleur 2m Ultra lumineux 1600lm</t>
  </si>
  <si>
    <t>Smart Plug (prise connectée)</t>
  </si>
  <si>
    <t>HUE W&amp;C E27 75W x2</t>
  </si>
  <si>
    <t xml:space="preserve">Pour tout achat du pack de 2 ampoules (1168426) d'une valeur de 109,99€,
L'ampoule offerte (1168461) d'une valeur de 64,99€
 + 20€ de remise immédiate soit le lot à 89,99€ </t>
  </si>
  <si>
    <t>HUE W&amp;C E27 75W</t>
  </si>
  <si>
    <t>GU10</t>
  </si>
  <si>
    <t>Hue Spot seul GU10 Hue White&amp;Colors</t>
  </si>
  <si>
    <t xml:space="preserve">Pour tout achat du pack de 2 ampoules (1209651) d'une valeur de 109,99€,
L'ampoule offerte (1209645) d'une valeur de 64,99€
 + 20€ de remise immédiate soit le lot à 89,99€ </t>
  </si>
  <si>
    <t>Hue White &amp; Colors GU10 x2</t>
  </si>
  <si>
    <t>HUE White E27 75W x2</t>
  </si>
  <si>
    <t xml:space="preserve">Pour tout achat du pack de 2 ampoules (1168425) d'une valeur de 34,99€,
L'ampoule offerte (1168450) d'une valeur de 21,99€
 + 5€ de remise immédiate soit le lot à 29,99€ </t>
  </si>
  <si>
    <t>HUE White E27 75W</t>
  </si>
  <si>
    <t>Pack démarrage</t>
  </si>
  <si>
    <t>PACK DÉMARRAGE</t>
  </si>
  <si>
    <t>HUE White E27 x3 + pont + tlc</t>
  </si>
  <si>
    <t>Lampe à poser</t>
  </si>
  <si>
    <t>LAMPE À POSER</t>
  </si>
  <si>
    <t>HUE W&amp;C Go</t>
  </si>
  <si>
    <t xml:space="preserve">pour l'achat de la lampe Hue Go  (1127669) d'une valeur de 89,99€,
l'interrupteur offert (1157366) d'une valeur de 21,99€ ) 
+ 20€ de remise immédiate soit le lot à 69,99€  </t>
  </si>
  <si>
    <t>Interrupteur</t>
  </si>
  <si>
    <t>INTERRUPTEUR</t>
  </si>
  <si>
    <t>HUE Dimmer switch V2</t>
  </si>
  <si>
    <t>UNIVERS TV</t>
  </si>
  <si>
    <t>Hue Flux strip light 3m</t>
  </si>
  <si>
    <t xml:space="preserve">Pour l'achat de 2 Bandeaux LED d'une valeur de 69,99€, 
le lot de 2 à 99,99€ au lieu de 139,99€   </t>
  </si>
  <si>
    <t>Boîtier</t>
  </si>
  <si>
    <t>HUE Play HDMI Sync Box 8K</t>
  </si>
  <si>
    <t xml:space="preserve">Pour tout achat du boitier Sync Box (1206951) d'une valeur de 349,99€,
le bandeau LED Omni Glow strip light 3m (1229659) 
offert d'une valeur de 139,99€ </t>
  </si>
  <si>
    <t>Hue OmniGlow strip light 3m EMEA</t>
  </si>
  <si>
    <t>HUE W&amp;C Découverte</t>
  </si>
  <si>
    <t>HUE rééquipement Ambiance 2025</t>
  </si>
  <si>
    <t>Kit Hue E27 75Wx3+telecommande+bridge pr</t>
  </si>
  <si>
    <t>Kit Hue Essential E27 60Wx3 + pont v2</t>
  </si>
  <si>
    <t>Hue Essential E27 WCA A60 3P</t>
  </si>
  <si>
    <t>Hue Essential GU10 WCA 3P EU</t>
  </si>
  <si>
    <t>Hue  Essential GU10 WCA 345 3kit</t>
  </si>
  <si>
    <t>OFFRE ADHERENT</t>
  </si>
  <si>
    <t>Pack Hue Découverte Boulanger 2025</t>
  </si>
  <si>
    <t xml:space="preserve"> -130€ de remise immédiate offre CLUB</t>
  </si>
  <si>
    <t>Pack rééquipement Entertainment Boulange</t>
  </si>
  <si>
    <t xml:space="preserve"> -140€ de remise immédiate offre CLUB</t>
  </si>
  <si>
    <t>LISEUSE</t>
  </si>
  <si>
    <t xml:space="preserve">AMAZON KINDLE </t>
  </si>
  <si>
    <t>KOBO</t>
  </si>
  <si>
    <t>E-INK</t>
  </si>
  <si>
    <t>e-book</t>
  </si>
  <si>
    <t>Libra Colour Blanche</t>
  </si>
  <si>
    <t>Libra Colour Noire</t>
  </si>
  <si>
    <t>Pack Libra Colour + Stylus 2 noir</t>
  </si>
  <si>
    <t xml:space="preserve">VIVLIO </t>
  </si>
  <si>
    <t>TRACKERS</t>
  </si>
  <si>
    <t>Tracker GPS</t>
  </si>
  <si>
    <t>GEOLOCALISATION</t>
  </si>
  <si>
    <t>AirTag</t>
  </si>
  <si>
    <t xml:space="preserve">5€ de remise immédiate pour l'achat de 2 trackers </t>
  </si>
  <si>
    <t xml:space="preserve">15€ de remise immédiate pour l'achat de 3 trackers </t>
  </si>
  <si>
    <t>INVOXIA</t>
  </si>
  <si>
    <t>TPE &amp; CRYPTOMONNAIE</t>
  </si>
  <si>
    <t>SUMUP</t>
  </si>
  <si>
    <t>Term paiement</t>
  </si>
  <si>
    <t>TERM.PAIEMENT</t>
  </si>
  <si>
    <t>Solo+imprimante</t>
  </si>
  <si>
    <t xml:space="preserve"> +10€ de remise en plus = &gt; 54,99€</t>
  </si>
  <si>
    <t>Solo</t>
  </si>
  <si>
    <t>Caisse Lite + Terminal Solo</t>
  </si>
  <si>
    <t>Solo Lite &amp; Station de charge</t>
  </si>
  <si>
    <t xml:space="preserve">PANIERE NOVEMBRE </t>
  </si>
  <si>
    <t xml:space="preserve">Solo Lite </t>
  </si>
  <si>
    <t>LEDGER</t>
  </si>
  <si>
    <t>Crypto wallet</t>
  </si>
  <si>
    <t>CRYPTO WALLET</t>
  </si>
  <si>
    <t>Flex</t>
  </si>
  <si>
    <t>Stax</t>
  </si>
  <si>
    <t>Flex + 70 USD BITCOIN</t>
  </si>
  <si>
    <t xml:space="preserve">ODR Jusqu'à 80$ en bitcoins offerts </t>
  </si>
  <si>
    <t xml:space="preserve">MODALITE OFFRE </t>
  </si>
  <si>
    <t>Stax Recovery key Noir</t>
  </si>
  <si>
    <t>Flex Recovery key Noir</t>
  </si>
  <si>
    <t>Flex Recovery key Orange</t>
  </si>
  <si>
    <t>Flex Recovery key Neptune Blue</t>
  </si>
  <si>
    <t>Flex Recovery key Oxydate Green</t>
  </si>
  <si>
    <t xml:space="preserve">ROBOTS </t>
  </si>
  <si>
    <t>NAVIMOW</t>
  </si>
  <si>
    <t xml:space="preserve">BLACK FRIDAY LAST MINUTE </t>
  </si>
  <si>
    <t>TONDEUSE</t>
  </si>
  <si>
    <t>Robot Tondeuse</t>
  </si>
  <si>
    <t>i105E</t>
  </si>
  <si>
    <t>ACCESS TONDEUSE</t>
  </si>
  <si>
    <t>Accessoire</t>
  </si>
  <si>
    <t>Garage S</t>
  </si>
  <si>
    <t xml:space="preserve"> + garage offert à l'achat du robot (valeur 149,99€) </t>
  </si>
  <si>
    <t>ECOVACS</t>
  </si>
  <si>
    <t xml:space="preserve">OPE FIDELITE </t>
  </si>
  <si>
    <t>GOAT O1200 RTK EU</t>
  </si>
  <si>
    <t xml:space="preserve"> -500€ de remise immédiate pour les porteurs
 et nouveaux porteurs de cartes </t>
  </si>
  <si>
    <t>GOAT O500 Panorama</t>
  </si>
  <si>
    <t xml:space="preserve"> -300€ de remise immédiate pour les porteurs
 et nouveaux porteurs de cartes </t>
  </si>
  <si>
    <t>MOVA</t>
  </si>
  <si>
    <t>DREAME</t>
  </si>
  <si>
    <t>A1 PRO</t>
  </si>
  <si>
    <t>01/12/0202</t>
  </si>
  <si>
    <t>MAMMOTION</t>
  </si>
  <si>
    <t>YUKA mini 800 EU</t>
  </si>
</sst>
</file>

<file path=xl/styles.xml><?xml version="1.0" encoding="utf-8"?>
<styleSheet xmlns="http://schemas.openxmlformats.org/spreadsheetml/2006/main" xmlns:x14ac="http://schemas.microsoft.com/office/spreadsheetml/2009/9/ac" xmlns:mc="http://schemas.openxmlformats.org/markup-compatibility/2006">
  <numFmts count="19">
    <numFmt numFmtId="164" formatCode="#,##0.00&quot;€&quot;"/>
    <numFmt numFmtId="165" formatCode="dd/mm/yyyy"/>
    <numFmt numFmtId="166" formatCode="[$-804]General"/>
    <numFmt numFmtId="167" formatCode="dd/MM/yyyy"/>
    <numFmt numFmtId="168" formatCode="#,##0.00\ &quot;€&quot;"/>
    <numFmt numFmtId="169" formatCode="#,##0.00\ [$€-1]"/>
    <numFmt numFmtId="170" formatCode="d/m/yyyy"/>
    <numFmt numFmtId="171" formatCode="_(* #,##0.00_)\ [$€-1]_);\(#,##0.00\)\ [$€-1]_);_(* &quot;-&quot;??_)\ [$€-1]_);_(@"/>
    <numFmt numFmtId="172" formatCode="#,##0&quot;€&quot;"/>
    <numFmt numFmtId="173" formatCode="#,##0\ [$€-1]"/>
    <numFmt numFmtId="174" formatCode="#,##0.00\ &quot;€&quot;;[Red]\-#,##0.00\ &quot;€&quot;"/>
    <numFmt numFmtId="175" formatCode="d/m/yy"/>
    <numFmt numFmtId="176" formatCode="d/m"/>
    <numFmt numFmtId="177" formatCode="dd/mm"/>
    <numFmt numFmtId="178" formatCode="dd/mm/yy"/>
    <numFmt numFmtId="179" formatCode="dd.mm.yyyy"/>
    <numFmt numFmtId="180" formatCode="d.m.yyyy"/>
    <numFmt numFmtId="181" formatCode="d.m"/>
    <numFmt numFmtId="182" formatCode="mmmm yyyy"/>
  </numFmts>
  <fonts count="205">
    <font>
      <sz val="10.0"/>
      <color rgb="FF000000"/>
      <name val="Arial"/>
    </font>
    <font>
      <b/>
      <color rgb="FF000000"/>
      <name val="Arial"/>
    </font>
    <font>
      <b/>
      <sz val="10.0"/>
      <color rgb="FFFFFFFF"/>
      <name val="Arial"/>
    </font>
    <font>
      <b/>
      <sz val="10.0"/>
      <color rgb="FF000000"/>
      <name val="Arial"/>
    </font>
    <font/>
    <font>
      <color rgb="FF000000"/>
      <name val="Arial"/>
    </font>
    <font>
      <strike/>
      <color rgb="FF000000"/>
      <name val="Arial"/>
    </font>
    <font>
      <u/>
      <color rgb="FF0000FF"/>
      <name val="Arial"/>
    </font>
    <font>
      <u/>
      <color rgb="FF0000FF"/>
      <name val="Arial"/>
    </font>
    <font>
      <u/>
      <color rgb="FF0000FF"/>
      <name val="Arial"/>
    </font>
    <font>
      <u/>
      <color rgb="FF0000FF"/>
      <name val="Arial"/>
    </font>
    <font>
      <sz val="9.0"/>
      <color rgb="FFFFFFFF"/>
      <name val="Poppins"/>
    </font>
    <font>
      <b/>
      <u/>
      <color rgb="FF0000FF"/>
      <name val="Arial"/>
    </font>
    <font>
      <b/>
      <sz val="18.0"/>
      <color rgb="FFFFFFFF"/>
      <name val="Poppins"/>
    </font>
    <font>
      <sz val="9.0"/>
    </font>
    <font>
      <sz val="11.0"/>
      <color rgb="FF222222"/>
      <name val="Calibri"/>
    </font>
    <font>
      <b/>
      <sz val="12.0"/>
      <color rgb="FF000000"/>
      <name val="Poppins"/>
    </font>
    <font>
      <sz val="9.0"/>
      <color rgb="FF000000"/>
    </font>
    <font>
      <u/>
      <sz val="9.0"/>
      <color rgb="FF0000FF"/>
    </font>
    <font>
      <sz val="9.0"/>
      <color rgb="FF000000"/>
      <name val="Poppins"/>
    </font>
    <font>
      <sz val="9.0"/>
      <name val="Poppins"/>
    </font>
    <font>
      <b/>
      <sz val="25.0"/>
      <color rgb="FFFFFFFF"/>
      <name val="Poppins"/>
    </font>
    <font>
      <b/>
      <sz val="11.0"/>
      <color rgb="FF000000"/>
      <name val="Poppins"/>
    </font>
    <font>
      <sz val="11.0"/>
      <name val="Poppins"/>
    </font>
    <font>
      <sz val="11.0"/>
      <color rgb="FF000000"/>
      <name val="Poppins"/>
    </font>
    <font>
      <b/>
      <u/>
      <sz val="11.0"/>
      <color rgb="FF0000FF"/>
      <name val="Poppins"/>
    </font>
    <font>
      <b/>
      <sz val="12.0"/>
      <color rgb="FFFF0000"/>
      <name val="Poppins"/>
    </font>
    <font>
      <b/>
      <u/>
      <sz val="11.0"/>
      <color rgb="FF0000FF"/>
      <name val="Poppins"/>
    </font>
    <font>
      <b/>
      <sz val="11.0"/>
      <name val="Poppins"/>
    </font>
    <font>
      <b/>
      <sz val="25.0"/>
      <name val="Poppins"/>
    </font>
    <font>
      <b/>
      <u/>
      <sz val="12.0"/>
      <color rgb="FF0000FF"/>
      <name val="Poppins"/>
    </font>
    <font>
      <sz val="12.0"/>
      <name val="Poppins"/>
    </font>
    <font>
      <name val="Poppins"/>
    </font>
    <font>
      <b/>
      <sz val="16.0"/>
      <color rgb="FF000000"/>
      <name val="Poppins"/>
    </font>
    <font>
      <b/>
      <sz val="11.0"/>
      <color rgb="FFFF0000"/>
      <name val="Poppins"/>
    </font>
    <font>
      <sz val="12.0"/>
      <color rgb="FF000000"/>
      <name val="Poppins"/>
    </font>
    <font>
      <b/>
    </font>
    <font>
      <b/>
      <name val="Arial"/>
    </font>
    <font>
      <name val="Arial"/>
    </font>
    <font>
      <b/>
      <sz val="12.0"/>
      <name val="Poppins"/>
    </font>
    <font>
      <b/>
      <sz val="9.0"/>
      <color rgb="FF8E94B9"/>
      <name val="Poppins"/>
    </font>
    <font>
      <b/>
      <sz val="15.0"/>
      <color rgb="FFFFFFFF"/>
      <name val="Poppins"/>
    </font>
    <font>
      <b/>
      <sz val="12.0"/>
      <color rgb="FFFFFFFF"/>
      <name val="Poppins"/>
    </font>
    <font>
      <b/>
      <u/>
      <sz val="12.0"/>
      <color rgb="FF1155CC"/>
      <name val="Poppins"/>
    </font>
    <font>
      <b/>
      <u/>
      <sz val="12.0"/>
      <color rgb="FF0000FF"/>
      <name val="Poppins"/>
    </font>
    <font>
      <b/>
      <u/>
      <sz val="12.0"/>
      <color rgb="FF0000FF"/>
      <name val="Poppins"/>
    </font>
    <font>
      <strike/>
    </font>
    <font>
      <b/>
      <sz val="11.0"/>
      <color rgb="FFFFFFFF"/>
      <name val="Arial"/>
    </font>
    <font>
      <b/>
      <color rgb="FFFFFFFF"/>
      <name val="Arial"/>
    </font>
    <font>
      <color rgb="FFFFFFFF"/>
      <name val="Arial"/>
    </font>
    <font>
      <b/>
      <sz val="12.0"/>
    </font>
    <font>
      <u/>
      <color rgb="FF0000FF"/>
      <name val="Arial"/>
    </font>
    <font>
      <b/>
      <sz val="13.0"/>
      <color rgb="FF000000"/>
      <name val="Arial"/>
    </font>
    <font>
      <b/>
      <sz val="11.0"/>
      <color rgb="FFFF0000"/>
      <name val="Arial"/>
    </font>
    <font>
      <sz val="12.0"/>
      <color rgb="FF000000"/>
      <name val="Arial"/>
    </font>
    <font>
      <b/>
      <sz val="12.0"/>
      <color rgb="FF000000"/>
      <name val="Arial"/>
    </font>
    <font>
      <sz val="11.0"/>
      <name val="Aptos Narrow"/>
    </font>
    <font>
      <sz val="9.0"/>
      <color rgb="FF1F1F1F"/>
      <name val="&quot;Google Sans&quot;"/>
    </font>
    <font>
      <b/>
      <sz val="14.0"/>
      <name val="Poppins"/>
    </font>
    <font>
      <color rgb="FFFFFFFF"/>
    </font>
    <font>
      <sz val="11.0"/>
      <color rgb="FF000000"/>
      <name val="Calibri"/>
    </font>
    <font>
      <b/>
      <name val="Calibri"/>
    </font>
    <font>
      <u/>
      <color rgb="FF0000FF"/>
    </font>
    <font>
      <sz val="11.0"/>
      <color rgb="FF434343"/>
      <name val="Calibri"/>
    </font>
    <font>
      <u/>
      <sz val="12.0"/>
      <color rgb="FF0000FF"/>
      <name val="Arial"/>
    </font>
    <font>
      <b/>
      <sz val="15.0"/>
      <name val="Arial"/>
    </font>
    <font>
      <u/>
      <sz val="12.0"/>
      <color rgb="FF0000FF"/>
      <name val="Arial"/>
    </font>
    <font>
      <b/>
      <sz val="13.0"/>
      <name val="Poppins"/>
    </font>
    <font>
      <u/>
      <sz val="12.0"/>
      <color rgb="FF0000FF"/>
    </font>
    <font>
      <sz val="12.0"/>
      <color rgb="FF000000"/>
    </font>
    <font>
      <b/>
      <sz val="15.0"/>
    </font>
    <font>
      <sz val="15.0"/>
      <color rgb="FF000000"/>
    </font>
    <font>
      <b/>
      <sz val="15.0"/>
      <color rgb="FF000000"/>
    </font>
    <font>
      <u/>
      <sz val="9.0"/>
      <color rgb="FFFFFFFF"/>
      <name val="Poppins"/>
    </font>
    <font>
      <color rgb="FF000000"/>
    </font>
    <font>
      <b/>
      <sz val="9.0"/>
      <color rgb="FF000000"/>
      <name val="Poppins"/>
    </font>
    <font>
      <name val="Calibri"/>
    </font>
    <font>
      <b/>
      <i/>
      <color rgb="FFCC0000"/>
      <name val="Calibri"/>
    </font>
    <font>
      <b/>
      <sz val="9.0"/>
      <color rgb="FFFF0000"/>
      <name val="Poppins"/>
    </font>
    <font>
      <b/>
      <sz val="9.0"/>
      <color rgb="FFFFFFFF"/>
      <name val="Poppins"/>
    </font>
    <font>
      <sz val="9.0"/>
      <color rgb="FF222222"/>
      <name val="Poppins"/>
    </font>
    <font>
      <u/>
      <sz val="9.0"/>
      <color rgb="FF1155CC"/>
      <name val="Poppins"/>
    </font>
    <font>
      <u/>
      <sz val="9.0"/>
      <color rgb="FF1155CC"/>
      <name val="Poppins"/>
    </font>
    <font>
      <i/>
      <sz val="9.0"/>
      <name val="Poppins"/>
    </font>
    <font>
      <u/>
      <sz val="9.0"/>
      <color rgb="FF0000FF"/>
      <name val="Poppins"/>
    </font>
    <font>
      <b/>
      <sz val="9.0"/>
      <color rgb="FF222222"/>
      <name val="Poppins"/>
    </font>
    <font>
      <u/>
      <sz val="9.0"/>
      <color rgb="FF0000FF"/>
      <name val="Poppins"/>
    </font>
    <font>
      <u/>
      <sz val="9.0"/>
      <color rgb="FF1155CC"/>
      <name val="Poppins"/>
    </font>
    <font>
      <u/>
      <sz val="9.0"/>
      <color rgb="FF0000FF"/>
      <name val="Poppins"/>
    </font>
    <font>
      <u/>
      <sz val="9.0"/>
      <color rgb="FF1155CC"/>
      <name val="Poppins"/>
    </font>
    <font>
      <b/>
      <i/>
      <sz val="9.0"/>
      <color rgb="FFFF0000"/>
      <name val="Poppins"/>
    </font>
    <font>
      <u/>
      <sz val="9.0"/>
      <color rgb="FF0000FF"/>
      <name val="Poppins"/>
    </font>
    <font>
      <u/>
      <sz val="9.0"/>
      <color rgb="FF0000FF"/>
      <name val="Poppins"/>
    </font>
    <font>
      <sz val="9.0"/>
      <color rgb="FFFF0000"/>
      <name val="Poppins"/>
    </font>
    <font>
      <u/>
      <sz val="9.0"/>
      <color rgb="FF1155CC"/>
      <name val="Poppins"/>
    </font>
    <font>
      <u/>
      <sz val="9.0"/>
      <color rgb="FF0000FF"/>
      <name val="Poppins"/>
    </font>
    <font>
      <strike/>
      <sz val="9.0"/>
      <name val="Poppins"/>
    </font>
    <font>
      <strike/>
      <sz val="9.0"/>
      <color rgb="FF000000"/>
      <name val="Poppins"/>
    </font>
    <font>
      <u/>
      <sz val="9.0"/>
      <color rgb="FF0000FF"/>
      <name val="Poppins"/>
    </font>
    <font>
      <u/>
      <sz val="9.0"/>
      <color rgb="FF0000FF"/>
      <name val="Poppins"/>
    </font>
    <font>
      <u/>
      <sz val="9.0"/>
      <color rgb="FF000000"/>
      <name val="Poppins"/>
    </font>
    <font>
      <u/>
      <sz val="9.0"/>
      <color rgb="FF000000"/>
      <name val="Poppins"/>
    </font>
    <font>
      <u/>
      <sz val="9.0"/>
      <color rgb="FF1155CC"/>
      <name val="Poppins"/>
    </font>
    <font>
      <u/>
      <sz val="9.0"/>
      <color rgb="FF1155CC"/>
      <name val="Poppins"/>
    </font>
    <font>
      <u/>
      <sz val="9.0"/>
      <color rgb="FF1155CC"/>
      <name val="Poppins"/>
    </font>
    <font>
      <u/>
      <sz val="9.0"/>
      <color rgb="FF1155CC"/>
      <name val="Poppins"/>
    </font>
    <font>
      <u/>
      <color rgb="FF0000FF"/>
      <name val="Poppins"/>
    </font>
    <font>
      <color rgb="FF222222"/>
      <name val="Poppins"/>
    </font>
    <font>
      <color rgb="FF000000"/>
      <name val="Poppins"/>
    </font>
    <font>
      <sz val="9.0"/>
      <color rgb="FF1F1F1F"/>
      <name val="Poppins"/>
    </font>
    <font>
      <b/>
      <sz val="9.0"/>
      <name val="Poppins"/>
    </font>
    <font>
      <b/>
      <u/>
      <sz val="14.0"/>
      <color rgb="FF000000"/>
      <name val="Poppins"/>
    </font>
    <font>
      <sz val="14.0"/>
      <name val="Poppins"/>
    </font>
    <font>
      <b/>
      <sz val="26.0"/>
      <color rgb="FFFFFFFF"/>
      <name val="Poppins"/>
    </font>
    <font>
      <b/>
      <sz val="10.0"/>
      <name val="Poppins"/>
    </font>
    <font>
      <b/>
      <sz val="17.0"/>
      <name val="Poppins"/>
    </font>
    <font>
      <u/>
      <sz val="9.0"/>
      <color rgb="FF0000FF"/>
      <name val="Poppins"/>
    </font>
    <font>
      <b/>
      <sz val="23.0"/>
      <color rgb="FFFFFFFF"/>
      <name val="Poppins"/>
    </font>
    <font>
      <u/>
      <sz val="9.0"/>
      <color rgb="FF0000FF"/>
      <name val="Poppins"/>
    </font>
    <font>
      <strike/>
      <sz val="9.0"/>
      <color rgb="FF222222"/>
      <name val="Poppins"/>
    </font>
    <font>
      <strike/>
      <sz val="9.0"/>
      <color rgb="FF0000FF"/>
      <name val="Poppins"/>
    </font>
    <font>
      <b/>
      <strike/>
      <sz val="9.0"/>
      <name val="Poppins"/>
    </font>
    <font>
      <u/>
      <sz val="9.0"/>
      <color rgb="FF0000FF"/>
      <name val="Poppins"/>
    </font>
    <font>
      <strike/>
      <sz val="9.0"/>
      <color rgb="FF1155CC"/>
      <name val="Poppins"/>
    </font>
    <font>
      <u/>
      <sz val="9.0"/>
      <color rgb="FFFF0000"/>
      <name val="Poppins"/>
    </font>
    <font>
      <u/>
      <sz val="9.0"/>
      <color rgb="FFFF0000"/>
      <name val="Poppins"/>
    </font>
    <font>
      <b/>
      <sz val="20.0"/>
      <name val="Poppins"/>
    </font>
    <font>
      <b/>
      <u/>
      <sz val="18.0"/>
      <color rgb="FF0000FF"/>
      <name val="Poppins"/>
    </font>
    <font>
      <strike/>
      <sz val="9.0"/>
      <color rgb="FFFF0000"/>
      <name val="Poppins"/>
    </font>
    <font>
      <b/>
      <sz val="18.0"/>
      <name val="Poppins"/>
    </font>
    <font>
      <b/>
      <name val="Poppins"/>
    </font>
    <font>
      <b/>
      <u/>
      <sz val="9.0"/>
      <color rgb="FF0000FF"/>
      <name val="Poppins"/>
    </font>
    <font>
      <u/>
      <color rgb="FF0000FF"/>
      <name val="Poppins"/>
    </font>
    <font>
      <u/>
      <color rgb="FF0000FF"/>
      <name val="Poppins"/>
    </font>
    <font>
      <u/>
      <color rgb="FF0000FF"/>
      <name val="Poppins"/>
    </font>
    <font>
      <b/>
      <color rgb="FFFF0000"/>
      <name val="Poppins"/>
    </font>
    <font>
      <b/>
      <sz val="19.0"/>
      <color rgb="FFFFFFFF"/>
      <name val="Poppins"/>
    </font>
    <font>
      <u/>
      <sz val="9.0"/>
      <color rgb="FF000000"/>
      <name val="Poppins"/>
    </font>
    <font>
      <sz val="9.0"/>
      <color rgb="FF1155CC"/>
      <name val="Poppins"/>
    </font>
    <font>
      <u/>
      <sz val="9.0"/>
      <color rgb="FF1155CC"/>
      <name val="Poppins"/>
    </font>
    <font>
      <sz val="8.0"/>
      <color rgb="FF000000"/>
      <name val="Poppins"/>
    </font>
    <font>
      <u/>
      <sz val="9.0"/>
      <color rgb="FFFF0000"/>
      <name val="Poppins"/>
    </font>
    <font>
      <u/>
      <sz val="9.0"/>
      <color rgb="FF000000"/>
      <name val="Poppins"/>
    </font>
    <font>
      <b/>
      <strike/>
      <color rgb="FFFF0000"/>
      <name val="Poppins"/>
    </font>
    <font>
      <strike/>
      <color rgb="FFFF0000"/>
      <name val="Poppins"/>
    </font>
    <font>
      <b/>
      <color rgb="FF000000"/>
      <name val="Poppins"/>
    </font>
    <font>
      <color rgb="FFFF0000"/>
      <name val="Poppins"/>
    </font>
    <font>
      <u/>
      <color rgb="FF0000FF"/>
      <name val="Arial"/>
    </font>
    <font>
      <u/>
      <sz val="9.0"/>
      <color rgb="FF1155CC"/>
      <name val="Poppins"/>
    </font>
    <font>
      <u/>
      <color rgb="FF0000FF"/>
      <name val="Poppins"/>
    </font>
    <font>
      <u/>
      <sz val="9.0"/>
      <color rgb="FF1155CC"/>
      <name val="Poppins"/>
    </font>
    <font>
      <b/>
      <u/>
      <sz val="12.0"/>
      <color rgb="FF0000FF"/>
      <name val="Poppins"/>
    </font>
    <font>
      <b/>
      <sz val="15.0"/>
      <color rgb="FF000000"/>
      <name val="Arial"/>
    </font>
    <font>
      <b/>
      <i/>
      <name val="Arial"/>
    </font>
    <font>
      <b/>
      <sz val="21.0"/>
      <name val="Arial"/>
    </font>
    <font>
      <b/>
      <sz val="13.0"/>
      <name val="Arial"/>
    </font>
    <font>
      <b/>
      <sz val="11.0"/>
      <name val="Arial"/>
    </font>
    <font>
      <sz val="11.0"/>
      <name val="Arial"/>
    </font>
    <font>
      <u/>
      <sz val="11.0"/>
      <color rgb="FF0000FF"/>
      <name val="Arial"/>
    </font>
    <font>
      <sz val="11.0"/>
    </font>
    <font>
      <b/>
      <i/>
      <sz val="11.0"/>
      <name val="Arial"/>
    </font>
    <font>
      <u/>
      <sz val="11.0"/>
      <color rgb="FF0000FF"/>
      <name val="Arial"/>
    </font>
    <font>
      <u/>
      <sz val="11.0"/>
      <color rgb="FF0000FF"/>
      <name val="Arial"/>
    </font>
    <font>
      <u/>
      <sz val="11.0"/>
      <color rgb="FF0000FF"/>
      <name val="Arial"/>
    </font>
    <font>
      <b/>
      <sz val="13.0"/>
      <color rgb="FFFF0000"/>
      <name val="Poppins"/>
    </font>
    <font>
      <b/>
      <u/>
      <sz val="16.0"/>
      <color rgb="FF0000FF"/>
      <name val="Poppins"/>
    </font>
    <font>
      <u/>
      <sz val="9.0"/>
      <color rgb="FF0000FF"/>
      <name val="Poppins"/>
    </font>
    <font>
      <b/>
      <u/>
      <sz val="16.0"/>
      <color rgb="FF0000FF"/>
      <name val="Poppins"/>
    </font>
    <font>
      <b/>
      <sz val="16.0"/>
      <name val="Poppins"/>
    </font>
    <font>
      <sz val="12.0"/>
      <color rgb="FFFF0000"/>
      <name val="Poppins"/>
    </font>
    <font>
      <b/>
      <u/>
      <sz val="16.0"/>
      <color rgb="FF0000FF"/>
      <name val="Poppins"/>
    </font>
    <font>
      <sz val="11.0"/>
      <color rgb="FF000000"/>
      <name val="Arial"/>
    </font>
    <font>
      <b/>
      <sz val="17.0"/>
      <color rgb="FFFF0000"/>
      <name val="Poppins"/>
    </font>
    <font>
      <sz val="18.0"/>
      <name val="Poppins"/>
    </font>
    <font>
      <b/>
      <sz val="12.0"/>
      <color rgb="FFFF0000"/>
    </font>
    <font>
      <u/>
      <sz val="9.0"/>
      <color rgb="FFFFFFFF"/>
      <name val="Poppins"/>
    </font>
    <font>
      <sz val="12.0"/>
      <name val="Arial"/>
    </font>
    <font>
      <b/>
      <i/>
      <color rgb="FF073763"/>
      <name val="Calibri"/>
    </font>
    <font>
      <b/>
      <i/>
      <sz val="8.0"/>
      <name val="Arial"/>
    </font>
    <font>
      <u/>
      <color rgb="FF0000FF"/>
    </font>
    <font>
      <u/>
      <color rgb="FF0000FF"/>
    </font>
    <font>
      <b/>
      <sz val="10.0"/>
      <name val="Arial"/>
    </font>
    <font>
      <sz val="10.0"/>
      <name val="Arial"/>
    </font>
    <font>
      <u/>
      <sz val="10.0"/>
      <color rgb="FF0000FF"/>
      <name val="Arial"/>
    </font>
    <font>
      <b/>
      <u/>
      <sz val="10.0"/>
      <color rgb="FF0000FF"/>
      <name val="Arial"/>
    </font>
    <font>
      <u/>
      <sz val="10.0"/>
      <color rgb="FF0000FF"/>
      <name val="Arial"/>
    </font>
    <font>
      <b/>
      <u/>
      <color rgb="FF0000FF"/>
    </font>
    <font>
      <u/>
      <color rgb="FF0000FF"/>
    </font>
    <font>
      <u/>
      <color rgb="FF0000FF"/>
    </font>
    <font>
      <sz val="10.0"/>
      <name val="Poppins"/>
    </font>
    <font>
      <u/>
      <color rgb="FF0000FF"/>
    </font>
    <font>
      <u/>
      <color rgb="FF0000FF"/>
    </font>
    <font>
      <u/>
      <color rgb="FF0000FF"/>
    </font>
    <font>
      <b/>
      <u/>
      <color rgb="FF0000FF"/>
    </font>
    <font>
      <u/>
      <color rgb="FF0000FF"/>
    </font>
    <font>
      <u/>
      <color rgb="FF0000FF"/>
    </font>
    <font>
      <u/>
      <sz val="10.0"/>
      <color rgb="FF0000FF"/>
      <name val="Arial"/>
    </font>
    <font>
      <u/>
      <sz val="10.0"/>
      <color rgb="FF0000FF"/>
      <name val="Arial"/>
    </font>
    <font>
      <u/>
      <sz val="10.0"/>
      <color rgb="FF0000FF"/>
      <name val="Arial"/>
    </font>
    <font>
      <u/>
      <sz val="10.0"/>
      <color rgb="FF0000FF"/>
      <name val="Arial"/>
    </font>
    <font>
      <u/>
      <color rgb="FF0000FF"/>
    </font>
    <font>
      <u/>
      <color rgb="FF0000FF"/>
    </font>
    <font>
      <b/>
      <u/>
      <sz val="10.0"/>
      <color rgb="FF0000FF"/>
      <name val="Poppins"/>
    </font>
    <font>
      <b/>
      <u/>
      <sz val="10.0"/>
      <color rgb="FF0000FF"/>
      <name val="Arial"/>
    </font>
    <font>
      <b/>
      <u/>
      <sz val="10.0"/>
      <color rgb="FF0000FF"/>
      <name val="Arial"/>
    </font>
  </fonts>
  <fills count="22">
    <fill>
      <patternFill patternType="none"/>
    </fill>
    <fill>
      <patternFill patternType="lightGray"/>
    </fill>
    <fill>
      <patternFill patternType="solid">
        <fgColor rgb="FFFF9900"/>
        <bgColor rgb="FFFF9900"/>
      </patternFill>
    </fill>
    <fill>
      <patternFill patternType="solid">
        <fgColor rgb="FFBDBDBD"/>
        <bgColor rgb="FFBDBDBD"/>
      </patternFill>
    </fill>
    <fill>
      <patternFill patternType="solid">
        <fgColor rgb="FFFFFFFF"/>
        <bgColor rgb="FFFFFFFF"/>
      </patternFill>
    </fill>
    <fill>
      <patternFill patternType="solid">
        <fgColor rgb="FFF3F3F3"/>
        <bgColor rgb="FFF3F3F3"/>
      </patternFill>
    </fill>
    <fill>
      <patternFill patternType="solid">
        <fgColor rgb="FFCFE2F3"/>
        <bgColor rgb="FFCFE2F3"/>
      </patternFill>
    </fill>
    <fill>
      <patternFill patternType="solid">
        <fgColor rgb="FFFCFCFF"/>
        <bgColor rgb="FFFCFCFF"/>
      </patternFill>
    </fill>
    <fill>
      <patternFill patternType="solid">
        <fgColor rgb="FFB7B7B7"/>
        <bgColor rgb="FFB7B7B7"/>
      </patternFill>
    </fill>
    <fill>
      <patternFill patternType="solid">
        <fgColor rgb="FFF1C232"/>
        <bgColor rgb="FFF1C232"/>
      </patternFill>
    </fill>
    <fill>
      <patternFill patternType="solid">
        <fgColor rgb="FFFD5300"/>
        <bgColor rgb="FFFD5300"/>
      </patternFill>
    </fill>
    <fill>
      <patternFill patternType="solid">
        <fgColor rgb="FFF4CCCC"/>
        <bgColor rgb="FFF4CCCC"/>
      </patternFill>
    </fill>
    <fill>
      <patternFill patternType="solid">
        <fgColor rgb="FF000000"/>
        <bgColor rgb="FF000000"/>
      </patternFill>
    </fill>
    <fill>
      <patternFill patternType="solid">
        <fgColor rgb="FFFCE5CD"/>
        <bgColor rgb="FFFCE5CD"/>
      </patternFill>
    </fill>
    <fill>
      <patternFill patternType="solid">
        <fgColor rgb="FFD9D9D9"/>
        <bgColor rgb="FFD9D9D9"/>
      </patternFill>
    </fill>
    <fill>
      <patternFill patternType="solid">
        <fgColor rgb="FFFFF2CC"/>
        <bgColor rgb="FFFFF2CC"/>
      </patternFill>
    </fill>
    <fill>
      <patternFill patternType="solid">
        <fgColor rgb="FF9FC5E8"/>
        <bgColor rgb="FF9FC5E8"/>
      </patternFill>
    </fill>
    <fill>
      <patternFill patternType="solid">
        <fgColor rgb="FFD9EAD3"/>
        <bgColor rgb="FFD9EAD3"/>
      </patternFill>
    </fill>
    <fill>
      <patternFill patternType="solid">
        <fgColor rgb="FFEFEFEF"/>
        <bgColor rgb="FFEFEFEF"/>
      </patternFill>
    </fill>
    <fill>
      <patternFill patternType="solid">
        <fgColor rgb="FFA4C2F4"/>
        <bgColor rgb="FFA4C2F4"/>
      </patternFill>
    </fill>
    <fill>
      <patternFill patternType="solid">
        <fgColor rgb="FF93C47D"/>
        <bgColor rgb="FF93C47D"/>
      </patternFill>
    </fill>
    <fill>
      <patternFill patternType="solid">
        <fgColor rgb="FF00FF00"/>
        <bgColor rgb="FF00FF00"/>
      </patternFill>
    </fill>
  </fills>
  <borders count="74">
    <border/>
    <border>
      <bottom style="thin">
        <color rgb="FF000000"/>
      </bottom>
    </border>
    <border>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right style="thin">
        <color rgb="FF000000"/>
      </right>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bottom style="thin">
        <color rgb="FF000000"/>
      </bottom>
    </border>
    <border>
      <left style="thin">
        <color rgb="FF000000"/>
      </left>
      <top style="thin">
        <color rgb="FF000000"/>
      </top>
    </border>
    <border>
      <left style="thin">
        <color rgb="FF000000"/>
      </left>
    </border>
    <border>
      <right style="dotted">
        <color rgb="FF000000"/>
      </right>
      <bottom style="hair">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style="medium">
        <color rgb="FF000000"/>
      </left>
      <right style="double">
        <color rgb="FF000000"/>
      </right>
      <top style="medium">
        <color rgb="FF000000"/>
      </top>
    </border>
    <border>
      <left style="double">
        <color rgb="FF000000"/>
      </left>
      <right style="double">
        <color rgb="FF000000"/>
      </right>
      <top style="medium">
        <color rgb="FF000000"/>
      </top>
    </border>
    <border>
      <left style="double">
        <color rgb="FF000000"/>
      </left>
      <right style="medium">
        <color rgb="FF000000"/>
      </right>
      <top style="medium">
        <color rgb="FF000000"/>
      </top>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top style="medium">
        <color rgb="FF000000"/>
      </top>
    </border>
    <border>
      <right style="thin">
        <color rgb="FF000000"/>
      </right>
      <top style="medium">
        <color rgb="FF000000"/>
      </top>
    </border>
    <border>
      <left style="thin">
        <color rgb="FF000000"/>
      </left>
      <right style="medium">
        <color rgb="FF000000"/>
      </right>
      <top style="medium">
        <color rgb="FF000000"/>
      </top>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style="thin">
        <color rgb="FF000000"/>
      </left>
      <bottom style="medium">
        <color rgb="FF000000"/>
      </bottom>
    </border>
    <border>
      <right style="thin">
        <color rgb="FF000000"/>
      </right>
      <bottom style="medium">
        <color rgb="FF000000"/>
      </bottom>
    </border>
    <border>
      <left style="thin">
        <color rgb="FF000000"/>
      </left>
      <right style="medium">
        <color rgb="FF000000"/>
      </right>
      <bottom style="medium">
        <color rgb="FF000000"/>
      </bottom>
    </border>
    <border>
      <left style="medium">
        <color rgb="FF000000"/>
      </left>
      <right style="thin">
        <color rgb="FF000000"/>
      </right>
    </border>
    <border>
      <left style="thin">
        <color rgb="FF000000"/>
      </left>
      <right style="thin">
        <color rgb="FF000000"/>
      </right>
      <top style="medium">
        <color rgb="FF000000"/>
      </top>
      <bottom style="medium">
        <color rgb="FF000000"/>
      </bottom>
    </border>
    <border>
      <left style="thin">
        <color rgb="FF000000"/>
      </left>
      <right style="medium">
        <color rgb="FF000000"/>
      </right>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bottom style="medium">
        <color rgb="FF000000"/>
      </bottom>
    </border>
    <border>
      <left style="thin">
        <color rgb="FF000000"/>
      </left>
      <right style="medium">
        <color rgb="FF000000"/>
      </right>
      <top style="medium">
        <color rgb="FF000000"/>
      </top>
      <bottom style="medium">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border>
    <border>
      <left style="thin">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medium">
        <color rgb="FF000000"/>
      </left>
      <bottom style="thin">
        <color rgb="FF000000"/>
      </bottom>
    </border>
    <border>
      <left style="thin">
        <color rgb="FF000000"/>
      </left>
      <right style="medium">
        <color rgb="FF000000"/>
      </right>
      <top style="medium">
        <color rgb="FF000000"/>
      </top>
      <bottom style="thin">
        <color rgb="FF000000"/>
      </bottom>
    </border>
    <border>
      <left style="medium">
        <color rgb="FF000000"/>
      </left>
      <bottom style="medium">
        <color rgb="FF000000"/>
      </bottom>
    </border>
    <border>
      <right style="thin">
        <color rgb="FF000000"/>
      </right>
      <top style="thin">
        <color rgb="FF000000"/>
      </top>
    </border>
    <border>
      <left style="thin">
        <color rgb="FF000000"/>
      </left>
      <right style="medium">
        <color rgb="FF000000"/>
      </right>
      <top style="thin">
        <color rgb="FF000000"/>
      </top>
    </border>
    <border>
      <left style="medium">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right style="thin">
        <color rgb="FF000000"/>
      </right>
      <top style="medium">
        <color rgb="FF000000"/>
      </top>
      <bottom style="thin">
        <color rgb="FF000000"/>
      </bottom>
    </border>
    <border>
      <right style="medium">
        <color rgb="FF000000"/>
      </right>
      <bottom style="medium">
        <color rgb="FF000000"/>
      </bottom>
    </border>
    <border>
      <right style="thin">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right style="medium">
        <color rgb="FF000000"/>
      </right>
      <top style="thin">
        <color rgb="FF000000"/>
      </top>
    </border>
    <border>
      <left style="medium">
        <color rgb="FF000000"/>
      </left>
      <right style="medium">
        <color rgb="FF000000"/>
      </right>
      <top style="thin">
        <color rgb="FF000000"/>
      </top>
      <bottom style="medium">
        <color rgb="FF000000"/>
      </bottom>
    </border>
    <border>
      <left style="medium">
        <color rgb="FF000000"/>
      </left>
      <right style="medium">
        <color rgb="FF000000"/>
      </right>
    </border>
    <border>
      <left style="medium">
        <color rgb="FF000000"/>
      </left>
      <right style="medium">
        <color rgb="FF000000"/>
      </right>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thin">
        <color rgb="FF000000"/>
      </top>
      <bottom style="medium">
        <color rgb="FF000000"/>
      </bottom>
    </border>
    <border>
      <top style="thin">
        <color rgb="FF000000"/>
      </top>
    </border>
    <border>
      <right style="medium">
        <color rgb="FF000000"/>
      </right>
      <bottom style="thin">
        <color rgb="FF000000"/>
      </bottom>
    </border>
    <border>
      <left style="medium">
        <color rgb="FF000000"/>
      </left>
      <right style="medium">
        <color rgb="FF000000"/>
      </right>
      <bottom style="thin">
        <color rgb="FF000000"/>
      </bottom>
    </border>
  </borders>
  <cellStyleXfs count="1">
    <xf borderId="0" fillId="0" fontId="0" numFmtId="0" applyAlignment="1" applyFont="1"/>
  </cellStyleXfs>
  <cellXfs count="2011">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center" wrapText="0"/>
    </xf>
    <xf borderId="2" fillId="2" fontId="1" numFmtId="0" xfId="0" applyAlignment="1" applyBorder="1" applyFont="1">
      <alignment horizontal="center" readingOrder="0" shrinkToFit="0" vertical="center" wrapText="0"/>
    </xf>
    <xf borderId="3" fillId="3" fontId="2" numFmtId="0" xfId="0" applyAlignment="1" applyBorder="1" applyFill="1" applyFont="1">
      <alignment horizontal="center" readingOrder="0" shrinkToFit="0" vertical="center" wrapText="1"/>
    </xf>
    <xf borderId="3" fillId="3" fontId="2" numFmtId="164" xfId="0" applyAlignment="1" applyBorder="1" applyFont="1" applyNumberFormat="1">
      <alignment horizontal="center" readingOrder="0" shrinkToFit="0" vertical="center" wrapText="1"/>
    </xf>
    <xf borderId="3" fillId="3" fontId="3" numFmtId="0" xfId="0" applyAlignment="1" applyBorder="1" applyFont="1">
      <alignment horizontal="center" readingOrder="0" shrinkToFit="0" vertical="center" wrapText="1"/>
    </xf>
    <xf borderId="1" fillId="0" fontId="4" numFmtId="0" xfId="0" applyBorder="1" applyFont="1"/>
    <xf borderId="2" fillId="0" fontId="4" numFmtId="0" xfId="0" applyBorder="1" applyFont="1"/>
    <xf borderId="2" fillId="4" fontId="5" numFmtId="0" xfId="0" applyAlignment="1" applyBorder="1" applyFill="1" applyFont="1">
      <alignment horizontal="center" readingOrder="0" shrinkToFit="0" vertical="center" wrapText="0"/>
    </xf>
    <xf borderId="2" fillId="3" fontId="6" numFmtId="0" xfId="0" applyAlignment="1" applyBorder="1" applyFont="1">
      <alignment horizontal="center" shrinkToFit="0" vertical="center" wrapText="0"/>
    </xf>
    <xf borderId="1" fillId="0" fontId="4" numFmtId="0" xfId="0" applyAlignment="1" applyBorder="1" applyFont="1">
      <alignment horizontal="center" readingOrder="0" shrinkToFit="0" vertical="center" wrapText="1"/>
    </xf>
    <xf borderId="2" fillId="4" fontId="5" numFmtId="165" xfId="0" applyAlignment="1" applyBorder="1" applyFont="1" applyNumberFormat="1">
      <alignment horizontal="center" readingOrder="0" shrinkToFit="0" vertical="center" wrapText="0"/>
    </xf>
    <xf borderId="2" fillId="4" fontId="7" numFmtId="0" xfId="0" applyAlignment="1" applyBorder="1" applyFont="1">
      <alignment horizontal="center" readingOrder="0" shrinkToFit="0" vertical="center" wrapText="0"/>
    </xf>
    <xf borderId="3" fillId="4" fontId="5" numFmtId="0" xfId="0" applyAlignment="1" applyBorder="1" applyFont="1">
      <alignment horizontal="center" readingOrder="0" shrinkToFit="0" vertical="center" wrapText="0"/>
    </xf>
    <xf borderId="2" fillId="4" fontId="5" numFmtId="166" xfId="0" applyAlignment="1" applyBorder="1" applyFont="1" applyNumberFormat="1">
      <alignment horizontal="center" readingOrder="0" shrinkToFit="0" vertical="center" wrapText="0"/>
    </xf>
    <xf borderId="3" fillId="0" fontId="4" numFmtId="166" xfId="0" applyAlignment="1" applyBorder="1" applyFont="1" applyNumberFormat="1">
      <alignment horizontal="center" shrinkToFit="0" vertical="center" wrapText="1"/>
    </xf>
    <xf borderId="2" fillId="0" fontId="4" numFmtId="166" xfId="0" applyAlignment="1" applyBorder="1" applyFont="1" applyNumberFormat="1">
      <alignment horizontal="center" readingOrder="0" shrinkToFit="0" vertical="center" wrapText="1"/>
    </xf>
    <xf borderId="2" fillId="4" fontId="5" numFmtId="167" xfId="0" applyAlignment="1" applyBorder="1" applyFont="1" applyNumberFormat="1">
      <alignment horizontal="center" readingOrder="0" shrinkToFit="0" vertical="center" wrapText="0"/>
    </xf>
    <xf borderId="4" fillId="4" fontId="5" numFmtId="166" xfId="0" applyAlignment="1" applyBorder="1" applyFont="1" applyNumberFormat="1">
      <alignment horizontal="center" readingOrder="0" shrinkToFit="0" vertical="center" wrapText="0"/>
    </xf>
    <xf borderId="5" fillId="4" fontId="5" numFmtId="166" xfId="0" applyAlignment="1" applyBorder="1" applyFont="1" applyNumberFormat="1">
      <alignment horizontal="center" readingOrder="0" shrinkToFit="0" vertical="center" wrapText="0"/>
    </xf>
    <xf borderId="3" fillId="4" fontId="5" numFmtId="166" xfId="0" applyAlignment="1" applyBorder="1" applyFont="1" applyNumberFormat="1">
      <alignment horizontal="center" shrinkToFit="0" vertical="center" wrapText="0"/>
    </xf>
    <xf borderId="3" fillId="0" fontId="4" numFmtId="166" xfId="0" applyAlignment="1" applyBorder="1" applyFont="1" applyNumberFormat="1">
      <alignment horizontal="center" readingOrder="0" shrinkToFit="0" vertical="center" wrapText="1"/>
    </xf>
    <xf borderId="5" fillId="0" fontId="4" numFmtId="166" xfId="0" applyAlignment="1" applyBorder="1" applyFont="1" applyNumberFormat="1">
      <alignment horizontal="center" readingOrder="0" shrinkToFit="0" vertical="center" wrapText="1"/>
    </xf>
    <xf borderId="3" fillId="3" fontId="6" numFmtId="0" xfId="0" applyAlignment="1" applyBorder="1" applyFont="1">
      <alignment horizontal="center" shrinkToFit="0" vertical="center" wrapText="0"/>
    </xf>
    <xf borderId="3" fillId="4" fontId="5" numFmtId="167" xfId="0" applyAlignment="1" applyBorder="1" applyFont="1" applyNumberFormat="1">
      <alignment horizontal="center" readingOrder="0" shrinkToFit="0" vertical="center" wrapText="0"/>
    </xf>
    <xf borderId="5" fillId="4" fontId="8" numFmtId="0" xfId="0" applyAlignment="1" applyBorder="1" applyFont="1">
      <alignment horizontal="center" readingOrder="0" shrinkToFit="0" vertical="center" wrapText="0"/>
    </xf>
    <xf borderId="5" fillId="2" fontId="1" numFmtId="0" xfId="0" applyAlignment="1" applyBorder="1" applyFont="1">
      <alignment horizontal="center" readingOrder="0" shrinkToFit="0" vertical="center" wrapText="0"/>
    </xf>
    <xf borderId="6" fillId="0" fontId="4" numFmtId="0" xfId="0" applyBorder="1" applyFont="1"/>
    <xf borderId="5" fillId="0" fontId="4" numFmtId="0" xfId="0" applyBorder="1" applyFont="1"/>
    <xf borderId="7" fillId="0" fontId="4" numFmtId="0" xfId="0" applyBorder="1" applyFont="1"/>
    <xf borderId="8" fillId="2" fontId="1" numFmtId="0" xfId="0" applyAlignment="1" applyBorder="1" applyFont="1">
      <alignment horizontal="center" readingOrder="0" shrinkToFit="0" vertical="center" wrapText="0"/>
    </xf>
    <xf borderId="9" fillId="0" fontId="4" numFmtId="0" xfId="0" applyBorder="1" applyFont="1"/>
    <xf borderId="10" fillId="0" fontId="4" numFmtId="0" xfId="0" applyBorder="1" applyFont="1"/>
    <xf borderId="8" fillId="4" fontId="5" numFmtId="0" xfId="0" applyAlignment="1" applyBorder="1" applyFont="1">
      <alignment horizontal="center" readingOrder="0" shrinkToFit="0" vertical="center" wrapText="0"/>
    </xf>
    <xf borderId="3" fillId="4" fontId="9" numFmtId="0" xfId="0" applyAlignment="1" applyBorder="1" applyFont="1">
      <alignment horizontal="center" readingOrder="0" shrinkToFit="0" vertical="center" wrapText="0"/>
    </xf>
    <xf borderId="3" fillId="2" fontId="5" numFmtId="0" xfId="0" applyAlignment="1" applyBorder="1" applyFont="1">
      <alignment horizontal="center" readingOrder="0" shrinkToFit="0" vertical="center" wrapText="0"/>
    </xf>
    <xf borderId="4" fillId="4" fontId="5" numFmtId="0" xfId="0" applyAlignment="1" applyBorder="1" applyFont="1">
      <alignment horizontal="center" readingOrder="0" shrinkToFit="0" vertical="center" wrapText="0"/>
    </xf>
    <xf borderId="4" fillId="4" fontId="10" numFmtId="0" xfId="0" applyAlignment="1" applyBorder="1" applyFont="1">
      <alignment horizontal="center" readingOrder="0" shrinkToFit="0" vertical="center" wrapText="0"/>
    </xf>
    <xf borderId="3" fillId="4" fontId="5" numFmtId="166" xfId="0" applyAlignment="1" applyBorder="1" applyFont="1" applyNumberFormat="1">
      <alignment horizontal="center" readingOrder="0" shrinkToFit="0" vertical="center" wrapText="0"/>
    </xf>
    <xf borderId="3" fillId="4" fontId="5" numFmtId="165" xfId="0" applyAlignment="1" applyBorder="1" applyFont="1" applyNumberFormat="1">
      <alignment horizontal="center" readingOrder="0" shrinkToFit="0" vertical="center" wrapText="0"/>
    </xf>
    <xf borderId="0" fillId="2" fontId="1" numFmtId="0" xfId="0" applyAlignment="1" applyFont="1">
      <alignment horizontal="center" readingOrder="0" shrinkToFit="0" vertical="center" wrapText="0"/>
    </xf>
    <xf borderId="0" fillId="4" fontId="5" numFmtId="0" xfId="0" applyAlignment="1" applyFont="1">
      <alignment horizontal="center" readingOrder="0" shrinkToFit="0" vertical="center" wrapText="0"/>
    </xf>
    <xf borderId="3" fillId="4" fontId="5" numFmtId="168" xfId="0" applyAlignment="1" applyBorder="1" applyFont="1" applyNumberFormat="1">
      <alignment horizontal="center" shrinkToFit="0" vertical="center" wrapText="0"/>
    </xf>
    <xf borderId="3" fillId="4" fontId="5" numFmtId="169" xfId="0" applyAlignment="1" applyBorder="1" applyFont="1" applyNumberFormat="1">
      <alignment horizontal="center" shrinkToFit="0" vertical="center" wrapText="0"/>
    </xf>
    <xf borderId="3" fillId="4" fontId="5" numFmtId="167" xfId="0" applyAlignment="1" applyBorder="1" applyFont="1" applyNumberFormat="1">
      <alignment horizontal="center" shrinkToFit="0" vertical="center" wrapText="0"/>
    </xf>
    <xf borderId="0" fillId="4" fontId="1" numFmtId="0" xfId="0" applyAlignment="1" applyFont="1">
      <alignment horizontal="center" readingOrder="0" shrinkToFit="0" vertical="center" wrapText="0"/>
    </xf>
    <xf borderId="3" fillId="4" fontId="5" numFmtId="168" xfId="0" applyAlignment="1" applyBorder="1" applyFont="1" applyNumberFormat="1">
      <alignment horizontal="center" readingOrder="0" shrinkToFit="0" vertical="center" wrapText="0"/>
    </xf>
    <xf borderId="3" fillId="4" fontId="5" numFmtId="170" xfId="0" applyAlignment="1" applyBorder="1" applyFont="1" applyNumberFormat="1">
      <alignment horizontal="center" shrinkToFit="0" vertical="center" wrapText="0"/>
    </xf>
    <xf borderId="3" fillId="3" fontId="11" numFmtId="0" xfId="0" applyAlignment="1" applyBorder="1" applyFont="1">
      <alignment horizontal="center" readingOrder="0" shrinkToFit="0" vertical="center" wrapText="1"/>
    </xf>
    <xf borderId="3" fillId="3" fontId="11" numFmtId="0" xfId="0" applyAlignment="1" applyBorder="1" applyFont="1">
      <alignment horizontal="center" shrinkToFit="0" vertical="center" wrapText="1"/>
    </xf>
    <xf borderId="3" fillId="3" fontId="11" numFmtId="171" xfId="0" applyAlignment="1" applyBorder="1" applyFont="1" applyNumberFormat="1">
      <alignment horizontal="center" readingOrder="0" shrinkToFit="0" vertical="center" wrapText="1"/>
    </xf>
    <xf borderId="3" fillId="3" fontId="11" numFmtId="169" xfId="0" applyAlignment="1" applyBorder="1" applyFont="1" applyNumberFormat="1">
      <alignment horizontal="center" readingOrder="0" shrinkToFit="0" vertical="center" wrapText="1"/>
    </xf>
    <xf borderId="1" fillId="2" fontId="12" numFmtId="0" xfId="0" applyAlignment="1" applyBorder="1" applyFont="1">
      <alignment horizontal="center" readingOrder="0" shrinkToFit="0" vertical="center" wrapText="0"/>
    </xf>
    <xf borderId="1" fillId="4" fontId="4" numFmtId="0" xfId="0" applyBorder="1" applyFont="1"/>
    <xf borderId="2" fillId="4" fontId="4" numFmtId="0" xfId="0" applyBorder="1" applyFont="1"/>
    <xf borderId="8" fillId="2" fontId="13" numFmtId="0" xfId="0" applyAlignment="1" applyBorder="1" applyFont="1">
      <alignment horizontal="center" readingOrder="0" shrinkToFit="0" vertical="center" wrapText="1"/>
    </xf>
    <xf borderId="9" fillId="4" fontId="4" numFmtId="0" xfId="0" applyBorder="1" applyFont="1"/>
    <xf borderId="10" fillId="4" fontId="4" numFmtId="0" xfId="0" applyBorder="1" applyFont="1"/>
    <xf borderId="3" fillId="5" fontId="14" numFmtId="0" xfId="0" applyAlignment="1" applyBorder="1" applyFill="1" applyFont="1">
      <alignment horizontal="center" readingOrder="0" vertical="center"/>
    </xf>
    <xf borderId="3" fillId="4" fontId="15" numFmtId="0" xfId="0" applyAlignment="1" applyBorder="1" applyFont="1">
      <alignment horizontal="center" readingOrder="0"/>
    </xf>
    <xf borderId="3" fillId="5" fontId="4" numFmtId="0" xfId="0" applyAlignment="1" applyBorder="1" applyFont="1">
      <alignment horizontal="center" readingOrder="0" vertical="center"/>
    </xf>
    <xf borderId="3" fillId="5" fontId="16" numFmtId="0" xfId="0" applyAlignment="1" applyBorder="1" applyFont="1">
      <alignment horizontal="center" readingOrder="0" shrinkToFit="0" vertical="center" wrapText="1"/>
    </xf>
    <xf borderId="3" fillId="5" fontId="17" numFmtId="0" xfId="0" applyAlignment="1" applyBorder="1" applyFont="1">
      <alignment horizontal="center" readingOrder="0" vertical="center"/>
    </xf>
    <xf borderId="3" fillId="5" fontId="17" numFmtId="165" xfId="0" applyAlignment="1" applyBorder="1" applyFont="1" applyNumberFormat="1">
      <alignment horizontal="center" readingOrder="0" vertical="center"/>
    </xf>
    <xf borderId="3" fillId="5" fontId="17" numFmtId="164" xfId="0" applyAlignment="1" applyBorder="1" applyFont="1" applyNumberFormat="1">
      <alignment horizontal="center" readingOrder="0" vertical="center"/>
    </xf>
    <xf borderId="3" fillId="5" fontId="17" numFmtId="0" xfId="0" applyAlignment="1" applyBorder="1" applyFont="1">
      <alignment horizontal="left" readingOrder="0" shrinkToFit="0" vertical="center" wrapText="0"/>
    </xf>
    <xf borderId="3" fillId="5" fontId="14" numFmtId="164" xfId="0" applyAlignment="1" applyBorder="1" applyFont="1" applyNumberFormat="1">
      <alignment horizontal="center" readingOrder="0" shrinkToFit="0" vertical="center" wrapText="0"/>
    </xf>
    <xf borderId="3" fillId="5" fontId="17" numFmtId="0" xfId="0" applyAlignment="1" applyBorder="1" applyFont="1">
      <alignment horizontal="left" readingOrder="0" shrinkToFit="0" vertical="center" wrapText="1"/>
    </xf>
    <xf borderId="3" fillId="5" fontId="14" numFmtId="0" xfId="0" applyAlignment="1" applyBorder="1" applyFont="1">
      <alignment horizontal="center" readingOrder="0" vertical="center"/>
    </xf>
    <xf borderId="4" fillId="4" fontId="14" numFmtId="0" xfId="0" applyAlignment="1" applyBorder="1" applyFont="1">
      <alignment horizontal="center" readingOrder="0" vertical="center"/>
    </xf>
    <xf borderId="3" fillId="4" fontId="4" numFmtId="0" xfId="0" applyAlignment="1" applyBorder="1" applyFont="1">
      <alignment horizontal="center" readingOrder="0" vertical="center"/>
    </xf>
    <xf borderId="4" fillId="4" fontId="16" numFmtId="0" xfId="0" applyAlignment="1" applyBorder="1" applyFont="1">
      <alignment horizontal="center" readingOrder="0" shrinkToFit="0" vertical="center" wrapText="1"/>
    </xf>
    <xf borderId="4" fillId="4" fontId="17" numFmtId="165" xfId="0" applyAlignment="1" applyBorder="1" applyFont="1" applyNumberFormat="1">
      <alignment horizontal="center" readingOrder="0" vertical="center"/>
    </xf>
    <xf borderId="4" fillId="4" fontId="17" numFmtId="0" xfId="0" applyAlignment="1" applyBorder="1" applyFont="1">
      <alignment horizontal="center" readingOrder="0" vertical="center"/>
    </xf>
    <xf borderId="3" fillId="4" fontId="17" numFmtId="164" xfId="0" applyAlignment="1" applyBorder="1" applyFont="1" applyNumberFormat="1">
      <alignment horizontal="center" readingOrder="0" vertical="center"/>
    </xf>
    <xf borderId="4" fillId="4" fontId="17" numFmtId="0" xfId="0" applyAlignment="1" applyBorder="1" applyFont="1">
      <alignment horizontal="left" readingOrder="0" shrinkToFit="0" vertical="center" wrapText="0"/>
    </xf>
    <xf borderId="4" fillId="4" fontId="14" numFmtId="164" xfId="0" applyAlignment="1" applyBorder="1" applyFont="1" applyNumberFormat="1">
      <alignment horizontal="center" readingOrder="0" shrinkToFit="0" vertical="center" wrapText="0"/>
    </xf>
    <xf borderId="3" fillId="4" fontId="17" numFmtId="0" xfId="0" applyAlignment="1" applyBorder="1" applyFont="1">
      <alignment horizontal="left" readingOrder="0" shrinkToFit="0" vertical="center" wrapText="1"/>
    </xf>
    <xf borderId="3" fillId="4" fontId="14" numFmtId="0" xfId="0" applyAlignment="1" applyBorder="1" applyFont="1">
      <alignment horizontal="center" readingOrder="0" vertical="center"/>
    </xf>
    <xf borderId="7" fillId="5" fontId="4" numFmtId="0" xfId="0" applyBorder="1" applyFont="1"/>
    <xf borderId="9" fillId="5" fontId="4" numFmtId="0" xfId="0" applyBorder="1" applyFont="1"/>
    <xf borderId="10" fillId="5" fontId="4" numFmtId="0" xfId="0" applyBorder="1" applyFont="1"/>
    <xf borderId="3" fillId="0" fontId="14" numFmtId="0" xfId="0" applyAlignment="1" applyBorder="1" applyFont="1">
      <alignment horizontal="center" readingOrder="0" vertical="center"/>
    </xf>
    <xf borderId="3" fillId="0" fontId="4" numFmtId="0" xfId="0" applyAlignment="1" applyBorder="1" applyFont="1">
      <alignment horizontal="center" readingOrder="0" vertical="center"/>
    </xf>
    <xf borderId="3" fillId="0" fontId="16" numFmtId="0" xfId="0" applyAlignment="1" applyBorder="1" applyFont="1">
      <alignment horizontal="center" readingOrder="0" shrinkToFit="0" vertical="center" wrapText="1"/>
    </xf>
    <xf borderId="3" fillId="0" fontId="17" numFmtId="170" xfId="0" applyAlignment="1" applyBorder="1" applyFont="1" applyNumberFormat="1">
      <alignment horizontal="center" readingOrder="0" vertical="center"/>
    </xf>
    <xf borderId="3" fillId="0" fontId="17" numFmtId="165" xfId="0" applyAlignment="1" applyBorder="1" applyFont="1" applyNumberFormat="1">
      <alignment horizontal="center" readingOrder="0" vertical="center"/>
    </xf>
    <xf borderId="3" fillId="0" fontId="17" numFmtId="164" xfId="0" applyAlignment="1" applyBorder="1" applyFont="1" applyNumberFormat="1">
      <alignment horizontal="center" readingOrder="0" vertical="center"/>
    </xf>
    <xf borderId="3" fillId="0" fontId="17" numFmtId="0" xfId="0" applyAlignment="1" applyBorder="1" applyFont="1">
      <alignment horizontal="center" readingOrder="0" vertical="center"/>
    </xf>
    <xf borderId="3" fillId="0" fontId="14" numFmtId="164" xfId="0" applyAlignment="1" applyBorder="1" applyFont="1" applyNumberFormat="1">
      <alignment horizontal="center" readingOrder="0" vertical="center"/>
    </xf>
    <xf borderId="3" fillId="0" fontId="17" numFmtId="0" xfId="0" applyAlignment="1" applyBorder="1" applyFont="1">
      <alignment horizontal="center" readingOrder="0" vertical="center"/>
    </xf>
    <xf borderId="3" fillId="0" fontId="18" numFmtId="164" xfId="0" applyAlignment="1" applyBorder="1" applyFont="1" applyNumberFormat="1">
      <alignment horizontal="center" readingOrder="0" vertical="center"/>
    </xf>
    <xf borderId="3" fillId="0" fontId="17" numFmtId="0" xfId="0" applyAlignment="1" applyBorder="1" applyFont="1">
      <alignment horizontal="center" readingOrder="0" shrinkToFit="0" vertical="center" wrapText="1"/>
    </xf>
    <xf borderId="3" fillId="0" fontId="4" numFmtId="0" xfId="0" applyAlignment="1" applyBorder="1" applyFont="1">
      <alignment horizontal="center" readingOrder="0" shrinkToFit="0" vertical="center" wrapText="1"/>
    </xf>
    <xf borderId="3" fillId="5" fontId="17" numFmtId="164" xfId="0" applyAlignment="1" applyBorder="1" applyFont="1" applyNumberFormat="1">
      <alignment horizontal="center" readingOrder="0" vertical="center"/>
    </xf>
    <xf borderId="3" fillId="5" fontId="17" numFmtId="0" xfId="0" applyAlignment="1" applyBorder="1" applyFont="1">
      <alignment horizontal="center" readingOrder="0" vertical="center"/>
    </xf>
    <xf borderId="3" fillId="4" fontId="14" numFmtId="0" xfId="0" applyAlignment="1" applyBorder="1" applyFont="1">
      <alignment horizontal="center" readingOrder="0" vertical="center"/>
    </xf>
    <xf borderId="3" fillId="4" fontId="16" numFmtId="0" xfId="0" applyAlignment="1" applyBorder="1" applyFont="1">
      <alignment horizontal="center" readingOrder="0" shrinkToFit="0" vertical="center" wrapText="1"/>
    </xf>
    <xf borderId="3" fillId="4" fontId="17" numFmtId="165" xfId="0" applyAlignment="1" applyBorder="1" applyFont="1" applyNumberFormat="1">
      <alignment horizontal="center" readingOrder="0" vertical="center"/>
    </xf>
    <xf borderId="3" fillId="4" fontId="17" numFmtId="0" xfId="0" applyAlignment="1" applyBorder="1" applyFont="1">
      <alignment horizontal="center" readingOrder="0" vertical="center"/>
    </xf>
    <xf borderId="3" fillId="4" fontId="17" numFmtId="164" xfId="0" applyAlignment="1" applyBorder="1" applyFont="1" applyNumberFormat="1">
      <alignment horizontal="center" readingOrder="0" vertical="center"/>
    </xf>
    <xf borderId="3" fillId="4" fontId="17" numFmtId="0" xfId="0" applyAlignment="1" applyBorder="1" applyFont="1">
      <alignment horizontal="center" readingOrder="0" vertical="center"/>
    </xf>
    <xf borderId="3" fillId="0" fontId="17" numFmtId="0" xfId="0" applyAlignment="1" applyBorder="1" applyFont="1">
      <alignment horizontal="center" vertical="center"/>
    </xf>
    <xf borderId="0" fillId="3" fontId="11" numFmtId="0" xfId="0" applyAlignment="1" applyFont="1">
      <alignment horizontal="center" readingOrder="0" shrinkToFit="0" vertical="center" wrapText="1"/>
    </xf>
    <xf borderId="3" fillId="4" fontId="19" numFmtId="0" xfId="0" applyAlignment="1" applyBorder="1" applyFont="1">
      <alignment horizontal="center" readingOrder="0" shrinkToFit="0" vertical="center" wrapText="1"/>
    </xf>
    <xf borderId="3" fillId="4" fontId="19" numFmtId="170" xfId="0" applyAlignment="1" applyBorder="1" applyFont="1" applyNumberFormat="1">
      <alignment horizontal="center" readingOrder="0" shrinkToFit="0" vertical="center" wrapText="1"/>
    </xf>
    <xf borderId="3" fillId="4" fontId="19" numFmtId="165" xfId="0" applyAlignment="1" applyBorder="1" applyFont="1" applyNumberFormat="1">
      <alignment horizontal="center" readingOrder="0" shrinkToFit="0" vertical="center" wrapText="1"/>
    </xf>
    <xf borderId="3" fillId="4" fontId="19" numFmtId="164" xfId="0" applyAlignment="1" applyBorder="1" applyFont="1" applyNumberFormat="1">
      <alignment horizontal="center" readingOrder="0" shrinkToFit="0" vertical="center" wrapText="1"/>
    </xf>
    <xf borderId="3" fillId="4" fontId="19" numFmtId="9" xfId="0" applyAlignment="1" applyBorder="1" applyFont="1" applyNumberFormat="1">
      <alignment horizontal="center" readingOrder="0" shrinkToFit="0" vertical="center" wrapText="1"/>
    </xf>
    <xf borderId="3" fillId="4" fontId="19" numFmtId="169" xfId="0" applyAlignment="1" applyBorder="1" applyFont="1" applyNumberFormat="1">
      <alignment horizontal="center" readingOrder="0" shrinkToFit="0" vertical="center" wrapText="1"/>
    </xf>
    <xf borderId="3" fillId="4" fontId="19" numFmtId="0" xfId="0" applyAlignment="1" applyBorder="1" applyFont="1">
      <alignment horizontal="center" readingOrder="0" shrinkToFit="0" vertical="center" wrapText="1"/>
    </xf>
    <xf borderId="3" fillId="2" fontId="19" numFmtId="0" xfId="0" applyAlignment="1" applyBorder="1" applyFont="1">
      <alignment horizontal="center" readingOrder="0" shrinkToFit="0" vertical="center" wrapText="1"/>
    </xf>
    <xf borderId="3" fillId="2" fontId="16" numFmtId="0" xfId="0" applyAlignment="1" applyBorder="1" applyFont="1">
      <alignment horizontal="center" readingOrder="0" shrinkToFit="0" vertical="center" wrapText="1"/>
    </xf>
    <xf borderId="3" fillId="2" fontId="19" numFmtId="170" xfId="0" applyAlignment="1" applyBorder="1" applyFont="1" applyNumberFormat="1">
      <alignment horizontal="center" readingOrder="0" shrinkToFit="0" vertical="center" wrapText="1"/>
    </xf>
    <xf borderId="3" fillId="2" fontId="19" numFmtId="165" xfId="0" applyAlignment="1" applyBorder="1" applyFont="1" applyNumberFormat="1">
      <alignment horizontal="center" readingOrder="0" shrinkToFit="0" vertical="center" wrapText="1"/>
    </xf>
    <xf borderId="3" fillId="2" fontId="19" numFmtId="164" xfId="0" applyAlignment="1" applyBorder="1" applyFont="1" applyNumberFormat="1">
      <alignment horizontal="center" readingOrder="0" shrinkToFit="0" vertical="center" wrapText="1"/>
    </xf>
    <xf borderId="3" fillId="2" fontId="19" numFmtId="9" xfId="0" applyAlignment="1" applyBorder="1" applyFont="1" applyNumberFormat="1">
      <alignment horizontal="center" readingOrder="0" shrinkToFit="0" vertical="center" wrapText="1"/>
    </xf>
    <xf borderId="3" fillId="2" fontId="19" numFmtId="169" xfId="0" applyAlignment="1" applyBorder="1" applyFont="1" applyNumberFormat="1">
      <alignment horizontal="center" readingOrder="0" shrinkToFit="0" vertical="center" wrapText="1"/>
    </xf>
    <xf borderId="3" fillId="2" fontId="19" numFmtId="0" xfId="0" applyAlignment="1" applyBorder="1" applyFont="1">
      <alignment horizontal="center" readingOrder="0" shrinkToFit="0" vertical="center" wrapText="1"/>
    </xf>
    <xf borderId="3" fillId="5" fontId="19" numFmtId="0" xfId="0" applyAlignment="1" applyBorder="1" applyFont="1">
      <alignment horizontal="center" readingOrder="0" shrinkToFit="0" vertical="center" wrapText="1"/>
    </xf>
    <xf borderId="3" fillId="5" fontId="19" numFmtId="170" xfId="0" applyAlignment="1" applyBorder="1" applyFont="1" applyNumberFormat="1">
      <alignment horizontal="center" readingOrder="0" shrinkToFit="0" vertical="center" wrapText="1"/>
    </xf>
    <xf borderId="3" fillId="5" fontId="19" numFmtId="165" xfId="0" applyAlignment="1" applyBorder="1" applyFont="1" applyNumberFormat="1">
      <alignment horizontal="center" readingOrder="0" shrinkToFit="0" vertical="center" wrapText="1"/>
    </xf>
    <xf borderId="3" fillId="5" fontId="19" numFmtId="164" xfId="0" applyAlignment="1" applyBorder="1" applyFont="1" applyNumberFormat="1">
      <alignment horizontal="center" readingOrder="0" shrinkToFit="0" vertical="center" wrapText="1"/>
    </xf>
    <xf borderId="3" fillId="5" fontId="20" numFmtId="164" xfId="0" applyAlignment="1" applyBorder="1" applyFont="1" applyNumberFormat="1">
      <alignment horizontal="center" readingOrder="0" shrinkToFit="0" vertical="center" wrapText="1"/>
    </xf>
    <xf borderId="3" fillId="5" fontId="19" numFmtId="0" xfId="0" applyAlignment="1" applyBorder="1" applyFont="1">
      <alignment horizontal="center" readingOrder="0" shrinkToFit="0" vertical="center" wrapText="1"/>
    </xf>
    <xf borderId="3" fillId="5" fontId="19" numFmtId="9" xfId="0" applyAlignment="1" applyBorder="1" applyFont="1" applyNumberFormat="1">
      <alignment horizontal="center" readingOrder="0" shrinkToFit="0" vertical="center" wrapText="1"/>
    </xf>
    <xf borderId="3" fillId="4" fontId="19" numFmtId="0" xfId="0" applyAlignment="1" applyBorder="1" applyFont="1">
      <alignment horizontal="center" readingOrder="0" shrinkToFit="0" vertical="center" wrapText="1"/>
    </xf>
    <xf borderId="3" fillId="5" fontId="19" numFmtId="0" xfId="0" applyAlignment="1" applyBorder="1" applyFont="1">
      <alignment horizontal="center" readingOrder="0" shrinkToFit="0" vertical="center" wrapText="1"/>
    </xf>
    <xf borderId="0" fillId="0" fontId="4" numFmtId="0" xfId="0" applyAlignment="1" applyFont="1">
      <alignment horizontal="center" readingOrder="0" vertical="center"/>
    </xf>
    <xf borderId="3" fillId="3" fontId="11" numFmtId="167" xfId="0" applyAlignment="1" applyBorder="1" applyFont="1" applyNumberFormat="1">
      <alignment horizontal="center" readingOrder="0" shrinkToFit="0" vertical="center" wrapText="1"/>
    </xf>
    <xf borderId="8" fillId="2" fontId="21" numFmtId="0" xfId="0" applyAlignment="1" applyBorder="1" applyFont="1">
      <alignment horizontal="center" readingOrder="0" vertical="center"/>
    </xf>
    <xf borderId="3" fillId="6" fontId="22" numFmtId="0" xfId="0" applyAlignment="1" applyBorder="1" applyFill="1" applyFont="1">
      <alignment horizontal="center" readingOrder="0" vertical="center"/>
    </xf>
    <xf borderId="3" fillId="5" fontId="23" numFmtId="0" xfId="0" applyAlignment="1" applyBorder="1" applyFont="1">
      <alignment horizontal="center" readingOrder="0" vertical="center"/>
    </xf>
    <xf borderId="3" fillId="5" fontId="23" numFmtId="166" xfId="0" applyAlignment="1" applyBorder="1" applyFont="1" applyNumberFormat="1">
      <alignment horizontal="center" readingOrder="0" vertical="center"/>
    </xf>
    <xf borderId="3" fillId="5" fontId="24" numFmtId="169" xfId="0" applyAlignment="1" applyBorder="1" applyFont="1" applyNumberFormat="1">
      <alignment horizontal="center" readingOrder="0" shrinkToFit="0" vertical="center" wrapText="0"/>
    </xf>
    <xf borderId="3" fillId="5" fontId="23" numFmtId="167" xfId="0" applyAlignment="1" applyBorder="1" applyFont="1" applyNumberFormat="1">
      <alignment horizontal="center" readingOrder="0" vertical="center"/>
    </xf>
    <xf borderId="3" fillId="5" fontId="24" numFmtId="165" xfId="0" applyAlignment="1" applyBorder="1" applyFont="1" applyNumberFormat="1">
      <alignment horizontal="center" readingOrder="0" vertical="center"/>
    </xf>
    <xf borderId="3" fillId="5" fontId="25" numFmtId="0" xfId="0" applyAlignment="1" applyBorder="1" applyFont="1">
      <alignment horizontal="center" readingOrder="0" vertical="center"/>
    </xf>
    <xf borderId="3" fillId="5" fontId="23" numFmtId="0" xfId="0" applyAlignment="1" applyBorder="1" applyFont="1">
      <alignment horizontal="center" readingOrder="0" vertical="center"/>
    </xf>
    <xf borderId="3" fillId="5" fontId="26" numFmtId="0" xfId="0" applyAlignment="1" applyBorder="1" applyFont="1">
      <alignment horizontal="center" readingOrder="0" vertical="center"/>
    </xf>
    <xf borderId="3" fillId="4" fontId="23" numFmtId="0" xfId="0" applyAlignment="1" applyBorder="1" applyFont="1">
      <alignment horizontal="center" readingOrder="0" vertical="center"/>
    </xf>
    <xf borderId="3" fillId="4" fontId="23" numFmtId="166" xfId="0" applyAlignment="1" applyBorder="1" applyFont="1" applyNumberFormat="1">
      <alignment horizontal="center" readingOrder="0" vertical="center"/>
    </xf>
    <xf borderId="3" fillId="4" fontId="24" numFmtId="169" xfId="0" applyAlignment="1" applyBorder="1" applyFont="1" applyNumberFormat="1">
      <alignment horizontal="center" readingOrder="0" shrinkToFit="0" vertical="center" wrapText="0"/>
    </xf>
    <xf borderId="3" fillId="4" fontId="23" numFmtId="165" xfId="0" applyAlignment="1" applyBorder="1" applyFont="1" applyNumberFormat="1">
      <alignment horizontal="center" readingOrder="0" vertical="center"/>
    </xf>
    <xf borderId="3" fillId="4" fontId="24" numFmtId="165" xfId="0" applyAlignment="1" applyBorder="1" applyFont="1" applyNumberFormat="1">
      <alignment horizontal="center" readingOrder="0" vertical="center"/>
    </xf>
    <xf borderId="3" fillId="4" fontId="27" numFmtId="0" xfId="0" applyAlignment="1" applyBorder="1" applyFont="1">
      <alignment horizontal="center" readingOrder="0" vertical="center"/>
    </xf>
    <xf borderId="3" fillId="4" fontId="23" numFmtId="0" xfId="0" applyAlignment="1" applyBorder="1" applyFont="1">
      <alignment horizontal="center" readingOrder="0" vertical="center"/>
    </xf>
    <xf borderId="3" fillId="4" fontId="23" numFmtId="0" xfId="0" applyAlignment="1" applyBorder="1" applyFont="1">
      <alignment horizontal="center" readingOrder="0" vertical="center"/>
    </xf>
    <xf borderId="3" fillId="5" fontId="24" numFmtId="169" xfId="0" applyAlignment="1" applyBorder="1" applyFont="1" applyNumberFormat="1">
      <alignment horizontal="center" readingOrder="0" shrinkToFit="0" vertical="center" wrapText="0"/>
    </xf>
    <xf borderId="3" fillId="5" fontId="23" numFmtId="165" xfId="0" applyAlignment="1" applyBorder="1" applyFont="1" applyNumberFormat="1">
      <alignment horizontal="center" readingOrder="0" vertical="center"/>
    </xf>
    <xf borderId="3" fillId="4" fontId="26" numFmtId="0" xfId="0" applyAlignment="1" applyBorder="1" applyFont="1">
      <alignment horizontal="center" readingOrder="0" vertical="center"/>
    </xf>
    <xf borderId="3" fillId="5" fontId="28" numFmtId="0" xfId="0" applyAlignment="1" applyBorder="1" applyFont="1">
      <alignment horizontal="center" readingOrder="0" vertical="center"/>
    </xf>
    <xf borderId="8" fillId="5" fontId="29" numFmtId="0" xfId="0" applyAlignment="1" applyBorder="1" applyFont="1">
      <alignment horizontal="center" readingOrder="0" vertical="center"/>
    </xf>
    <xf borderId="3" fillId="5" fontId="22" numFmtId="169" xfId="0" applyAlignment="1" applyBorder="1" applyFont="1" applyNumberFormat="1">
      <alignment horizontal="center" readingOrder="0" shrinkToFit="0" vertical="center" wrapText="0"/>
    </xf>
    <xf borderId="3" fillId="5" fontId="30" numFmtId="0" xfId="0" applyAlignment="1" applyBorder="1" applyFont="1">
      <alignment horizontal="center" readingOrder="0" vertical="center"/>
    </xf>
    <xf borderId="3" fillId="5" fontId="24" numFmtId="167" xfId="0" applyAlignment="1" applyBorder="1" applyFont="1" applyNumberFormat="1">
      <alignment horizontal="center" readingOrder="0" vertical="center"/>
    </xf>
    <xf borderId="3" fillId="5" fontId="31" numFmtId="0" xfId="0" applyAlignment="1" applyBorder="1" applyFont="1">
      <alignment horizontal="center" readingOrder="0" vertical="center"/>
    </xf>
    <xf borderId="0" fillId="5" fontId="26" numFmtId="0" xfId="0" applyAlignment="1" applyFont="1">
      <alignment horizontal="center" readingOrder="0" vertical="center"/>
    </xf>
    <xf borderId="3" fillId="4" fontId="23" numFmtId="167" xfId="0" applyAlignment="1" applyBorder="1" applyFont="1" applyNumberFormat="1">
      <alignment horizontal="center" readingOrder="0" vertical="center"/>
    </xf>
    <xf borderId="3" fillId="4" fontId="24" numFmtId="167" xfId="0" applyAlignment="1" applyBorder="1" applyFont="1" applyNumberFormat="1">
      <alignment horizontal="center" readingOrder="0" vertical="center"/>
    </xf>
    <xf borderId="3" fillId="4" fontId="31" numFmtId="0" xfId="0" applyAlignment="1" applyBorder="1" applyFont="1">
      <alignment horizontal="center" readingOrder="0" vertical="center"/>
    </xf>
    <xf borderId="0" fillId="4" fontId="26" numFmtId="0" xfId="0" applyAlignment="1" applyFont="1">
      <alignment horizontal="center" readingOrder="0" vertical="center"/>
    </xf>
    <xf borderId="3" fillId="7" fontId="23" numFmtId="0" xfId="0" applyAlignment="1" applyBorder="1" applyFill="1" applyFont="1">
      <alignment horizontal="center" readingOrder="0" vertical="center"/>
    </xf>
    <xf borderId="3" fillId="7" fontId="23" numFmtId="166" xfId="0" applyAlignment="1" applyBorder="1" applyFont="1" applyNumberFormat="1">
      <alignment horizontal="center" readingOrder="0" vertical="center"/>
    </xf>
    <xf borderId="3" fillId="7" fontId="24" numFmtId="169" xfId="0" applyAlignment="1" applyBorder="1" applyFont="1" applyNumberFormat="1">
      <alignment horizontal="center" readingOrder="0" shrinkToFit="0" vertical="center" wrapText="0"/>
    </xf>
    <xf borderId="3" fillId="7" fontId="23" numFmtId="167" xfId="0" applyAlignment="1" applyBorder="1" applyFont="1" applyNumberFormat="1">
      <alignment horizontal="center" readingOrder="0" vertical="center"/>
    </xf>
    <xf borderId="3" fillId="7" fontId="24" numFmtId="167" xfId="0" applyAlignment="1" applyBorder="1" applyFont="1" applyNumberFormat="1">
      <alignment horizontal="center" readingOrder="0" vertical="center"/>
    </xf>
    <xf borderId="3" fillId="4" fontId="28" numFmtId="0" xfId="0" applyAlignment="1" applyBorder="1" applyFont="1">
      <alignment horizontal="center" readingOrder="0" vertical="center"/>
    </xf>
    <xf borderId="3" fillId="4" fontId="32" numFmtId="0" xfId="0" applyAlignment="1" applyBorder="1" applyFont="1">
      <alignment horizontal="center" readingOrder="0" vertical="center"/>
    </xf>
    <xf borderId="8" fillId="4" fontId="33" numFmtId="169" xfId="0" applyAlignment="1" applyBorder="1" applyFont="1" applyNumberFormat="1">
      <alignment horizontal="center" readingOrder="0" shrinkToFit="0" vertical="center" wrapText="0"/>
    </xf>
    <xf borderId="3" fillId="4" fontId="23" numFmtId="0" xfId="0" applyAlignment="1" applyBorder="1" applyFont="1">
      <alignment horizontal="center" readingOrder="0" vertical="center"/>
    </xf>
    <xf borderId="0" fillId="4" fontId="34" numFmtId="0" xfId="0" applyAlignment="1" applyFont="1">
      <alignment horizontal="center" readingOrder="0" vertical="center"/>
    </xf>
    <xf borderId="3" fillId="5" fontId="28" numFmtId="166" xfId="0" applyAlignment="1" applyBorder="1" applyFont="1" applyNumberFormat="1">
      <alignment horizontal="center" readingOrder="0" vertical="center"/>
    </xf>
    <xf borderId="3" fillId="5" fontId="22" numFmtId="166" xfId="0" applyAlignment="1" applyBorder="1" applyFont="1" applyNumberFormat="1">
      <alignment horizontal="center" readingOrder="0" shrinkToFit="0" vertical="center" wrapText="0"/>
    </xf>
    <xf borderId="3" fillId="5" fontId="28" numFmtId="167" xfId="0" applyAlignment="1" applyBorder="1" applyFont="1" applyNumberFormat="1">
      <alignment horizontal="center" readingOrder="0" vertical="center"/>
    </xf>
    <xf borderId="3" fillId="5" fontId="22" numFmtId="167" xfId="0" applyAlignment="1" applyBorder="1" applyFont="1" applyNumberFormat="1">
      <alignment horizontal="center" readingOrder="0" vertical="center"/>
    </xf>
    <xf borderId="0" fillId="5" fontId="28" numFmtId="0" xfId="0" applyAlignment="1" applyFont="1">
      <alignment horizontal="center" readingOrder="0" vertical="center"/>
    </xf>
    <xf borderId="3" fillId="4" fontId="28" numFmtId="166" xfId="0" applyAlignment="1" applyBorder="1" applyFont="1" applyNumberFormat="1">
      <alignment horizontal="center" readingOrder="0" vertical="center"/>
    </xf>
    <xf borderId="3" fillId="4" fontId="22" numFmtId="166" xfId="0" applyAlignment="1" applyBorder="1" applyFont="1" applyNumberFormat="1">
      <alignment horizontal="center" readingOrder="0" shrinkToFit="0" vertical="center" wrapText="0"/>
    </xf>
    <xf borderId="3" fillId="4" fontId="28" numFmtId="167" xfId="0" applyAlignment="1" applyBorder="1" applyFont="1" applyNumberFormat="1">
      <alignment horizontal="center" readingOrder="0" vertical="center"/>
    </xf>
    <xf borderId="3" fillId="4" fontId="22" numFmtId="167" xfId="0" applyAlignment="1" applyBorder="1" applyFont="1" applyNumberFormat="1">
      <alignment horizontal="center" readingOrder="0" vertical="center"/>
    </xf>
    <xf borderId="0" fillId="4" fontId="28" numFmtId="0" xfId="0" applyAlignment="1" applyFont="1">
      <alignment horizontal="center" readingOrder="0" vertical="center"/>
    </xf>
    <xf borderId="3" fillId="0" fontId="35" numFmtId="0" xfId="0" applyAlignment="1" applyBorder="1" applyFont="1">
      <alignment horizontal="center" readingOrder="0" vertical="center"/>
    </xf>
    <xf borderId="3" fillId="4" fontId="31" numFmtId="169" xfId="0" applyAlignment="1" applyBorder="1" applyFont="1" applyNumberFormat="1">
      <alignment horizontal="center" readingOrder="0" vertical="center"/>
    </xf>
    <xf borderId="3" fillId="0" fontId="35" numFmtId="0" xfId="0" applyAlignment="1" applyBorder="1" applyFont="1">
      <alignment horizontal="center" readingOrder="0" vertical="bottom"/>
    </xf>
    <xf borderId="3" fillId="0" fontId="35" numFmtId="169" xfId="0" applyAlignment="1" applyBorder="1" applyFont="1" applyNumberFormat="1">
      <alignment horizontal="center" readingOrder="0" vertical="bottom"/>
    </xf>
    <xf borderId="3" fillId="0" fontId="36" numFmtId="0" xfId="0" applyAlignment="1" applyBorder="1" applyFont="1">
      <alignment horizontal="center" readingOrder="0"/>
    </xf>
    <xf borderId="3" fillId="4" fontId="31" numFmtId="165" xfId="0" applyAlignment="1" applyBorder="1" applyFont="1" applyNumberFormat="1">
      <alignment horizontal="center" readingOrder="0" vertical="bottom"/>
    </xf>
    <xf borderId="3" fillId="6" fontId="37" numFmtId="166" xfId="0" applyAlignment="1" applyBorder="1" applyFont="1" applyNumberFormat="1">
      <alignment horizontal="center" readingOrder="0" vertical="bottom"/>
    </xf>
    <xf borderId="3" fillId="4" fontId="38" numFmtId="166" xfId="0" applyAlignment="1" applyBorder="1" applyFont="1" applyNumberFormat="1">
      <alignment horizontal="left" readingOrder="0" vertical="bottom"/>
    </xf>
    <xf borderId="3" fillId="4" fontId="5" numFmtId="166" xfId="0" applyAlignment="1" applyBorder="1" applyFont="1" applyNumberFormat="1">
      <alignment readingOrder="0" shrinkToFit="0" vertical="bottom" wrapText="0"/>
    </xf>
    <xf borderId="3" fillId="5" fontId="38" numFmtId="167" xfId="0" applyAlignment="1" applyBorder="1" applyFont="1" applyNumberFormat="1">
      <alignment horizontal="center" readingOrder="0" vertical="bottom"/>
    </xf>
    <xf borderId="3" fillId="4" fontId="5" numFmtId="167" xfId="0" applyAlignment="1" applyBorder="1" applyFont="1" applyNumberFormat="1">
      <alignment horizontal="center" readingOrder="0" vertical="bottom"/>
    </xf>
    <xf borderId="3" fillId="5" fontId="5" numFmtId="165" xfId="0" applyAlignment="1" applyBorder="1" applyFont="1" applyNumberFormat="1">
      <alignment horizontal="center" readingOrder="0" vertical="bottom"/>
    </xf>
    <xf borderId="3" fillId="5" fontId="38" numFmtId="167" xfId="0" applyAlignment="1" applyBorder="1" applyFont="1" applyNumberFormat="1">
      <alignment horizontal="center" readingOrder="0" vertical="bottom"/>
    </xf>
    <xf borderId="0" fillId="0" fontId="4" numFmtId="0" xfId="0" applyAlignment="1" applyFont="1">
      <alignment horizontal="center" vertical="center"/>
    </xf>
    <xf borderId="0" fillId="7" fontId="39" numFmtId="0" xfId="0" applyAlignment="1" applyFont="1">
      <alignment horizontal="center" readingOrder="0" vertical="center"/>
    </xf>
    <xf borderId="0" fillId="4" fontId="40" numFmtId="0" xfId="0" applyAlignment="1" applyFont="1">
      <alignment readingOrder="0"/>
    </xf>
    <xf borderId="9" fillId="2" fontId="21" numFmtId="0" xfId="0" applyAlignment="1" applyBorder="1" applyFont="1">
      <alignment horizontal="center" readingOrder="0" vertical="center"/>
    </xf>
    <xf borderId="10" fillId="2" fontId="21" numFmtId="0" xfId="0" applyAlignment="1" applyBorder="1" applyFont="1">
      <alignment horizontal="center" readingOrder="0" vertical="center"/>
    </xf>
    <xf borderId="3" fillId="2" fontId="41" numFmtId="0" xfId="0" applyAlignment="1" applyBorder="1" applyFont="1">
      <alignment horizontal="center" readingOrder="0" vertical="bottom"/>
    </xf>
    <xf borderId="0" fillId="2" fontId="41" numFmtId="0" xfId="0" applyAlignment="1" applyFont="1">
      <alignment horizontal="center" readingOrder="0" vertical="bottom"/>
    </xf>
    <xf borderId="3" fillId="8" fontId="42" numFmtId="0" xfId="0" applyAlignment="1" applyBorder="1" applyFill="1" applyFont="1">
      <alignment horizontal="center" readingOrder="0" shrinkToFit="0" vertical="center" wrapText="1"/>
    </xf>
    <xf borderId="3" fillId="8" fontId="42" numFmtId="164" xfId="0" applyAlignment="1" applyBorder="1" applyFont="1" applyNumberFormat="1">
      <alignment horizontal="center" readingOrder="0" shrinkToFit="0" vertical="center" wrapText="1"/>
    </xf>
    <xf borderId="3" fillId="4" fontId="31" numFmtId="0" xfId="0" applyAlignment="1" applyBorder="1" applyFont="1">
      <alignment horizontal="center" readingOrder="0" vertical="bottom"/>
    </xf>
    <xf borderId="0" fillId="4" fontId="31" numFmtId="0" xfId="0" applyAlignment="1" applyFont="1">
      <alignment horizontal="center" readingOrder="0" vertical="bottom"/>
    </xf>
    <xf borderId="3" fillId="4" fontId="31" numFmtId="9" xfId="0" applyAlignment="1" applyBorder="1" applyFont="1" applyNumberFormat="1">
      <alignment horizontal="center" readingOrder="0" vertical="center"/>
    </xf>
    <xf borderId="3" fillId="4" fontId="31" numFmtId="164" xfId="0" applyAlignment="1" applyBorder="1" applyFont="1" applyNumberFormat="1">
      <alignment horizontal="center" readingOrder="0" vertical="center"/>
    </xf>
    <xf borderId="3" fillId="4" fontId="31" numFmtId="165" xfId="0" applyAlignment="1" applyBorder="1" applyFont="1" applyNumberFormat="1">
      <alignment horizontal="center" readingOrder="0" vertical="center"/>
    </xf>
    <xf borderId="3" fillId="4" fontId="39" numFmtId="0" xfId="0" applyAlignment="1" applyBorder="1" applyFont="1">
      <alignment horizontal="center" readingOrder="0" vertical="center"/>
    </xf>
    <xf borderId="0" fillId="4" fontId="31" numFmtId="0" xfId="0" applyAlignment="1" applyFont="1">
      <alignment horizontal="center" readingOrder="0" vertical="center"/>
    </xf>
    <xf borderId="3" fillId="2" fontId="21" numFmtId="0" xfId="0" applyAlignment="1" applyBorder="1" applyFont="1">
      <alignment horizontal="center" readingOrder="0" vertical="center"/>
    </xf>
    <xf borderId="3" fillId="0" fontId="38" numFmtId="0" xfId="0" applyAlignment="1" applyBorder="1" applyFont="1">
      <alignment horizontal="center" readingOrder="0" vertical="bottom"/>
    </xf>
    <xf borderId="0" fillId="0" fontId="38" numFmtId="0" xfId="0" applyAlignment="1" applyFont="1">
      <alignment horizontal="center" readingOrder="0" vertical="bottom"/>
    </xf>
    <xf borderId="8" fillId="9" fontId="41" numFmtId="0" xfId="0" applyAlignment="1" applyBorder="1" applyFill="1" applyFont="1">
      <alignment horizontal="center" readingOrder="0" vertical="center"/>
    </xf>
    <xf borderId="0" fillId="9" fontId="41" numFmtId="0" xfId="0" applyAlignment="1" applyFont="1">
      <alignment horizontal="center" readingOrder="0" vertical="center"/>
    </xf>
    <xf borderId="3" fillId="0" fontId="35" numFmtId="172" xfId="0" applyAlignment="1" applyBorder="1" applyFont="1" applyNumberFormat="1">
      <alignment horizontal="center" readingOrder="0" vertical="bottom"/>
    </xf>
    <xf borderId="3" fillId="0" fontId="35" numFmtId="165" xfId="0" applyAlignment="1" applyBorder="1" applyFont="1" applyNumberFormat="1">
      <alignment horizontal="center" readingOrder="0" vertical="bottom"/>
    </xf>
    <xf borderId="3" fillId="0" fontId="26" numFmtId="0" xfId="0" applyAlignment="1" applyBorder="1" applyFont="1">
      <alignment horizontal="center" readingOrder="0" vertical="bottom"/>
    </xf>
    <xf borderId="0" fillId="0" fontId="35" numFmtId="0" xfId="0" applyAlignment="1" applyFont="1">
      <alignment horizontal="center" readingOrder="0" vertical="bottom"/>
    </xf>
    <xf borderId="3" fillId="0" fontId="38" numFmtId="0" xfId="0" applyAlignment="1" applyBorder="1" applyFont="1">
      <alignment vertical="bottom"/>
    </xf>
    <xf borderId="0" fillId="0" fontId="38" numFmtId="0" xfId="0" applyAlignment="1" applyFont="1">
      <alignment vertical="bottom"/>
    </xf>
    <xf borderId="0" fillId="2" fontId="21" numFmtId="0" xfId="0" applyAlignment="1" applyFont="1">
      <alignment horizontal="center" readingOrder="0" vertical="center"/>
    </xf>
    <xf borderId="8" fillId="4" fontId="31" numFmtId="0" xfId="0" applyAlignment="1" applyBorder="1" applyFont="1">
      <alignment horizontal="center" readingOrder="0" vertical="bottom"/>
    </xf>
    <xf borderId="3" fillId="4" fontId="43" numFmtId="0" xfId="0" applyAlignment="1" applyBorder="1" applyFont="1">
      <alignment horizontal="center" vertical="bottom"/>
    </xf>
    <xf borderId="3" fillId="4" fontId="41" numFmtId="0" xfId="0" applyAlignment="1" applyBorder="1" applyFont="1">
      <alignment horizontal="center" readingOrder="0" vertical="bottom"/>
    </xf>
    <xf borderId="0" fillId="4" fontId="41" numFmtId="0" xfId="0" applyAlignment="1" applyFont="1">
      <alignment horizontal="center" readingOrder="0" vertical="bottom"/>
    </xf>
    <xf borderId="3" fillId="4" fontId="44" numFmtId="0" xfId="0" applyAlignment="1" applyBorder="1" applyFont="1">
      <alignment horizontal="center" readingOrder="0" vertical="bottom"/>
    </xf>
    <xf borderId="3" fillId="4" fontId="39" numFmtId="0" xfId="0" applyAlignment="1" applyBorder="1" applyFont="1">
      <alignment horizontal="center" readingOrder="0" vertical="bottom"/>
    </xf>
    <xf borderId="10" fillId="4" fontId="31" numFmtId="0" xfId="0" applyAlignment="1" applyBorder="1" applyFont="1">
      <alignment horizontal="center" readingOrder="0" vertical="bottom"/>
    </xf>
    <xf borderId="3" fillId="0" fontId="45" numFmtId="0" xfId="0" applyAlignment="1" applyBorder="1" applyFont="1">
      <alignment horizontal="center" readingOrder="0" vertical="bottom"/>
    </xf>
    <xf borderId="3" fillId="0" fontId="39" numFmtId="169" xfId="0" applyAlignment="1" applyBorder="1" applyFont="1" applyNumberFormat="1">
      <alignment horizontal="center" readingOrder="0" vertical="center"/>
    </xf>
    <xf borderId="3" fillId="4" fontId="26" numFmtId="0" xfId="0" applyAlignment="1" applyBorder="1" applyFont="1">
      <alignment horizontal="center" readingOrder="0" vertical="center"/>
    </xf>
    <xf borderId="3" fillId="4" fontId="31" numFmtId="0" xfId="0" applyAlignment="1" applyBorder="1" applyFont="1">
      <alignment horizontal="center" readingOrder="0" vertical="bottom"/>
    </xf>
    <xf borderId="0" fillId="0" fontId="31" numFmtId="0" xfId="0" applyAlignment="1" applyFont="1">
      <alignment horizontal="center" readingOrder="0"/>
    </xf>
    <xf borderId="3" fillId="0" fontId="35" numFmtId="173" xfId="0" applyAlignment="1" applyBorder="1" applyFont="1" applyNumberFormat="1">
      <alignment horizontal="center" readingOrder="0" vertical="bottom"/>
    </xf>
    <xf borderId="8" fillId="9" fontId="41" numFmtId="0" xfId="0" applyAlignment="1" applyBorder="1" applyFont="1">
      <alignment horizontal="center" vertical="center"/>
    </xf>
    <xf borderId="0" fillId="9" fontId="41" numFmtId="0" xfId="0" applyAlignment="1" applyFont="1">
      <alignment horizontal="center" vertical="center"/>
    </xf>
    <xf borderId="3" fillId="4" fontId="31" numFmtId="170" xfId="0" applyAlignment="1" applyBorder="1" applyFont="1" applyNumberFormat="1">
      <alignment horizontal="center" readingOrder="0" vertical="bottom"/>
    </xf>
    <xf borderId="3" fillId="2" fontId="38" numFmtId="0" xfId="0" applyBorder="1" applyFont="1"/>
    <xf borderId="8" fillId="9" fontId="41" numFmtId="0" xfId="0" applyAlignment="1" applyBorder="1" applyFont="1">
      <alignment horizontal="center" readingOrder="0"/>
    </xf>
    <xf borderId="0" fillId="9" fontId="41" numFmtId="0" xfId="0" applyAlignment="1" applyFont="1">
      <alignment horizontal="center" readingOrder="0"/>
    </xf>
    <xf borderId="3" fillId="9" fontId="41" numFmtId="0" xfId="0" applyAlignment="1" applyBorder="1" applyFont="1">
      <alignment horizontal="center" vertical="center"/>
    </xf>
    <xf borderId="3" fillId="0" fontId="46" numFmtId="0" xfId="0" applyAlignment="1" applyBorder="1" applyFont="1">
      <alignment horizontal="center"/>
    </xf>
    <xf borderId="3" fillId="0" fontId="35" numFmtId="167" xfId="0" applyAlignment="1" applyBorder="1" applyFont="1" applyNumberFormat="1">
      <alignment horizontal="center" readingOrder="0" vertical="bottom"/>
    </xf>
    <xf borderId="3" fillId="0" fontId="4" numFmtId="0" xfId="0" applyAlignment="1" applyBorder="1" applyFont="1">
      <alignment horizontal="center"/>
    </xf>
    <xf borderId="0" fillId="0" fontId="4" numFmtId="0" xfId="0" applyAlignment="1" applyFont="1">
      <alignment horizontal="center"/>
    </xf>
    <xf borderId="0" fillId="0" fontId="46" numFmtId="0" xfId="0" applyFont="1"/>
    <xf borderId="2" fillId="10" fontId="47" numFmtId="0" xfId="0" applyAlignment="1" applyBorder="1" applyFill="1" applyFont="1">
      <alignment horizontal="center" readingOrder="0" shrinkToFit="0" vertical="center" wrapText="1"/>
    </xf>
    <xf borderId="2" fillId="10" fontId="48" numFmtId="0" xfId="0" applyAlignment="1" applyBorder="1" applyFont="1">
      <alignment horizontal="center" readingOrder="0" shrinkToFit="0" vertical="center" wrapText="1"/>
    </xf>
    <xf borderId="2" fillId="10" fontId="49" numFmtId="0" xfId="0" applyAlignment="1" applyBorder="1" applyFont="1">
      <alignment horizontal="center" readingOrder="0" shrinkToFit="0" vertical="center" wrapText="1"/>
    </xf>
    <xf borderId="2" fillId="10" fontId="48" numFmtId="164" xfId="0" applyAlignment="1" applyBorder="1" applyFont="1" applyNumberFormat="1">
      <alignment horizontal="center" readingOrder="0" shrinkToFit="0" vertical="center" wrapText="1"/>
    </xf>
    <xf borderId="0" fillId="11" fontId="50" numFmtId="0" xfId="0" applyAlignment="1" applyFill="1" applyFont="1">
      <alignment horizontal="center" readingOrder="0"/>
    </xf>
    <xf borderId="3" fillId="0" fontId="4" numFmtId="166" xfId="0" applyAlignment="1" applyBorder="1" applyFont="1" applyNumberFormat="1">
      <alignment horizontal="center" readingOrder="0"/>
    </xf>
    <xf borderId="3" fillId="4" fontId="5" numFmtId="166" xfId="0" applyAlignment="1" applyBorder="1" applyFont="1" applyNumberFormat="1">
      <alignment horizontal="center" readingOrder="0" shrinkToFit="0" vertical="bottom" wrapText="0"/>
    </xf>
    <xf borderId="3" fillId="4" fontId="5" numFmtId="166" xfId="0" applyAlignment="1" applyBorder="1" applyFont="1" applyNumberFormat="1">
      <alignment horizontal="center" shrinkToFit="0" vertical="bottom" wrapText="0"/>
    </xf>
    <xf borderId="3" fillId="0" fontId="4" numFmtId="169" xfId="0" applyAlignment="1" applyBorder="1" applyFont="1" applyNumberFormat="1">
      <alignment horizontal="center" readingOrder="0"/>
    </xf>
    <xf borderId="3" fillId="0" fontId="3" numFmtId="167" xfId="0" applyAlignment="1" applyBorder="1" applyFont="1" applyNumberFormat="1">
      <alignment horizontal="center" readingOrder="0" vertical="bottom"/>
    </xf>
    <xf borderId="3" fillId="0" fontId="3" numFmtId="165" xfId="0" applyAlignment="1" applyBorder="1" applyFont="1" applyNumberFormat="1">
      <alignment horizontal="center" readingOrder="0" vertical="bottom"/>
    </xf>
    <xf borderId="3" fillId="0" fontId="51" numFmtId="0" xfId="0" applyAlignment="1" applyBorder="1" applyFont="1">
      <alignment horizontal="center" readingOrder="0" vertical="bottom"/>
    </xf>
    <xf borderId="3" fillId="0" fontId="4" numFmtId="166" xfId="0" applyAlignment="1" applyBorder="1" applyFont="1" applyNumberFormat="1">
      <alignment horizontal="center"/>
    </xf>
    <xf borderId="3" fillId="0" fontId="3" numFmtId="167" xfId="0" applyAlignment="1" applyBorder="1" applyFont="1" applyNumberFormat="1">
      <alignment horizontal="center" vertical="bottom"/>
    </xf>
    <xf borderId="3" fillId="0" fontId="3" numFmtId="165" xfId="0" applyAlignment="1" applyBorder="1" applyFont="1" applyNumberFormat="1">
      <alignment horizontal="center" vertical="bottom"/>
    </xf>
    <xf borderId="3" fillId="0" fontId="38" numFmtId="0" xfId="0" applyAlignment="1" applyBorder="1" applyFont="1">
      <alignment horizontal="center" vertical="bottom"/>
    </xf>
    <xf borderId="0" fillId="4" fontId="4" numFmtId="0" xfId="0" applyFont="1"/>
    <xf borderId="0" fillId="4" fontId="4" numFmtId="0" xfId="0" applyAlignment="1" applyFont="1">
      <alignment readingOrder="0"/>
    </xf>
    <xf borderId="4" fillId="4" fontId="52" numFmtId="166" xfId="0" applyAlignment="1" applyBorder="1" applyFont="1" applyNumberFormat="1">
      <alignment horizontal="center" readingOrder="0" shrinkToFit="0" vertical="center" wrapText="0"/>
    </xf>
    <xf borderId="4" fillId="4" fontId="1" numFmtId="166" xfId="0" applyAlignment="1" applyBorder="1" applyFont="1" applyNumberFormat="1">
      <alignment horizontal="center" readingOrder="0" shrinkToFit="0" vertical="center" wrapText="1"/>
    </xf>
    <xf borderId="4" fillId="0" fontId="38" numFmtId="0" xfId="0" applyAlignment="1" applyBorder="1" applyFont="1">
      <alignment horizontal="center" readingOrder="0" vertical="bottom"/>
    </xf>
    <xf borderId="3" fillId="4" fontId="52" numFmtId="0" xfId="0" applyAlignment="1" applyBorder="1" applyFont="1">
      <alignment horizontal="center" readingOrder="0" shrinkToFit="0" vertical="bottom" wrapText="0"/>
    </xf>
    <xf borderId="3" fillId="0" fontId="38" numFmtId="0" xfId="0" applyAlignment="1" applyBorder="1" applyFont="1">
      <alignment horizontal="center" readingOrder="0" vertical="bottom"/>
    </xf>
    <xf borderId="3" fillId="8" fontId="5" numFmtId="166" xfId="0" applyAlignment="1" applyBorder="1" applyFont="1" applyNumberFormat="1">
      <alignment horizontal="center" shrinkToFit="0" vertical="bottom" wrapText="0"/>
    </xf>
    <xf borderId="4" fillId="4" fontId="1" numFmtId="166" xfId="0" applyAlignment="1" applyBorder="1" applyFont="1" applyNumberFormat="1">
      <alignment horizontal="center" readingOrder="0" shrinkToFit="0" vertical="center" wrapText="0"/>
    </xf>
    <xf borderId="4" fillId="0" fontId="38" numFmtId="0" xfId="0" applyAlignment="1" applyBorder="1" applyFont="1">
      <alignment horizontal="center" vertical="bottom"/>
    </xf>
    <xf borderId="3" fillId="0" fontId="4" numFmtId="0" xfId="0" applyAlignment="1" applyBorder="1" applyFont="1">
      <alignment horizontal="center" readingOrder="0"/>
    </xf>
    <xf borderId="3" fillId="8" fontId="4" numFmtId="0" xfId="0" applyBorder="1" applyFont="1"/>
    <xf borderId="3" fillId="8" fontId="5" numFmtId="0" xfId="0" applyAlignment="1" applyBorder="1" applyFont="1">
      <alignment horizontal="center" readingOrder="0" shrinkToFit="0" vertical="bottom" wrapText="0"/>
    </xf>
    <xf borderId="3" fillId="4" fontId="53" numFmtId="166" xfId="0" applyAlignment="1" applyBorder="1" applyFont="1" applyNumberFormat="1">
      <alignment horizontal="center" readingOrder="0" shrinkToFit="0" vertical="bottom" wrapText="1"/>
    </xf>
    <xf borderId="3" fillId="4" fontId="5" numFmtId="0" xfId="0" applyAlignment="1" applyBorder="1" applyFont="1">
      <alignment horizontal="center" readingOrder="0" shrinkToFit="0" vertical="bottom" wrapText="0"/>
    </xf>
    <xf borderId="3" fillId="0" fontId="4" numFmtId="169" xfId="0" applyAlignment="1" applyBorder="1" applyFont="1" applyNumberFormat="1">
      <alignment horizontal="center"/>
    </xf>
    <xf borderId="2" fillId="4" fontId="5" numFmtId="166" xfId="0" applyAlignment="1" applyBorder="1" applyFont="1" applyNumberFormat="1">
      <alignment horizontal="center" shrinkToFit="0" vertical="bottom" wrapText="0"/>
    </xf>
    <xf borderId="2" fillId="4" fontId="5" numFmtId="0" xfId="0" applyAlignment="1" applyBorder="1" applyFont="1">
      <alignment horizontal="center" readingOrder="0" shrinkToFit="0" vertical="bottom" wrapText="0"/>
    </xf>
    <xf borderId="2" fillId="4" fontId="5" numFmtId="169" xfId="0" applyAlignment="1" applyBorder="1" applyFont="1" applyNumberFormat="1">
      <alignment horizontal="center" shrinkToFit="0" vertical="bottom" wrapText="0"/>
    </xf>
    <xf borderId="3" fillId="0" fontId="54" numFmtId="0" xfId="0" applyAlignment="1" applyBorder="1" applyFont="1">
      <alignment horizontal="center" readingOrder="0" vertical="bottom"/>
    </xf>
    <xf borderId="3" fillId="0" fontId="38" numFmtId="0" xfId="0" applyAlignment="1" applyBorder="1" applyFont="1">
      <alignment horizontal="center" readingOrder="0" vertical="bottom"/>
    </xf>
    <xf borderId="2" fillId="4" fontId="5" numFmtId="4" xfId="0" applyAlignment="1" applyBorder="1" applyFont="1" applyNumberFormat="1">
      <alignment horizontal="center" shrinkToFit="0" vertical="bottom" wrapText="0"/>
    </xf>
    <xf borderId="3" fillId="4" fontId="5" numFmtId="4" xfId="0" applyAlignment="1" applyBorder="1" applyFont="1" applyNumberFormat="1">
      <alignment horizontal="center" shrinkToFit="0" vertical="bottom" wrapText="0"/>
    </xf>
    <xf borderId="3" fillId="0" fontId="55" numFmtId="0" xfId="0" applyAlignment="1" applyBorder="1" applyFont="1">
      <alignment horizontal="center" readingOrder="0" vertical="bottom"/>
    </xf>
    <xf borderId="0" fillId="11" fontId="4" numFmtId="0" xfId="0" applyAlignment="1" applyFont="1">
      <alignment horizontal="center" readingOrder="0"/>
    </xf>
    <xf borderId="3" fillId="0" fontId="4" numFmtId="0" xfId="0" applyAlignment="1" applyBorder="1" applyFont="1">
      <alignment readingOrder="0"/>
    </xf>
    <xf borderId="3" fillId="0" fontId="56" numFmtId="0" xfId="0" applyAlignment="1" applyBorder="1" applyFont="1">
      <alignment horizontal="right" vertical="bottom"/>
    </xf>
    <xf borderId="3" fillId="0" fontId="4" numFmtId="0" xfId="0" applyBorder="1" applyFont="1"/>
    <xf borderId="3" fillId="0" fontId="56" numFmtId="174" xfId="0" applyAlignment="1" applyBorder="1" applyFont="1" applyNumberFormat="1">
      <alignment horizontal="right" vertical="bottom"/>
    </xf>
    <xf borderId="4" fillId="0" fontId="4" numFmtId="0" xfId="0" applyAlignment="1" applyBorder="1" applyFont="1">
      <alignment readingOrder="0"/>
    </xf>
    <xf borderId="3" fillId="0" fontId="36" numFmtId="170" xfId="0" applyAlignment="1" applyBorder="1" applyFont="1" applyNumberFormat="1">
      <alignment horizontal="center" readingOrder="0" shrinkToFit="0" wrapText="1"/>
    </xf>
    <xf borderId="3" fillId="0" fontId="36" numFmtId="175" xfId="0" applyAlignment="1" applyBorder="1" applyFont="1" applyNumberFormat="1">
      <alignment horizontal="center" readingOrder="0"/>
    </xf>
    <xf borderId="4" fillId="0" fontId="4" numFmtId="0" xfId="0" applyAlignment="1" applyBorder="1" applyFont="1">
      <alignment readingOrder="0" shrinkToFit="0" vertical="center" wrapText="1"/>
    </xf>
    <xf borderId="6" fillId="0" fontId="4" numFmtId="0" xfId="0" applyAlignment="1" applyBorder="1" applyFont="1">
      <alignment horizontal="center" readingOrder="0" vertical="center"/>
    </xf>
    <xf borderId="4" fillId="0" fontId="4" numFmtId="0" xfId="0" applyAlignment="1" applyBorder="1" applyFont="1">
      <alignment readingOrder="0" vertical="center"/>
    </xf>
    <xf borderId="7" fillId="0" fontId="4" numFmtId="0" xfId="0" applyAlignment="1" applyBorder="1" applyFont="1">
      <alignment horizontal="center" readingOrder="0" vertical="center"/>
    </xf>
    <xf borderId="4" fillId="0" fontId="4" numFmtId="0" xfId="0" applyAlignment="1" applyBorder="1" applyFont="1">
      <alignment horizontal="center" readingOrder="0" shrinkToFit="0" vertical="center" wrapText="1"/>
    </xf>
    <xf borderId="3" fillId="0" fontId="56" numFmtId="164" xfId="0" applyAlignment="1" applyBorder="1" applyFont="1" applyNumberFormat="1">
      <alignment horizontal="right" vertical="bottom"/>
    </xf>
    <xf borderId="4" fillId="0" fontId="4" numFmtId="9" xfId="0" applyAlignment="1" applyBorder="1" applyFont="1" applyNumberFormat="1">
      <alignment horizontal="center" readingOrder="0" vertical="center"/>
    </xf>
    <xf borderId="3" fillId="0" fontId="4" numFmtId="0" xfId="0" applyAlignment="1" applyBorder="1" applyFont="1">
      <alignment horizontal="center" readingOrder="0" vertical="center"/>
    </xf>
    <xf borderId="3" fillId="0" fontId="4" numFmtId="0" xfId="0" applyAlignment="1" applyBorder="1" applyFont="1">
      <alignment readingOrder="0" shrinkToFit="0" wrapText="1"/>
    </xf>
    <xf borderId="3" fillId="0" fontId="4" numFmtId="9" xfId="0" applyAlignment="1" applyBorder="1" applyFont="1" applyNumberFormat="1">
      <alignment readingOrder="0" vertical="center"/>
    </xf>
    <xf borderId="3" fillId="0" fontId="3" numFmtId="167" xfId="0" applyAlignment="1" applyBorder="1" applyFont="1" applyNumberFormat="1">
      <alignment horizontal="center" readingOrder="0" vertical="center"/>
    </xf>
    <xf borderId="3" fillId="0" fontId="36" numFmtId="170" xfId="0" applyAlignment="1" applyBorder="1" applyFont="1" applyNumberFormat="1">
      <alignment horizontal="center" readingOrder="0" vertical="center"/>
    </xf>
    <xf borderId="3" fillId="0" fontId="4" numFmtId="0" xfId="0" applyAlignment="1" applyBorder="1" applyFont="1">
      <alignment readingOrder="0" shrinkToFit="0" vertical="center" wrapText="1"/>
    </xf>
    <xf borderId="4" fillId="0" fontId="4" numFmtId="0" xfId="0" applyBorder="1" applyFont="1"/>
    <xf borderId="3" fillId="0" fontId="4" numFmtId="0" xfId="0" applyAlignment="1" applyBorder="1" applyFont="1">
      <alignment readingOrder="0" vertical="center"/>
    </xf>
    <xf borderId="3" fillId="0" fontId="4" numFmtId="0" xfId="0" applyAlignment="1" applyBorder="1" applyFont="1">
      <alignment vertical="center"/>
    </xf>
    <xf borderId="3" fillId="0" fontId="36" numFmtId="175" xfId="0" applyAlignment="1" applyBorder="1" applyFont="1" applyNumberFormat="1">
      <alignment horizontal="center" readingOrder="0" vertical="center"/>
    </xf>
    <xf borderId="8" fillId="11" fontId="4" numFmtId="0" xfId="0" applyAlignment="1" applyBorder="1" applyFont="1">
      <alignment horizontal="center" readingOrder="0"/>
    </xf>
    <xf borderId="4" fillId="4" fontId="57" numFmtId="0" xfId="0" applyAlignment="1" applyBorder="1" applyFont="1">
      <alignment readingOrder="0" shrinkToFit="0" wrapText="1"/>
    </xf>
    <xf borderId="3" fillId="0" fontId="38" numFmtId="0" xfId="0" applyAlignment="1" applyBorder="1" applyFont="1">
      <alignment horizontal="right" vertical="bottom"/>
    </xf>
    <xf borderId="3" fillId="0" fontId="38" numFmtId="0" xfId="0" applyAlignment="1" applyBorder="1" applyFont="1">
      <alignment vertical="bottom"/>
    </xf>
    <xf borderId="4" fillId="4" fontId="57" numFmtId="0" xfId="0" applyAlignment="1" applyBorder="1" applyFont="1">
      <alignment readingOrder="0" shrinkToFit="0" vertical="center" wrapText="1"/>
    </xf>
    <xf borderId="3" fillId="0" fontId="38" numFmtId="164" xfId="0" applyAlignment="1" applyBorder="1" applyFont="1" applyNumberFormat="1">
      <alignment horizontal="right" vertical="bottom"/>
    </xf>
    <xf borderId="0" fillId="12" fontId="38" numFmtId="0" xfId="0" applyAlignment="1" applyFill="1" applyFont="1">
      <alignment vertical="bottom"/>
    </xf>
    <xf borderId="0" fillId="12" fontId="38" numFmtId="171" xfId="0" applyAlignment="1" applyFont="1" applyNumberFormat="1">
      <alignment vertical="bottom"/>
    </xf>
    <xf borderId="0" fillId="12" fontId="38" numFmtId="169" xfId="0" applyAlignment="1" applyFont="1" applyNumberFormat="1">
      <alignment vertical="bottom"/>
    </xf>
    <xf borderId="0" fillId="12" fontId="38" numFmtId="0" xfId="0" applyAlignment="1" applyFont="1">
      <alignment vertical="bottom"/>
    </xf>
    <xf borderId="3" fillId="3" fontId="11" numFmtId="0" xfId="0" applyAlignment="1" applyBorder="1" applyFont="1">
      <alignment horizontal="center" shrinkToFit="0" wrapText="1"/>
    </xf>
    <xf borderId="3" fillId="3" fontId="11" numFmtId="0" xfId="0" applyAlignment="1" applyBorder="1" applyFont="1">
      <alignment horizontal="center" readingOrder="0" shrinkToFit="0" wrapText="1"/>
    </xf>
    <xf borderId="3" fillId="3" fontId="11" numFmtId="171" xfId="0" applyAlignment="1" applyBorder="1" applyFont="1" applyNumberFormat="1">
      <alignment horizontal="center" shrinkToFit="0" wrapText="1"/>
    </xf>
    <xf borderId="3" fillId="3" fontId="11" numFmtId="169" xfId="0" applyAlignment="1" applyBorder="1" applyFont="1" applyNumberFormat="1">
      <alignment horizontal="center" readingOrder="0" shrinkToFit="0" wrapText="1"/>
    </xf>
    <xf borderId="3" fillId="3" fontId="38" numFmtId="169" xfId="0" applyAlignment="1" applyBorder="1" applyFont="1" applyNumberFormat="1">
      <alignment readingOrder="0"/>
    </xf>
    <xf borderId="0" fillId="0" fontId="38" numFmtId="0" xfId="0" applyAlignment="1" applyFont="1">
      <alignment vertical="bottom"/>
    </xf>
    <xf borderId="0" fillId="0" fontId="38" numFmtId="0" xfId="0" applyFont="1"/>
    <xf borderId="11" fillId="13" fontId="58" numFmtId="0" xfId="0" applyAlignment="1" applyBorder="1" applyFill="1" applyFont="1">
      <alignment horizontal="center" readingOrder="0" vertical="center"/>
    </xf>
    <xf borderId="1" fillId="3" fontId="4" numFmtId="0" xfId="0" applyBorder="1" applyFont="1"/>
    <xf borderId="2" fillId="3" fontId="4" numFmtId="0" xfId="0" applyBorder="1" applyFont="1"/>
    <xf borderId="0" fillId="4" fontId="59" numFmtId="0" xfId="0" applyAlignment="1" applyFont="1">
      <alignment horizontal="center"/>
    </xf>
    <xf borderId="8" fillId="2" fontId="41" numFmtId="0" xfId="0" applyAlignment="1" applyBorder="1" applyFont="1">
      <alignment horizontal="center" readingOrder="0" vertical="bottom"/>
    </xf>
    <xf borderId="0" fillId="5" fontId="59" numFmtId="0" xfId="0" applyAlignment="1" applyFont="1">
      <alignment horizontal="center" readingOrder="0"/>
    </xf>
    <xf borderId="3" fillId="4" fontId="60" numFmtId="0" xfId="0" applyAlignment="1" applyBorder="1" applyFont="1">
      <alignment horizontal="center" readingOrder="0" vertical="center"/>
    </xf>
    <xf borderId="3" fillId="4" fontId="61" numFmtId="166" xfId="0" applyAlignment="1" applyBorder="1" applyFont="1" applyNumberFormat="1">
      <alignment horizontal="center" readingOrder="0"/>
    </xf>
    <xf borderId="5" fillId="13" fontId="62" numFmtId="166" xfId="0" applyAlignment="1" applyBorder="1" applyFont="1" applyNumberFormat="1">
      <alignment horizontal="center" readingOrder="0" vertical="center"/>
    </xf>
    <xf borderId="4" fillId="13" fontId="38" numFmtId="166" xfId="0" applyAlignment="1" applyBorder="1" applyFont="1" applyNumberFormat="1">
      <alignment horizontal="center" readingOrder="0" shrinkToFit="0" vertical="center" wrapText="1"/>
    </xf>
    <xf borderId="3" fillId="4" fontId="63" numFmtId="0" xfId="0" applyAlignment="1" applyBorder="1" applyFont="1">
      <alignment horizontal="center" readingOrder="0" shrinkToFit="0" vertical="center" wrapText="1"/>
    </xf>
    <xf borderId="3" fillId="4" fontId="63" numFmtId="167" xfId="0" applyAlignment="1" applyBorder="1" applyFont="1" applyNumberFormat="1">
      <alignment horizontal="center" readingOrder="0" vertical="center"/>
    </xf>
    <xf borderId="12" fillId="4" fontId="64" numFmtId="169" xfId="0" applyAlignment="1" applyBorder="1" applyFont="1" applyNumberFormat="1">
      <alignment horizontal="center" readingOrder="0" vertical="center"/>
    </xf>
    <xf borderId="8" fillId="4" fontId="54" numFmtId="169" xfId="0" applyAlignment="1" applyBorder="1" applyFont="1" applyNumberFormat="1">
      <alignment horizontal="center" vertical="center"/>
    </xf>
    <xf borderId="11" fillId="4" fontId="65" numFmtId="0" xfId="0" applyAlignment="1" applyBorder="1" applyFont="1">
      <alignment horizontal="center" readingOrder="0" vertical="center"/>
    </xf>
    <xf borderId="0" fillId="4" fontId="38" numFmtId="0" xfId="0" applyAlignment="1" applyFont="1">
      <alignment vertical="center"/>
    </xf>
    <xf borderId="0" fillId="4" fontId="38" numFmtId="0" xfId="0" applyAlignment="1" applyFont="1">
      <alignment vertical="center"/>
    </xf>
    <xf borderId="0" fillId="4" fontId="38" numFmtId="0" xfId="0" applyAlignment="1" applyFont="1">
      <alignment vertical="bottom"/>
    </xf>
    <xf borderId="3" fillId="5" fontId="60" numFmtId="0" xfId="0" applyAlignment="1" applyBorder="1" applyFont="1">
      <alignment horizontal="center" readingOrder="0" vertical="center"/>
    </xf>
    <xf borderId="3" fillId="5" fontId="61" numFmtId="166" xfId="0" applyAlignment="1" applyBorder="1" applyFont="1" applyNumberFormat="1">
      <alignment horizontal="center" readingOrder="0"/>
    </xf>
    <xf borderId="5" fillId="5" fontId="4" numFmtId="0" xfId="0" applyBorder="1" applyFont="1"/>
    <xf borderId="6" fillId="5" fontId="4" numFmtId="0" xfId="0" applyBorder="1" applyFont="1"/>
    <xf borderId="3" fillId="5" fontId="63" numFmtId="0" xfId="0" applyAlignment="1" applyBorder="1" applyFont="1">
      <alignment horizontal="center" readingOrder="0" shrinkToFit="0" vertical="center" wrapText="1"/>
    </xf>
    <xf borderId="3" fillId="5" fontId="63" numFmtId="167" xfId="0" applyAlignment="1" applyBorder="1" applyFont="1" applyNumberFormat="1">
      <alignment horizontal="center" readingOrder="0" vertical="center"/>
    </xf>
    <xf borderId="13" fillId="5" fontId="4" numFmtId="0" xfId="0" applyBorder="1" applyFont="1"/>
    <xf borderId="8" fillId="5" fontId="54" numFmtId="169" xfId="0" applyAlignment="1" applyBorder="1" applyFont="1" applyNumberFormat="1">
      <alignment horizontal="center" vertical="center"/>
    </xf>
    <xf borderId="11" fillId="5" fontId="65" numFmtId="0" xfId="0" applyAlignment="1" applyBorder="1" applyFont="1">
      <alignment horizontal="center" readingOrder="0" vertical="center"/>
    </xf>
    <xf borderId="0" fillId="5" fontId="38" numFmtId="0" xfId="0" applyAlignment="1" applyFont="1">
      <alignment vertical="center"/>
    </xf>
    <xf borderId="0" fillId="5" fontId="38" numFmtId="0" xfId="0" applyAlignment="1" applyFont="1">
      <alignment vertical="center"/>
    </xf>
    <xf borderId="3" fillId="12" fontId="60" numFmtId="0" xfId="0" applyAlignment="1" applyBorder="1" applyFont="1">
      <alignment horizontal="center" readingOrder="0" vertical="center"/>
    </xf>
    <xf borderId="3" fillId="12" fontId="61" numFmtId="166" xfId="0" applyAlignment="1" applyBorder="1" applyFont="1" applyNumberFormat="1">
      <alignment horizontal="center"/>
    </xf>
    <xf borderId="5" fillId="4" fontId="4" numFmtId="0" xfId="0" applyBorder="1" applyFont="1"/>
    <xf borderId="6" fillId="4" fontId="4" numFmtId="0" xfId="0" applyBorder="1" applyFont="1"/>
    <xf borderId="3" fillId="12" fontId="63" numFmtId="0" xfId="0" applyAlignment="1" applyBorder="1" applyFont="1">
      <alignment horizontal="center" readingOrder="0" shrinkToFit="0" vertical="center" wrapText="1"/>
    </xf>
    <xf borderId="3" fillId="12" fontId="63" numFmtId="167" xfId="0" applyAlignment="1" applyBorder="1" applyFont="1" applyNumberFormat="1">
      <alignment horizontal="center" readingOrder="0" vertical="center"/>
    </xf>
    <xf borderId="13" fillId="4" fontId="4" numFmtId="0" xfId="0" applyBorder="1" applyFont="1"/>
    <xf borderId="2" fillId="5" fontId="4" numFmtId="0" xfId="0" applyBorder="1" applyFont="1"/>
    <xf borderId="11" fillId="5" fontId="4" numFmtId="0" xfId="0" applyBorder="1" applyFont="1"/>
    <xf borderId="3" fillId="12" fontId="38" numFmtId="0" xfId="0" applyBorder="1" applyFont="1"/>
    <xf borderId="3" fillId="12" fontId="38" numFmtId="171" xfId="0" applyBorder="1" applyFont="1" applyNumberFormat="1"/>
    <xf borderId="8" fillId="12" fontId="38" numFmtId="169" xfId="0" applyBorder="1" applyFont="1" applyNumberFormat="1"/>
    <xf borderId="11" fillId="12" fontId="38" numFmtId="0" xfId="0" applyBorder="1" applyFont="1"/>
    <xf borderId="0" fillId="12" fontId="38" numFmtId="0" xfId="0" applyFont="1"/>
    <xf borderId="4" fillId="4" fontId="60" numFmtId="0" xfId="0" applyAlignment="1" applyBorder="1" applyFont="1">
      <alignment horizontal="center" readingOrder="0" shrinkToFit="0" vertical="center" wrapText="1"/>
    </xf>
    <xf borderId="3" fillId="4" fontId="38" numFmtId="0" xfId="0" applyAlignment="1" applyBorder="1" applyFont="1">
      <alignment horizontal="center" readingOrder="0" shrinkToFit="0" vertical="center" wrapText="1"/>
    </xf>
    <xf borderId="3" fillId="4" fontId="63" numFmtId="165" xfId="0" applyAlignment="1" applyBorder="1" applyFont="1" applyNumberFormat="1">
      <alignment horizontal="center" readingOrder="0" vertical="center"/>
    </xf>
    <xf borderId="4" fillId="4" fontId="66" numFmtId="169" xfId="0" applyAlignment="1" applyBorder="1" applyFont="1" applyNumberFormat="1">
      <alignment horizontal="center" readingOrder="0" vertical="center"/>
    </xf>
    <xf borderId="8" fillId="4" fontId="41" numFmtId="169" xfId="0" applyAlignment="1" applyBorder="1" applyFont="1" applyNumberFormat="1">
      <alignment horizontal="center" readingOrder="0" vertical="bottom"/>
    </xf>
    <xf borderId="11" fillId="4" fontId="41" numFmtId="0" xfId="0" applyAlignment="1" applyBorder="1" applyFont="1">
      <alignment horizontal="center" readingOrder="0" vertical="bottom"/>
    </xf>
    <xf borderId="0" fillId="4" fontId="49" numFmtId="0" xfId="0" applyAlignment="1" applyFont="1">
      <alignment horizontal="center" readingOrder="0" vertical="bottom"/>
    </xf>
    <xf borderId="3" fillId="5" fontId="38" numFmtId="0" xfId="0" applyAlignment="1" applyBorder="1" applyFont="1">
      <alignment horizontal="center" readingOrder="0" shrinkToFit="0" vertical="center" wrapText="1"/>
    </xf>
    <xf borderId="3" fillId="5" fontId="63" numFmtId="165" xfId="0" applyAlignment="1" applyBorder="1" applyFont="1" applyNumberFormat="1">
      <alignment horizontal="center" readingOrder="0" vertical="center"/>
    </xf>
    <xf borderId="8" fillId="5" fontId="41" numFmtId="169" xfId="0" applyAlignment="1" applyBorder="1" applyFont="1" applyNumberFormat="1">
      <alignment horizontal="center" readingOrder="0" vertical="bottom"/>
    </xf>
    <xf borderId="11" fillId="5" fontId="41" numFmtId="0" xfId="0" applyAlignment="1" applyBorder="1" applyFont="1">
      <alignment horizontal="center" readingOrder="0" vertical="bottom"/>
    </xf>
    <xf borderId="0" fillId="5" fontId="41" numFmtId="0" xfId="0" applyAlignment="1" applyFont="1">
      <alignment horizontal="center" readingOrder="0" vertical="bottom"/>
    </xf>
    <xf borderId="0" fillId="5" fontId="49" numFmtId="0" xfId="0" applyAlignment="1" applyFont="1">
      <alignment horizontal="center" readingOrder="0" vertical="bottom"/>
    </xf>
    <xf borderId="7" fillId="4" fontId="4" numFmtId="0" xfId="0" applyBorder="1" applyFont="1"/>
    <xf borderId="3" fillId="12" fontId="38" numFmtId="0" xfId="0" applyAlignment="1" applyBorder="1" applyFont="1">
      <alignment vertical="bottom"/>
    </xf>
    <xf borderId="3" fillId="12" fontId="38" numFmtId="171" xfId="0" applyAlignment="1" applyBorder="1" applyFont="1" applyNumberFormat="1">
      <alignment vertical="bottom"/>
    </xf>
    <xf borderId="8" fillId="12" fontId="38" numFmtId="169" xfId="0" applyAlignment="1" applyBorder="1" applyFont="1" applyNumberFormat="1">
      <alignment vertical="bottom"/>
    </xf>
    <xf borderId="11" fillId="12" fontId="38" numFmtId="0" xfId="0" applyAlignment="1" applyBorder="1" applyFont="1">
      <alignment vertical="bottom"/>
    </xf>
    <xf borderId="0" fillId="3" fontId="4" numFmtId="0" xfId="0" applyAlignment="1" applyFont="1">
      <alignment horizontal="center"/>
    </xf>
    <xf borderId="8" fillId="13" fontId="67" numFmtId="0" xfId="0" applyAlignment="1" applyBorder="1" applyFont="1">
      <alignment horizontal="center" readingOrder="0" vertical="center"/>
    </xf>
    <xf borderId="0" fillId="5" fontId="59" numFmtId="0" xfId="0" applyAlignment="1" applyFont="1">
      <alignment horizontal="center"/>
    </xf>
    <xf borderId="3" fillId="4" fontId="60" numFmtId="0" xfId="0" applyAlignment="1" applyBorder="1" applyFont="1">
      <alignment horizontal="center" readingOrder="0" vertical="center"/>
    </xf>
    <xf borderId="3" fillId="4" fontId="60" numFmtId="0" xfId="0" applyAlignment="1" applyBorder="1" applyFont="1">
      <alignment horizontal="center" readingOrder="0" shrinkToFit="0" vertical="center" wrapText="1"/>
    </xf>
    <xf borderId="3" fillId="4" fontId="63" numFmtId="165" xfId="0" applyAlignment="1" applyBorder="1" applyFont="1" applyNumberFormat="1">
      <alignment horizontal="center" readingOrder="0" vertical="center"/>
    </xf>
    <xf borderId="8" fillId="4" fontId="68" numFmtId="169" xfId="0" applyAlignment="1" applyBorder="1" applyFont="1" applyNumberFormat="1">
      <alignment horizontal="center" readingOrder="0" vertical="center"/>
    </xf>
    <xf borderId="8" fillId="4" fontId="69" numFmtId="164" xfId="0" applyAlignment="1" applyBorder="1" applyFont="1" applyNumberFormat="1">
      <alignment horizontal="center" readingOrder="0" vertical="center"/>
    </xf>
    <xf borderId="4" fillId="4" fontId="70" numFmtId="0" xfId="0" applyAlignment="1" applyBorder="1" applyFont="1">
      <alignment horizontal="center" readingOrder="0" vertical="center"/>
    </xf>
    <xf borderId="6" fillId="4" fontId="70" numFmtId="0" xfId="0" applyAlignment="1" applyBorder="1" applyFont="1">
      <alignment horizontal="center" readingOrder="0" shrinkToFit="0" vertical="center" wrapText="1"/>
    </xf>
    <xf borderId="3" fillId="12" fontId="60" numFmtId="0" xfId="0" applyAlignment="1" applyBorder="1" applyFont="1">
      <alignment horizontal="center" readingOrder="0" vertical="bottom"/>
    </xf>
    <xf borderId="3" fillId="12" fontId="60" numFmtId="0" xfId="0" applyAlignment="1" applyBorder="1" applyFont="1">
      <alignment horizontal="center" vertical="bottom"/>
    </xf>
    <xf borderId="3" fillId="12" fontId="60" numFmtId="165" xfId="0" applyAlignment="1" applyBorder="1" applyFont="1" applyNumberFormat="1">
      <alignment horizontal="center" readingOrder="0" vertical="bottom"/>
    </xf>
    <xf borderId="8" fillId="12" fontId="71" numFmtId="164" xfId="0" applyAlignment="1" applyBorder="1" applyFont="1" applyNumberFormat="1">
      <alignment horizontal="center"/>
    </xf>
    <xf borderId="8" fillId="12" fontId="72" numFmtId="0" xfId="0" applyAlignment="1" applyBorder="1" applyFont="1">
      <alignment horizontal="center" readingOrder="0"/>
    </xf>
    <xf borderId="11" fillId="12" fontId="70" numFmtId="0" xfId="0" applyAlignment="1" applyBorder="1" applyFont="1">
      <alignment horizontal="center" readingOrder="0" vertical="center"/>
    </xf>
    <xf borderId="0" fillId="12" fontId="59" numFmtId="0" xfId="0" applyAlignment="1" applyFont="1">
      <alignment horizontal="center"/>
    </xf>
    <xf borderId="0" fillId="12" fontId="4" numFmtId="0" xfId="0" applyFont="1"/>
    <xf borderId="3" fillId="3" fontId="73" numFmtId="0" xfId="0" applyAlignment="1" applyBorder="1" applyFont="1">
      <alignment horizontal="center" readingOrder="0" shrinkToFit="0" vertical="center" wrapText="1"/>
    </xf>
    <xf borderId="3" fillId="0" fontId="74" numFmtId="0" xfId="0" applyBorder="1" applyFont="1"/>
    <xf borderId="3" fillId="3" fontId="19" numFmtId="166" xfId="0" applyAlignment="1" applyBorder="1" applyFont="1" applyNumberFormat="1">
      <alignment horizontal="center" shrinkToFit="0" vertical="center" wrapText="1"/>
    </xf>
    <xf borderId="3" fillId="10" fontId="75" numFmtId="166" xfId="0" applyAlignment="1" applyBorder="1" applyFont="1" applyNumberFormat="1">
      <alignment horizontal="center" shrinkToFit="0" vertical="center" wrapText="1"/>
    </xf>
    <xf borderId="3" fillId="0" fontId="76" numFmtId="166" xfId="0" applyBorder="1" applyFont="1" applyNumberFormat="1"/>
    <xf borderId="3" fillId="10" fontId="19" numFmtId="166" xfId="0" applyAlignment="1" applyBorder="1" applyFont="1" applyNumberFormat="1">
      <alignment horizontal="center" shrinkToFit="0" vertical="center" wrapText="1"/>
    </xf>
    <xf borderId="3" fillId="10" fontId="19" numFmtId="4" xfId="0" applyAlignment="1" applyBorder="1" applyFont="1" applyNumberFormat="1">
      <alignment horizontal="center" shrinkToFit="0" vertical="center" wrapText="1"/>
    </xf>
    <xf borderId="3" fillId="10" fontId="19" numFmtId="169" xfId="0" applyAlignment="1" applyBorder="1" applyFont="1" applyNumberFormat="1">
      <alignment horizontal="center" shrinkToFit="0" vertical="center" wrapText="1"/>
    </xf>
    <xf borderId="14" fillId="13" fontId="77" numFmtId="169" xfId="0" applyAlignment="1" applyBorder="1" applyFont="1" applyNumberFormat="1">
      <alignment horizontal="center"/>
    </xf>
    <xf borderId="3" fillId="10" fontId="75" numFmtId="167" xfId="0" applyAlignment="1" applyBorder="1" applyFont="1" applyNumberFormat="1">
      <alignment horizontal="center" shrinkToFit="0" vertical="center" wrapText="1"/>
    </xf>
    <xf borderId="3" fillId="10" fontId="19" numFmtId="167" xfId="0" applyAlignment="1" applyBorder="1" applyFont="1" applyNumberFormat="1">
      <alignment horizontal="center" shrinkToFit="0" vertical="center" wrapText="1"/>
    </xf>
    <xf borderId="3" fillId="10" fontId="19" numFmtId="167" xfId="0" applyAlignment="1" applyBorder="1" applyFont="1" applyNumberFormat="1">
      <alignment horizontal="center" readingOrder="0" shrinkToFit="0" vertical="center" wrapText="1"/>
    </xf>
    <xf borderId="3" fillId="10" fontId="78" numFmtId="166" xfId="0" applyAlignment="1" applyBorder="1" applyFont="1" applyNumberFormat="1">
      <alignment horizontal="center" shrinkToFit="0" vertical="center" wrapText="1"/>
    </xf>
    <xf borderId="3" fillId="10" fontId="78" numFmtId="4" xfId="0" applyAlignment="1" applyBorder="1" applyFont="1" applyNumberFormat="1">
      <alignment horizontal="center" shrinkToFit="0" vertical="center" wrapText="1"/>
    </xf>
    <xf borderId="3" fillId="10" fontId="78" numFmtId="169" xfId="0" applyAlignment="1" applyBorder="1" applyFont="1" applyNumberFormat="1">
      <alignment horizontal="center" shrinkToFit="0" vertical="center" wrapText="1"/>
    </xf>
    <xf borderId="3" fillId="10" fontId="19" numFmtId="166" xfId="0" applyAlignment="1" applyBorder="1" applyFont="1" applyNumberFormat="1">
      <alignment horizontal="center" readingOrder="0" shrinkToFit="0" vertical="center" wrapText="1"/>
    </xf>
    <xf borderId="3" fillId="3" fontId="11" numFmtId="0" xfId="0" applyAlignment="1" applyBorder="1" applyFont="1">
      <alignment horizontal="center" readingOrder="0" vertical="center"/>
    </xf>
    <xf borderId="3" fillId="3" fontId="19" numFmtId="0" xfId="0" applyAlignment="1" applyBorder="1" applyFont="1">
      <alignment horizontal="center" readingOrder="0" shrinkToFit="0" vertical="center" wrapText="1"/>
    </xf>
    <xf borderId="3" fillId="3" fontId="19" numFmtId="169" xfId="0" applyAlignment="1" applyBorder="1" applyFont="1" applyNumberFormat="1">
      <alignment horizontal="center" readingOrder="0" shrinkToFit="0" vertical="center" wrapText="1"/>
    </xf>
    <xf borderId="0" fillId="3" fontId="79" numFmtId="0" xfId="0" applyAlignment="1" applyFont="1">
      <alignment horizontal="center" readingOrder="0" shrinkToFit="0" vertical="center" wrapText="1"/>
    </xf>
    <xf borderId="0" fillId="10" fontId="79" numFmtId="0" xfId="0" applyAlignment="1" applyFont="1">
      <alignment horizontal="center" readingOrder="0" shrinkToFit="0" vertical="center" wrapText="1"/>
    </xf>
    <xf borderId="3" fillId="4" fontId="20" numFmtId="0" xfId="0" applyAlignment="1" applyBorder="1" applyFont="1">
      <alignment horizontal="center" vertical="center"/>
    </xf>
    <xf borderId="3" fillId="4" fontId="20" numFmtId="0" xfId="0" applyAlignment="1" applyBorder="1" applyFont="1">
      <alignment horizontal="center" shrinkToFit="0" vertical="center" wrapText="1"/>
    </xf>
    <xf borderId="3" fillId="4" fontId="19" numFmtId="165" xfId="0" applyAlignment="1" applyBorder="1" applyFont="1" applyNumberFormat="1">
      <alignment horizontal="center" vertical="center"/>
    </xf>
    <xf borderId="3" fillId="4" fontId="20" numFmtId="171" xfId="0" applyAlignment="1" applyBorder="1" applyFont="1" applyNumberFormat="1">
      <alignment horizontal="center" vertical="center"/>
    </xf>
    <xf borderId="3" fillId="4" fontId="19" numFmtId="0" xfId="0" applyAlignment="1" applyBorder="1" applyFont="1">
      <alignment horizontal="center" vertical="center"/>
    </xf>
    <xf borderId="3" fillId="4" fontId="20" numFmtId="0" xfId="0" applyAlignment="1" applyBorder="1" applyFont="1">
      <alignment horizontal="center" vertical="center"/>
    </xf>
    <xf borderId="0" fillId="4" fontId="20" numFmtId="0" xfId="0" applyAlignment="1" applyFont="1">
      <alignment horizontal="center" vertical="center"/>
    </xf>
    <xf borderId="0" fillId="0" fontId="20" numFmtId="0" xfId="0" applyAlignment="1" applyFont="1">
      <alignment horizontal="center" vertical="center"/>
    </xf>
    <xf borderId="3" fillId="5" fontId="20" numFmtId="0" xfId="0" applyAlignment="1" applyBorder="1" applyFont="1">
      <alignment horizontal="center" vertical="center"/>
    </xf>
    <xf borderId="3" fillId="5" fontId="80" numFmtId="0" xfId="0" applyAlignment="1" applyBorder="1" applyFont="1">
      <alignment horizontal="center" vertical="center"/>
    </xf>
    <xf borderId="3" fillId="5" fontId="20" numFmtId="0" xfId="0" applyAlignment="1" applyBorder="1" applyFont="1">
      <alignment horizontal="center" shrinkToFit="0" vertical="center" wrapText="1"/>
    </xf>
    <xf borderId="3" fillId="5" fontId="19" numFmtId="165" xfId="0" applyAlignment="1" applyBorder="1" applyFont="1" applyNumberFormat="1">
      <alignment horizontal="center" vertical="center"/>
    </xf>
    <xf borderId="3" fillId="5" fontId="20" numFmtId="171" xfId="0" applyAlignment="1" applyBorder="1" applyFont="1" applyNumberFormat="1">
      <alignment horizontal="center" vertical="center"/>
    </xf>
    <xf borderId="3" fillId="5" fontId="19" numFmtId="0" xfId="0" applyAlignment="1" applyBorder="1" applyFont="1">
      <alignment horizontal="center" vertical="center"/>
    </xf>
    <xf borderId="3" fillId="5" fontId="20" numFmtId="0" xfId="0" applyAlignment="1" applyBorder="1" applyFont="1">
      <alignment horizontal="center" vertical="center"/>
    </xf>
    <xf borderId="0" fillId="5" fontId="20" numFmtId="0" xfId="0" applyAlignment="1" applyFont="1">
      <alignment horizontal="center" vertical="center"/>
    </xf>
    <xf borderId="3" fillId="4" fontId="20" numFmtId="172" xfId="0" applyAlignment="1" applyBorder="1" applyFont="1" applyNumberFormat="1">
      <alignment horizontal="center" vertical="center"/>
    </xf>
    <xf borderId="3" fillId="4" fontId="20" numFmtId="0" xfId="0" applyAlignment="1" applyBorder="1" applyFont="1">
      <alignment horizontal="center" shrinkToFit="0" vertical="center" wrapText="1"/>
    </xf>
    <xf borderId="3" fillId="5" fontId="20" numFmtId="0" xfId="0" applyAlignment="1" applyBorder="1" applyFont="1">
      <alignment horizontal="center" shrinkToFit="0" vertical="center" wrapText="1"/>
    </xf>
    <xf borderId="3" fillId="4" fontId="81" numFmtId="0" xfId="0" applyAlignment="1" applyBorder="1" applyFont="1">
      <alignment horizontal="center" shrinkToFit="0" vertical="center" wrapText="1"/>
    </xf>
    <xf borderId="3" fillId="4" fontId="80" numFmtId="0" xfId="0" applyAlignment="1" applyBorder="1" applyFont="1">
      <alignment horizontal="center" vertical="center"/>
    </xf>
    <xf borderId="3" fillId="4" fontId="80" numFmtId="0" xfId="0" applyAlignment="1" applyBorder="1" applyFont="1">
      <alignment horizontal="center" shrinkToFit="0" vertical="center" wrapText="1"/>
    </xf>
    <xf borderId="3" fillId="5" fontId="80" numFmtId="0" xfId="0" applyAlignment="1" applyBorder="1" applyFont="1">
      <alignment horizontal="center" shrinkToFit="0" vertical="center" wrapText="1"/>
    </xf>
    <xf borderId="3" fillId="5" fontId="82" numFmtId="0" xfId="0" applyAlignment="1" applyBorder="1" applyFont="1">
      <alignment horizontal="center" shrinkToFit="0" vertical="center" wrapText="1"/>
    </xf>
    <xf borderId="3" fillId="4" fontId="80" numFmtId="0" xfId="0" applyAlignment="1" applyBorder="1" applyFont="1">
      <alignment horizontal="center" shrinkToFit="0" vertical="center" wrapText="1"/>
    </xf>
    <xf borderId="0" fillId="4" fontId="83" numFmtId="0" xfId="0" applyAlignment="1" applyFont="1">
      <alignment horizontal="center" readingOrder="0" vertical="center"/>
    </xf>
    <xf borderId="0" fillId="5" fontId="83" numFmtId="0" xfId="0" applyAlignment="1" applyFont="1">
      <alignment horizontal="center" readingOrder="0" vertical="center"/>
    </xf>
    <xf borderId="0" fillId="0" fontId="83" numFmtId="0" xfId="0" applyAlignment="1" applyFont="1">
      <alignment horizontal="center" readingOrder="0" vertical="center"/>
    </xf>
    <xf borderId="3" fillId="5" fontId="83" numFmtId="0" xfId="0" applyAlignment="1" applyBorder="1" applyFont="1">
      <alignment horizontal="center" readingOrder="0" vertical="center"/>
    </xf>
    <xf borderId="3" fillId="4" fontId="83" numFmtId="172" xfId="0" applyAlignment="1" applyBorder="1" applyFont="1" applyNumberFormat="1">
      <alignment horizontal="center" readingOrder="0" vertical="center"/>
    </xf>
    <xf borderId="0" fillId="5" fontId="20" numFmtId="0" xfId="0" applyAlignment="1" applyFont="1">
      <alignment horizontal="center" readingOrder="0" vertical="center"/>
    </xf>
    <xf borderId="0" fillId="4" fontId="20" numFmtId="0" xfId="0" applyAlignment="1" applyFont="1">
      <alignment horizontal="center" readingOrder="0" vertical="center"/>
    </xf>
    <xf borderId="0" fillId="0" fontId="20" numFmtId="0" xfId="0" applyAlignment="1" applyFont="1">
      <alignment horizontal="center" readingOrder="0" vertical="center"/>
    </xf>
    <xf borderId="3" fillId="5" fontId="20" numFmtId="0" xfId="0" applyAlignment="1" applyBorder="1" applyFont="1">
      <alignment horizontal="center" readingOrder="0" vertical="center"/>
    </xf>
    <xf borderId="3" fillId="5" fontId="84" numFmtId="0" xfId="0" applyAlignment="1" applyBorder="1" applyFont="1">
      <alignment horizontal="center" readingOrder="0" shrinkToFit="0" vertical="center" wrapText="1"/>
    </xf>
    <xf borderId="3" fillId="4" fontId="20" numFmtId="0" xfId="0" applyAlignment="1" applyBorder="1" applyFont="1">
      <alignment horizontal="center" readingOrder="0" vertical="center"/>
    </xf>
    <xf borderId="3" fillId="5" fontId="20" numFmtId="0" xfId="0" applyAlignment="1" applyBorder="1" applyFont="1">
      <alignment horizontal="center" shrinkToFit="0" vertical="center" wrapText="0"/>
    </xf>
    <xf borderId="0" fillId="5" fontId="85" numFmtId="0" xfId="0" applyAlignment="1" applyFont="1">
      <alignment horizontal="center" vertical="center"/>
    </xf>
    <xf borderId="3" fillId="4" fontId="20" numFmtId="0" xfId="0" applyAlignment="1" applyBorder="1" applyFont="1">
      <alignment horizontal="center" shrinkToFit="0" vertical="center" wrapText="0"/>
    </xf>
    <xf borderId="0" fillId="4" fontId="85" numFmtId="0" xfId="0" applyAlignment="1" applyFont="1">
      <alignment horizontal="center" vertical="center"/>
    </xf>
    <xf borderId="3" fillId="5" fontId="20" numFmtId="0" xfId="0" applyAlignment="1" applyBorder="1" applyFont="1">
      <alignment horizontal="center" readingOrder="0" shrinkToFit="0" vertical="center" wrapText="1"/>
    </xf>
    <xf borderId="3" fillId="4" fontId="19" numFmtId="0" xfId="0" applyAlignment="1" applyBorder="1" applyFont="1">
      <alignment horizontal="center" readingOrder="0" vertical="center"/>
    </xf>
    <xf borderId="3" fillId="5" fontId="80" numFmtId="0" xfId="0" applyAlignment="1" applyBorder="1" applyFont="1">
      <alignment horizontal="center" readingOrder="0" vertical="center"/>
    </xf>
    <xf borderId="3" fillId="5" fontId="19" numFmtId="165" xfId="0" applyAlignment="1" applyBorder="1" applyFont="1" applyNumberFormat="1">
      <alignment horizontal="center" readingOrder="0" vertical="center"/>
    </xf>
    <xf borderId="3" fillId="5" fontId="20" numFmtId="171" xfId="0" applyAlignment="1" applyBorder="1" applyFont="1" applyNumberFormat="1">
      <alignment horizontal="center" readingOrder="0" vertical="center"/>
    </xf>
    <xf borderId="3" fillId="5" fontId="86" numFmtId="0" xfId="0" applyAlignment="1" applyBorder="1" applyFont="1">
      <alignment horizontal="center" readingOrder="0" shrinkToFit="0" vertical="center" wrapText="0"/>
    </xf>
    <xf borderId="3" fillId="4" fontId="87" numFmtId="0" xfId="0" applyAlignment="1" applyBorder="1" applyFont="1">
      <alignment horizontal="center" shrinkToFit="0" vertical="center" wrapText="0"/>
    </xf>
    <xf borderId="3" fillId="5" fontId="88" numFmtId="0" xfId="0" applyAlignment="1" applyBorder="1" applyFont="1">
      <alignment horizontal="center" readingOrder="0" shrinkToFit="0" vertical="center" wrapText="0"/>
    </xf>
    <xf borderId="3" fillId="5" fontId="89" numFmtId="0" xfId="0" applyAlignment="1" applyBorder="1" applyFont="1">
      <alignment horizontal="center" shrinkToFit="0" vertical="center" wrapText="0"/>
    </xf>
    <xf borderId="0" fillId="4" fontId="90" numFmtId="0" xfId="0" applyAlignment="1" applyFont="1">
      <alignment horizontal="center" readingOrder="0" vertical="center"/>
    </xf>
    <xf borderId="3" fillId="4" fontId="19" numFmtId="165" xfId="0" applyAlignment="1" applyBorder="1" applyFont="1" applyNumberFormat="1">
      <alignment horizontal="center" readingOrder="0" vertical="center"/>
    </xf>
    <xf borderId="0" fillId="0" fontId="90" numFmtId="0" xfId="0" applyAlignment="1" applyFont="1">
      <alignment horizontal="center" readingOrder="0" vertical="center"/>
    </xf>
    <xf borderId="3" fillId="5" fontId="19" numFmtId="0" xfId="0" applyAlignment="1" applyBorder="1" applyFont="1">
      <alignment horizontal="center" readingOrder="0" vertical="center"/>
    </xf>
    <xf borderId="3" fillId="4" fontId="80" numFmtId="0" xfId="0" applyAlignment="1" applyBorder="1" applyFont="1">
      <alignment horizontal="center" readingOrder="0" vertical="center"/>
    </xf>
    <xf borderId="3" fillId="4" fontId="20" numFmtId="171" xfId="0" applyAlignment="1" applyBorder="1" applyFont="1" applyNumberFormat="1">
      <alignment horizontal="center" readingOrder="0" vertical="center"/>
    </xf>
    <xf borderId="3" fillId="4" fontId="91" numFmtId="0" xfId="0" applyAlignment="1" applyBorder="1" applyFont="1">
      <alignment horizontal="center" readingOrder="0" shrinkToFit="0" vertical="center" wrapText="1"/>
    </xf>
    <xf borderId="3" fillId="4" fontId="20" numFmtId="0" xfId="0" applyAlignment="1" applyBorder="1" applyFont="1">
      <alignment horizontal="center" readingOrder="0" shrinkToFit="0" vertical="center" wrapText="1"/>
    </xf>
    <xf borderId="3" fillId="4" fontId="92" numFmtId="0" xfId="0" applyAlignment="1" applyBorder="1" applyFont="1">
      <alignment horizontal="center" readingOrder="0" shrinkToFit="0" vertical="center" wrapText="0"/>
    </xf>
    <xf borderId="3" fillId="4" fontId="93" numFmtId="0" xfId="0" applyAlignment="1" applyBorder="1" applyFont="1">
      <alignment horizontal="center" readingOrder="0" vertical="center"/>
    </xf>
    <xf borderId="3" fillId="5" fontId="80" numFmtId="171" xfId="0" applyAlignment="1" applyBorder="1" applyFont="1" applyNumberFormat="1">
      <alignment horizontal="center" vertical="center"/>
    </xf>
    <xf borderId="0" fillId="5" fontId="90" numFmtId="0" xfId="0" applyAlignment="1" applyFont="1">
      <alignment horizontal="center" readingOrder="0" shrinkToFit="0" vertical="center" wrapText="1"/>
    </xf>
    <xf borderId="0" fillId="0" fontId="90" numFmtId="0" xfId="0" applyAlignment="1" applyFont="1">
      <alignment horizontal="center" readingOrder="0" shrinkToFit="0" vertical="center" wrapText="1"/>
    </xf>
    <xf borderId="0" fillId="5" fontId="32" numFmtId="0" xfId="0" applyAlignment="1" applyFont="1">
      <alignment horizontal="center" vertical="center"/>
    </xf>
    <xf borderId="0" fillId="0" fontId="32" numFmtId="0" xfId="0" applyAlignment="1" applyFont="1">
      <alignment horizontal="center" vertical="center"/>
    </xf>
    <xf borderId="3" fillId="4" fontId="19" numFmtId="0" xfId="0" applyAlignment="1" applyBorder="1" applyFont="1">
      <alignment horizontal="center" readingOrder="0" shrinkToFit="0" vertical="center" wrapText="0"/>
    </xf>
    <xf borderId="3" fillId="4" fontId="94" numFmtId="0" xfId="0" applyAlignment="1" applyBorder="1" applyFont="1">
      <alignment horizontal="center" readingOrder="0" shrinkToFit="0" vertical="center" wrapText="0"/>
    </xf>
    <xf borderId="0" fillId="4" fontId="90" numFmtId="0" xfId="0" applyAlignment="1" applyFont="1">
      <alignment horizontal="center" readingOrder="0" shrinkToFit="0" vertical="center" wrapText="1"/>
    </xf>
    <xf borderId="0" fillId="4" fontId="78" numFmtId="0" xfId="0" applyAlignment="1" applyFont="1">
      <alignment horizontal="center" readingOrder="0" vertical="center"/>
    </xf>
    <xf borderId="0" fillId="0" fontId="78" numFmtId="0" xfId="0" applyAlignment="1" applyFont="1">
      <alignment horizontal="center" readingOrder="0" vertical="center"/>
    </xf>
    <xf borderId="0" fillId="5" fontId="78" numFmtId="0" xfId="0" applyAlignment="1" applyFont="1">
      <alignment horizontal="center" readingOrder="0" vertical="center"/>
    </xf>
    <xf borderId="3" fillId="4" fontId="20" numFmtId="0" xfId="0" applyAlignment="1" applyBorder="1" applyFont="1">
      <alignment horizontal="center" readingOrder="0" shrinkToFit="0" vertical="center" wrapText="0"/>
    </xf>
    <xf borderId="3" fillId="5" fontId="20" numFmtId="0" xfId="0" applyAlignment="1" applyBorder="1" applyFont="1">
      <alignment horizontal="center" readingOrder="0" shrinkToFit="0" vertical="center" wrapText="0"/>
    </xf>
    <xf borderId="3" fillId="4" fontId="95" numFmtId="0" xfId="0" applyAlignment="1" applyBorder="1" applyFont="1">
      <alignment horizontal="center" readingOrder="0" vertical="center"/>
    </xf>
    <xf borderId="3" fillId="5" fontId="96" numFmtId="0" xfId="0" applyAlignment="1" applyBorder="1" applyFont="1">
      <alignment horizontal="center" vertical="center"/>
    </xf>
    <xf borderId="3" fillId="5" fontId="96" numFmtId="0" xfId="0" applyAlignment="1" applyBorder="1" applyFont="1">
      <alignment horizontal="center" readingOrder="0" vertical="center"/>
    </xf>
    <xf borderId="3" fillId="5" fontId="96" numFmtId="0" xfId="0" applyAlignment="1" applyBorder="1" applyFont="1">
      <alignment horizontal="center" readingOrder="0" shrinkToFit="0" vertical="center" wrapText="1"/>
    </xf>
    <xf borderId="3" fillId="5" fontId="97" numFmtId="165" xfId="0" applyAlignment="1" applyBorder="1" applyFont="1" applyNumberFormat="1">
      <alignment horizontal="center" readingOrder="0" vertical="center"/>
    </xf>
    <xf borderId="3" fillId="5" fontId="96" numFmtId="171" xfId="0" applyAlignment="1" applyBorder="1" applyFont="1" applyNumberFormat="1">
      <alignment horizontal="center" readingOrder="0" vertical="center"/>
    </xf>
    <xf borderId="3" fillId="5" fontId="97" numFmtId="0" xfId="0" applyAlignment="1" applyBorder="1" applyFont="1">
      <alignment horizontal="center" readingOrder="0" vertical="center"/>
    </xf>
    <xf borderId="0" fillId="5" fontId="96" numFmtId="0" xfId="0" applyAlignment="1" applyFont="1">
      <alignment horizontal="center" readingOrder="0" vertical="center"/>
    </xf>
    <xf borderId="0" fillId="5" fontId="20" numFmtId="0" xfId="0" applyAlignment="1" applyFont="1">
      <alignment horizontal="center" readingOrder="0" shrinkToFit="0" vertical="center" wrapText="1"/>
    </xf>
    <xf borderId="0" fillId="0" fontId="20" numFmtId="0" xfId="0" applyAlignment="1" applyFont="1">
      <alignment horizontal="center" readingOrder="0" shrinkToFit="0" vertical="center" wrapText="1"/>
    </xf>
    <xf borderId="3" fillId="4" fontId="98" numFmtId="0" xfId="0" applyAlignment="1" applyBorder="1" applyFont="1">
      <alignment horizontal="center" readingOrder="0" shrinkToFit="0" vertical="center" wrapText="0"/>
    </xf>
    <xf borderId="0" fillId="4" fontId="20" numFmtId="0" xfId="0" applyAlignment="1" applyFont="1">
      <alignment horizontal="center" shrinkToFit="0" vertical="center" wrapText="1"/>
    </xf>
    <xf borderId="0" fillId="0" fontId="20" numFmtId="0" xfId="0" applyAlignment="1" applyFont="1">
      <alignment horizontal="center" shrinkToFit="0" vertical="center" wrapText="1"/>
    </xf>
    <xf borderId="0" fillId="0" fontId="96" numFmtId="0" xfId="0" applyAlignment="1" applyFont="1">
      <alignment horizontal="center" readingOrder="0" vertical="center"/>
    </xf>
    <xf borderId="3" fillId="5" fontId="32" numFmtId="0" xfId="0" applyAlignment="1" applyBorder="1" applyFont="1">
      <alignment horizontal="center" readingOrder="0" vertical="center"/>
    </xf>
    <xf borderId="3" fillId="4" fontId="19" numFmtId="165" xfId="0" applyAlignment="1" applyBorder="1" applyFont="1" applyNumberFormat="1">
      <alignment horizontal="center" readingOrder="0" shrinkToFit="0" vertical="center" wrapText="0"/>
    </xf>
    <xf borderId="3" fillId="4" fontId="19" numFmtId="171" xfId="0" applyAlignment="1" applyBorder="1" applyFont="1" applyNumberFormat="1">
      <alignment horizontal="center" readingOrder="0" shrinkToFit="0" vertical="center" wrapText="0"/>
    </xf>
    <xf borderId="3" fillId="4" fontId="19" numFmtId="0" xfId="0" applyAlignment="1" applyBorder="1" applyFont="1">
      <alignment horizontal="center" shrinkToFit="0" vertical="center" wrapText="0"/>
    </xf>
    <xf borderId="3" fillId="4" fontId="19" numFmtId="0" xfId="0" applyAlignment="1" applyBorder="1" applyFont="1">
      <alignment horizontal="center" shrinkToFit="0" vertical="center" wrapText="1"/>
    </xf>
    <xf borderId="0" fillId="4" fontId="19" numFmtId="0" xfId="0" applyAlignment="1" applyFont="1">
      <alignment horizontal="center" shrinkToFit="0" vertical="center" wrapText="0"/>
    </xf>
    <xf borderId="3" fillId="5" fontId="19" numFmtId="0" xfId="0" applyAlignment="1" applyBorder="1" applyFont="1">
      <alignment horizontal="center" readingOrder="0" shrinkToFit="0" vertical="center" wrapText="0"/>
    </xf>
    <xf borderId="3" fillId="5" fontId="19" numFmtId="165" xfId="0" applyAlignment="1" applyBorder="1" applyFont="1" applyNumberFormat="1">
      <alignment horizontal="center" readingOrder="0" shrinkToFit="0" vertical="center" wrapText="0"/>
    </xf>
    <xf borderId="3" fillId="5" fontId="19" numFmtId="171" xfId="0" applyAlignment="1" applyBorder="1" applyFont="1" applyNumberFormat="1">
      <alignment horizontal="center" readingOrder="0" shrinkToFit="0" vertical="center" wrapText="0"/>
    </xf>
    <xf borderId="3" fillId="5" fontId="19" numFmtId="170" xfId="0" applyAlignment="1" applyBorder="1" applyFont="1" applyNumberFormat="1">
      <alignment horizontal="center" readingOrder="0" vertical="center"/>
    </xf>
    <xf borderId="3" fillId="5" fontId="99" numFmtId="0" xfId="0" applyAlignment="1" applyBorder="1" applyFont="1">
      <alignment horizontal="center" readingOrder="0" shrinkToFit="0" vertical="center" wrapText="0"/>
    </xf>
    <xf borderId="3" fillId="4" fontId="19" numFmtId="170" xfId="0" applyAlignment="1" applyBorder="1" applyFont="1" applyNumberFormat="1">
      <alignment horizontal="center" readingOrder="0" shrinkToFit="0" vertical="center" wrapText="0"/>
    </xf>
    <xf borderId="3" fillId="4" fontId="19" numFmtId="166" xfId="0" applyAlignment="1" applyBorder="1" applyFont="1" applyNumberFormat="1">
      <alignment horizontal="center" readingOrder="0" vertical="center"/>
    </xf>
    <xf borderId="3" fillId="4" fontId="20" numFmtId="169" xfId="0" applyAlignment="1" applyBorder="1" applyFont="1" applyNumberFormat="1">
      <alignment horizontal="center" readingOrder="0" vertical="center"/>
    </xf>
    <xf borderId="0" fillId="4" fontId="20" numFmtId="0" xfId="0" applyAlignment="1" applyFont="1">
      <alignment horizontal="center" shrinkToFit="0" vertical="center" wrapText="0"/>
    </xf>
    <xf borderId="0" fillId="5" fontId="20" numFmtId="0" xfId="0" applyAlignment="1" applyFont="1">
      <alignment horizontal="center" shrinkToFit="0" vertical="center" wrapText="1"/>
    </xf>
    <xf borderId="3" fillId="5" fontId="19" numFmtId="170" xfId="0" applyAlignment="1" applyBorder="1" applyFont="1" applyNumberFormat="1">
      <alignment horizontal="center" readingOrder="0" shrinkToFit="0" vertical="center" wrapText="0"/>
    </xf>
    <xf borderId="3" fillId="4" fontId="100" numFmtId="0" xfId="0" applyAlignment="1" applyBorder="1" applyFont="1">
      <alignment horizontal="center" readingOrder="0" shrinkToFit="0" vertical="center" wrapText="0"/>
    </xf>
    <xf borderId="3" fillId="5" fontId="19" numFmtId="166" xfId="0" applyAlignment="1" applyBorder="1" applyFont="1" applyNumberFormat="1">
      <alignment horizontal="center" readingOrder="0" vertical="center"/>
    </xf>
    <xf borderId="3" fillId="5" fontId="20" numFmtId="169" xfId="0" applyAlignment="1" applyBorder="1" applyFont="1" applyNumberFormat="1">
      <alignment horizontal="center" readingOrder="0" vertical="center"/>
    </xf>
    <xf borderId="0" fillId="5" fontId="20" numFmtId="0" xfId="0" applyAlignment="1" applyFont="1">
      <alignment horizontal="center" shrinkToFit="0" vertical="center" wrapText="0"/>
    </xf>
    <xf borderId="3" fillId="5" fontId="101" numFmtId="0" xfId="0" applyAlignment="1" applyBorder="1" applyFont="1">
      <alignment horizontal="center" readingOrder="0" shrinkToFit="0" vertical="center" wrapText="0"/>
    </xf>
    <xf borderId="0" fillId="5" fontId="93" numFmtId="0" xfId="0" applyAlignment="1" applyFont="1">
      <alignment horizontal="center" readingOrder="0" vertical="center"/>
    </xf>
    <xf borderId="0" fillId="4" fontId="93" numFmtId="0" xfId="0" applyAlignment="1" applyFont="1">
      <alignment horizontal="center" readingOrder="0" vertical="center"/>
    </xf>
    <xf borderId="3" fillId="4" fontId="19" numFmtId="170" xfId="0" applyAlignment="1" applyBorder="1" applyFont="1" applyNumberFormat="1">
      <alignment horizontal="center" readingOrder="0" vertical="center"/>
    </xf>
    <xf borderId="3" fillId="4" fontId="19" numFmtId="166" xfId="0" applyAlignment="1" applyBorder="1" applyFont="1" applyNumberFormat="1">
      <alignment horizontal="center" readingOrder="0" shrinkToFit="0" vertical="center" wrapText="0"/>
    </xf>
    <xf borderId="8" fillId="5" fontId="19" numFmtId="165" xfId="0" applyAlignment="1" applyBorder="1" applyFont="1" applyNumberFormat="1">
      <alignment horizontal="center" vertical="center"/>
    </xf>
    <xf borderId="3" fillId="5" fontId="102" numFmtId="0" xfId="0" applyAlignment="1" applyBorder="1" applyFont="1">
      <alignment horizontal="center" shrinkToFit="0" vertical="center" wrapText="0"/>
    </xf>
    <xf borderId="3" fillId="4" fontId="80" numFmtId="0" xfId="0" applyAlignment="1" applyBorder="1" applyFont="1">
      <alignment horizontal="center" readingOrder="0" shrinkToFit="0" vertical="center" wrapText="1"/>
    </xf>
    <xf borderId="3" fillId="5" fontId="80" numFmtId="0" xfId="0" applyAlignment="1" applyBorder="1" applyFont="1">
      <alignment horizontal="center" readingOrder="0" shrinkToFit="0" vertical="center" wrapText="1"/>
    </xf>
    <xf borderId="3" fillId="5" fontId="103" numFmtId="0" xfId="0" applyAlignment="1" applyBorder="1" applyFont="1">
      <alignment horizontal="center" readingOrder="0" shrinkToFit="0" vertical="center" wrapText="0"/>
    </xf>
    <xf borderId="3" fillId="4" fontId="104" numFmtId="0" xfId="0" applyAlignment="1" applyBorder="1" applyFont="1">
      <alignment horizontal="center" shrinkToFit="0" vertical="center" wrapText="0"/>
    </xf>
    <xf borderId="3" fillId="4" fontId="105" numFmtId="0" xfId="0" applyAlignment="1" applyBorder="1" applyFont="1">
      <alignment horizontal="center" readingOrder="0" shrinkToFit="0" vertical="center" wrapText="0"/>
    </xf>
    <xf borderId="3" fillId="5" fontId="106" numFmtId="0" xfId="0" applyAlignment="1" applyBorder="1" applyFont="1">
      <alignment horizontal="center" readingOrder="0" vertical="center"/>
    </xf>
    <xf borderId="3" fillId="5" fontId="32" numFmtId="170" xfId="0" applyAlignment="1" applyBorder="1" applyFont="1" applyNumberFormat="1">
      <alignment horizontal="center" readingOrder="0" vertical="center"/>
    </xf>
    <xf borderId="0" fillId="5" fontId="32" numFmtId="169" xfId="0" applyAlignment="1" applyFont="1" applyNumberFormat="1">
      <alignment horizontal="center" readingOrder="0" vertical="center"/>
    </xf>
    <xf borderId="0" fillId="5" fontId="107" numFmtId="0" xfId="0" applyAlignment="1" applyFont="1">
      <alignment horizontal="center" readingOrder="0" vertical="center"/>
    </xf>
    <xf borderId="0" fillId="4" fontId="107" numFmtId="0" xfId="0" applyAlignment="1" applyFont="1">
      <alignment horizontal="center" readingOrder="0" vertical="center"/>
    </xf>
    <xf borderId="3" fillId="5" fontId="108" numFmtId="166" xfId="0" applyAlignment="1" applyBorder="1" applyFont="1" applyNumberFormat="1">
      <alignment horizontal="center" readingOrder="0" vertical="center"/>
    </xf>
    <xf borderId="0" fillId="14" fontId="20" numFmtId="0" xfId="0" applyAlignment="1" applyFill="1" applyFont="1">
      <alignment horizontal="center" vertical="center"/>
    </xf>
    <xf borderId="3" fillId="4" fontId="19" numFmtId="172" xfId="0" applyAlignment="1" applyBorder="1" applyFont="1" applyNumberFormat="1">
      <alignment horizontal="center" readingOrder="0" shrinkToFit="0" vertical="center" wrapText="1"/>
    </xf>
    <xf borderId="3" fillId="4" fontId="108" numFmtId="0" xfId="0" applyAlignment="1" applyBorder="1" applyFont="1">
      <alignment horizontal="center" readingOrder="0" vertical="center"/>
    </xf>
    <xf borderId="3" fillId="5" fontId="108" numFmtId="0" xfId="0" applyAlignment="1" applyBorder="1" applyFont="1">
      <alignment horizontal="center" readingOrder="0" vertical="center"/>
    </xf>
    <xf borderId="3" fillId="4" fontId="32" numFmtId="172" xfId="0" applyAlignment="1" applyBorder="1" applyFont="1" applyNumberFormat="1">
      <alignment horizontal="center" readingOrder="0" shrinkToFit="0" vertical="center" wrapText="1"/>
    </xf>
    <xf borderId="3" fillId="4" fontId="108" numFmtId="167" xfId="0" applyAlignment="1" applyBorder="1" applyFont="1" applyNumberFormat="1">
      <alignment horizontal="center" readingOrder="0" vertical="center"/>
    </xf>
    <xf borderId="3" fillId="4" fontId="32" numFmtId="171" xfId="0" applyAlignment="1" applyBorder="1" applyFont="1" applyNumberFormat="1">
      <alignment horizontal="center" readingOrder="0" vertical="center"/>
    </xf>
    <xf borderId="3" fillId="5" fontId="32" numFmtId="172" xfId="0" applyAlignment="1" applyBorder="1" applyFont="1" applyNumberFormat="1">
      <alignment horizontal="center" readingOrder="0" shrinkToFit="0" vertical="center" wrapText="1"/>
    </xf>
    <xf borderId="3" fillId="5" fontId="108" numFmtId="167" xfId="0" applyAlignment="1" applyBorder="1" applyFont="1" applyNumberFormat="1">
      <alignment horizontal="center" readingOrder="0" vertical="center"/>
    </xf>
    <xf borderId="3" fillId="5" fontId="32" numFmtId="171" xfId="0" applyAlignment="1" applyBorder="1" applyFont="1" applyNumberFormat="1">
      <alignment horizontal="center" readingOrder="0" vertical="center"/>
    </xf>
    <xf borderId="3" fillId="4" fontId="109" numFmtId="0" xfId="0" applyAlignment="1" applyBorder="1" applyFont="1">
      <alignment horizontal="center" readingOrder="0" vertical="center"/>
    </xf>
    <xf borderId="3" fillId="5" fontId="19" numFmtId="167" xfId="0" applyAlignment="1" applyBorder="1" applyFont="1" applyNumberFormat="1">
      <alignment horizontal="center" readingOrder="0" vertical="center"/>
    </xf>
    <xf borderId="3" fillId="4" fontId="19" numFmtId="167" xfId="0" applyAlignment="1" applyBorder="1" applyFont="1" applyNumberFormat="1">
      <alignment horizontal="center" readingOrder="0" vertical="center"/>
    </xf>
    <xf borderId="0" fillId="4" fontId="110" numFmtId="0" xfId="0" applyAlignment="1" applyFont="1">
      <alignment horizontal="center" readingOrder="0" vertical="center"/>
    </xf>
    <xf borderId="0" fillId="0" fontId="110" numFmtId="0" xfId="0" applyAlignment="1" applyFont="1">
      <alignment horizontal="center" readingOrder="0" vertical="center"/>
    </xf>
    <xf borderId="0" fillId="5" fontId="110" numFmtId="0" xfId="0" applyAlignment="1" applyFont="1">
      <alignment horizontal="center" vertical="center"/>
    </xf>
    <xf borderId="0" fillId="5" fontId="110" numFmtId="0" xfId="0" applyAlignment="1" applyFont="1">
      <alignment horizontal="center" readingOrder="0" vertical="center"/>
    </xf>
    <xf borderId="3" fillId="4" fontId="20" numFmtId="172" xfId="0" applyAlignment="1" applyBorder="1" applyFont="1" applyNumberFormat="1">
      <alignment horizontal="center" readingOrder="0" shrinkToFit="0" vertical="center" wrapText="1"/>
    </xf>
    <xf borderId="8" fillId="5" fontId="111" numFmtId="0" xfId="0" applyAlignment="1" applyBorder="1" applyFont="1">
      <alignment horizontal="center" readingOrder="0" vertical="center"/>
    </xf>
    <xf borderId="0" fillId="5" fontId="112" numFmtId="0" xfId="0" applyAlignment="1" applyFont="1">
      <alignment horizontal="center" shrinkToFit="0" vertical="center" wrapText="1"/>
    </xf>
    <xf borderId="0" fillId="5" fontId="112" numFmtId="0" xfId="0" applyAlignment="1" applyFont="1">
      <alignment horizontal="center" vertical="center"/>
    </xf>
    <xf borderId="0" fillId="0" fontId="112" numFmtId="0" xfId="0" applyAlignment="1" applyFont="1">
      <alignment horizontal="center" vertical="center"/>
    </xf>
    <xf borderId="8" fillId="2" fontId="113" numFmtId="0" xfId="0" applyAlignment="1" applyBorder="1" applyFont="1">
      <alignment horizontal="center" readingOrder="0" vertical="center"/>
    </xf>
    <xf borderId="0" fillId="4" fontId="114" numFmtId="0" xfId="0" applyAlignment="1" applyFont="1">
      <alignment horizontal="center" readingOrder="0" vertical="center"/>
    </xf>
    <xf borderId="0" fillId="13" fontId="20" numFmtId="0" xfId="0" applyAlignment="1" applyFont="1">
      <alignment horizontal="center" vertical="center"/>
    </xf>
    <xf borderId="8" fillId="15" fontId="115" numFmtId="0" xfId="0" applyAlignment="1" applyBorder="1" applyFill="1" applyFont="1">
      <alignment horizontal="center" vertical="center"/>
    </xf>
    <xf borderId="0" fillId="5" fontId="32" numFmtId="0" xfId="0" applyAlignment="1" applyFont="1">
      <alignment horizontal="center" vertical="center"/>
    </xf>
    <xf borderId="0" fillId="4" fontId="32" numFmtId="0" xfId="0" applyAlignment="1" applyFont="1">
      <alignment horizontal="center" vertical="center"/>
    </xf>
    <xf borderId="3" fillId="5" fontId="116" numFmtId="0" xfId="0" applyAlignment="1" applyBorder="1" applyFont="1">
      <alignment horizontal="center" readingOrder="0" vertical="center"/>
    </xf>
    <xf borderId="8" fillId="15" fontId="115" numFmtId="0" xfId="0" applyAlignment="1" applyBorder="1" applyFont="1">
      <alignment horizontal="center" readingOrder="0"/>
    </xf>
    <xf borderId="0" fillId="5" fontId="38" numFmtId="0" xfId="0" applyFont="1"/>
    <xf borderId="0" fillId="5" fontId="38" numFmtId="0" xfId="0" applyFont="1"/>
    <xf borderId="0" fillId="0" fontId="38" numFmtId="0" xfId="0" applyFont="1"/>
    <xf borderId="8" fillId="2" fontId="117" numFmtId="0" xfId="0" applyAlignment="1" applyBorder="1" applyFont="1">
      <alignment horizontal="center" readingOrder="0" vertical="center"/>
    </xf>
    <xf borderId="0" fillId="5" fontId="114" numFmtId="0" xfId="0" applyAlignment="1" applyFont="1">
      <alignment horizontal="center" readingOrder="0" vertical="center"/>
    </xf>
    <xf borderId="3" fillId="4" fontId="118" numFmtId="0" xfId="0" applyAlignment="1" applyBorder="1" applyFont="1">
      <alignment horizontal="center" readingOrder="0" vertical="center"/>
    </xf>
    <xf borderId="3" fillId="4" fontId="20" numFmtId="0" xfId="0" applyAlignment="1" applyBorder="1" applyFont="1">
      <alignment horizontal="center" readingOrder="0" shrinkToFit="0" vertical="center" wrapText="0"/>
    </xf>
    <xf borderId="3" fillId="4" fontId="96" numFmtId="0" xfId="0" applyAlignment="1" applyBorder="1" applyFont="1">
      <alignment horizontal="center" readingOrder="0" vertical="center"/>
    </xf>
    <xf borderId="3" fillId="4" fontId="119" numFmtId="0" xfId="0" applyAlignment="1" applyBorder="1" applyFont="1">
      <alignment horizontal="center" readingOrder="0" vertical="center"/>
    </xf>
    <xf borderId="3" fillId="4" fontId="96" numFmtId="0" xfId="0" applyAlignment="1" applyBorder="1" applyFont="1">
      <alignment horizontal="center" readingOrder="0" shrinkToFit="0" vertical="center" wrapText="1"/>
    </xf>
    <xf borderId="3" fillId="4" fontId="97" numFmtId="165" xfId="0" applyAlignment="1" applyBorder="1" applyFont="1" applyNumberFormat="1">
      <alignment horizontal="center" readingOrder="0" vertical="center"/>
    </xf>
    <xf borderId="3" fillId="4" fontId="96" numFmtId="171" xfId="0" applyAlignment="1" applyBorder="1" applyFont="1" applyNumberFormat="1">
      <alignment horizontal="center" readingOrder="0" vertical="center"/>
    </xf>
    <xf borderId="3" fillId="4" fontId="97" numFmtId="0" xfId="0" applyAlignment="1" applyBorder="1" applyFont="1">
      <alignment horizontal="center" readingOrder="0" vertical="center"/>
    </xf>
    <xf borderId="3" fillId="4" fontId="120" numFmtId="0" xfId="0" applyAlignment="1" applyBorder="1" applyFont="1">
      <alignment horizontal="center" readingOrder="0" shrinkToFit="0" vertical="center" wrapText="0"/>
    </xf>
    <xf borderId="0" fillId="4" fontId="121" numFmtId="0" xfId="0" applyAlignment="1" applyFont="1">
      <alignment horizontal="center" readingOrder="0" vertical="center"/>
    </xf>
    <xf borderId="0" fillId="0" fontId="121" numFmtId="0" xfId="0" applyAlignment="1" applyFont="1">
      <alignment horizontal="center" readingOrder="0" vertical="center"/>
    </xf>
    <xf borderId="3" fillId="5" fontId="19" numFmtId="169" xfId="0" applyAlignment="1" applyBorder="1" applyFont="1" applyNumberFormat="1">
      <alignment horizontal="center" readingOrder="0" vertical="center"/>
    </xf>
    <xf borderId="3" fillId="5" fontId="20" numFmtId="0" xfId="0" applyAlignment="1" applyBorder="1" applyFont="1">
      <alignment horizontal="center" readingOrder="0" shrinkToFit="0" vertical="center" wrapText="0"/>
    </xf>
    <xf borderId="3" fillId="4" fontId="20" numFmtId="171" xfId="0" applyAlignment="1" applyBorder="1" applyFont="1" applyNumberFormat="1">
      <alignment horizontal="center" readingOrder="0" shrinkToFit="0" vertical="center" wrapText="0"/>
    </xf>
    <xf borderId="3" fillId="4" fontId="19" numFmtId="0" xfId="0" applyAlignment="1" applyBorder="1" applyFont="1">
      <alignment horizontal="center" readingOrder="0" shrinkToFit="0" vertical="center" wrapText="0"/>
    </xf>
    <xf borderId="3" fillId="5" fontId="20" numFmtId="171" xfId="0" applyAlignment="1" applyBorder="1" applyFont="1" applyNumberFormat="1">
      <alignment horizontal="center" readingOrder="0" shrinkToFit="0" vertical="center" wrapText="0"/>
    </xf>
    <xf borderId="3" fillId="5" fontId="19" numFmtId="0" xfId="0" applyAlignment="1" applyBorder="1" applyFont="1">
      <alignment horizontal="center" readingOrder="0" shrinkToFit="0" vertical="center" wrapText="0"/>
    </xf>
    <xf borderId="3" fillId="4" fontId="19" numFmtId="169" xfId="0" applyAlignment="1" applyBorder="1" applyFont="1" applyNumberFormat="1">
      <alignment horizontal="center" readingOrder="0" vertical="center"/>
    </xf>
    <xf borderId="0" fillId="4" fontId="32" numFmtId="0" xfId="0" applyAlignment="1" applyFont="1">
      <alignment horizontal="center" vertical="center"/>
    </xf>
    <xf borderId="3" fillId="5" fontId="119" numFmtId="0" xfId="0" applyAlignment="1" applyBorder="1" applyFont="1">
      <alignment horizontal="center" readingOrder="0" vertical="center"/>
    </xf>
    <xf borderId="3" fillId="5" fontId="119" numFmtId="0" xfId="0" applyAlignment="1" applyBorder="1" applyFont="1">
      <alignment horizontal="center" readingOrder="0" shrinkToFit="0" vertical="center" wrapText="1"/>
    </xf>
    <xf borderId="3" fillId="5" fontId="120" numFmtId="0" xfId="0" applyAlignment="1" applyBorder="1" applyFont="1">
      <alignment horizontal="center" readingOrder="0" vertical="center"/>
    </xf>
    <xf borderId="3" fillId="5" fontId="96" numFmtId="0" xfId="0" applyAlignment="1" applyBorder="1" applyFont="1">
      <alignment horizontal="center" readingOrder="0" shrinkToFit="0" vertical="center" wrapText="0"/>
    </xf>
    <xf borderId="0" fillId="5" fontId="96" numFmtId="0" xfId="0" applyAlignment="1" applyFont="1">
      <alignment horizontal="center" vertical="center"/>
    </xf>
    <xf borderId="0" fillId="5" fontId="121" numFmtId="0" xfId="0" applyAlignment="1" applyFont="1">
      <alignment horizontal="center" readingOrder="0" vertical="center"/>
    </xf>
    <xf borderId="3" fillId="4" fontId="119" numFmtId="0" xfId="0" applyAlignment="1" applyBorder="1" applyFont="1">
      <alignment horizontal="center" readingOrder="0" shrinkToFit="0" vertical="center" wrapText="1"/>
    </xf>
    <xf borderId="3" fillId="4" fontId="120" numFmtId="0" xfId="0" applyAlignment="1" applyBorder="1" applyFont="1">
      <alignment horizontal="center" readingOrder="0" vertical="center"/>
    </xf>
    <xf borderId="3" fillId="4" fontId="96" numFmtId="0" xfId="0" applyAlignment="1" applyBorder="1" applyFont="1">
      <alignment horizontal="center" readingOrder="0" shrinkToFit="0" vertical="center" wrapText="0"/>
    </xf>
    <xf borderId="0" fillId="4" fontId="96" numFmtId="0" xfId="0" applyAlignment="1" applyFont="1">
      <alignment horizontal="center" vertical="center"/>
    </xf>
    <xf borderId="3" fillId="5" fontId="122" numFmtId="0" xfId="0" applyAlignment="1" applyBorder="1" applyFont="1">
      <alignment horizontal="center" readingOrder="0" vertical="center"/>
    </xf>
    <xf borderId="0" fillId="15" fontId="110" numFmtId="0" xfId="0" applyAlignment="1" applyFont="1">
      <alignment horizontal="center" readingOrder="0" vertical="center"/>
    </xf>
    <xf borderId="3" fillId="4" fontId="97" numFmtId="167" xfId="0" applyAlignment="1" applyBorder="1" applyFont="1" applyNumberFormat="1">
      <alignment horizontal="center" readingOrder="0" vertical="center"/>
    </xf>
    <xf borderId="3" fillId="4" fontId="123" numFmtId="0" xfId="0" applyAlignment="1" applyBorder="1" applyFont="1">
      <alignment horizontal="center" readingOrder="0" shrinkToFit="0" vertical="center" wrapText="0"/>
    </xf>
    <xf borderId="0" fillId="4" fontId="96" numFmtId="0" xfId="0" applyAlignment="1" applyFont="1">
      <alignment horizontal="center" shrinkToFit="0" vertical="center" wrapText="1"/>
    </xf>
    <xf borderId="0" fillId="0" fontId="96" numFmtId="0" xfId="0" applyAlignment="1" applyFont="1">
      <alignment horizontal="center" vertical="center"/>
    </xf>
    <xf borderId="3" fillId="5" fontId="124" numFmtId="0" xfId="0" applyAlignment="1" applyBorder="1" applyFont="1">
      <alignment horizontal="center" readingOrder="0" vertical="center"/>
    </xf>
    <xf borderId="3" fillId="5" fontId="80" numFmtId="172" xfId="0" applyAlignment="1" applyBorder="1" applyFont="1" applyNumberFormat="1">
      <alignment horizontal="center" readingOrder="0" shrinkToFit="0" vertical="center" wrapText="1"/>
    </xf>
    <xf borderId="3" fillId="4" fontId="80" numFmtId="172" xfId="0" applyAlignment="1" applyBorder="1" applyFont="1" applyNumberFormat="1">
      <alignment horizontal="center" readingOrder="0" shrinkToFit="0" vertical="center" wrapText="1"/>
    </xf>
    <xf borderId="3" fillId="4" fontId="125" numFmtId="0" xfId="0" applyAlignment="1" applyBorder="1" applyFont="1">
      <alignment horizontal="center" readingOrder="0" vertical="center"/>
    </xf>
    <xf borderId="8" fillId="13" fontId="126" numFmtId="0" xfId="0" applyAlignment="1" applyBorder="1" applyFont="1">
      <alignment horizontal="center" readingOrder="0" vertical="center"/>
    </xf>
    <xf borderId="3" fillId="4" fontId="32" numFmtId="0" xfId="0" applyAlignment="1" applyBorder="1" applyFont="1">
      <alignment horizontal="center" readingOrder="0" shrinkToFit="0" vertical="center" wrapText="1"/>
    </xf>
    <xf borderId="3" fillId="4" fontId="93" numFmtId="165" xfId="0" applyAlignment="1" applyBorder="1" applyFont="1" applyNumberFormat="1">
      <alignment horizontal="center" readingOrder="0" vertical="center"/>
    </xf>
    <xf borderId="3" fillId="4" fontId="20" numFmtId="172" xfId="0" applyAlignment="1" applyBorder="1" applyFont="1" applyNumberFormat="1">
      <alignment horizontal="center" readingOrder="0" vertical="center"/>
    </xf>
    <xf borderId="0" fillId="4" fontId="32" numFmtId="0" xfId="0" applyAlignment="1" applyFont="1">
      <alignment horizontal="center" readingOrder="0" vertical="center"/>
    </xf>
    <xf borderId="3" fillId="5" fontId="32" numFmtId="0" xfId="0" applyAlignment="1" applyBorder="1" applyFont="1">
      <alignment horizontal="center" readingOrder="0" shrinkToFit="0" vertical="center" wrapText="1"/>
    </xf>
    <xf borderId="3" fillId="5" fontId="20" numFmtId="172" xfId="0" applyAlignment="1" applyBorder="1" applyFont="1" applyNumberFormat="1">
      <alignment horizontal="center" readingOrder="0" vertical="center"/>
    </xf>
    <xf borderId="0" fillId="5" fontId="32" numFmtId="0" xfId="0" applyAlignment="1" applyFont="1">
      <alignment horizontal="center" readingOrder="0" vertical="center"/>
    </xf>
    <xf borderId="3" fillId="5" fontId="127" numFmtId="0" xfId="0" applyAlignment="1" applyBorder="1" applyFont="1">
      <alignment horizontal="center" readingOrder="0" vertical="center"/>
    </xf>
    <xf borderId="3" fillId="4" fontId="75" numFmtId="165" xfId="0" applyAlignment="1" applyBorder="1" applyFont="1" applyNumberFormat="1">
      <alignment horizontal="center" readingOrder="0" vertical="center"/>
    </xf>
    <xf borderId="3" fillId="5" fontId="75" numFmtId="165" xfId="0" applyAlignment="1" applyBorder="1" applyFont="1" applyNumberFormat="1">
      <alignment horizontal="center" readingOrder="0" vertical="center"/>
    </xf>
    <xf borderId="3" fillId="4" fontId="128" numFmtId="0" xfId="0" applyAlignment="1" applyBorder="1" applyFont="1">
      <alignment horizontal="center" readingOrder="0" vertical="center"/>
    </xf>
    <xf borderId="3" fillId="4" fontId="128" numFmtId="172" xfId="0" applyAlignment="1" applyBorder="1" applyFont="1" applyNumberFormat="1">
      <alignment horizontal="center" readingOrder="0" shrinkToFit="0" vertical="center" wrapText="1"/>
    </xf>
    <xf borderId="3" fillId="4" fontId="128" numFmtId="171" xfId="0" applyAlignment="1" applyBorder="1" applyFont="1" applyNumberFormat="1">
      <alignment horizontal="center" readingOrder="0" vertical="center"/>
    </xf>
    <xf borderId="3" fillId="5" fontId="128" numFmtId="0" xfId="0" applyAlignment="1" applyBorder="1" applyFont="1">
      <alignment horizontal="center" readingOrder="0" vertical="center"/>
    </xf>
    <xf borderId="3" fillId="5" fontId="128" numFmtId="172" xfId="0" applyAlignment="1" applyBorder="1" applyFont="1" applyNumberFormat="1">
      <alignment horizontal="center" readingOrder="0" shrinkToFit="0" vertical="center" wrapText="1"/>
    </xf>
    <xf borderId="3" fillId="5" fontId="128" numFmtId="171" xfId="0" applyAlignment="1" applyBorder="1" applyFont="1" applyNumberFormat="1">
      <alignment horizontal="center" readingOrder="0" vertical="center"/>
    </xf>
    <xf borderId="3" fillId="5" fontId="93" numFmtId="0" xfId="0" applyAlignment="1" applyBorder="1" applyFont="1">
      <alignment horizontal="center" readingOrder="0" vertical="center"/>
    </xf>
    <xf borderId="3" fillId="4" fontId="128" numFmtId="0" xfId="0" applyAlignment="1" applyBorder="1" applyFont="1">
      <alignment horizontal="center" readingOrder="0" shrinkToFit="0" vertical="center" wrapText="1"/>
    </xf>
    <xf borderId="3" fillId="4" fontId="32" numFmtId="0" xfId="0" applyAlignment="1" applyBorder="1" applyFont="1">
      <alignment horizontal="center" vertical="center"/>
    </xf>
    <xf borderId="3" fillId="5" fontId="32" numFmtId="0" xfId="0" applyAlignment="1" applyBorder="1" applyFont="1">
      <alignment horizontal="center" vertical="center"/>
    </xf>
    <xf borderId="8" fillId="13" fontId="129" numFmtId="0" xfId="0" applyAlignment="1" applyBorder="1" applyFont="1">
      <alignment horizontal="center" readingOrder="0" vertical="center"/>
    </xf>
    <xf borderId="3" fillId="4" fontId="32" numFmtId="0" xfId="0" applyAlignment="1" applyBorder="1" applyFont="1">
      <alignment horizontal="center" shrinkToFit="0" vertical="center" wrapText="1"/>
    </xf>
    <xf borderId="3" fillId="4" fontId="75" numFmtId="165" xfId="0" applyAlignment="1" applyBorder="1" applyFont="1" applyNumberFormat="1">
      <alignment horizontal="center" vertical="center"/>
    </xf>
    <xf borderId="3" fillId="5" fontId="130" numFmtId="0" xfId="0" applyAlignment="1" applyBorder="1" applyFont="1">
      <alignment horizontal="center" readingOrder="0" vertical="center"/>
    </xf>
    <xf borderId="3" fillId="5" fontId="130" numFmtId="0" xfId="0" applyAlignment="1" applyBorder="1" applyFont="1">
      <alignment horizontal="center" readingOrder="0" shrinkToFit="0" vertical="center" wrapText="1"/>
    </xf>
    <xf borderId="3" fillId="4" fontId="130" numFmtId="0" xfId="0" applyAlignment="1" applyBorder="1" applyFont="1">
      <alignment horizontal="center" readingOrder="0" vertical="center"/>
    </xf>
    <xf borderId="3" fillId="4" fontId="130" numFmtId="0" xfId="0" applyAlignment="1" applyBorder="1" applyFont="1">
      <alignment horizontal="center" readingOrder="0" shrinkToFit="0" vertical="center" wrapText="1"/>
    </xf>
    <xf borderId="3" fillId="5" fontId="32" numFmtId="0" xfId="0" applyAlignment="1" applyBorder="1" applyFont="1">
      <alignment horizontal="center" vertical="center"/>
    </xf>
    <xf borderId="3" fillId="5" fontId="19" numFmtId="0" xfId="0" applyAlignment="1" applyBorder="1" applyFont="1">
      <alignment horizontal="center" shrinkToFit="0" vertical="center" wrapText="0"/>
    </xf>
    <xf borderId="3" fillId="5" fontId="20" numFmtId="0" xfId="0" applyAlignment="1" applyBorder="1" applyFont="1">
      <alignment horizontal="center" shrinkToFit="0" vertical="center" wrapText="0"/>
    </xf>
    <xf borderId="3" fillId="4" fontId="32" numFmtId="0" xfId="0" applyAlignment="1" applyBorder="1" applyFont="1">
      <alignment horizontal="center" vertical="center"/>
    </xf>
    <xf borderId="3" fillId="4" fontId="20" numFmtId="0" xfId="0" applyAlignment="1" applyBorder="1" applyFont="1">
      <alignment horizontal="center" shrinkToFit="0" vertical="center" wrapText="0"/>
    </xf>
    <xf borderId="3" fillId="15" fontId="110" numFmtId="0" xfId="0" applyAlignment="1" applyBorder="1" applyFont="1">
      <alignment horizontal="center" readingOrder="0" vertical="center"/>
    </xf>
    <xf borderId="3" fillId="15" fontId="130" numFmtId="0" xfId="0" applyAlignment="1" applyBorder="1" applyFont="1">
      <alignment horizontal="center" readingOrder="0" vertical="center"/>
    </xf>
    <xf borderId="3" fillId="15" fontId="130" numFmtId="0" xfId="0" applyAlignment="1" applyBorder="1" applyFont="1">
      <alignment horizontal="center" readingOrder="0" shrinkToFit="0" vertical="center" wrapText="1"/>
    </xf>
    <xf borderId="3" fillId="15" fontId="75" numFmtId="165" xfId="0" applyAlignment="1" applyBorder="1" applyFont="1" applyNumberFormat="1">
      <alignment horizontal="center" readingOrder="0" vertical="center"/>
    </xf>
    <xf borderId="3" fillId="15" fontId="110" numFmtId="171" xfId="0" applyAlignment="1" applyBorder="1" applyFont="1" applyNumberFormat="1">
      <alignment horizontal="center" readingOrder="0" vertical="center"/>
    </xf>
    <xf borderId="3" fillId="15" fontId="75" numFmtId="0" xfId="0" applyAlignment="1" applyBorder="1" applyFont="1">
      <alignment horizontal="center" readingOrder="0" shrinkToFit="0" vertical="center" wrapText="0"/>
    </xf>
    <xf borderId="3" fillId="15" fontId="131" numFmtId="0" xfId="0" applyAlignment="1" applyBorder="1" applyFont="1">
      <alignment horizontal="center" readingOrder="0" shrinkToFit="0" vertical="center" wrapText="0"/>
    </xf>
    <xf borderId="3" fillId="15" fontId="110" numFmtId="0" xfId="0" applyAlignment="1" applyBorder="1" applyFont="1">
      <alignment horizontal="center" readingOrder="0" shrinkToFit="0" vertical="center" wrapText="0"/>
    </xf>
    <xf borderId="0" fillId="15" fontId="130" numFmtId="0" xfId="0" applyAlignment="1" applyFont="1">
      <alignment horizontal="center" vertical="center"/>
    </xf>
    <xf borderId="0" fillId="15" fontId="130" numFmtId="0" xfId="0" applyAlignment="1" applyFont="1">
      <alignment horizontal="center" vertical="center"/>
    </xf>
    <xf borderId="3" fillId="4" fontId="19" numFmtId="176" xfId="0" applyAlignment="1" applyBorder="1" applyFont="1" applyNumberFormat="1">
      <alignment horizontal="center" readingOrder="0" vertical="center"/>
    </xf>
    <xf borderId="3" fillId="4" fontId="32" numFmtId="172" xfId="0" applyAlignment="1" applyBorder="1" applyFont="1" applyNumberFormat="1">
      <alignment horizontal="center" readingOrder="0" vertical="center"/>
    </xf>
    <xf borderId="3" fillId="4" fontId="19" numFmtId="177" xfId="0" applyAlignment="1" applyBorder="1" applyFont="1" applyNumberFormat="1">
      <alignment horizontal="center" readingOrder="0" vertical="center"/>
    </xf>
    <xf borderId="3" fillId="4" fontId="19" numFmtId="178" xfId="0" applyAlignment="1" applyBorder="1" applyFont="1" applyNumberFormat="1">
      <alignment horizontal="center" readingOrder="0" vertical="center"/>
    </xf>
    <xf borderId="3" fillId="4" fontId="132" numFmtId="0" xfId="0" applyAlignment="1" applyBorder="1" applyFont="1">
      <alignment horizontal="center" readingOrder="0" vertical="center"/>
    </xf>
    <xf borderId="3" fillId="5" fontId="19" numFmtId="178" xfId="0" applyAlignment="1" applyBorder="1" applyFont="1" applyNumberFormat="1">
      <alignment horizontal="center" readingOrder="0" vertical="center"/>
    </xf>
    <xf borderId="3" fillId="5" fontId="133" numFmtId="0" xfId="0" applyAlignment="1" applyBorder="1" applyFont="1">
      <alignment horizontal="center" readingOrder="0" vertical="center"/>
    </xf>
    <xf borderId="3" fillId="5" fontId="19" numFmtId="175" xfId="0" applyAlignment="1" applyBorder="1" applyFont="1" applyNumberFormat="1">
      <alignment horizontal="center" readingOrder="0" vertical="center"/>
    </xf>
    <xf borderId="3" fillId="4" fontId="19" numFmtId="175" xfId="0" applyAlignment="1" applyBorder="1" applyFont="1" applyNumberFormat="1">
      <alignment horizontal="center" readingOrder="0" vertical="center"/>
    </xf>
    <xf borderId="3" fillId="5" fontId="78" numFmtId="0" xfId="0" applyAlignment="1" applyBorder="1" applyFont="1">
      <alignment horizontal="center" readingOrder="0" shrinkToFit="0" vertical="center" wrapText="1"/>
    </xf>
    <xf borderId="3" fillId="5" fontId="78" numFmtId="178" xfId="0" applyAlignment="1" applyBorder="1" applyFont="1" applyNumberFormat="1">
      <alignment horizontal="center" readingOrder="0" vertical="center"/>
    </xf>
    <xf borderId="3" fillId="5" fontId="78" numFmtId="170" xfId="0" applyAlignment="1" applyBorder="1" applyFont="1" applyNumberFormat="1">
      <alignment horizontal="center" readingOrder="0" vertical="center"/>
    </xf>
    <xf borderId="3" fillId="5" fontId="108" numFmtId="0" xfId="0" applyAlignment="1" applyBorder="1" applyFont="1">
      <alignment horizontal="center" vertical="center"/>
    </xf>
    <xf borderId="3" fillId="4" fontId="78" numFmtId="0" xfId="0" applyAlignment="1" applyBorder="1" applyFont="1">
      <alignment horizontal="center" readingOrder="0" shrinkToFit="0" vertical="center" wrapText="1"/>
    </xf>
    <xf borderId="3" fillId="4" fontId="78" numFmtId="178" xfId="0" applyAlignment="1" applyBorder="1" applyFont="1" applyNumberFormat="1">
      <alignment horizontal="center" readingOrder="0" vertical="center"/>
    </xf>
    <xf borderId="3" fillId="4" fontId="78" numFmtId="170" xfId="0" applyAlignment="1" applyBorder="1" applyFont="1" applyNumberFormat="1">
      <alignment horizontal="center" readingOrder="0" vertical="center"/>
    </xf>
    <xf borderId="3" fillId="4" fontId="108" numFmtId="0" xfId="0" applyAlignment="1" applyBorder="1" applyFont="1">
      <alignment horizontal="center" vertical="center"/>
    </xf>
    <xf borderId="3" fillId="5" fontId="20" numFmtId="178" xfId="0" applyAlignment="1" applyBorder="1" applyFont="1" applyNumberFormat="1">
      <alignment horizontal="center" readingOrder="0" vertical="center"/>
    </xf>
    <xf borderId="3" fillId="5" fontId="20" numFmtId="170" xfId="0" applyAlignment="1" applyBorder="1" applyFont="1" applyNumberFormat="1">
      <alignment horizontal="center" readingOrder="0" vertical="center"/>
    </xf>
    <xf borderId="0" fillId="5" fontId="20" numFmtId="0" xfId="0" applyAlignment="1" applyFont="1">
      <alignment horizontal="center" vertical="center"/>
    </xf>
    <xf borderId="0" fillId="4" fontId="20" numFmtId="0" xfId="0" applyAlignment="1" applyFont="1">
      <alignment horizontal="center" vertical="center"/>
    </xf>
    <xf borderId="3" fillId="4" fontId="32" numFmtId="178" xfId="0" applyAlignment="1" applyBorder="1" applyFont="1" applyNumberFormat="1">
      <alignment horizontal="center" readingOrder="0" vertical="center"/>
    </xf>
    <xf borderId="3" fillId="4" fontId="32" numFmtId="170" xfId="0" applyAlignment="1" applyBorder="1" applyFont="1" applyNumberFormat="1">
      <alignment horizontal="center" readingOrder="0" vertical="center"/>
    </xf>
    <xf borderId="0" fillId="0" fontId="32" numFmtId="0" xfId="0" applyAlignment="1" applyFont="1">
      <alignment horizontal="center" vertical="center"/>
    </xf>
    <xf borderId="3" fillId="5" fontId="20" numFmtId="165" xfId="0" applyAlignment="1" applyBorder="1" applyFont="1" applyNumberFormat="1">
      <alignment horizontal="center" readingOrder="0" vertical="center"/>
    </xf>
    <xf borderId="3" fillId="5" fontId="93" numFmtId="172" xfId="0" applyAlignment="1" applyBorder="1" applyFont="1" applyNumberFormat="1">
      <alignment horizontal="center" readingOrder="0" vertical="center"/>
    </xf>
    <xf borderId="3" fillId="4" fontId="32" numFmtId="165" xfId="0" applyAlignment="1" applyBorder="1" applyFont="1" applyNumberFormat="1">
      <alignment horizontal="center" readingOrder="0" vertical="center"/>
    </xf>
    <xf borderId="3" fillId="4" fontId="134" numFmtId="0" xfId="0" applyAlignment="1" applyBorder="1" applyFont="1">
      <alignment horizontal="center" readingOrder="0" vertical="center"/>
    </xf>
    <xf borderId="0" fillId="4" fontId="110" numFmtId="0" xfId="0" applyAlignment="1" applyFont="1">
      <alignment horizontal="center" vertical="center"/>
    </xf>
    <xf borderId="3" fillId="5" fontId="32" numFmtId="165" xfId="0" applyAlignment="1" applyBorder="1" applyFont="1" applyNumberFormat="1">
      <alignment horizontal="center" readingOrder="0" vertical="center"/>
    </xf>
    <xf borderId="0" fillId="5" fontId="110" numFmtId="0" xfId="0" applyAlignment="1" applyFont="1">
      <alignment horizontal="center" vertical="center"/>
    </xf>
    <xf borderId="3" fillId="4" fontId="108" numFmtId="0" xfId="0" applyAlignment="1" applyBorder="1" applyFont="1">
      <alignment horizontal="center" readingOrder="0" vertical="center"/>
    </xf>
    <xf borderId="3" fillId="5" fontId="135" numFmtId="165" xfId="0" applyAlignment="1" applyBorder="1" applyFont="1" applyNumberFormat="1">
      <alignment horizontal="center" readingOrder="0" vertical="center"/>
    </xf>
    <xf borderId="3" fillId="5" fontId="20" numFmtId="172" xfId="0" applyAlignment="1" applyBorder="1" applyFont="1" applyNumberFormat="1">
      <alignment horizontal="center" readingOrder="0" shrinkToFit="0" vertical="center" wrapText="1"/>
    </xf>
    <xf borderId="3" fillId="5" fontId="97" numFmtId="167" xfId="0" applyAlignment="1" applyBorder="1" applyFont="1" applyNumberFormat="1">
      <alignment horizontal="center" readingOrder="0" vertical="center"/>
    </xf>
    <xf borderId="3" fillId="5" fontId="123" numFmtId="0" xfId="0" applyAlignment="1" applyBorder="1" applyFont="1">
      <alignment horizontal="center" readingOrder="0" shrinkToFit="0" vertical="center" wrapText="0"/>
    </xf>
    <xf borderId="0" fillId="5" fontId="96" numFmtId="0" xfId="0" applyAlignment="1" applyFont="1">
      <alignment horizontal="center" shrinkToFit="0" vertical="center" wrapText="1"/>
    </xf>
    <xf borderId="8" fillId="2" fontId="136" numFmtId="0" xfId="0" applyAlignment="1" applyBorder="1" applyFont="1">
      <alignment horizontal="center" readingOrder="0" vertical="center"/>
    </xf>
    <xf borderId="3" fillId="4" fontId="20" numFmtId="178" xfId="0" applyAlignment="1" applyBorder="1" applyFont="1" applyNumberFormat="1">
      <alignment horizontal="center" readingOrder="0" vertical="center"/>
    </xf>
    <xf borderId="3" fillId="4" fontId="20" numFmtId="177" xfId="0" applyAlignment="1" applyBorder="1" applyFont="1" applyNumberFormat="1">
      <alignment horizontal="center" readingOrder="0" vertical="center"/>
    </xf>
    <xf borderId="0" fillId="4" fontId="4" numFmtId="0" xfId="0" applyAlignment="1" applyFont="1">
      <alignment horizontal="center" readingOrder="0"/>
    </xf>
    <xf borderId="3" fillId="5" fontId="20" numFmtId="177" xfId="0" applyAlignment="1" applyBorder="1" applyFont="1" applyNumberFormat="1">
      <alignment horizontal="center" readingOrder="0" vertical="center"/>
    </xf>
    <xf borderId="0" fillId="5" fontId="4" numFmtId="0" xfId="0" applyAlignment="1" applyFont="1">
      <alignment horizontal="center" readingOrder="0"/>
    </xf>
    <xf borderId="3" fillId="5" fontId="93" numFmtId="0" xfId="0" applyAlignment="1" applyBorder="1" applyFont="1">
      <alignment horizontal="center" readingOrder="0" shrinkToFit="0" vertical="center" wrapText="1"/>
    </xf>
    <xf borderId="3" fillId="4" fontId="96" numFmtId="0" xfId="0" applyAlignment="1" applyBorder="1" applyFont="1">
      <alignment horizontal="center" readingOrder="0" shrinkToFit="0" vertical="center" wrapText="0"/>
    </xf>
    <xf borderId="3" fillId="4" fontId="137" numFmtId="0" xfId="0" applyAlignment="1" applyBorder="1" applyFont="1">
      <alignment horizontal="center" readingOrder="0" shrinkToFit="0" vertical="center" wrapText="0"/>
    </xf>
    <xf borderId="3" fillId="4" fontId="32" numFmtId="9" xfId="0" applyAlignment="1" applyBorder="1" applyFont="1" applyNumberFormat="1">
      <alignment horizontal="center" readingOrder="0" vertical="center"/>
    </xf>
    <xf borderId="8" fillId="4" fontId="19" numFmtId="0" xfId="0" applyAlignment="1" applyBorder="1" applyFont="1">
      <alignment horizontal="center" readingOrder="0" vertical="center"/>
    </xf>
    <xf borderId="3" fillId="5" fontId="97" numFmtId="0" xfId="0" applyAlignment="1" applyBorder="1" applyFont="1">
      <alignment horizontal="center" readingOrder="0" shrinkToFit="0" vertical="center" wrapText="1"/>
    </xf>
    <xf borderId="3" fillId="5" fontId="138" numFmtId="0" xfId="0" applyAlignment="1" applyBorder="1" applyFont="1">
      <alignment horizontal="center" readingOrder="0" shrinkToFit="0" vertical="center" wrapText="0"/>
    </xf>
    <xf borderId="0" fillId="5" fontId="138" numFmtId="0" xfId="0" applyAlignment="1" applyFont="1">
      <alignment horizontal="center" readingOrder="0" shrinkToFit="0" vertical="center" wrapText="0"/>
    </xf>
    <xf borderId="3" fillId="4" fontId="97" numFmtId="0" xfId="0" applyAlignment="1" applyBorder="1" applyFont="1">
      <alignment horizontal="center" readingOrder="0" shrinkToFit="0" vertical="center" wrapText="1"/>
    </xf>
    <xf borderId="3" fillId="4" fontId="138" numFmtId="0" xfId="0" applyAlignment="1" applyBorder="1" applyFont="1">
      <alignment horizontal="center" readingOrder="0" shrinkToFit="0" vertical="center" wrapText="0"/>
    </xf>
    <xf borderId="0" fillId="4" fontId="138" numFmtId="0" xfId="0" applyAlignment="1" applyFont="1">
      <alignment horizontal="center" readingOrder="0" shrinkToFit="0" vertical="center" wrapText="0"/>
    </xf>
    <xf borderId="0" fillId="4" fontId="123" numFmtId="0" xfId="0" applyAlignment="1" applyFont="1">
      <alignment horizontal="center" readingOrder="0" shrinkToFit="0" vertical="center" wrapText="0"/>
    </xf>
    <xf borderId="0" fillId="15" fontId="20" numFmtId="0" xfId="0" applyAlignment="1" applyFont="1">
      <alignment horizontal="center" vertical="center"/>
    </xf>
    <xf borderId="3" fillId="4" fontId="19" numFmtId="167" xfId="0" applyAlignment="1" applyBorder="1" applyFont="1" applyNumberFormat="1">
      <alignment horizontal="center" vertical="center"/>
    </xf>
    <xf borderId="3" fillId="5" fontId="139" numFmtId="0" xfId="0" applyAlignment="1" applyBorder="1" applyFont="1">
      <alignment horizontal="center" readingOrder="0" shrinkToFit="0" vertical="center" wrapText="0"/>
    </xf>
    <xf borderId="3" fillId="4" fontId="140" numFmtId="0" xfId="0" applyAlignment="1" applyBorder="1" applyFont="1">
      <alignment horizontal="center" readingOrder="0" vertical="center"/>
    </xf>
    <xf borderId="3" fillId="5" fontId="141" numFmtId="0" xfId="0" applyAlignment="1" applyBorder="1" applyFont="1">
      <alignment horizontal="center" readingOrder="0" shrinkToFit="0" vertical="center" wrapText="0"/>
    </xf>
    <xf borderId="0" fillId="5" fontId="93" numFmtId="0" xfId="0" applyAlignment="1" applyFont="1">
      <alignment horizontal="center" shrinkToFit="0" vertical="center" wrapText="1"/>
    </xf>
    <xf borderId="0" fillId="5" fontId="93" numFmtId="0" xfId="0" applyAlignment="1" applyFont="1">
      <alignment horizontal="center" vertical="center"/>
    </xf>
    <xf borderId="0" fillId="0" fontId="93" numFmtId="0" xfId="0" applyAlignment="1" applyFont="1">
      <alignment horizontal="center" vertical="center"/>
    </xf>
    <xf borderId="0" fillId="4" fontId="19" numFmtId="0" xfId="0" applyAlignment="1" applyFont="1">
      <alignment horizontal="center" shrinkToFit="0" vertical="center" wrapText="1"/>
    </xf>
    <xf borderId="0" fillId="4" fontId="19" numFmtId="0" xfId="0" applyAlignment="1" applyFont="1">
      <alignment horizontal="center" vertical="center"/>
    </xf>
    <xf borderId="0" fillId="0" fontId="19" numFmtId="0" xfId="0" applyAlignment="1" applyFont="1">
      <alignment horizontal="center" vertical="center"/>
    </xf>
    <xf borderId="3" fillId="5" fontId="142" numFmtId="0" xfId="0" applyAlignment="1" applyBorder="1" applyFont="1">
      <alignment horizontal="center" readingOrder="0" shrinkToFit="0" vertical="center" wrapText="0"/>
    </xf>
    <xf borderId="0" fillId="5" fontId="19" numFmtId="0" xfId="0" applyAlignment="1" applyFont="1">
      <alignment horizontal="center" shrinkToFit="0" vertical="center" wrapText="1"/>
    </xf>
    <xf borderId="0" fillId="5" fontId="19" numFmtId="0" xfId="0" applyAlignment="1" applyFont="1">
      <alignment horizontal="center" vertical="center"/>
    </xf>
    <xf borderId="3" fillId="4" fontId="108" numFmtId="171" xfId="0" applyAlignment="1" applyBorder="1" applyFont="1" applyNumberFormat="1">
      <alignment horizontal="center" readingOrder="0" vertical="center"/>
    </xf>
    <xf borderId="3" fillId="5" fontId="140" numFmtId="0" xfId="0" applyAlignment="1" applyBorder="1" applyFont="1">
      <alignment horizontal="center" readingOrder="0" vertical="center"/>
    </xf>
    <xf borderId="3" fillId="5" fontId="20" numFmtId="0" xfId="0" applyAlignment="1" applyBorder="1" applyFont="1">
      <alignment horizontal="center" readingOrder="0" vertical="center"/>
    </xf>
    <xf borderId="0" fillId="13" fontId="110" numFmtId="0" xfId="0" applyAlignment="1" applyFont="1">
      <alignment horizontal="center" readingOrder="0" vertical="center"/>
    </xf>
    <xf borderId="3" fillId="5" fontId="143" numFmtId="0" xfId="0" applyAlignment="1" applyBorder="1" applyFont="1">
      <alignment horizontal="center" readingOrder="0" vertical="center"/>
    </xf>
    <xf borderId="3" fillId="5" fontId="144" numFmtId="0" xfId="0" applyAlignment="1" applyBorder="1" applyFont="1">
      <alignment horizontal="center" readingOrder="0" shrinkToFit="0" vertical="center" wrapText="1"/>
    </xf>
    <xf borderId="3" fillId="5" fontId="128" numFmtId="165" xfId="0" applyAlignment="1" applyBorder="1" applyFont="1" applyNumberFormat="1">
      <alignment horizontal="center" readingOrder="0" vertical="center"/>
    </xf>
    <xf borderId="3" fillId="5" fontId="93" numFmtId="0" xfId="0" applyAlignment="1" applyBorder="1" applyFont="1">
      <alignment horizontal="center" readingOrder="0" shrinkToFit="0" vertical="center" wrapText="0"/>
    </xf>
    <xf borderId="3" fillId="4" fontId="143" numFmtId="0" xfId="0" applyAlignment="1" applyBorder="1" applyFont="1">
      <alignment horizontal="center" readingOrder="0" vertical="center"/>
    </xf>
    <xf borderId="3" fillId="4" fontId="144" numFmtId="0" xfId="0" applyAlignment="1" applyBorder="1" applyFont="1">
      <alignment horizontal="center" readingOrder="0" shrinkToFit="0" vertical="center" wrapText="1"/>
    </xf>
    <xf borderId="3" fillId="4" fontId="128" numFmtId="165" xfId="0" applyAlignment="1" applyBorder="1" applyFont="1" applyNumberFormat="1">
      <alignment horizontal="center" readingOrder="0" vertical="center"/>
    </xf>
    <xf borderId="3" fillId="4" fontId="93" numFmtId="0" xfId="0" applyAlignment="1" applyBorder="1" applyFont="1">
      <alignment horizontal="center" readingOrder="0" shrinkToFit="0" vertical="center" wrapText="0"/>
    </xf>
    <xf borderId="0" fillId="4" fontId="93" numFmtId="0" xfId="0" applyAlignment="1" applyFont="1">
      <alignment horizontal="center" vertical="center"/>
    </xf>
    <xf borderId="3" fillId="5" fontId="145" numFmtId="0" xfId="0" applyAlignment="1" applyBorder="1" applyFont="1">
      <alignment horizontal="center" readingOrder="0" shrinkToFit="0" vertical="center" wrapText="1"/>
    </xf>
    <xf borderId="0" fillId="5" fontId="20" numFmtId="0" xfId="0" applyAlignment="1" applyFont="1">
      <alignment horizontal="center" readingOrder="0" shrinkToFit="0" vertical="center" wrapText="0"/>
    </xf>
    <xf borderId="3" fillId="4" fontId="145" numFmtId="0" xfId="0" applyAlignment="1" applyBorder="1" applyFont="1">
      <alignment horizontal="center" readingOrder="0" shrinkToFit="0" vertical="center" wrapText="1"/>
    </xf>
    <xf borderId="3" fillId="5" fontId="135" numFmtId="0" xfId="0" applyAlignment="1" applyBorder="1" applyFont="1">
      <alignment horizontal="center" readingOrder="0" shrinkToFit="0" vertical="center" wrapText="1"/>
    </xf>
    <xf borderId="3" fillId="4" fontId="135" numFmtId="0" xfId="0" applyAlignment="1" applyBorder="1" applyFont="1">
      <alignment horizontal="center" readingOrder="0" shrinkToFit="0" vertical="center" wrapText="1"/>
    </xf>
    <xf borderId="3" fillId="4" fontId="20" numFmtId="9" xfId="0" applyAlignment="1" applyBorder="1" applyFont="1" applyNumberFormat="1">
      <alignment horizontal="center" readingOrder="0" vertical="center"/>
    </xf>
    <xf borderId="3" fillId="5" fontId="20" numFmtId="9" xfId="0" applyAlignment="1" applyBorder="1" applyFont="1" applyNumberFormat="1">
      <alignment horizontal="center" readingOrder="0" vertical="center"/>
    </xf>
    <xf borderId="3" fillId="5" fontId="78" numFmtId="0" xfId="0" applyAlignment="1" applyBorder="1" applyFont="1">
      <alignment horizontal="center" readingOrder="0" vertical="center"/>
    </xf>
    <xf borderId="3" fillId="4" fontId="78" numFmtId="0" xfId="0" applyAlignment="1" applyBorder="1" applyFont="1">
      <alignment horizontal="center" readingOrder="0" vertical="center"/>
    </xf>
    <xf borderId="3" fillId="5" fontId="78" numFmtId="165" xfId="0" applyAlignment="1" applyBorder="1" applyFont="1" applyNumberFormat="1">
      <alignment horizontal="center" readingOrder="0" vertical="center"/>
    </xf>
    <xf borderId="3" fillId="4" fontId="130" numFmtId="0" xfId="0" applyAlignment="1" applyBorder="1" applyFont="1">
      <alignment horizontal="center" vertical="center"/>
    </xf>
    <xf borderId="3" fillId="4" fontId="130" numFmtId="0" xfId="0" applyAlignment="1" applyBorder="1" applyFont="1">
      <alignment horizontal="center" shrinkToFit="0" vertical="center" wrapText="1"/>
    </xf>
    <xf borderId="3" fillId="5" fontId="20" numFmtId="164" xfId="0" applyAlignment="1" applyBorder="1" applyFont="1" applyNumberFormat="1">
      <alignment horizontal="center" readingOrder="0" vertical="center"/>
    </xf>
    <xf borderId="3" fillId="4" fontId="108" numFmtId="0" xfId="0" applyAlignment="1" applyBorder="1" applyFont="1">
      <alignment horizontal="center" readingOrder="0" shrinkToFit="0" vertical="center" wrapText="1"/>
    </xf>
    <xf borderId="3" fillId="5" fontId="108" numFmtId="0" xfId="0" applyAlignment="1" applyBorder="1" applyFont="1">
      <alignment horizontal="center" readingOrder="0" shrinkToFit="0" vertical="center" wrapText="1"/>
    </xf>
    <xf borderId="3" fillId="5" fontId="19" numFmtId="177" xfId="0" applyAlignment="1" applyBorder="1" applyFont="1" applyNumberFormat="1">
      <alignment horizontal="center" readingOrder="0" vertical="center"/>
    </xf>
    <xf borderId="3" fillId="15" fontId="108" numFmtId="0" xfId="0" applyAlignment="1" applyBorder="1" applyFont="1">
      <alignment horizontal="center" readingOrder="0" shrinkToFit="0" vertical="center" wrapText="1"/>
    </xf>
    <xf borderId="3" fillId="15" fontId="32" numFmtId="172" xfId="0" applyAlignment="1" applyBorder="1" applyFont="1" applyNumberFormat="1">
      <alignment horizontal="center" readingOrder="0" shrinkToFit="0" vertical="center" wrapText="1"/>
    </xf>
    <xf borderId="3" fillId="15" fontId="19" numFmtId="177" xfId="0" applyAlignment="1" applyBorder="1" applyFont="1" applyNumberFormat="1">
      <alignment horizontal="center" readingOrder="0" vertical="center"/>
    </xf>
    <xf borderId="3" fillId="15" fontId="32" numFmtId="172" xfId="0" applyAlignment="1" applyBorder="1" applyFont="1" applyNumberFormat="1">
      <alignment horizontal="center" shrinkToFit="0" vertical="center" wrapText="1"/>
    </xf>
    <xf borderId="3" fillId="4" fontId="19" numFmtId="0" xfId="0" applyAlignment="1" applyBorder="1" applyFont="1">
      <alignment horizontal="center" readingOrder="0" shrinkToFit="0" vertical="center" wrapText="0"/>
    </xf>
    <xf borderId="3" fillId="5" fontId="32" numFmtId="172" xfId="0" applyAlignment="1" applyBorder="1" applyFont="1" applyNumberFormat="1">
      <alignment horizontal="center" shrinkToFit="0" vertical="center" wrapText="1"/>
    </xf>
    <xf borderId="3" fillId="5" fontId="20" numFmtId="172" xfId="0" applyAlignment="1" applyBorder="1" applyFont="1" applyNumberFormat="1">
      <alignment horizontal="center" vertical="center"/>
    </xf>
    <xf borderId="3" fillId="15" fontId="145" numFmtId="0" xfId="0" applyAlignment="1" applyBorder="1" applyFont="1">
      <alignment horizontal="center" readingOrder="0" shrinkToFit="0" vertical="center" wrapText="1"/>
    </xf>
    <xf borderId="3" fillId="15" fontId="130" numFmtId="172" xfId="0" applyAlignment="1" applyBorder="1" applyFont="1" applyNumberFormat="1">
      <alignment horizontal="center" readingOrder="0" shrinkToFit="0" vertical="center" wrapText="1"/>
    </xf>
    <xf borderId="3" fillId="15" fontId="75" numFmtId="177" xfId="0" applyAlignment="1" applyBorder="1" applyFont="1" applyNumberFormat="1">
      <alignment horizontal="center" readingOrder="0" vertical="center"/>
    </xf>
    <xf borderId="3" fillId="15" fontId="110" numFmtId="172" xfId="0" applyAlignment="1" applyBorder="1" applyFont="1" applyNumberFormat="1">
      <alignment horizontal="center" readingOrder="0" vertical="center"/>
    </xf>
    <xf borderId="0" fillId="15" fontId="37" numFmtId="0" xfId="0" applyAlignment="1" applyFont="1">
      <alignment vertical="center"/>
    </xf>
    <xf borderId="3" fillId="5" fontId="19" numFmtId="176" xfId="0" applyAlignment="1" applyBorder="1" applyFont="1" applyNumberFormat="1">
      <alignment horizontal="center" readingOrder="0" vertical="center"/>
    </xf>
    <xf borderId="3" fillId="5" fontId="19" numFmtId="0" xfId="0" applyAlignment="1" applyBorder="1" applyFont="1">
      <alignment horizontal="center" readingOrder="0" shrinkToFit="0" vertical="center" wrapText="0"/>
    </xf>
    <xf borderId="3" fillId="4" fontId="20" numFmtId="176" xfId="0" applyAlignment="1" applyBorder="1" applyFont="1" applyNumberFormat="1">
      <alignment horizontal="center" readingOrder="0" vertical="center"/>
    </xf>
    <xf borderId="3" fillId="5" fontId="19" numFmtId="172" xfId="0" applyAlignment="1" applyBorder="1" applyFont="1" applyNumberFormat="1">
      <alignment horizontal="center" readingOrder="0" vertical="center"/>
    </xf>
    <xf borderId="0" fillId="5" fontId="75" numFmtId="0" xfId="0" applyAlignment="1" applyFont="1">
      <alignment horizontal="center" vertical="center"/>
    </xf>
    <xf borderId="0" fillId="4" fontId="75" numFmtId="0" xfId="0" applyAlignment="1" applyFont="1">
      <alignment horizontal="center" vertical="center"/>
    </xf>
    <xf borderId="3" fillId="4" fontId="19" numFmtId="172" xfId="0" applyAlignment="1" applyBorder="1" applyFont="1" applyNumberFormat="1">
      <alignment horizontal="center" readingOrder="0" vertical="center"/>
    </xf>
    <xf borderId="3" fillId="4" fontId="75" numFmtId="0" xfId="0" applyAlignment="1" applyBorder="1" applyFont="1">
      <alignment horizontal="center" readingOrder="0" shrinkToFit="0" vertical="center" wrapText="0"/>
    </xf>
    <xf borderId="3" fillId="5" fontId="130" numFmtId="0" xfId="0" applyAlignment="1" applyBorder="1" applyFont="1">
      <alignment horizontal="center" vertical="center"/>
    </xf>
    <xf borderId="3" fillId="5" fontId="135" numFmtId="0" xfId="0" applyAlignment="1" applyBorder="1" applyFont="1">
      <alignment horizontal="center" shrinkToFit="0" vertical="center" wrapText="1"/>
    </xf>
    <xf borderId="3" fillId="5" fontId="19" numFmtId="178" xfId="0" applyAlignment="1" applyBorder="1" applyFont="1" applyNumberFormat="1">
      <alignment horizontal="center" vertical="center"/>
    </xf>
    <xf borderId="3" fillId="5" fontId="19" numFmtId="170" xfId="0" applyAlignment="1" applyBorder="1" applyFont="1" applyNumberFormat="1">
      <alignment horizontal="center" vertical="center"/>
    </xf>
    <xf borderId="3" fillId="4" fontId="20" numFmtId="164" xfId="0" applyAlignment="1" applyBorder="1" applyFont="1" applyNumberFormat="1">
      <alignment horizontal="center" readingOrder="0" vertical="center"/>
    </xf>
    <xf borderId="3" fillId="5" fontId="19" numFmtId="9" xfId="0" applyAlignment="1" applyBorder="1" applyFont="1" applyNumberFormat="1">
      <alignment horizontal="center" readingOrder="0" vertical="center"/>
    </xf>
    <xf borderId="3" fillId="4" fontId="19" numFmtId="9" xfId="0" applyAlignment="1" applyBorder="1" applyFont="1" applyNumberFormat="1">
      <alignment horizontal="center" readingOrder="0" vertical="center"/>
    </xf>
    <xf borderId="3" fillId="4" fontId="135" numFmtId="0" xfId="0" applyAlignment="1" applyBorder="1" applyFont="1">
      <alignment horizontal="center" vertical="center"/>
    </xf>
    <xf borderId="3" fillId="5" fontId="145" numFmtId="0" xfId="0" applyAlignment="1" applyBorder="1" applyFont="1">
      <alignment horizontal="center" readingOrder="0" vertical="center"/>
    </xf>
    <xf borderId="3" fillId="4" fontId="145" numFmtId="0" xfId="0" applyAlignment="1" applyBorder="1" applyFont="1">
      <alignment horizontal="center" readingOrder="0" vertical="center"/>
    </xf>
    <xf borderId="3" fillId="5" fontId="93" numFmtId="165" xfId="0" applyAlignment="1" applyBorder="1" applyFont="1" applyNumberFormat="1">
      <alignment horizontal="center" readingOrder="0" vertical="center"/>
    </xf>
    <xf borderId="3" fillId="4" fontId="145" numFmtId="0" xfId="0" applyAlignment="1" applyBorder="1" applyFont="1">
      <alignment horizontal="center" shrinkToFit="0" vertical="center" wrapText="1"/>
    </xf>
    <xf borderId="3" fillId="4" fontId="93" numFmtId="165" xfId="0" applyAlignment="1" applyBorder="1" applyFont="1" applyNumberFormat="1">
      <alignment horizontal="center" vertical="center"/>
    </xf>
    <xf borderId="0" fillId="4" fontId="20" numFmtId="0" xfId="0" applyAlignment="1" applyFont="1">
      <alignment horizontal="center" readingOrder="0" shrinkToFit="0" vertical="center" wrapText="1"/>
    </xf>
    <xf borderId="0" fillId="0" fontId="20" numFmtId="0" xfId="0" applyAlignment="1" applyFont="1">
      <alignment horizontal="center" vertical="center"/>
    </xf>
    <xf borderId="3" fillId="5" fontId="32" numFmtId="165" xfId="0" applyAlignment="1" applyBorder="1" applyFont="1" applyNumberFormat="1">
      <alignment horizontal="center" readingOrder="0" shrinkToFit="0" vertical="center" wrapText="1"/>
    </xf>
    <xf borderId="3" fillId="5" fontId="146" numFmtId="176" xfId="0" applyAlignment="1" applyBorder="1" applyFont="1" applyNumberFormat="1">
      <alignment horizontal="center" readingOrder="0" shrinkToFit="0" vertical="center" wrapText="1"/>
    </xf>
    <xf borderId="0" fillId="5" fontId="35" numFmtId="0" xfId="0" applyAlignment="1" applyFont="1">
      <alignment horizontal="center" readingOrder="0" vertical="center"/>
    </xf>
    <xf borderId="3" fillId="5" fontId="146" numFmtId="0" xfId="0" applyAlignment="1" applyBorder="1" applyFont="1">
      <alignment horizontal="center" readingOrder="0" shrinkToFit="0" vertical="center" wrapText="1"/>
    </xf>
    <xf borderId="3" fillId="4" fontId="32" numFmtId="165" xfId="0" applyAlignment="1" applyBorder="1" applyFont="1" applyNumberFormat="1">
      <alignment horizontal="center" readingOrder="0" shrinkToFit="0" vertical="center" wrapText="1"/>
    </xf>
    <xf borderId="0" fillId="4" fontId="35" numFmtId="0" xfId="0" applyAlignment="1" applyFont="1">
      <alignment horizontal="center" readingOrder="0" vertical="center"/>
    </xf>
    <xf borderId="3" fillId="5" fontId="108" numFmtId="165" xfId="0" applyAlignment="1" applyBorder="1" applyFont="1" applyNumberFormat="1">
      <alignment horizontal="center" readingOrder="0" shrinkToFit="0" vertical="center" wrapText="1"/>
    </xf>
    <xf borderId="3" fillId="5" fontId="147" numFmtId="0" xfId="0" applyAlignment="1" applyBorder="1" applyFont="1">
      <alignment horizontal="center" readingOrder="0" vertical="center"/>
    </xf>
    <xf borderId="0" fillId="0" fontId="38" numFmtId="0" xfId="0" applyAlignment="1" applyFont="1">
      <alignment vertical="center"/>
    </xf>
    <xf borderId="3" fillId="0" fontId="20" numFmtId="0" xfId="0" applyAlignment="1" applyBorder="1" applyFont="1">
      <alignment horizontal="center" readingOrder="0" vertical="center"/>
    </xf>
    <xf borderId="3" fillId="0" fontId="20" numFmtId="0" xfId="0" applyAlignment="1" applyBorder="1" applyFont="1">
      <alignment horizontal="center" readingOrder="0" shrinkToFit="0" vertical="center" wrapText="1"/>
    </xf>
    <xf borderId="3" fillId="0" fontId="19" numFmtId="178" xfId="0" applyAlignment="1" applyBorder="1" applyFont="1" applyNumberFormat="1">
      <alignment horizontal="center" readingOrder="0" vertical="center"/>
    </xf>
    <xf borderId="3" fillId="0" fontId="19" numFmtId="167" xfId="0" applyAlignment="1" applyBorder="1" applyFont="1" applyNumberFormat="1">
      <alignment horizontal="center" readingOrder="0" vertical="center"/>
    </xf>
    <xf borderId="3" fillId="0" fontId="32" numFmtId="171" xfId="0" applyAlignment="1" applyBorder="1" applyFont="1" applyNumberFormat="1">
      <alignment horizontal="center" readingOrder="0" vertical="center"/>
    </xf>
    <xf borderId="3" fillId="0" fontId="108" numFmtId="0" xfId="0" applyAlignment="1" applyBorder="1" applyFont="1">
      <alignment horizontal="center" readingOrder="0" vertical="center"/>
    </xf>
    <xf borderId="3" fillId="0" fontId="148" numFmtId="0" xfId="0" applyAlignment="1" applyBorder="1" applyFont="1">
      <alignment horizontal="center" readingOrder="0" shrinkToFit="0" vertical="center" wrapText="0"/>
    </xf>
    <xf borderId="3" fillId="5" fontId="32" numFmtId="0" xfId="0" applyAlignment="1" applyBorder="1" applyFont="1">
      <alignment horizontal="center" readingOrder="0" shrinkToFit="0" vertical="center" wrapText="1"/>
    </xf>
    <xf borderId="3" fillId="5" fontId="32" numFmtId="165" xfId="0" applyAlignment="1" applyBorder="1" applyFont="1" applyNumberFormat="1">
      <alignment horizontal="center" readingOrder="0" shrinkToFit="0" vertical="center" wrapText="1"/>
    </xf>
    <xf borderId="3" fillId="5" fontId="20" numFmtId="172" xfId="0" applyAlignment="1" applyBorder="1" applyFont="1" applyNumberFormat="1">
      <alignment horizontal="center" readingOrder="0" vertical="center"/>
    </xf>
    <xf borderId="3" fillId="5" fontId="32" numFmtId="0" xfId="0" applyAlignment="1" applyBorder="1" applyFont="1">
      <alignment horizontal="center" readingOrder="0" vertical="center"/>
    </xf>
    <xf borderId="0" fillId="5" fontId="32" numFmtId="0" xfId="0" applyAlignment="1" applyFont="1">
      <alignment horizontal="center" readingOrder="0" vertical="center"/>
    </xf>
    <xf borderId="3" fillId="5" fontId="149" numFmtId="0" xfId="0" applyAlignment="1" applyBorder="1" applyFont="1">
      <alignment horizontal="center" readingOrder="0" shrinkToFit="0" vertical="center" wrapText="1"/>
    </xf>
    <xf borderId="3" fillId="13" fontId="19" numFmtId="178" xfId="0" applyAlignment="1" applyBorder="1" applyFont="1" applyNumberFormat="1">
      <alignment horizontal="center" readingOrder="0" vertical="center"/>
    </xf>
    <xf borderId="3" fillId="4" fontId="20" numFmtId="171" xfId="0" applyAlignment="1" applyBorder="1" applyFont="1" applyNumberFormat="1">
      <alignment horizontal="center" readingOrder="0" vertical="center"/>
    </xf>
    <xf borderId="3" fillId="4" fontId="20" numFmtId="0" xfId="0" applyAlignment="1" applyBorder="1" applyFont="1">
      <alignment horizontal="center" readingOrder="0" vertical="center"/>
    </xf>
    <xf borderId="3" fillId="4" fontId="80" numFmtId="0" xfId="0" applyAlignment="1" applyBorder="1" applyFont="1">
      <alignment horizontal="center" readingOrder="0" vertical="center"/>
    </xf>
    <xf borderId="3" fillId="4" fontId="80" numFmtId="0" xfId="0" applyAlignment="1" applyBorder="1" applyFont="1">
      <alignment horizontal="center" readingOrder="0" shrinkToFit="0" vertical="center" wrapText="1"/>
    </xf>
    <xf borderId="3" fillId="4" fontId="19" numFmtId="176" xfId="0" applyAlignment="1" applyBorder="1" applyFont="1" applyNumberFormat="1">
      <alignment horizontal="center" readingOrder="0" vertical="center"/>
    </xf>
    <xf borderId="3" fillId="4" fontId="19" numFmtId="167" xfId="0" applyAlignment="1" applyBorder="1" applyFont="1" applyNumberFormat="1">
      <alignment horizontal="center" readingOrder="0" vertical="center"/>
    </xf>
    <xf borderId="3" fillId="4" fontId="19" numFmtId="0" xfId="0" applyAlignment="1" applyBorder="1" applyFont="1">
      <alignment horizontal="center" readingOrder="0" vertical="center"/>
    </xf>
    <xf borderId="3" fillId="4" fontId="150" numFmtId="0" xfId="0" applyAlignment="1" applyBorder="1" applyFont="1">
      <alignment horizontal="center" readingOrder="0" shrinkToFit="0" vertical="center" wrapText="0"/>
    </xf>
    <xf borderId="3" fillId="4" fontId="20" numFmtId="0" xfId="0" applyAlignment="1" applyBorder="1" applyFont="1">
      <alignment horizontal="center" readingOrder="0" shrinkToFit="0" vertical="center" wrapText="0"/>
    </xf>
    <xf borderId="3" fillId="0" fontId="19" numFmtId="0" xfId="0" applyAlignment="1" applyBorder="1" applyFont="1">
      <alignment horizontal="center" readingOrder="0" vertical="center"/>
    </xf>
    <xf borderId="3" fillId="4" fontId="108" numFmtId="0" xfId="0" applyAlignment="1" applyBorder="1" applyFont="1">
      <alignment horizontal="center" readingOrder="0" vertical="center"/>
    </xf>
    <xf borderId="3" fillId="4" fontId="19" numFmtId="165" xfId="0" applyAlignment="1" applyBorder="1" applyFont="1" applyNumberFormat="1">
      <alignment horizontal="center" readingOrder="0" vertical="center"/>
    </xf>
    <xf borderId="3" fillId="4" fontId="19" numFmtId="164" xfId="0" applyAlignment="1" applyBorder="1" applyFont="1" applyNumberFormat="1">
      <alignment horizontal="center" readingOrder="0" vertical="center"/>
    </xf>
    <xf borderId="3" fillId="4" fontId="19" numFmtId="0" xfId="0" applyAlignment="1" applyBorder="1" applyFont="1">
      <alignment horizontal="center" readingOrder="0" shrinkToFit="0" vertical="center" wrapText="0"/>
    </xf>
    <xf borderId="3" fillId="0" fontId="32" numFmtId="0" xfId="0" applyAlignment="1" applyBorder="1" applyFont="1">
      <alignment horizontal="center" readingOrder="0" vertical="center"/>
    </xf>
    <xf borderId="3" fillId="0" fontId="19" numFmtId="0" xfId="0" applyAlignment="1" applyBorder="1" applyFont="1">
      <alignment horizontal="center" readingOrder="0" shrinkToFit="0" vertical="center" wrapText="0"/>
    </xf>
    <xf borderId="0" fillId="4" fontId="19" numFmtId="0" xfId="0" applyAlignment="1" applyFont="1">
      <alignment horizontal="center" vertical="center"/>
    </xf>
    <xf borderId="0" fillId="4" fontId="75" numFmtId="0" xfId="0" applyAlignment="1" applyFont="1">
      <alignment horizontal="center" vertical="center"/>
    </xf>
    <xf borderId="3" fillId="10" fontId="11" numFmtId="0" xfId="0" applyAlignment="1" applyBorder="1" applyFont="1">
      <alignment horizontal="center" readingOrder="0" shrinkToFit="0" vertical="center" wrapText="1"/>
    </xf>
    <xf borderId="3" fillId="10" fontId="11" numFmtId="0" xfId="0" applyAlignment="1" applyBorder="1" applyFont="1">
      <alignment horizontal="center" shrinkToFit="0" vertical="center" wrapText="1"/>
    </xf>
    <xf borderId="3" fillId="10" fontId="11" numFmtId="167" xfId="0" applyAlignment="1" applyBorder="1" applyFont="1" applyNumberFormat="1">
      <alignment horizontal="center" readingOrder="0" shrinkToFit="0" vertical="center" wrapText="1"/>
    </xf>
    <xf borderId="9" fillId="9" fontId="41" numFmtId="0" xfId="0" applyAlignment="1" applyBorder="1" applyFont="1">
      <alignment horizontal="center" readingOrder="0" vertical="center"/>
    </xf>
    <xf borderId="3" fillId="16" fontId="35" numFmtId="0" xfId="0" applyAlignment="1" applyBorder="1" applyFill="1" applyFont="1">
      <alignment horizontal="center" readingOrder="0" vertical="center"/>
    </xf>
    <xf borderId="3" fillId="4" fontId="31" numFmtId="170" xfId="0" applyAlignment="1" applyBorder="1" applyFont="1" applyNumberFormat="1">
      <alignment horizontal="center" readingOrder="0" vertical="center"/>
    </xf>
    <xf borderId="3" fillId="4" fontId="151" numFmtId="0" xfId="0" applyAlignment="1" applyBorder="1" applyFont="1">
      <alignment horizontal="center" readingOrder="0" vertical="center"/>
    </xf>
    <xf borderId="3" fillId="16" fontId="35" numFmtId="0" xfId="0" applyAlignment="1" applyBorder="1" applyFont="1">
      <alignment horizontal="center" readingOrder="0" vertical="bottom"/>
    </xf>
    <xf borderId="3" fillId="0" fontId="31" numFmtId="0" xfId="0" applyAlignment="1" applyBorder="1" applyFont="1">
      <alignment horizontal="center" readingOrder="0"/>
    </xf>
    <xf borderId="15" fillId="4" fontId="152" numFmtId="0" xfId="0" applyAlignment="1" applyBorder="1" applyFont="1">
      <alignment horizontal="center" readingOrder="0" vertical="center"/>
    </xf>
    <xf borderId="16" fillId="0" fontId="4" numFmtId="0" xfId="0" applyBorder="1" applyFont="1"/>
    <xf borderId="17" fillId="0" fontId="4" numFmtId="0" xfId="0" applyBorder="1" applyFont="1"/>
    <xf borderId="18" fillId="0" fontId="4" numFmtId="0" xfId="0" applyBorder="1" applyFont="1"/>
    <xf borderId="0" fillId="0" fontId="4" numFmtId="0" xfId="0" applyAlignment="1" applyFont="1">
      <alignment horizontal="left"/>
    </xf>
    <xf borderId="19" fillId="0" fontId="4" numFmtId="0" xfId="0" applyBorder="1" applyFont="1"/>
    <xf borderId="20" fillId="14" fontId="153" numFmtId="166" xfId="0" applyAlignment="1" applyBorder="1" applyFont="1" applyNumberFormat="1">
      <alignment horizontal="center" shrinkToFit="0" vertical="center" wrapText="1"/>
    </xf>
    <xf borderId="21" fillId="14" fontId="153" numFmtId="166" xfId="0" applyAlignment="1" applyBorder="1" applyFont="1" applyNumberFormat="1">
      <alignment horizontal="center" shrinkToFit="0" vertical="center" wrapText="1"/>
    </xf>
    <xf borderId="22" fillId="14" fontId="153" numFmtId="166" xfId="0" applyAlignment="1" applyBorder="1" applyFont="1" applyNumberFormat="1">
      <alignment horizontal="center" shrinkToFit="0" vertical="center" wrapText="1"/>
    </xf>
    <xf borderId="23" fillId="13" fontId="154" numFmtId="0" xfId="0" applyAlignment="1" applyBorder="1" applyFont="1">
      <alignment horizontal="center" readingOrder="0" vertical="center"/>
    </xf>
    <xf borderId="24" fillId="0" fontId="4" numFmtId="0" xfId="0" applyBorder="1" applyFont="1"/>
    <xf borderId="25" fillId="0" fontId="4" numFmtId="0" xfId="0" applyBorder="1" applyFont="1"/>
    <xf borderId="23" fillId="13" fontId="155" numFmtId="0" xfId="0" applyAlignment="1" applyBorder="1" applyFont="1">
      <alignment horizontal="center" readingOrder="0" vertical="center"/>
    </xf>
    <xf borderId="24" fillId="4" fontId="4" numFmtId="0" xfId="0" applyBorder="1" applyFont="1"/>
    <xf borderId="26" fillId="4" fontId="156" numFmtId="0" xfId="0" applyAlignment="1" applyBorder="1" applyFont="1">
      <alignment horizontal="left" readingOrder="0" vertical="center"/>
    </xf>
    <xf borderId="27" fillId="4" fontId="157" numFmtId="165" xfId="0" applyAlignment="1" applyBorder="1" applyFont="1" applyNumberFormat="1">
      <alignment horizontal="center" readingOrder="0" vertical="center"/>
    </xf>
    <xf borderId="27" fillId="4" fontId="157" numFmtId="0" xfId="0" applyAlignment="1" applyBorder="1" applyFont="1">
      <alignment horizontal="center" readingOrder="0" vertical="center"/>
    </xf>
    <xf borderId="27" fillId="4" fontId="157" numFmtId="0" xfId="0" applyAlignment="1" applyBorder="1" applyFont="1">
      <alignment horizontal="left" readingOrder="0" vertical="center"/>
    </xf>
    <xf borderId="27" fillId="4" fontId="157" numFmtId="0" xfId="0" applyAlignment="1" applyBorder="1" applyFont="1">
      <alignment horizontal="right" readingOrder="0" vertical="center"/>
    </xf>
    <xf borderId="27" fillId="4" fontId="157" numFmtId="164" xfId="0" applyAlignment="1" applyBorder="1" applyFont="1" applyNumberFormat="1">
      <alignment horizontal="left" readingOrder="0" vertical="center"/>
    </xf>
    <xf borderId="28" fillId="4" fontId="156" numFmtId="164" xfId="0" applyAlignment="1" applyBorder="1" applyFont="1" applyNumberFormat="1">
      <alignment horizontal="center" readingOrder="0" vertical="center"/>
    </xf>
    <xf borderId="29" fillId="4" fontId="4" numFmtId="0" xfId="0" applyBorder="1" applyFont="1"/>
    <xf borderId="30" fillId="4" fontId="158" numFmtId="0" xfId="0" applyAlignment="1" applyBorder="1" applyFont="1">
      <alignment horizontal="center" readingOrder="0" vertical="center"/>
    </xf>
    <xf borderId="31" fillId="4" fontId="4" numFmtId="0" xfId="0" applyBorder="1" applyFont="1"/>
    <xf borderId="32" fillId="4" fontId="4" numFmtId="0" xfId="0" applyBorder="1" applyFont="1"/>
    <xf borderId="33" fillId="4" fontId="4" numFmtId="0" xfId="0" applyBorder="1" applyFont="1"/>
    <xf borderId="34" fillId="4" fontId="4" numFmtId="0" xfId="0" applyBorder="1" applyFont="1"/>
    <xf borderId="35" fillId="4" fontId="4" numFmtId="0" xfId="0" applyBorder="1" applyFont="1"/>
    <xf borderId="36" fillId="4" fontId="157" numFmtId="0" xfId="0" applyAlignment="1" applyBorder="1" applyFont="1">
      <alignment horizontal="left" readingOrder="0" vertical="center"/>
    </xf>
    <xf borderId="32" fillId="4" fontId="157" numFmtId="167" xfId="0" applyAlignment="1" applyBorder="1" applyFont="1" applyNumberFormat="1">
      <alignment horizontal="center" readingOrder="0" vertical="center"/>
    </xf>
    <xf borderId="32" fillId="4" fontId="157" numFmtId="0" xfId="0" applyAlignment="1" applyBorder="1" applyFont="1">
      <alignment horizontal="center" readingOrder="0" vertical="center"/>
    </xf>
    <xf borderId="32" fillId="4" fontId="157" numFmtId="0" xfId="0" applyAlignment="1" applyBorder="1" applyFont="1">
      <alignment horizontal="center" vertical="center"/>
    </xf>
    <xf borderId="37" fillId="4" fontId="157" numFmtId="0" xfId="0" applyAlignment="1" applyBorder="1" applyFont="1">
      <alignment horizontal="left" readingOrder="0" vertical="center"/>
    </xf>
    <xf borderId="32" fillId="4" fontId="157" numFmtId="0" xfId="0" applyAlignment="1" applyBorder="1" applyFont="1">
      <alignment horizontal="left" readingOrder="0" shrinkToFit="0" vertical="center" wrapText="1"/>
    </xf>
    <xf borderId="32" fillId="4" fontId="157" numFmtId="169" xfId="0" applyAlignment="1" applyBorder="1" applyFont="1" applyNumberFormat="1">
      <alignment horizontal="left" readingOrder="0" shrinkToFit="0" vertical="center" wrapText="1"/>
    </xf>
    <xf borderId="32" fillId="4" fontId="157" numFmtId="9" xfId="0" applyAlignment="1" applyBorder="1" applyFont="1" applyNumberFormat="1">
      <alignment horizontal="left" readingOrder="0" shrinkToFit="0" vertical="center" wrapText="1"/>
    </xf>
    <xf borderId="35" fillId="4" fontId="157" numFmtId="0" xfId="0" applyAlignment="1" applyBorder="1" applyFont="1">
      <alignment horizontal="left" readingOrder="0" shrinkToFit="0" vertical="center" wrapText="1"/>
    </xf>
    <xf borderId="36" fillId="5" fontId="4" numFmtId="0" xfId="0" applyBorder="1" applyFont="1"/>
    <xf borderId="6" fillId="4" fontId="157" numFmtId="167" xfId="0" applyAlignment="1" applyBorder="1" applyFont="1" applyNumberFormat="1">
      <alignment horizontal="center" readingOrder="0" vertical="center"/>
    </xf>
    <xf borderId="7" fillId="5" fontId="157" numFmtId="0" xfId="0" applyAlignment="1" applyBorder="1" applyFont="1">
      <alignment horizontal="center" readingOrder="0" vertical="center"/>
    </xf>
    <xf borderId="6" fillId="4" fontId="157" numFmtId="0" xfId="0" applyAlignment="1" applyBorder="1" applyFont="1">
      <alignment horizontal="center" vertical="center"/>
    </xf>
    <xf borderId="7" fillId="5" fontId="157" numFmtId="0" xfId="0" applyAlignment="1" applyBorder="1" applyFont="1">
      <alignment horizontal="left" readingOrder="0" vertical="center"/>
    </xf>
    <xf borderId="7" fillId="5" fontId="157" numFmtId="0" xfId="0" applyAlignment="1" applyBorder="1" applyFont="1">
      <alignment horizontal="left" readingOrder="0" shrinkToFit="0" vertical="center" wrapText="1"/>
    </xf>
    <xf borderId="7" fillId="5" fontId="157" numFmtId="164" xfId="0" applyAlignment="1" applyBorder="1" applyFont="1" applyNumberFormat="1">
      <alignment horizontal="left" readingOrder="0" shrinkToFit="0" vertical="center" wrapText="1"/>
    </xf>
    <xf borderId="7" fillId="5" fontId="157" numFmtId="9" xfId="0" applyAlignment="1" applyBorder="1" applyFont="1" applyNumberFormat="1">
      <alignment horizontal="left" readingOrder="0" shrinkToFit="0" vertical="center" wrapText="1"/>
    </xf>
    <xf borderId="38" fillId="5" fontId="157" numFmtId="0" xfId="0" applyAlignment="1" applyBorder="1" applyFont="1">
      <alignment horizontal="center" readingOrder="0" shrinkToFit="0" vertical="center" wrapText="1"/>
    </xf>
    <xf borderId="36" fillId="4" fontId="4" numFmtId="0" xfId="0" applyBorder="1" applyFont="1"/>
    <xf borderId="3" fillId="4" fontId="157" numFmtId="0" xfId="0" applyAlignment="1" applyBorder="1" applyFont="1">
      <alignment horizontal="center" readingOrder="0" vertical="center"/>
    </xf>
    <xf borderId="3" fillId="4" fontId="157" numFmtId="0" xfId="0" applyAlignment="1" applyBorder="1" applyFont="1">
      <alignment horizontal="left" readingOrder="0" vertical="center"/>
    </xf>
    <xf borderId="3" fillId="4" fontId="157" numFmtId="0" xfId="0" applyAlignment="1" applyBorder="1" applyFont="1">
      <alignment horizontal="left" readingOrder="0" shrinkToFit="0" vertical="center" wrapText="1"/>
    </xf>
    <xf borderId="3" fillId="4" fontId="157" numFmtId="164" xfId="0" applyAlignment="1" applyBorder="1" applyFont="1" applyNumberFormat="1">
      <alignment horizontal="left" readingOrder="0" shrinkToFit="0" vertical="center" wrapText="1"/>
    </xf>
    <xf borderId="3" fillId="4" fontId="157" numFmtId="9" xfId="0" applyAlignment="1" applyBorder="1" applyFont="1" applyNumberFormat="1">
      <alignment horizontal="left" readingOrder="0" shrinkToFit="0" vertical="center" wrapText="1"/>
    </xf>
    <xf borderId="39" fillId="4" fontId="157" numFmtId="0" xfId="0" applyAlignment="1" applyBorder="1" applyFont="1">
      <alignment horizontal="center" readingOrder="0" shrinkToFit="0" vertical="center" wrapText="1"/>
    </xf>
    <xf borderId="32" fillId="5" fontId="4" numFmtId="0" xfId="0" applyBorder="1" applyFont="1"/>
    <xf borderId="40" fillId="14" fontId="159" numFmtId="0" xfId="0" applyAlignment="1" applyBorder="1" applyFont="1">
      <alignment horizontal="center" readingOrder="0" vertical="center"/>
    </xf>
    <xf borderId="40" fillId="4" fontId="157" numFmtId="0" xfId="0" applyAlignment="1" applyBorder="1" applyFont="1">
      <alignment horizontal="left" readingOrder="0" vertical="center"/>
    </xf>
    <xf borderId="40" fillId="5" fontId="157" numFmtId="0" xfId="0" applyAlignment="1" applyBorder="1" applyFont="1">
      <alignment horizontal="left" readingOrder="0" shrinkToFit="0" vertical="center" wrapText="1"/>
    </xf>
    <xf borderId="40" fillId="5" fontId="157" numFmtId="0" xfId="0" applyAlignment="1" applyBorder="1" applyFont="1">
      <alignment horizontal="left" readingOrder="0" vertical="center"/>
    </xf>
    <xf borderId="40" fillId="5" fontId="157" numFmtId="169" xfId="0" applyAlignment="1" applyBorder="1" applyFont="1" applyNumberFormat="1">
      <alignment horizontal="left" readingOrder="0" vertical="center"/>
    </xf>
    <xf borderId="40" fillId="5" fontId="157" numFmtId="9" xfId="0" applyAlignment="1" applyBorder="1" applyFont="1" applyNumberFormat="1">
      <alignment horizontal="left" readingOrder="0" vertical="center"/>
    </xf>
    <xf borderId="41" fillId="5" fontId="157" numFmtId="0" xfId="0" applyAlignment="1" applyBorder="1" applyFont="1">
      <alignment horizontal="center" readingOrder="0" vertical="center"/>
    </xf>
    <xf borderId="6" fillId="5" fontId="159" numFmtId="165" xfId="0" applyAlignment="1" applyBorder="1" applyFont="1" applyNumberFormat="1">
      <alignment horizontal="center" readingOrder="0" vertical="center"/>
    </xf>
    <xf borderId="7" fillId="5" fontId="157" numFmtId="169" xfId="0" applyAlignment="1" applyBorder="1" applyFont="1" applyNumberFormat="1">
      <alignment horizontal="left" readingOrder="0" vertical="center"/>
    </xf>
    <xf borderId="7" fillId="5" fontId="157" numFmtId="9" xfId="0" applyAlignment="1" applyBorder="1" applyFont="1" applyNumberFormat="1">
      <alignment horizontal="left" readingOrder="0" vertical="center"/>
    </xf>
    <xf borderId="38" fillId="5" fontId="157" numFmtId="0" xfId="0" applyAlignment="1" applyBorder="1" applyFont="1">
      <alignment horizontal="center" readingOrder="0" vertical="center"/>
    </xf>
    <xf borderId="40" fillId="4" fontId="157" numFmtId="0" xfId="0" applyAlignment="1" applyBorder="1" applyFont="1">
      <alignment horizontal="center" readingOrder="0" vertical="center"/>
    </xf>
    <xf borderId="40" fillId="4" fontId="157" numFmtId="0" xfId="0" applyAlignment="1" applyBorder="1" applyFont="1">
      <alignment horizontal="left" readingOrder="0" shrinkToFit="0" vertical="center" wrapText="1"/>
    </xf>
    <xf borderId="40" fillId="4" fontId="157" numFmtId="169" xfId="0" applyAlignment="1" applyBorder="1" applyFont="1" applyNumberFormat="1">
      <alignment horizontal="left" readingOrder="0" vertical="center"/>
    </xf>
    <xf borderId="40" fillId="4" fontId="157" numFmtId="9" xfId="0" applyAlignment="1" applyBorder="1" applyFont="1" applyNumberFormat="1">
      <alignment horizontal="left" readingOrder="0" vertical="center"/>
    </xf>
    <xf borderId="41" fillId="4" fontId="157" numFmtId="0" xfId="0" applyAlignment="1" applyBorder="1" applyFont="1">
      <alignment horizontal="center" readingOrder="0" vertical="center"/>
    </xf>
    <xf borderId="42" fillId="5" fontId="157" numFmtId="0" xfId="0" applyAlignment="1" applyBorder="1" applyFont="1">
      <alignment horizontal="left" readingOrder="0" vertical="center"/>
    </xf>
    <xf borderId="7" fillId="5" fontId="159" numFmtId="165" xfId="0" applyAlignment="1" applyBorder="1" applyFont="1" applyNumberFormat="1">
      <alignment horizontal="center" readingOrder="0" vertical="center"/>
    </xf>
    <xf borderId="3" fillId="4" fontId="157" numFmtId="0" xfId="0" applyAlignment="1" applyBorder="1" applyFont="1">
      <alignment horizontal="left" vertical="center"/>
    </xf>
    <xf borderId="43" fillId="4" fontId="157" numFmtId="0" xfId="0" applyAlignment="1" applyBorder="1" applyFont="1">
      <alignment horizontal="left" readingOrder="0" vertical="center"/>
    </xf>
    <xf borderId="3" fillId="4" fontId="159" numFmtId="165" xfId="0" applyAlignment="1" applyBorder="1" applyFont="1" applyNumberFormat="1">
      <alignment readingOrder="0" vertical="center"/>
    </xf>
    <xf borderId="3" fillId="4" fontId="4" numFmtId="0" xfId="0" applyBorder="1" applyFont="1"/>
    <xf borderId="3" fillId="4" fontId="157" numFmtId="169" xfId="0" applyAlignment="1" applyBorder="1" applyFont="1" applyNumberFormat="1">
      <alignment horizontal="left" readingOrder="0" vertical="center"/>
    </xf>
    <xf borderId="3" fillId="4" fontId="157" numFmtId="9" xfId="0" applyAlignment="1" applyBorder="1" applyFont="1" applyNumberFormat="1">
      <alignment horizontal="left" readingOrder="0" vertical="center"/>
    </xf>
    <xf borderId="39" fillId="4" fontId="157" numFmtId="0" xfId="0" applyAlignment="1" applyBorder="1" applyFont="1">
      <alignment horizontal="center" readingOrder="0" vertical="center"/>
    </xf>
    <xf borderId="43" fillId="5" fontId="157" numFmtId="0" xfId="0" applyAlignment="1" applyBorder="1" applyFont="1">
      <alignment horizontal="left" readingOrder="0" vertical="center"/>
    </xf>
    <xf borderId="3" fillId="5" fontId="159" numFmtId="165" xfId="0" applyAlignment="1" applyBorder="1" applyFont="1" applyNumberFormat="1">
      <alignment readingOrder="0" vertical="center"/>
    </xf>
    <xf borderId="3" fillId="5" fontId="157" numFmtId="0" xfId="0" applyAlignment="1" applyBorder="1" applyFont="1">
      <alignment horizontal="center" readingOrder="0" vertical="center"/>
    </xf>
    <xf borderId="3" fillId="5" fontId="4" numFmtId="0" xfId="0" applyBorder="1" applyFont="1"/>
    <xf borderId="3" fillId="5" fontId="157" numFmtId="0" xfId="0" applyAlignment="1" applyBorder="1" applyFont="1">
      <alignment horizontal="left" readingOrder="0" shrinkToFit="0" vertical="center" wrapText="1"/>
    </xf>
    <xf borderId="3" fillId="5" fontId="157" numFmtId="0" xfId="0" applyAlignment="1" applyBorder="1" applyFont="1">
      <alignment horizontal="left" readingOrder="0" vertical="center"/>
    </xf>
    <xf borderId="3" fillId="5" fontId="157" numFmtId="169" xfId="0" applyAlignment="1" applyBorder="1" applyFont="1" applyNumberFormat="1">
      <alignment horizontal="left" readingOrder="0" vertical="center"/>
    </xf>
    <xf borderId="3" fillId="5" fontId="157" numFmtId="9" xfId="0" applyAlignment="1" applyBorder="1" applyFont="1" applyNumberFormat="1">
      <alignment horizontal="left" readingOrder="0" vertical="center"/>
    </xf>
    <xf borderId="39" fillId="5" fontId="157" numFmtId="0" xfId="0" applyAlignment="1" applyBorder="1" applyFont="1">
      <alignment horizontal="center" readingOrder="0" vertical="center"/>
    </xf>
    <xf borderId="44" fillId="5" fontId="4" numFmtId="0" xfId="0" applyBorder="1" applyFont="1"/>
    <xf borderId="40" fillId="5" fontId="4" numFmtId="0" xfId="0" applyBorder="1" applyFont="1"/>
    <xf borderId="41" fillId="5" fontId="4" numFmtId="0" xfId="0" applyBorder="1" applyFont="1"/>
    <xf borderId="25" fillId="4" fontId="4" numFmtId="0" xfId="0" applyBorder="1" applyFont="1"/>
    <xf borderId="26" fillId="5" fontId="157" numFmtId="0" xfId="0" applyAlignment="1" applyBorder="1" applyFont="1">
      <alignment horizontal="left" readingOrder="0" vertical="center"/>
    </xf>
    <xf borderId="37" fillId="5" fontId="157" numFmtId="165" xfId="0" applyAlignment="1" applyBorder="1" applyFont="1" applyNumberFormat="1">
      <alignment horizontal="center" readingOrder="0" vertical="center"/>
    </xf>
    <xf borderId="37" fillId="5" fontId="157" numFmtId="0" xfId="0" applyAlignment="1" applyBorder="1" applyFont="1">
      <alignment horizontal="center" readingOrder="0" vertical="center"/>
    </xf>
    <xf borderId="37" fillId="5" fontId="155" numFmtId="0" xfId="0" applyAlignment="1" applyBorder="1" applyFont="1">
      <alignment horizontal="center" readingOrder="0" vertical="center"/>
    </xf>
    <xf borderId="40" fillId="4" fontId="157" numFmtId="0" xfId="0" applyAlignment="1" applyBorder="1" applyFont="1">
      <alignment horizontal="center" vertical="center"/>
    </xf>
    <xf borderId="45" fillId="5" fontId="38" numFmtId="166" xfId="0" applyAlignment="1" applyBorder="1" applyFont="1" applyNumberFormat="1">
      <alignment horizontal="left" readingOrder="0"/>
    </xf>
    <xf borderId="37" fillId="5" fontId="157" numFmtId="164" xfId="0" applyAlignment="1" applyBorder="1" applyFont="1" applyNumberFormat="1">
      <alignment horizontal="left" readingOrder="0" vertical="center"/>
    </xf>
    <xf borderId="37" fillId="5" fontId="157" numFmtId="9" xfId="0" applyAlignment="1" applyBorder="1" applyFont="1" applyNumberFormat="1">
      <alignment horizontal="left" readingOrder="0" vertical="center"/>
    </xf>
    <xf borderId="46" fillId="5" fontId="156" numFmtId="0" xfId="0" applyAlignment="1" applyBorder="1" applyFont="1">
      <alignment horizontal="center" readingOrder="0" vertical="center"/>
    </xf>
    <xf borderId="47" fillId="4" fontId="157" numFmtId="0" xfId="0" applyAlignment="1" applyBorder="1" applyFont="1">
      <alignment horizontal="center" readingOrder="0" vertical="center"/>
    </xf>
    <xf borderId="6" fillId="4" fontId="155" numFmtId="0" xfId="0" applyAlignment="1" applyBorder="1" applyFont="1">
      <alignment horizontal="center" readingOrder="0" vertical="center"/>
    </xf>
    <xf borderId="7" fillId="4" fontId="157" numFmtId="0" xfId="0" applyAlignment="1" applyBorder="1" applyFont="1">
      <alignment horizontal="center" vertical="center"/>
    </xf>
    <xf borderId="7" fillId="4" fontId="38" numFmtId="166" xfId="0" applyAlignment="1" applyBorder="1" applyFont="1" applyNumberFormat="1">
      <alignment horizontal="left" readingOrder="0"/>
    </xf>
    <xf borderId="47" fillId="4" fontId="157" numFmtId="164" xfId="0" applyAlignment="1" applyBorder="1" applyFont="1" applyNumberFormat="1">
      <alignment horizontal="left" readingOrder="0" vertical="center"/>
    </xf>
    <xf borderId="7" fillId="4" fontId="156" numFmtId="0" xfId="0" applyAlignment="1" applyBorder="1" applyFont="1">
      <alignment horizontal="left" readingOrder="0" vertical="center"/>
    </xf>
    <xf borderId="7" fillId="4" fontId="156" numFmtId="0" xfId="0" applyAlignment="1" applyBorder="1" applyFont="1">
      <alignment horizontal="center" readingOrder="0" vertical="center"/>
    </xf>
    <xf borderId="3" fillId="4" fontId="157" numFmtId="0" xfId="0" applyAlignment="1" applyBorder="1" applyFont="1">
      <alignment horizontal="center" vertical="center"/>
    </xf>
    <xf borderId="3" fillId="5" fontId="38" numFmtId="166" xfId="0" applyAlignment="1" applyBorder="1" applyFont="1" applyNumberFormat="1">
      <alignment horizontal="left" readingOrder="0"/>
    </xf>
    <xf borderId="3" fillId="5" fontId="156" numFmtId="0" xfId="0" applyAlignment="1" applyBorder="1" applyFont="1">
      <alignment horizontal="center" readingOrder="0" vertical="center"/>
    </xf>
    <xf borderId="4" fillId="4" fontId="38" numFmtId="166" xfId="0" applyAlignment="1" applyBorder="1" applyFont="1" applyNumberFormat="1">
      <alignment horizontal="left" readingOrder="0"/>
    </xf>
    <xf borderId="4" fillId="4" fontId="157" numFmtId="0" xfId="0" applyAlignment="1" applyBorder="1" applyFont="1">
      <alignment horizontal="left" readingOrder="0" vertical="center"/>
    </xf>
    <xf borderId="4" fillId="4" fontId="157" numFmtId="9" xfId="0" applyAlignment="1" applyBorder="1" applyFont="1" applyNumberFormat="1">
      <alignment horizontal="left" readingOrder="0" vertical="center"/>
    </xf>
    <xf borderId="4" fillId="4" fontId="156" numFmtId="0" xfId="0" applyAlignment="1" applyBorder="1" applyFont="1">
      <alignment horizontal="center" readingOrder="0" vertical="center"/>
    </xf>
    <xf borderId="4" fillId="0" fontId="155" numFmtId="0" xfId="0" applyAlignment="1" applyBorder="1" applyFont="1">
      <alignment horizontal="center" readingOrder="0" vertical="center"/>
    </xf>
    <xf borderId="26" fillId="4" fontId="157" numFmtId="0" xfId="0" applyAlignment="1" applyBorder="1" applyFont="1">
      <alignment horizontal="left" readingOrder="0" vertical="center"/>
    </xf>
    <xf borderId="28" fillId="4" fontId="157" numFmtId="165" xfId="0" applyAlignment="1" applyBorder="1" applyFont="1" applyNumberFormat="1">
      <alignment horizontal="center" readingOrder="0" vertical="center"/>
    </xf>
    <xf borderId="27" fillId="4" fontId="157" numFmtId="0" xfId="0" applyAlignment="1" applyBorder="1" applyFont="1">
      <alignment horizontal="center" vertical="center"/>
    </xf>
    <xf borderId="27" fillId="4" fontId="157" numFmtId="0" xfId="0" applyAlignment="1" applyBorder="1" applyFont="1">
      <alignment horizontal="left" readingOrder="0" shrinkToFit="0" vertical="center" wrapText="1"/>
    </xf>
    <xf borderId="27" fillId="4" fontId="157" numFmtId="169" xfId="0" applyAlignment="1" applyBorder="1" applyFont="1" applyNumberFormat="1">
      <alignment horizontal="left" readingOrder="0" vertical="center"/>
    </xf>
    <xf borderId="27" fillId="4" fontId="157" numFmtId="9" xfId="0" applyAlignment="1" applyBorder="1" applyFont="1" applyNumberFormat="1">
      <alignment horizontal="left" readingOrder="0" vertical="center"/>
    </xf>
    <xf borderId="30" fillId="4" fontId="157" numFmtId="0" xfId="0" applyAlignment="1" applyBorder="1" applyFont="1">
      <alignment horizontal="center" readingOrder="0" vertical="center"/>
    </xf>
    <xf borderId="36" fillId="5" fontId="157" numFmtId="0" xfId="0" applyAlignment="1" applyBorder="1" applyFont="1">
      <alignment horizontal="left" readingOrder="0" vertical="center"/>
    </xf>
    <xf borderId="13" fillId="5" fontId="157" numFmtId="165" xfId="0" applyAlignment="1" applyBorder="1" applyFont="1" applyNumberFormat="1">
      <alignment horizontal="center" readingOrder="0" vertical="center"/>
    </xf>
    <xf borderId="6" fillId="5" fontId="157" numFmtId="0" xfId="0" applyAlignment="1" applyBorder="1" applyFont="1">
      <alignment horizontal="center" readingOrder="0" vertical="center"/>
    </xf>
    <xf borderId="6" fillId="5" fontId="157" numFmtId="0" xfId="0" applyAlignment="1" applyBorder="1" applyFont="1">
      <alignment horizontal="center" readingOrder="0" shrinkToFit="0" vertical="center" wrapText="1"/>
    </xf>
    <xf borderId="6" fillId="5" fontId="157" numFmtId="0" xfId="0" applyAlignment="1" applyBorder="1" applyFont="1">
      <alignment horizontal="left" readingOrder="0" shrinkToFit="0" vertical="center" wrapText="1"/>
    </xf>
    <xf borderId="6" fillId="5" fontId="157" numFmtId="0" xfId="0" applyAlignment="1" applyBorder="1" applyFont="1">
      <alignment horizontal="left" readingOrder="0" vertical="center"/>
    </xf>
    <xf borderId="6" fillId="5" fontId="157" numFmtId="169" xfId="0" applyAlignment="1" applyBorder="1" applyFont="1" applyNumberFormat="1">
      <alignment horizontal="left" readingOrder="0" vertical="center"/>
    </xf>
    <xf borderId="6" fillId="5" fontId="157" numFmtId="9" xfId="0" applyAlignment="1" applyBorder="1" applyFont="1" applyNumberFormat="1">
      <alignment horizontal="left" readingOrder="0" vertical="center"/>
    </xf>
    <xf borderId="48" fillId="5" fontId="4" numFmtId="0" xfId="0" applyBorder="1" applyFont="1"/>
    <xf borderId="13" fillId="4" fontId="157" numFmtId="165" xfId="0" applyAlignment="1" applyBorder="1" applyFont="1" applyNumberFormat="1">
      <alignment horizontal="center" readingOrder="0" vertical="center"/>
    </xf>
    <xf borderId="6" fillId="4" fontId="157" numFmtId="0" xfId="0" applyAlignment="1" applyBorder="1" applyFont="1">
      <alignment horizontal="center" readingOrder="0" vertical="center"/>
    </xf>
    <xf borderId="6" fillId="4" fontId="157" numFmtId="0" xfId="0" applyAlignment="1" applyBorder="1" applyFont="1">
      <alignment horizontal="center" readingOrder="0" shrinkToFit="0" vertical="center" wrapText="1"/>
    </xf>
    <xf borderId="6" fillId="4" fontId="157" numFmtId="0" xfId="0" applyAlignment="1" applyBorder="1" applyFont="1">
      <alignment horizontal="left" readingOrder="0" shrinkToFit="0" vertical="center" wrapText="1"/>
    </xf>
    <xf borderId="6" fillId="4" fontId="157" numFmtId="0" xfId="0" applyAlignment="1" applyBorder="1" applyFont="1">
      <alignment horizontal="left" readingOrder="0" vertical="center"/>
    </xf>
    <xf borderId="6" fillId="4" fontId="157" numFmtId="169" xfId="0" applyAlignment="1" applyBorder="1" applyFont="1" applyNumberFormat="1">
      <alignment horizontal="left" readingOrder="0" vertical="center"/>
    </xf>
    <xf borderId="6" fillId="4" fontId="157" numFmtId="9" xfId="0" applyAlignment="1" applyBorder="1" applyFont="1" applyNumberFormat="1">
      <alignment horizontal="left" readingOrder="0" vertical="center"/>
    </xf>
    <xf borderId="48" fillId="4" fontId="4" numFmtId="0" xfId="0" applyBorder="1" applyFont="1"/>
    <xf borderId="31" fillId="5" fontId="157" numFmtId="0" xfId="0" applyAlignment="1" applyBorder="1" applyFont="1">
      <alignment horizontal="left" readingOrder="0" vertical="center"/>
    </xf>
    <xf borderId="33" fillId="5" fontId="157" numFmtId="165" xfId="0" applyAlignment="1" applyBorder="1" applyFont="1" applyNumberFormat="1">
      <alignment horizontal="center" readingOrder="0" vertical="center"/>
    </xf>
    <xf borderId="49" fillId="5" fontId="160" numFmtId="0" xfId="0" applyAlignment="1" applyBorder="1" applyFont="1">
      <alignment horizontal="center" readingOrder="0" vertical="center"/>
    </xf>
    <xf borderId="50" fillId="5" fontId="4" numFmtId="0" xfId="0" applyBorder="1" applyFont="1"/>
    <xf borderId="51" fillId="5" fontId="4" numFmtId="0" xfId="0" applyBorder="1" applyFont="1"/>
    <xf borderId="35" fillId="5" fontId="4" numFmtId="0" xfId="0" applyBorder="1" applyFont="1"/>
    <xf borderId="36" fillId="4" fontId="157" numFmtId="0" xfId="0" applyAlignment="1" applyBorder="1" applyFont="1">
      <alignment horizontal="left" readingOrder="0" vertical="center"/>
    </xf>
    <xf borderId="13" fillId="4" fontId="157" numFmtId="165" xfId="0" applyAlignment="1" applyBorder="1" applyFont="1" applyNumberFormat="1">
      <alignment horizontal="center" readingOrder="0" vertical="center"/>
    </xf>
    <xf borderId="6" fillId="4" fontId="157" numFmtId="0" xfId="0" applyAlignment="1" applyBorder="1" applyFont="1">
      <alignment horizontal="center" readingOrder="0" shrinkToFit="0" vertical="center" wrapText="1"/>
    </xf>
    <xf borderId="6" fillId="4" fontId="157" numFmtId="0" xfId="0" applyAlignment="1" applyBorder="1" applyFont="1">
      <alignment horizontal="center" readingOrder="0" vertical="center"/>
    </xf>
    <xf borderId="6" fillId="4" fontId="157" numFmtId="169" xfId="0" applyAlignment="1" applyBorder="1" applyFont="1" applyNumberFormat="1">
      <alignment horizontal="center" readingOrder="0" vertical="center"/>
    </xf>
    <xf borderId="6" fillId="4" fontId="157" numFmtId="9" xfId="0" applyAlignment="1" applyBorder="1" applyFont="1" applyNumberFormat="1">
      <alignment horizontal="center" readingOrder="0" vertical="center"/>
    </xf>
    <xf borderId="48" fillId="4" fontId="157" numFmtId="0" xfId="0" applyAlignment="1" applyBorder="1" applyFont="1">
      <alignment horizontal="center" readingOrder="0" vertical="center"/>
    </xf>
    <xf borderId="52" fillId="4" fontId="157" numFmtId="0" xfId="0" applyAlignment="1" applyBorder="1" applyFont="1">
      <alignment horizontal="left" readingOrder="0" vertical="center"/>
    </xf>
    <xf borderId="47" fillId="4" fontId="157" numFmtId="165" xfId="0" applyAlignment="1" applyBorder="1" applyFont="1" applyNumberFormat="1">
      <alignment horizontal="center" readingOrder="0" vertical="center"/>
    </xf>
    <xf borderId="47" fillId="4" fontId="157" numFmtId="0" xfId="0" applyAlignment="1" applyBorder="1" applyFont="1">
      <alignment horizontal="center" vertical="center"/>
    </xf>
    <xf borderId="47" fillId="4" fontId="157" numFmtId="0" xfId="0" applyAlignment="1" applyBorder="1" applyFont="1">
      <alignment horizontal="left" readingOrder="0" vertical="center"/>
    </xf>
    <xf borderId="47" fillId="4" fontId="157" numFmtId="9" xfId="0" applyAlignment="1" applyBorder="1" applyFont="1" applyNumberFormat="1">
      <alignment horizontal="left" readingOrder="0" vertical="center"/>
    </xf>
    <xf borderId="53" fillId="4" fontId="156" numFmtId="0" xfId="0" applyAlignment="1" applyBorder="1" applyFont="1">
      <alignment horizontal="center" readingOrder="0" vertical="center"/>
    </xf>
    <xf borderId="18" fillId="5" fontId="157" numFmtId="0" xfId="0" applyAlignment="1" applyBorder="1" applyFont="1">
      <alignment horizontal="left" readingOrder="0" vertical="center"/>
    </xf>
    <xf borderId="6" fillId="5" fontId="157" numFmtId="165" xfId="0" applyAlignment="1" applyBorder="1" applyFont="1" applyNumberFormat="1">
      <alignment horizontal="center" readingOrder="0" vertical="center"/>
    </xf>
    <xf borderId="7" fillId="5" fontId="157" numFmtId="164" xfId="0" applyAlignment="1" applyBorder="1" applyFont="1" applyNumberFormat="1">
      <alignment horizontal="left" readingOrder="0" vertical="center"/>
    </xf>
    <xf borderId="54" fillId="4" fontId="4" numFmtId="0" xfId="0" applyBorder="1" applyFont="1"/>
    <xf borderId="3" fillId="4" fontId="157" numFmtId="164" xfId="0" applyAlignment="1" applyBorder="1" applyFont="1" applyNumberFormat="1">
      <alignment horizontal="left" readingOrder="0" vertical="center"/>
    </xf>
    <xf borderId="32" fillId="4" fontId="157" numFmtId="165" xfId="0" applyAlignment="1" applyBorder="1" applyFont="1" applyNumberFormat="1">
      <alignment horizontal="center" readingOrder="0" vertical="center"/>
    </xf>
    <xf borderId="32" fillId="4" fontId="157" numFmtId="0" xfId="0" applyAlignment="1" applyBorder="1" applyFont="1">
      <alignment horizontal="left" readingOrder="0" vertical="center"/>
    </xf>
    <xf borderId="32" fillId="4" fontId="157" numFmtId="164" xfId="0" applyAlignment="1" applyBorder="1" applyFont="1" applyNumberFormat="1">
      <alignment horizontal="left" readingOrder="0" vertical="center"/>
    </xf>
    <xf borderId="32" fillId="4" fontId="157" numFmtId="9" xfId="0" applyAlignment="1" applyBorder="1" applyFont="1" applyNumberFormat="1">
      <alignment horizontal="left" readingOrder="0" vertical="center"/>
    </xf>
    <xf borderId="37" fillId="4" fontId="157" numFmtId="165" xfId="0" applyAlignment="1" applyBorder="1" applyFont="1" applyNumberFormat="1">
      <alignment horizontal="center" readingOrder="0" vertical="center"/>
    </xf>
    <xf borderId="37" fillId="4" fontId="157" numFmtId="0" xfId="0" applyAlignment="1" applyBorder="1" applyFont="1">
      <alignment horizontal="center" readingOrder="0" vertical="center"/>
    </xf>
    <xf borderId="37" fillId="4" fontId="157" numFmtId="164" xfId="0" applyAlignment="1" applyBorder="1" applyFont="1" applyNumberFormat="1">
      <alignment horizontal="left" readingOrder="0" vertical="center"/>
    </xf>
    <xf borderId="37" fillId="4" fontId="157" numFmtId="9" xfId="0" applyAlignment="1" applyBorder="1" applyFont="1" applyNumberFormat="1">
      <alignment horizontal="left" readingOrder="0" vertical="center"/>
    </xf>
    <xf borderId="6" fillId="4" fontId="157" numFmtId="165" xfId="0" applyAlignment="1" applyBorder="1" applyFont="1" applyNumberFormat="1">
      <alignment horizontal="center" readingOrder="0" vertical="center"/>
    </xf>
    <xf borderId="6" fillId="4" fontId="157" numFmtId="164" xfId="0" applyAlignment="1" applyBorder="1" applyFont="1" applyNumberFormat="1">
      <alignment horizontal="left" readingOrder="0" vertical="center"/>
    </xf>
    <xf borderId="47" fillId="4" fontId="157" numFmtId="166" xfId="0" applyAlignment="1" applyBorder="1" applyFont="1" applyNumberFormat="1">
      <alignment horizontal="left" readingOrder="0" vertical="center"/>
    </xf>
    <xf borderId="7" fillId="4" fontId="157" numFmtId="0" xfId="0" applyAlignment="1" applyBorder="1" applyFont="1">
      <alignment horizontal="center" readingOrder="0" vertical="center"/>
    </xf>
    <xf borderId="40" fillId="4" fontId="157" numFmtId="166" xfId="0" applyAlignment="1" applyBorder="1" applyFont="1" applyNumberFormat="1">
      <alignment horizontal="left" readingOrder="0" vertical="center"/>
    </xf>
    <xf borderId="40" fillId="4" fontId="157" numFmtId="164" xfId="0" applyAlignment="1" applyBorder="1" applyFont="1" applyNumberFormat="1">
      <alignment horizontal="left" readingOrder="0" vertical="center"/>
    </xf>
    <xf borderId="7" fillId="4" fontId="157" numFmtId="166" xfId="0" applyAlignment="1" applyBorder="1" applyFont="1" applyNumberFormat="1">
      <alignment horizontal="left" readingOrder="0" vertical="center"/>
    </xf>
    <xf borderId="6" fillId="4" fontId="156" numFmtId="164" xfId="0" applyAlignment="1" applyBorder="1" applyFont="1" applyNumberFormat="1">
      <alignment horizontal="center" readingOrder="0" vertical="center"/>
    </xf>
    <xf borderId="13" fillId="4" fontId="157" numFmtId="0" xfId="0" applyAlignment="1" applyBorder="1" applyFont="1">
      <alignment horizontal="center" readingOrder="0" vertical="center"/>
    </xf>
    <xf borderId="4" fillId="4" fontId="157" numFmtId="165" xfId="0" applyAlignment="1" applyBorder="1" applyFont="1" applyNumberFormat="1">
      <alignment horizontal="center" readingOrder="0" vertical="center"/>
    </xf>
    <xf borderId="4" fillId="4" fontId="157" numFmtId="0" xfId="0" applyAlignment="1" applyBorder="1" applyFont="1">
      <alignment horizontal="center" readingOrder="0" vertical="center"/>
    </xf>
    <xf borderId="4" fillId="4" fontId="157" numFmtId="0" xfId="0" applyAlignment="1" applyBorder="1" applyFont="1">
      <alignment horizontal="center" vertical="center"/>
    </xf>
    <xf borderId="4" fillId="4" fontId="157" numFmtId="166" xfId="0" applyAlignment="1" applyBorder="1" applyFont="1" applyNumberFormat="1">
      <alignment horizontal="left" readingOrder="0" vertical="center"/>
    </xf>
    <xf borderId="4" fillId="4" fontId="157" numFmtId="164" xfId="0" applyAlignment="1" applyBorder="1" applyFont="1" applyNumberFormat="1">
      <alignment horizontal="left" readingOrder="0" vertical="center"/>
    </xf>
    <xf borderId="12" fillId="4" fontId="156" numFmtId="164" xfId="0" applyAlignment="1" applyBorder="1" applyFont="1" applyNumberFormat="1">
      <alignment horizontal="center" readingOrder="0" vertical="center"/>
    </xf>
    <xf borderId="55" fillId="4" fontId="4" numFmtId="0" xfId="0" applyBorder="1" applyFont="1"/>
    <xf borderId="56" fillId="4" fontId="157" numFmtId="0" xfId="0" applyAlignment="1" applyBorder="1" applyFont="1">
      <alignment horizontal="center" readingOrder="0" vertical="center"/>
    </xf>
    <xf borderId="26" fillId="5" fontId="156" numFmtId="0" xfId="0" applyAlignment="1" applyBorder="1" applyFont="1">
      <alignment horizontal="left" readingOrder="0" vertical="center"/>
    </xf>
    <xf borderId="6" fillId="5" fontId="156" numFmtId="165" xfId="0" applyAlignment="1" applyBorder="1" applyFont="1" applyNumberFormat="1">
      <alignment horizontal="center" readingOrder="0" vertical="center"/>
    </xf>
    <xf borderId="6" fillId="5" fontId="156" numFmtId="0" xfId="0" applyAlignment="1" applyBorder="1" applyFont="1">
      <alignment horizontal="center" readingOrder="0" vertical="center"/>
    </xf>
    <xf borderId="6" fillId="5" fontId="155" numFmtId="0" xfId="0" applyAlignment="1" applyBorder="1" applyFont="1">
      <alignment horizontal="center" readingOrder="0" vertical="center"/>
    </xf>
    <xf borderId="6" fillId="4" fontId="156" numFmtId="0" xfId="0" applyAlignment="1" applyBorder="1" applyFont="1">
      <alignment horizontal="center" readingOrder="0" vertical="center"/>
    </xf>
    <xf borderId="27" fillId="5" fontId="156" numFmtId="0" xfId="0" applyAlignment="1" applyBorder="1" applyFont="1">
      <alignment horizontal="left" readingOrder="0" vertical="center"/>
    </xf>
    <xf borderId="6" fillId="5" fontId="156" numFmtId="0" xfId="0" applyAlignment="1" applyBorder="1" applyFont="1">
      <alignment horizontal="left" readingOrder="0" vertical="center"/>
    </xf>
    <xf borderId="6" fillId="5" fontId="156" numFmtId="164" xfId="0" applyAlignment="1" applyBorder="1" applyFont="1" applyNumberFormat="1">
      <alignment horizontal="left" readingOrder="0" vertical="center"/>
    </xf>
    <xf borderId="6" fillId="5" fontId="156" numFmtId="9" xfId="0" applyAlignment="1" applyBorder="1" applyFont="1" applyNumberFormat="1">
      <alignment horizontal="left" readingOrder="0" vertical="center"/>
    </xf>
    <xf borderId="48" fillId="5" fontId="161" numFmtId="0" xfId="0" applyAlignment="1" applyBorder="1" applyFont="1">
      <alignment horizontal="center" readingOrder="0" vertical="center"/>
    </xf>
    <xf borderId="27" fillId="4" fontId="155" numFmtId="0" xfId="0" applyAlignment="1" applyBorder="1" applyFont="1">
      <alignment horizontal="center" readingOrder="0" vertical="center"/>
    </xf>
    <xf borderId="16" fillId="4" fontId="4" numFmtId="0" xfId="0" applyAlignment="1" applyBorder="1" applyFont="1">
      <alignment readingOrder="0"/>
    </xf>
    <xf borderId="53" fillId="4" fontId="157" numFmtId="0" xfId="0" applyAlignment="1" applyBorder="1" applyFont="1">
      <alignment horizontal="center" readingOrder="0" vertical="center"/>
    </xf>
    <xf borderId="3" fillId="5" fontId="157" numFmtId="164" xfId="0" applyAlignment="1" applyBorder="1" applyFont="1" applyNumberFormat="1">
      <alignment horizontal="left" readingOrder="0" vertical="center"/>
    </xf>
    <xf borderId="31" fillId="5" fontId="4" numFmtId="0" xfId="0" applyBorder="1" applyFont="1"/>
    <xf borderId="40" fillId="5" fontId="157" numFmtId="0" xfId="0" applyAlignment="1" applyBorder="1" applyFont="1">
      <alignment horizontal="center" readingOrder="0" vertical="center"/>
    </xf>
    <xf borderId="40" fillId="5" fontId="157" numFmtId="164" xfId="0" applyAlignment="1" applyBorder="1" applyFont="1" applyNumberFormat="1">
      <alignment horizontal="left" readingOrder="0" vertical="center"/>
    </xf>
    <xf borderId="32" fillId="4" fontId="155" numFmtId="0" xfId="0" applyAlignment="1" applyBorder="1" applyFont="1">
      <alignment horizontal="center" readingOrder="0" vertical="center"/>
    </xf>
    <xf borderId="35" fillId="4" fontId="157" numFmtId="0" xfId="0" applyAlignment="1" applyBorder="1" applyFont="1">
      <alignment horizontal="center" readingOrder="0" vertical="center"/>
    </xf>
    <xf borderId="32" fillId="5" fontId="157" numFmtId="0" xfId="0" applyAlignment="1" applyBorder="1" applyFont="1">
      <alignment horizontal="center" readingOrder="0" vertical="center"/>
    </xf>
    <xf borderId="37" fillId="5" fontId="157" numFmtId="0" xfId="0" applyAlignment="1" applyBorder="1" applyFont="1">
      <alignment horizontal="left" readingOrder="0" vertical="center"/>
    </xf>
    <xf borderId="46" fillId="5" fontId="157" numFmtId="0" xfId="0" applyAlignment="1" applyBorder="1" applyFont="1">
      <alignment horizontal="center" readingOrder="0" vertical="center"/>
    </xf>
    <xf borderId="42" fillId="4" fontId="157" numFmtId="0" xfId="0" applyAlignment="1" applyBorder="1" applyFont="1">
      <alignment horizontal="left" readingOrder="0" vertical="center"/>
    </xf>
    <xf borderId="7" fillId="4" fontId="157" numFmtId="165" xfId="0" applyAlignment="1" applyBorder="1" applyFont="1" applyNumberFormat="1">
      <alignment horizontal="center" readingOrder="0" vertical="center"/>
    </xf>
    <xf borderId="7" fillId="4" fontId="155" numFmtId="0" xfId="0" applyAlignment="1" applyBorder="1" applyFont="1">
      <alignment horizontal="center" readingOrder="0" vertical="center"/>
    </xf>
    <xf borderId="7" fillId="4" fontId="157" numFmtId="0" xfId="0" applyAlignment="1" applyBorder="1" applyFont="1">
      <alignment horizontal="left" readingOrder="0" vertical="center"/>
    </xf>
    <xf borderId="44" fillId="5" fontId="155" numFmtId="0" xfId="0" applyAlignment="1" applyBorder="1" applyFont="1">
      <alignment horizontal="center" readingOrder="0" vertical="center"/>
    </xf>
    <xf borderId="40" fillId="5" fontId="155" numFmtId="0" xfId="0" applyAlignment="1" applyBorder="1" applyFont="1">
      <alignment horizontal="center" readingOrder="0" vertical="center"/>
    </xf>
    <xf borderId="7" fillId="4" fontId="157" numFmtId="164" xfId="0" applyAlignment="1" applyBorder="1" applyFont="1" applyNumberFormat="1">
      <alignment horizontal="left" readingOrder="0" vertical="center"/>
    </xf>
    <xf borderId="7" fillId="4" fontId="157" numFmtId="9" xfId="0" applyAlignment="1" applyBorder="1" applyFont="1" applyNumberFormat="1">
      <alignment horizontal="left" readingOrder="0" vertical="center"/>
    </xf>
    <xf borderId="12" fillId="4" fontId="157" numFmtId="0" xfId="0" applyAlignment="1" applyBorder="1" applyFont="1">
      <alignment horizontal="center" readingOrder="0" vertical="center"/>
    </xf>
    <xf borderId="3" fillId="4" fontId="157" numFmtId="164" xfId="0" applyAlignment="1" applyBorder="1" applyFont="1" applyNumberFormat="1">
      <alignment horizontal="center" readingOrder="0" vertical="center"/>
    </xf>
    <xf borderId="3" fillId="4" fontId="157" numFmtId="9" xfId="0" applyAlignment="1" applyBorder="1" applyFont="1" applyNumberFormat="1">
      <alignment horizontal="center" readingOrder="0" vertical="center"/>
    </xf>
    <xf borderId="11" fillId="4" fontId="4" numFmtId="0" xfId="0" applyBorder="1" applyFont="1"/>
    <xf borderId="4" fillId="4" fontId="157" numFmtId="164" xfId="0" applyAlignment="1" applyBorder="1" applyFont="1" applyNumberFormat="1">
      <alignment horizontal="center" readingOrder="0" vertical="center"/>
    </xf>
    <xf borderId="4" fillId="4" fontId="157" numFmtId="9" xfId="0" applyAlignment="1" applyBorder="1" applyFont="1" applyNumberFormat="1">
      <alignment horizontal="center" readingOrder="0" vertical="center"/>
    </xf>
    <xf borderId="15" fillId="13" fontId="155" numFmtId="0" xfId="0" applyAlignment="1" applyBorder="1" applyFont="1">
      <alignment horizontal="center" readingOrder="0" vertical="center"/>
    </xf>
    <xf borderId="16" fillId="5" fontId="4" numFmtId="0" xfId="0" applyBorder="1" applyFont="1"/>
    <xf borderId="17" fillId="5" fontId="4" numFmtId="0" xfId="0" applyBorder="1" applyFont="1"/>
    <xf borderId="57" fillId="4" fontId="157" numFmtId="0" xfId="0" applyAlignment="1" applyBorder="1" applyFont="1">
      <alignment horizontal="left" readingOrder="0" vertical="center"/>
    </xf>
    <xf borderId="58" fillId="4" fontId="157" numFmtId="165" xfId="0" applyAlignment="1" applyBorder="1" applyFont="1" applyNumberFormat="1">
      <alignment horizontal="center" readingOrder="0" vertical="center"/>
    </xf>
    <xf borderId="59" fillId="4" fontId="157" numFmtId="0" xfId="0" applyAlignment="1" applyBorder="1" applyFont="1">
      <alignment horizontal="center" readingOrder="0" vertical="center"/>
    </xf>
    <xf borderId="47" fillId="4" fontId="162" numFmtId="0" xfId="0" applyAlignment="1" applyBorder="1" applyFont="1">
      <alignment horizontal="center" readingOrder="0" vertical="center"/>
    </xf>
    <xf borderId="28" fillId="4" fontId="157" numFmtId="170" xfId="0" applyAlignment="1" applyBorder="1" applyFont="1" applyNumberFormat="1">
      <alignment horizontal="center" readingOrder="0" vertical="center"/>
    </xf>
    <xf borderId="29" fillId="4" fontId="157" numFmtId="165" xfId="0" applyAlignment="1" applyBorder="1" applyFont="1" applyNumberFormat="1">
      <alignment horizontal="center" readingOrder="0" vertical="center"/>
    </xf>
    <xf borderId="41" fillId="4" fontId="157" numFmtId="0" xfId="0" applyAlignment="1" applyBorder="1" applyFont="1">
      <alignment horizontal="center" vertical="center"/>
    </xf>
    <xf borderId="31" fillId="4" fontId="157" numFmtId="0" xfId="0" applyAlignment="1" applyBorder="1" applyFont="1">
      <alignment horizontal="left" readingOrder="0" vertical="center"/>
    </xf>
    <xf borderId="33" fillId="4" fontId="157" numFmtId="165" xfId="0" applyAlignment="1" applyBorder="1" applyFont="1" applyNumberFormat="1">
      <alignment horizontal="center" readingOrder="0" vertical="center"/>
    </xf>
    <xf borderId="34" fillId="4" fontId="157" numFmtId="165" xfId="0" applyAlignment="1" applyBorder="1" applyFont="1" applyNumberFormat="1">
      <alignment horizontal="center" readingOrder="0" vertical="center"/>
    </xf>
    <xf borderId="32" fillId="5" fontId="157" numFmtId="0" xfId="0" applyAlignment="1" applyBorder="1" applyFont="1">
      <alignment horizontal="left" readingOrder="0" vertical="center"/>
    </xf>
    <xf borderId="32" fillId="5" fontId="157" numFmtId="164" xfId="0" applyAlignment="1" applyBorder="1" applyFont="1" applyNumberFormat="1">
      <alignment horizontal="left" readingOrder="0" vertical="center"/>
    </xf>
    <xf borderId="32" fillId="5" fontId="157" numFmtId="9" xfId="0" applyAlignment="1" applyBorder="1" applyFont="1" applyNumberFormat="1">
      <alignment horizontal="left" readingOrder="0" vertical="center"/>
    </xf>
    <xf borderId="35" fillId="4" fontId="157" numFmtId="0" xfId="0" applyAlignment="1" applyBorder="1" applyFont="1">
      <alignment horizontal="center" vertical="center"/>
    </xf>
    <xf borderId="13" fillId="4" fontId="157" numFmtId="0" xfId="0" applyAlignment="1" applyBorder="1" applyFont="1">
      <alignment horizontal="center" readingOrder="0" vertical="center"/>
    </xf>
    <xf borderId="5" fillId="4" fontId="157" numFmtId="0" xfId="0" applyAlignment="1" applyBorder="1" applyFont="1">
      <alignment horizontal="center" readingOrder="0" vertical="center"/>
    </xf>
    <xf borderId="6" fillId="4" fontId="157" numFmtId="164" xfId="0" applyAlignment="1" applyBorder="1" applyFont="1" applyNumberFormat="1">
      <alignment horizontal="center" readingOrder="0" vertical="center"/>
    </xf>
    <xf borderId="6" fillId="4" fontId="157" numFmtId="9" xfId="0" applyAlignment="1" applyBorder="1" applyFont="1" applyNumberFormat="1">
      <alignment horizontal="center" readingOrder="0" vertical="center"/>
    </xf>
    <xf borderId="6" fillId="4" fontId="157" numFmtId="0" xfId="0" applyAlignment="1" applyBorder="1" applyFont="1">
      <alignment horizontal="center" vertical="center"/>
    </xf>
    <xf borderId="4" fillId="5" fontId="157" numFmtId="0" xfId="0" applyAlignment="1" applyBorder="1" applyFont="1">
      <alignment horizontal="center" readingOrder="0" vertical="center"/>
    </xf>
    <xf borderId="4" fillId="5" fontId="157" numFmtId="164" xfId="0" applyAlignment="1" applyBorder="1" applyFont="1" applyNumberFormat="1">
      <alignment horizontal="center" readingOrder="0" vertical="center"/>
    </xf>
    <xf borderId="4" fillId="5" fontId="157" numFmtId="9" xfId="0" applyAlignment="1" applyBorder="1" applyFont="1" applyNumberFormat="1">
      <alignment horizontal="center" readingOrder="0" vertical="center"/>
    </xf>
    <xf borderId="4" fillId="4" fontId="157" numFmtId="0" xfId="0" applyAlignment="1" applyBorder="1" applyFont="1">
      <alignment horizontal="center" vertical="center"/>
    </xf>
    <xf borderId="47" fillId="4" fontId="157" numFmtId="166" xfId="0" applyAlignment="1" applyBorder="1" applyFont="1" applyNumberFormat="1">
      <alignment horizontal="center" readingOrder="0" vertical="center"/>
    </xf>
    <xf borderId="47" fillId="4" fontId="157" numFmtId="169" xfId="0" applyAlignment="1" applyBorder="1" applyFont="1" applyNumberFormat="1">
      <alignment horizontal="left" readingOrder="0" vertical="center"/>
    </xf>
    <xf borderId="53" fillId="4" fontId="157" numFmtId="0" xfId="0" applyAlignment="1" applyBorder="1" applyFont="1">
      <alignment horizontal="center" vertical="center"/>
    </xf>
    <xf borderId="3" fillId="4" fontId="157" numFmtId="166" xfId="0" applyAlignment="1" applyBorder="1" applyFont="1" applyNumberFormat="1">
      <alignment horizontal="center" readingOrder="0" vertical="center"/>
    </xf>
    <xf borderId="3" fillId="4" fontId="157" numFmtId="166" xfId="0" applyAlignment="1" applyBorder="1" applyFont="1" applyNumberFormat="1">
      <alignment horizontal="left" readingOrder="0" vertical="center"/>
    </xf>
    <xf borderId="39" fillId="4" fontId="157" numFmtId="0" xfId="0" applyAlignment="1" applyBorder="1" applyFont="1">
      <alignment horizontal="center" vertical="center"/>
    </xf>
    <xf borderId="54" fillId="13" fontId="155" numFmtId="0" xfId="0" applyAlignment="1" applyBorder="1" applyFont="1">
      <alignment horizontal="center" readingOrder="0" vertical="center"/>
    </xf>
    <xf borderId="45" fillId="5" fontId="4" numFmtId="0" xfId="0" applyBorder="1" applyFont="1"/>
    <xf borderId="60" fillId="5" fontId="4" numFmtId="0" xfId="0" applyBorder="1" applyFont="1"/>
    <xf borderId="27" fillId="4" fontId="157" numFmtId="167" xfId="0" applyAlignment="1" applyBorder="1" applyFont="1" applyNumberFormat="1">
      <alignment horizontal="left" vertical="center"/>
    </xf>
    <xf borderId="27" fillId="4" fontId="157" numFmtId="165" xfId="0" applyAlignment="1" applyBorder="1" applyFont="1" applyNumberFormat="1">
      <alignment horizontal="left" readingOrder="0" vertical="center"/>
    </xf>
    <xf borderId="27" fillId="4" fontId="157" numFmtId="166" xfId="0" applyAlignment="1" applyBorder="1" applyFont="1" applyNumberFormat="1">
      <alignment horizontal="left" readingOrder="0" vertical="center"/>
    </xf>
    <xf borderId="27" fillId="4" fontId="157" numFmtId="0" xfId="0" applyAlignment="1" applyBorder="1" applyFont="1">
      <alignment horizontal="left" vertical="center"/>
    </xf>
    <xf borderId="30" fillId="4" fontId="157" numFmtId="0" xfId="0" applyAlignment="1" applyBorder="1" applyFont="1">
      <alignment horizontal="left" vertical="center"/>
    </xf>
    <xf borderId="41" fillId="4" fontId="157" numFmtId="0" xfId="0" applyAlignment="1" applyBorder="1" applyFont="1">
      <alignment horizontal="left" vertical="center"/>
    </xf>
    <xf borderId="47" fillId="4" fontId="157" numFmtId="0" xfId="0" applyAlignment="1" applyBorder="1" applyFont="1">
      <alignment horizontal="center" readingOrder="0" vertical="center"/>
    </xf>
    <xf borderId="47" fillId="4" fontId="157" numFmtId="0" xfId="0" applyAlignment="1" applyBorder="1" applyFont="1">
      <alignment horizontal="left" readingOrder="0" vertical="center"/>
    </xf>
    <xf borderId="47" fillId="4" fontId="157" numFmtId="164" xfId="0" applyAlignment="1" applyBorder="1" applyFont="1" applyNumberFormat="1">
      <alignment horizontal="left" readingOrder="0" vertical="center"/>
    </xf>
    <xf borderId="47" fillId="4" fontId="157" numFmtId="9" xfId="0" applyAlignment="1" applyBorder="1" applyFont="1" applyNumberFormat="1">
      <alignment horizontal="left" readingOrder="0" vertical="center"/>
    </xf>
    <xf borderId="53" fillId="4" fontId="157" numFmtId="0" xfId="0" applyAlignment="1" applyBorder="1" applyFont="1">
      <alignment horizontal="left" readingOrder="0" vertical="center"/>
    </xf>
    <xf borderId="5" fillId="4" fontId="157" numFmtId="165" xfId="0" applyAlignment="1" applyBorder="1" applyFont="1" applyNumberFormat="1">
      <alignment horizontal="center" readingOrder="0" vertical="center"/>
    </xf>
    <xf borderId="3" fillId="4" fontId="157" numFmtId="0" xfId="0" applyAlignment="1" applyBorder="1" applyFont="1">
      <alignment horizontal="center" readingOrder="0" vertical="center"/>
    </xf>
    <xf borderId="3" fillId="4" fontId="157" numFmtId="0" xfId="0" applyAlignment="1" applyBorder="1" applyFont="1">
      <alignment horizontal="left" readingOrder="0" vertical="center"/>
    </xf>
    <xf borderId="3" fillId="4" fontId="157" numFmtId="164" xfId="0" applyAlignment="1" applyBorder="1" applyFont="1" applyNumberFormat="1">
      <alignment horizontal="left" readingOrder="0" vertical="center"/>
    </xf>
    <xf borderId="3" fillId="4" fontId="157" numFmtId="9" xfId="0" applyAlignment="1" applyBorder="1" applyFont="1" applyNumberFormat="1">
      <alignment horizontal="left" readingOrder="0" vertical="center"/>
    </xf>
    <xf borderId="39" fillId="4" fontId="157" numFmtId="0" xfId="0" applyAlignment="1" applyBorder="1" applyFont="1">
      <alignment horizontal="left" readingOrder="0" vertical="center"/>
    </xf>
    <xf borderId="23" fillId="17" fontId="155" numFmtId="0" xfId="0" applyAlignment="1" applyBorder="1" applyFill="1" applyFont="1">
      <alignment horizontal="center" readingOrder="0" vertical="center"/>
    </xf>
    <xf borderId="15" fillId="17" fontId="155" numFmtId="0" xfId="0" applyAlignment="1" applyBorder="1" applyFont="1">
      <alignment horizontal="center" readingOrder="0" vertical="center"/>
    </xf>
    <xf borderId="26" fillId="4" fontId="157" numFmtId="0" xfId="0" applyAlignment="1" applyBorder="1" applyFont="1">
      <alignment horizontal="left" readingOrder="0" shrinkToFit="0" vertical="center" wrapText="1"/>
    </xf>
    <xf borderId="4" fillId="4" fontId="157" numFmtId="166" xfId="0" applyAlignment="1" applyBorder="1" applyFont="1" applyNumberFormat="1">
      <alignment horizontal="center" readingOrder="0" vertical="center"/>
    </xf>
    <xf borderId="4" fillId="5" fontId="157" numFmtId="166" xfId="0" applyAlignment="1" applyBorder="1" applyFont="1" applyNumberFormat="1">
      <alignment horizontal="center" readingOrder="0" vertical="center"/>
    </xf>
    <xf borderId="4" fillId="5" fontId="157" numFmtId="166" xfId="0" applyAlignment="1" applyBorder="1" applyFont="1" applyNumberFormat="1">
      <alignment horizontal="left" readingOrder="0" vertical="center"/>
    </xf>
    <xf borderId="4" fillId="5" fontId="157" numFmtId="164" xfId="0" applyAlignment="1" applyBorder="1" applyFont="1" applyNumberFormat="1">
      <alignment horizontal="left" readingOrder="0" vertical="center"/>
    </xf>
    <xf borderId="4" fillId="5" fontId="157" numFmtId="9" xfId="0" applyAlignment="1" applyBorder="1" applyFont="1" applyNumberFormat="1">
      <alignment horizontal="left" readingOrder="0" vertical="center"/>
    </xf>
    <xf borderId="56" fillId="5" fontId="157" numFmtId="0" xfId="0" applyAlignment="1" applyBorder="1" applyFont="1">
      <alignment horizontal="center" readingOrder="0" vertical="center"/>
    </xf>
    <xf borderId="27" fillId="4" fontId="156" numFmtId="172" xfId="0" applyAlignment="1" applyBorder="1" applyFont="1" applyNumberFormat="1">
      <alignment horizontal="center" readingOrder="0" vertical="center"/>
    </xf>
    <xf borderId="3" fillId="5" fontId="157" numFmtId="166" xfId="0" applyAlignment="1" applyBorder="1" applyFont="1" applyNumberFormat="1">
      <alignment horizontal="center" readingOrder="0" vertical="center"/>
    </xf>
    <xf borderId="3" fillId="5" fontId="157" numFmtId="166" xfId="0" applyAlignment="1" applyBorder="1" applyFont="1" applyNumberFormat="1">
      <alignment horizontal="left" readingOrder="0" vertical="center"/>
    </xf>
    <xf borderId="40" fillId="4" fontId="157" numFmtId="166" xfId="0" applyAlignment="1" applyBorder="1" applyFont="1" applyNumberFormat="1">
      <alignment horizontal="center" readingOrder="0" vertical="center"/>
    </xf>
    <xf borderId="36" fillId="4" fontId="157" numFmtId="0" xfId="0" applyAlignment="1" applyBorder="1" applyFont="1">
      <alignment horizontal="left" readingOrder="0" shrinkToFit="0" vertical="center" wrapText="1"/>
    </xf>
    <xf borderId="7" fillId="4" fontId="157" numFmtId="166" xfId="0" applyAlignment="1" applyBorder="1" applyFont="1" applyNumberFormat="1">
      <alignment horizontal="center" readingOrder="0" vertical="center"/>
    </xf>
    <xf borderId="7" fillId="5" fontId="157" numFmtId="166" xfId="0" applyAlignment="1" applyBorder="1" applyFont="1" applyNumberFormat="1">
      <alignment horizontal="center" readingOrder="0" vertical="center"/>
    </xf>
    <xf borderId="7" fillId="5" fontId="157" numFmtId="166" xfId="0" applyAlignment="1" applyBorder="1" applyFont="1" applyNumberFormat="1">
      <alignment horizontal="left" readingOrder="0" vertical="center"/>
    </xf>
    <xf borderId="31" fillId="4" fontId="157" numFmtId="0" xfId="0" applyAlignment="1" applyBorder="1" applyFont="1">
      <alignment horizontal="left" readingOrder="0" shrinkToFit="0" vertical="center" wrapText="1"/>
    </xf>
    <xf borderId="40" fillId="5" fontId="157" numFmtId="166" xfId="0" applyAlignment="1" applyBorder="1" applyFont="1" applyNumberFormat="1">
      <alignment horizontal="center" readingOrder="0" vertical="center"/>
    </xf>
    <xf borderId="40" fillId="5" fontId="157" numFmtId="166" xfId="0" applyAlignment="1" applyBorder="1" applyFont="1" applyNumberFormat="1">
      <alignment horizontal="left" readingOrder="0" vertical="center"/>
    </xf>
    <xf borderId="57" fillId="4" fontId="157" numFmtId="0" xfId="0" applyAlignment="1" applyBorder="1" applyFont="1">
      <alignment horizontal="left" readingOrder="0" shrinkToFit="0" vertical="center" wrapText="1"/>
    </xf>
    <xf borderId="58" fillId="4" fontId="157" numFmtId="170" xfId="0" applyAlignment="1" applyBorder="1" applyFont="1" applyNumberFormat="1">
      <alignment horizontal="center" readingOrder="0" vertical="center"/>
    </xf>
    <xf borderId="61" fillId="4" fontId="157" numFmtId="170" xfId="0" applyAlignment="1" applyBorder="1" applyFont="1" applyNumberFormat="1">
      <alignment horizontal="center" readingOrder="0" vertical="center"/>
    </xf>
    <xf borderId="58" fillId="4" fontId="156" numFmtId="0" xfId="0" applyAlignment="1" applyBorder="1" applyFont="1">
      <alignment horizontal="center" readingOrder="0" vertical="center"/>
    </xf>
    <xf borderId="24" fillId="5" fontId="4" numFmtId="0" xfId="0" applyBorder="1" applyFont="1"/>
    <xf borderId="61" fillId="5" fontId="4" numFmtId="0" xfId="0" applyBorder="1" applyFont="1"/>
    <xf borderId="46" fillId="5" fontId="163" numFmtId="0" xfId="0" applyAlignment="1" applyBorder="1" applyFont="1">
      <alignment horizontal="center" readingOrder="0" vertical="center"/>
    </xf>
    <xf borderId="7" fillId="4" fontId="157" numFmtId="0" xfId="0" applyAlignment="1" applyBorder="1" applyFont="1">
      <alignment horizontal="center" vertical="center"/>
    </xf>
    <xf borderId="7" fillId="4" fontId="157" numFmtId="164" xfId="0" applyAlignment="1" applyBorder="1" applyFont="1" applyNumberFormat="1">
      <alignment horizontal="center" readingOrder="0" vertical="center"/>
    </xf>
    <xf borderId="7" fillId="4" fontId="157" numFmtId="9" xfId="0" applyAlignment="1" applyBorder="1" applyFont="1" applyNumberFormat="1">
      <alignment horizontal="center" readingOrder="0" vertical="center"/>
    </xf>
    <xf borderId="6" fillId="4" fontId="157" numFmtId="0" xfId="0" applyAlignment="1" applyBorder="1" applyFont="1">
      <alignment horizontal="center" readingOrder="0" vertical="center"/>
    </xf>
    <xf borderId="3" fillId="4" fontId="157" numFmtId="166" xfId="0" applyAlignment="1" applyBorder="1" applyFont="1" applyNumberFormat="1">
      <alignment horizontal="center" vertical="center"/>
    </xf>
    <xf borderId="3" fillId="5" fontId="157" numFmtId="164" xfId="0" applyAlignment="1" applyBorder="1" applyFont="1" applyNumberFormat="1">
      <alignment horizontal="center" readingOrder="0" vertical="center"/>
    </xf>
    <xf borderId="3" fillId="5" fontId="157" numFmtId="9" xfId="0" applyAlignment="1" applyBorder="1" applyFont="1" applyNumberFormat="1">
      <alignment horizontal="center" readingOrder="0" vertical="center"/>
    </xf>
    <xf borderId="6" fillId="5" fontId="157" numFmtId="0" xfId="0" applyAlignment="1" applyBorder="1" applyFont="1">
      <alignment horizontal="center" readingOrder="0" vertical="center"/>
    </xf>
    <xf borderId="11" fillId="4" fontId="157" numFmtId="0" xfId="0" applyAlignment="1" applyBorder="1" applyFont="1">
      <alignment horizontal="center" readingOrder="0" vertical="center"/>
    </xf>
    <xf borderId="2" fillId="4" fontId="157" numFmtId="0" xfId="0" applyAlignment="1" applyBorder="1" applyFont="1">
      <alignment horizontal="center" readingOrder="0" vertical="center"/>
    </xf>
    <xf borderId="7" fillId="4" fontId="157" numFmtId="0" xfId="0" applyAlignment="1" applyBorder="1" applyFont="1">
      <alignment horizontal="center" readingOrder="0" vertical="center"/>
    </xf>
    <xf borderId="4" fillId="4" fontId="157" numFmtId="0" xfId="0" applyAlignment="1" applyBorder="1" applyFont="1">
      <alignment horizontal="center" readingOrder="0" shrinkToFit="0" vertical="center" wrapText="1"/>
    </xf>
    <xf borderId="55" fillId="5" fontId="4" numFmtId="0" xfId="0" applyBorder="1" applyFont="1"/>
    <xf borderId="3" fillId="5" fontId="157" numFmtId="0" xfId="0" applyAlignment="1" applyBorder="1" applyFont="1">
      <alignment horizontal="center" readingOrder="0" vertical="center"/>
    </xf>
    <xf borderId="3" fillId="4" fontId="157" numFmtId="0" xfId="0" applyAlignment="1" applyBorder="1" applyFont="1">
      <alignment horizontal="center" readingOrder="0" vertical="center"/>
    </xf>
    <xf borderId="4" fillId="4" fontId="157" numFmtId="0" xfId="0" applyAlignment="1" applyBorder="1" applyFont="1">
      <alignment horizontal="center" readingOrder="0" vertical="center"/>
    </xf>
    <xf borderId="16" fillId="4" fontId="4" numFmtId="0" xfId="0" applyBorder="1" applyFont="1"/>
    <xf borderId="47" fillId="4" fontId="157" numFmtId="164" xfId="0" applyAlignment="1" applyBorder="1" applyFont="1" applyNumberFormat="1">
      <alignment horizontal="center" readingOrder="0" vertical="center"/>
    </xf>
    <xf borderId="47" fillId="4" fontId="157" numFmtId="9" xfId="0" applyAlignment="1" applyBorder="1" applyFont="1" applyNumberFormat="1">
      <alignment horizontal="center" readingOrder="0" vertical="center"/>
    </xf>
    <xf borderId="48" fillId="5" fontId="157" numFmtId="0" xfId="0" applyAlignment="1" applyBorder="1" applyFont="1">
      <alignment horizontal="center" readingOrder="0" vertical="center"/>
    </xf>
    <xf borderId="48" fillId="4" fontId="157" numFmtId="0" xfId="0" applyAlignment="1" applyBorder="1" applyFont="1">
      <alignment horizontal="center" readingOrder="0" vertical="center"/>
    </xf>
    <xf borderId="40" fillId="5" fontId="157" numFmtId="164" xfId="0" applyAlignment="1" applyBorder="1" applyFont="1" applyNumberFormat="1">
      <alignment horizontal="center" readingOrder="0" vertical="center"/>
    </xf>
    <xf borderId="40" fillId="5" fontId="157" numFmtId="9" xfId="0" applyAlignment="1" applyBorder="1" applyFont="1" applyNumberFormat="1">
      <alignment horizontal="center" readingOrder="0" vertical="center"/>
    </xf>
    <xf borderId="35" fillId="5" fontId="157" numFmtId="0" xfId="0" applyAlignment="1" applyBorder="1" applyFont="1">
      <alignment horizontal="center" readingOrder="0" vertical="center"/>
    </xf>
    <xf borderId="7" fillId="4" fontId="157" numFmtId="166" xfId="0" applyAlignment="1" applyBorder="1" applyFont="1" applyNumberFormat="1">
      <alignment horizontal="center" vertical="center"/>
    </xf>
    <xf borderId="7" fillId="5" fontId="157" numFmtId="0" xfId="0" applyAlignment="1" applyBorder="1" applyFont="1">
      <alignment horizontal="center" readingOrder="0" vertical="center"/>
    </xf>
    <xf borderId="0" fillId="0" fontId="4" numFmtId="0" xfId="0" applyAlignment="1" applyFont="1">
      <alignment vertical="center"/>
    </xf>
    <xf borderId="0" fillId="0" fontId="4" numFmtId="0" xfId="0" applyAlignment="1" applyFont="1">
      <alignment horizontal="left" vertical="center"/>
    </xf>
    <xf borderId="0" fillId="12" fontId="11" numFmtId="0" xfId="0" applyAlignment="1" applyFont="1">
      <alignment horizontal="center" readingOrder="0" shrinkToFit="0" vertical="center" wrapText="1"/>
    </xf>
    <xf borderId="0" fillId="12" fontId="11" numFmtId="0" xfId="0" applyAlignment="1" applyFont="1">
      <alignment horizontal="center" shrinkToFit="0" vertical="center" wrapText="1"/>
    </xf>
    <xf borderId="0" fillId="12" fontId="11" numFmtId="171" xfId="0" applyAlignment="1" applyFont="1" applyNumberFormat="1">
      <alignment horizontal="center" readingOrder="0" shrinkToFit="0" vertical="center" wrapText="1"/>
    </xf>
    <xf borderId="0" fillId="12" fontId="11" numFmtId="169" xfId="0" applyAlignment="1" applyFont="1" applyNumberFormat="1">
      <alignment horizontal="center" readingOrder="0" shrinkToFit="0" vertical="center" wrapText="1"/>
    </xf>
    <xf borderId="0" fillId="12" fontId="4" numFmtId="0" xfId="0" applyAlignment="1" applyFont="1">
      <alignment horizontal="center"/>
    </xf>
    <xf borderId="3" fillId="10" fontId="11" numFmtId="171" xfId="0" applyAlignment="1" applyBorder="1" applyFont="1" applyNumberFormat="1">
      <alignment horizontal="center" readingOrder="0" shrinkToFit="0" vertical="center" wrapText="1"/>
    </xf>
    <xf borderId="3" fillId="10" fontId="11" numFmtId="169" xfId="0" applyAlignment="1" applyBorder="1" applyFont="1" applyNumberFormat="1">
      <alignment horizontal="center" readingOrder="0" shrinkToFit="0" vertical="center" wrapText="1"/>
    </xf>
    <xf borderId="0" fillId="0" fontId="59" numFmtId="0" xfId="0" applyAlignment="1" applyFont="1">
      <alignment horizontal="center"/>
    </xf>
    <xf borderId="3" fillId="2" fontId="110" numFmtId="0" xfId="0" applyAlignment="1" applyBorder="1" applyFont="1">
      <alignment horizontal="center" readingOrder="0" vertical="center"/>
    </xf>
    <xf borderId="3" fillId="2" fontId="19" numFmtId="0" xfId="0" applyAlignment="1" applyBorder="1" applyFont="1">
      <alignment horizontal="center" readingOrder="0" vertical="bottom"/>
    </xf>
    <xf borderId="3" fillId="2" fontId="164" numFmtId="0" xfId="0" applyAlignment="1" applyBorder="1" applyFont="1">
      <alignment horizontal="center" readingOrder="0" shrinkToFit="0" vertical="bottom" wrapText="1"/>
    </xf>
    <xf borderId="3" fillId="2" fontId="19" numFmtId="165" xfId="0" applyAlignment="1" applyBorder="1" applyFont="1" applyNumberFormat="1">
      <alignment horizontal="center" readingOrder="0" vertical="bottom"/>
    </xf>
    <xf borderId="8" fillId="2" fontId="165" numFmtId="0" xfId="0" applyAlignment="1" applyBorder="1" applyFont="1">
      <alignment horizontal="center" readingOrder="0" vertical="center"/>
    </xf>
    <xf borderId="8" fillId="2" fontId="75" numFmtId="164" xfId="0" applyAlignment="1" applyBorder="1" applyFont="1" applyNumberFormat="1">
      <alignment horizontal="center" readingOrder="0" vertical="bottom"/>
    </xf>
    <xf borderId="3" fillId="2" fontId="110" numFmtId="0" xfId="0" applyAlignment="1" applyBorder="1" applyFont="1">
      <alignment horizontal="center" readingOrder="0" vertical="bottom"/>
    </xf>
    <xf borderId="0" fillId="12" fontId="79" numFmtId="0" xfId="0" applyAlignment="1" applyFont="1">
      <alignment horizontal="center" readingOrder="0" shrinkToFit="0" vertical="center" wrapText="1"/>
    </xf>
    <xf borderId="3" fillId="5" fontId="110" numFmtId="0" xfId="0" applyAlignment="1" applyBorder="1" applyFont="1">
      <alignment horizontal="center" readingOrder="0" vertical="center"/>
    </xf>
    <xf borderId="3" fillId="5" fontId="19" numFmtId="0" xfId="0" applyAlignment="1" applyBorder="1" applyFont="1">
      <alignment horizontal="center" readingOrder="0" vertical="bottom"/>
    </xf>
    <xf borderId="3" fillId="5" fontId="166" numFmtId="0" xfId="0" applyAlignment="1" applyBorder="1" applyFont="1">
      <alignment horizontal="center" readingOrder="0" shrinkToFit="0" vertical="bottom" wrapText="1"/>
    </xf>
    <xf borderId="3" fillId="5" fontId="19" numFmtId="165" xfId="0" applyAlignment="1" applyBorder="1" applyFont="1" applyNumberFormat="1">
      <alignment horizontal="center" readingOrder="0" vertical="bottom"/>
    </xf>
    <xf borderId="8" fillId="5" fontId="167" numFmtId="0" xfId="0" applyAlignment="1" applyBorder="1" applyFont="1">
      <alignment horizontal="center" readingOrder="0" vertical="center"/>
    </xf>
    <xf borderId="8" fillId="5" fontId="75" numFmtId="164" xfId="0" applyAlignment="1" applyBorder="1" applyFont="1" applyNumberFormat="1">
      <alignment horizontal="center" readingOrder="0" vertical="bottom"/>
    </xf>
    <xf borderId="3" fillId="5" fontId="110" numFmtId="0" xfId="0" applyAlignment="1" applyBorder="1" applyFont="1">
      <alignment horizontal="center" readingOrder="0" vertical="bottom"/>
    </xf>
    <xf borderId="3" fillId="12" fontId="75" numFmtId="0" xfId="0" applyAlignment="1" applyBorder="1" applyFont="1">
      <alignment horizontal="center" readingOrder="0" vertical="bottom"/>
    </xf>
    <xf borderId="3" fillId="12" fontId="19" numFmtId="0" xfId="0" applyAlignment="1" applyBorder="1" applyFont="1">
      <alignment horizontal="center" readingOrder="0" vertical="bottom"/>
    </xf>
    <xf borderId="3" fillId="12" fontId="19" numFmtId="0" xfId="0" applyAlignment="1" applyBorder="1" applyFont="1">
      <alignment horizontal="center" readingOrder="0" shrinkToFit="0" vertical="bottom" wrapText="1"/>
    </xf>
    <xf borderId="3" fillId="12" fontId="19" numFmtId="165" xfId="0" applyAlignment="1" applyBorder="1" applyFont="1" applyNumberFormat="1">
      <alignment horizontal="center" readingOrder="0" vertical="bottom"/>
    </xf>
    <xf borderId="8" fillId="12" fontId="168" numFmtId="0" xfId="0" applyAlignment="1" applyBorder="1" applyFont="1">
      <alignment horizontal="center" readingOrder="0" vertical="center"/>
    </xf>
    <xf borderId="8" fillId="12" fontId="75" numFmtId="164" xfId="0" applyAlignment="1" applyBorder="1" applyFont="1" applyNumberFormat="1">
      <alignment horizontal="center" readingOrder="0" vertical="bottom"/>
    </xf>
    <xf borderId="3" fillId="12" fontId="110" numFmtId="0" xfId="0" applyAlignment="1" applyBorder="1" applyFont="1">
      <alignment horizontal="center" readingOrder="0" vertical="bottom"/>
    </xf>
    <xf borderId="8" fillId="5" fontId="168" numFmtId="0" xfId="0" applyAlignment="1" applyBorder="1" applyFont="1">
      <alignment horizontal="center" readingOrder="0" vertical="center"/>
    </xf>
    <xf borderId="8" fillId="5" fontId="75" numFmtId="164" xfId="0" applyAlignment="1" applyBorder="1" applyFont="1" applyNumberFormat="1">
      <alignment horizontal="center" readingOrder="0" vertical="center"/>
    </xf>
    <xf borderId="3" fillId="5" fontId="110" numFmtId="0" xfId="0" applyAlignment="1" applyBorder="1" applyFont="1">
      <alignment horizontal="center" readingOrder="0" vertical="center"/>
    </xf>
    <xf borderId="0" fillId="4" fontId="59" numFmtId="0" xfId="0" applyAlignment="1" applyFont="1">
      <alignment horizontal="center" vertical="center"/>
    </xf>
    <xf borderId="0" fillId="3" fontId="59" numFmtId="0" xfId="0" applyAlignment="1" applyFont="1">
      <alignment horizontal="center"/>
    </xf>
    <xf borderId="0" fillId="4" fontId="59" numFmtId="0" xfId="0" applyAlignment="1" applyFont="1">
      <alignment horizontal="center"/>
    </xf>
    <xf borderId="3" fillId="4" fontId="75" numFmtId="0" xfId="0" applyAlignment="1" applyBorder="1" applyFont="1">
      <alignment horizontal="center" readingOrder="0" vertical="bottom"/>
    </xf>
    <xf borderId="3" fillId="4" fontId="19" numFmtId="0" xfId="0" applyAlignment="1" applyBorder="1" applyFont="1">
      <alignment horizontal="center" readingOrder="0" vertical="bottom"/>
    </xf>
    <xf borderId="4" fillId="4" fontId="169" numFmtId="0" xfId="0" applyAlignment="1" applyBorder="1" applyFont="1">
      <alignment horizontal="center" readingOrder="0" vertical="center"/>
    </xf>
    <xf borderId="3" fillId="4" fontId="19" numFmtId="0" xfId="0" applyAlignment="1" applyBorder="1" applyFont="1">
      <alignment horizontal="center" readingOrder="0" shrinkToFit="0" vertical="bottom" wrapText="1"/>
    </xf>
    <xf borderId="3" fillId="4" fontId="19" numFmtId="165" xfId="0" applyAlignment="1" applyBorder="1" applyFont="1" applyNumberFormat="1">
      <alignment horizontal="center" readingOrder="0" vertical="bottom"/>
    </xf>
    <xf borderId="8" fillId="4" fontId="168" numFmtId="0" xfId="0" applyAlignment="1" applyBorder="1" applyFont="1">
      <alignment horizontal="center" readingOrder="0" vertical="center"/>
    </xf>
    <xf borderId="8" fillId="4" fontId="75" numFmtId="164" xfId="0" applyAlignment="1" applyBorder="1" applyFont="1" applyNumberFormat="1">
      <alignment horizontal="center" readingOrder="0" vertical="bottom"/>
    </xf>
    <xf borderId="3" fillId="4" fontId="110" numFmtId="0" xfId="0" applyAlignment="1" applyBorder="1" applyFont="1">
      <alignment horizontal="center" readingOrder="0" vertical="bottom"/>
    </xf>
    <xf borderId="3" fillId="5" fontId="75" numFmtId="0" xfId="0" applyAlignment="1" applyBorder="1" applyFont="1">
      <alignment horizontal="center" readingOrder="0" vertical="bottom"/>
    </xf>
    <xf borderId="3" fillId="5" fontId="19" numFmtId="0" xfId="0" applyAlignment="1" applyBorder="1" applyFont="1">
      <alignment horizontal="center" readingOrder="0" shrinkToFit="0" vertical="bottom" wrapText="1"/>
    </xf>
    <xf borderId="12" fillId="5" fontId="170" numFmtId="0" xfId="0" applyAlignment="1" applyBorder="1" applyFont="1">
      <alignment horizontal="center" readingOrder="0" vertical="center"/>
    </xf>
    <xf borderId="3" fillId="2" fontId="75" numFmtId="0" xfId="0" applyAlignment="1" applyBorder="1" applyFont="1">
      <alignment horizontal="center" readingOrder="0" vertical="bottom"/>
    </xf>
    <xf borderId="3" fillId="2" fontId="19" numFmtId="0" xfId="0" applyAlignment="1" applyBorder="1" applyFont="1">
      <alignment horizontal="center" readingOrder="0" shrinkToFit="0" vertical="bottom" wrapText="1"/>
    </xf>
    <xf borderId="3" fillId="2" fontId="24" numFmtId="0" xfId="0" applyAlignment="1" applyBorder="1" applyFont="1">
      <alignment horizontal="center" readingOrder="0" shrinkToFit="0" vertical="center" wrapText="1"/>
    </xf>
    <xf borderId="3" fillId="4" fontId="38" numFmtId="169" xfId="0" applyAlignment="1" applyBorder="1" applyFont="1" applyNumberFormat="1">
      <alignment horizontal="center" vertical="bottom"/>
    </xf>
    <xf borderId="3" fillId="4" fontId="171" numFmtId="167" xfId="0" applyAlignment="1" applyBorder="1" applyFont="1" applyNumberFormat="1">
      <alignment horizontal="center" vertical="center"/>
    </xf>
    <xf borderId="3" fillId="5" fontId="38" numFmtId="169" xfId="0" applyAlignment="1" applyBorder="1" applyFont="1" applyNumberFormat="1">
      <alignment horizontal="center" vertical="bottom"/>
    </xf>
    <xf borderId="3" fillId="5" fontId="171" numFmtId="167" xfId="0" applyAlignment="1" applyBorder="1" applyFont="1" applyNumberFormat="1">
      <alignment horizontal="center" vertical="center"/>
    </xf>
    <xf borderId="11" fillId="2" fontId="172" numFmtId="0" xfId="0" applyAlignment="1" applyBorder="1" applyFont="1">
      <alignment horizontal="center" readingOrder="0" vertical="center"/>
    </xf>
    <xf borderId="11" fillId="2" fontId="20" numFmtId="0" xfId="0" applyAlignment="1" applyBorder="1" applyFont="1">
      <alignment horizontal="center" readingOrder="0" vertical="center"/>
    </xf>
    <xf borderId="7" fillId="2" fontId="173" numFmtId="0" xfId="0" applyAlignment="1" applyBorder="1" applyFont="1">
      <alignment horizontal="center" readingOrder="0" vertical="center"/>
    </xf>
    <xf borderId="3" fillId="4" fontId="60" numFmtId="0" xfId="0" applyAlignment="1" applyBorder="1" applyFont="1">
      <alignment horizontal="center" readingOrder="0" vertical="bottom"/>
    </xf>
    <xf borderId="3" fillId="4" fontId="60" numFmtId="0" xfId="0" applyAlignment="1" applyBorder="1" applyFont="1">
      <alignment horizontal="center" vertical="bottom"/>
    </xf>
    <xf borderId="3" fillId="4" fontId="60" numFmtId="0" xfId="0" applyAlignment="1" applyBorder="1" applyFont="1">
      <alignment horizontal="center" readingOrder="0" shrinkToFit="0" vertical="bottom" wrapText="1"/>
    </xf>
    <xf borderId="3" fillId="4" fontId="60" numFmtId="165" xfId="0" applyAlignment="1" applyBorder="1" applyFont="1" applyNumberFormat="1">
      <alignment horizontal="center" readingOrder="0" vertical="bottom"/>
    </xf>
    <xf borderId="8" fillId="5" fontId="174" numFmtId="0" xfId="0" applyAlignment="1" applyBorder="1" applyFont="1">
      <alignment horizontal="center" readingOrder="0"/>
    </xf>
    <xf borderId="3" fillId="5" fontId="69" numFmtId="164" xfId="0" applyAlignment="1" applyBorder="1" applyFont="1" applyNumberFormat="1">
      <alignment horizontal="center" readingOrder="0"/>
    </xf>
    <xf borderId="8" fillId="4" fontId="174" numFmtId="0" xfId="0" applyAlignment="1" applyBorder="1" applyFont="1">
      <alignment horizontal="center" readingOrder="0"/>
    </xf>
    <xf borderId="3" fillId="4" fontId="69" numFmtId="164" xfId="0" applyAlignment="1" applyBorder="1" applyFont="1" applyNumberFormat="1">
      <alignment horizontal="center" readingOrder="0"/>
    </xf>
    <xf borderId="3" fillId="10" fontId="175" numFmtId="169" xfId="0" applyAlignment="1" applyBorder="1" applyFont="1" applyNumberFormat="1">
      <alignment horizontal="center" readingOrder="0" shrinkToFit="0" vertical="center" wrapText="1"/>
    </xf>
    <xf borderId="0" fillId="10" fontId="11" numFmtId="0" xfId="0" applyAlignment="1" applyFont="1">
      <alignment horizontal="center" readingOrder="0" shrinkToFit="0" vertical="center" wrapText="1"/>
    </xf>
    <xf borderId="3" fillId="5" fontId="38" numFmtId="166" xfId="0" applyAlignment="1" applyBorder="1" applyFont="1" applyNumberFormat="1">
      <alignment horizontal="center" vertical="bottom"/>
    </xf>
    <xf borderId="3" fillId="6" fontId="37" numFmtId="166" xfId="0" applyAlignment="1" applyBorder="1" applyFont="1" applyNumberFormat="1">
      <alignment horizontal="center" vertical="bottom"/>
    </xf>
    <xf borderId="3" fillId="5" fontId="38" numFmtId="166" xfId="0" applyAlignment="1" applyBorder="1" applyFont="1" applyNumberFormat="1">
      <alignment vertical="bottom"/>
    </xf>
    <xf borderId="3" fillId="18" fontId="38" numFmtId="166" xfId="0" applyAlignment="1" applyBorder="1" applyFill="1" applyFont="1" applyNumberFormat="1">
      <alignment horizontal="center" vertical="bottom"/>
    </xf>
    <xf borderId="3" fillId="5" fontId="38" numFmtId="4" xfId="0" applyAlignment="1" applyBorder="1" applyFont="1" applyNumberFormat="1">
      <alignment horizontal="center" vertical="bottom"/>
    </xf>
    <xf borderId="3" fillId="5" fontId="171" numFmtId="167" xfId="0" applyAlignment="1" applyBorder="1" applyFont="1" applyNumberFormat="1">
      <alignment horizontal="center" vertical="bottom"/>
    </xf>
    <xf borderId="3" fillId="5" fontId="171" numFmtId="167" xfId="0" applyAlignment="1" applyBorder="1" applyFont="1" applyNumberFormat="1">
      <alignment horizontal="center" vertical="bottom"/>
    </xf>
    <xf borderId="0" fillId="5" fontId="171" numFmtId="167" xfId="0" applyAlignment="1" applyFont="1" applyNumberFormat="1">
      <alignment horizontal="center" vertical="bottom"/>
    </xf>
    <xf borderId="3" fillId="4" fontId="38" numFmtId="166" xfId="0" applyAlignment="1" applyBorder="1" applyFont="1" applyNumberFormat="1">
      <alignment horizontal="center" vertical="bottom"/>
    </xf>
    <xf borderId="3" fillId="19" fontId="37" numFmtId="166" xfId="0" applyAlignment="1" applyBorder="1" applyFill="1" applyFont="1" applyNumberFormat="1">
      <alignment horizontal="center" vertical="bottom"/>
    </xf>
    <xf borderId="3" fillId="4" fontId="38" numFmtId="166" xfId="0" applyAlignment="1" applyBorder="1" applyFont="1" applyNumberFormat="1">
      <alignment vertical="bottom"/>
    </xf>
    <xf borderId="3" fillId="4" fontId="38" numFmtId="4" xfId="0" applyAlignment="1" applyBorder="1" applyFont="1" applyNumberFormat="1">
      <alignment horizontal="center" vertical="bottom"/>
    </xf>
    <xf borderId="3" fillId="4" fontId="38" numFmtId="167" xfId="0" applyAlignment="1" applyBorder="1" applyFont="1" applyNumberFormat="1">
      <alignment horizontal="center" vertical="bottom"/>
    </xf>
    <xf borderId="0" fillId="4" fontId="38" numFmtId="167" xfId="0" applyAlignment="1" applyFont="1" applyNumberFormat="1">
      <alignment horizontal="center" vertical="bottom"/>
    </xf>
    <xf borderId="3" fillId="5" fontId="38" numFmtId="166" xfId="0" applyAlignment="1" applyBorder="1" applyFont="1" applyNumberFormat="1">
      <alignment vertical="bottom"/>
    </xf>
    <xf borderId="3" fillId="5" fontId="38" numFmtId="166" xfId="0" applyAlignment="1" applyBorder="1" applyFont="1" applyNumberFormat="1">
      <alignment horizontal="center" vertical="bottom"/>
    </xf>
    <xf borderId="3" fillId="18" fontId="38" numFmtId="166" xfId="0" applyAlignment="1" applyBorder="1" applyFont="1" applyNumberFormat="1">
      <alignment horizontal="center" vertical="bottom"/>
    </xf>
    <xf borderId="3" fillId="5" fontId="38" numFmtId="4" xfId="0" applyAlignment="1" applyBorder="1" applyFont="1" applyNumberFormat="1">
      <alignment horizontal="center" vertical="bottom"/>
    </xf>
    <xf borderId="3" fillId="5" fontId="38" numFmtId="169" xfId="0" applyAlignment="1" applyBorder="1" applyFont="1" applyNumberFormat="1">
      <alignment horizontal="center" vertical="bottom"/>
    </xf>
    <xf borderId="3" fillId="5" fontId="171" numFmtId="167" xfId="0" applyAlignment="1" applyBorder="1" applyFont="1" applyNumberFormat="1">
      <alignment horizontal="center" vertical="center"/>
    </xf>
    <xf borderId="3" fillId="5" fontId="38" numFmtId="166" xfId="0" applyAlignment="1" applyBorder="1" applyFont="1" applyNumberFormat="1">
      <alignment horizontal="center" vertical="bottom"/>
    </xf>
    <xf borderId="3" fillId="5" fontId="5" numFmtId="166" xfId="0" applyAlignment="1" applyBorder="1" applyFont="1" applyNumberFormat="1">
      <alignment vertical="bottom"/>
    </xf>
    <xf borderId="3" fillId="18" fontId="176" numFmtId="166" xfId="0" applyAlignment="1" applyBorder="1" applyFont="1" applyNumberFormat="1">
      <alignment horizontal="center" shrinkToFit="0" vertical="bottom" wrapText="1"/>
    </xf>
    <xf borderId="3" fillId="5" fontId="5" numFmtId="4" xfId="0" applyAlignment="1" applyBorder="1" applyFont="1" applyNumberFormat="1">
      <alignment horizontal="center" vertical="bottom"/>
    </xf>
    <xf borderId="3" fillId="5" fontId="5" numFmtId="169" xfId="0" applyAlignment="1" applyBorder="1" applyFont="1" applyNumberFormat="1">
      <alignment horizontal="center" vertical="bottom"/>
    </xf>
    <xf borderId="3" fillId="4" fontId="38" numFmtId="166" xfId="0" applyAlignment="1" applyBorder="1" applyFont="1" applyNumberFormat="1">
      <alignment horizontal="center" vertical="bottom"/>
    </xf>
    <xf borderId="3" fillId="5" fontId="171" numFmtId="167" xfId="0" applyAlignment="1" applyBorder="1" applyFont="1" applyNumberFormat="1">
      <alignment horizontal="center" vertical="bottom"/>
    </xf>
    <xf borderId="3" fillId="5" fontId="157" numFmtId="0" xfId="0" applyAlignment="1" applyBorder="1" applyFont="1">
      <alignment horizontal="center" readingOrder="0" vertical="bottom"/>
    </xf>
    <xf borderId="0" fillId="5" fontId="157" numFmtId="0" xfId="0" applyAlignment="1" applyFont="1">
      <alignment horizontal="center" readingOrder="0" vertical="bottom"/>
    </xf>
    <xf borderId="0" fillId="0" fontId="38" numFmtId="166" xfId="0" applyAlignment="1" applyFont="1" applyNumberFormat="1">
      <alignment horizontal="center" vertical="bottom"/>
    </xf>
    <xf borderId="0" fillId="0" fontId="37" numFmtId="166" xfId="0" applyAlignment="1" applyFont="1" applyNumberFormat="1">
      <alignment horizontal="center" vertical="bottom"/>
    </xf>
    <xf borderId="0" fillId="0" fontId="38" numFmtId="166" xfId="0" applyAlignment="1" applyFont="1" applyNumberFormat="1">
      <alignment vertical="bottom"/>
    </xf>
    <xf borderId="0" fillId="0" fontId="5" numFmtId="166" xfId="0" applyAlignment="1" applyFont="1" applyNumberFormat="1">
      <alignment vertical="bottom"/>
    </xf>
    <xf borderId="0" fillId="0" fontId="38" numFmtId="166" xfId="0" applyAlignment="1" applyFont="1" applyNumberFormat="1">
      <alignment horizontal="center" vertical="bottom"/>
    </xf>
    <xf borderId="0" fillId="0" fontId="5" numFmtId="169" xfId="0" applyAlignment="1" applyFont="1" applyNumberFormat="1">
      <alignment horizontal="center" vertical="bottom"/>
    </xf>
    <xf borderId="0" fillId="0" fontId="38" numFmtId="169" xfId="0" applyAlignment="1" applyFont="1" applyNumberFormat="1">
      <alignment horizontal="center" vertical="bottom"/>
    </xf>
    <xf borderId="0" fillId="0" fontId="38" numFmtId="169" xfId="0" applyAlignment="1" applyFont="1" applyNumberFormat="1">
      <alignment horizontal="center" readingOrder="0" vertical="bottom"/>
    </xf>
    <xf borderId="0" fillId="0" fontId="177" numFmtId="167" xfId="0" applyAlignment="1" applyFont="1" applyNumberFormat="1">
      <alignment horizontal="center"/>
    </xf>
    <xf borderId="0" fillId="4" fontId="76" numFmtId="167" xfId="0" applyAlignment="1" applyFont="1" applyNumberFormat="1">
      <alignment horizontal="center"/>
    </xf>
    <xf borderId="21" fillId="14" fontId="178" numFmtId="166" xfId="0" applyAlignment="1" applyBorder="1" applyFont="1" applyNumberFormat="1">
      <alignment horizontal="center" shrinkToFit="0" vertical="center" wrapText="1"/>
    </xf>
    <xf borderId="15" fillId="20" fontId="67" numFmtId="0" xfId="0" applyAlignment="1" applyBorder="1" applyFill="1" applyFont="1">
      <alignment horizontal="center" readingOrder="0" vertical="center"/>
    </xf>
    <xf borderId="15" fillId="13" fontId="67" numFmtId="0" xfId="0" applyAlignment="1" applyBorder="1" applyFont="1">
      <alignment horizontal="center" readingOrder="0" vertical="center"/>
    </xf>
    <xf borderId="17" fillId="4" fontId="4" numFmtId="0" xfId="0" applyBorder="1" applyFont="1"/>
    <xf borderId="26" fillId="5" fontId="4" numFmtId="0" xfId="0" applyAlignment="1" applyBorder="1" applyFont="1">
      <alignment readingOrder="0" vertical="center"/>
    </xf>
    <xf borderId="27" fillId="5" fontId="4" numFmtId="165" xfId="0" applyAlignment="1" applyBorder="1" applyFont="1" applyNumberFormat="1">
      <alignment horizontal="center" readingOrder="0" vertical="center"/>
    </xf>
    <xf borderId="27" fillId="5" fontId="4" numFmtId="170" xfId="0" applyAlignment="1" applyBorder="1" applyFont="1" applyNumberFormat="1">
      <alignment horizontal="center" readingOrder="0" vertical="center"/>
    </xf>
    <xf borderId="47" fillId="5" fontId="4" numFmtId="0" xfId="0" applyAlignment="1" applyBorder="1" applyFont="1">
      <alignment readingOrder="0" vertical="center"/>
    </xf>
    <xf borderId="27" fillId="5" fontId="4" numFmtId="0" xfId="0" applyAlignment="1" applyBorder="1" applyFont="1">
      <alignment readingOrder="0" vertical="center"/>
    </xf>
    <xf borderId="47" fillId="5" fontId="4" numFmtId="164" xfId="0" applyAlignment="1" applyBorder="1" applyFont="1" applyNumberFormat="1">
      <alignment readingOrder="0" vertical="center"/>
    </xf>
    <xf borderId="47" fillId="5" fontId="4" numFmtId="169" xfId="0" applyAlignment="1" applyBorder="1" applyFont="1" applyNumberFormat="1">
      <alignment horizontal="right" readingOrder="0" vertical="center"/>
    </xf>
    <xf borderId="47" fillId="5" fontId="4" numFmtId="9" xfId="0" applyAlignment="1" applyBorder="1" applyFont="1" applyNumberFormat="1">
      <alignment readingOrder="0" vertical="center"/>
    </xf>
    <xf borderId="53" fillId="5" fontId="4" numFmtId="0" xfId="0" applyAlignment="1" applyBorder="1" applyFont="1">
      <alignment horizontal="center" readingOrder="0" vertical="center"/>
    </xf>
    <xf borderId="3" fillId="4" fontId="4" numFmtId="0" xfId="0" applyAlignment="1" applyBorder="1" applyFont="1">
      <alignment readingOrder="0" vertical="center"/>
    </xf>
    <xf borderId="3" fillId="4" fontId="4" numFmtId="164" xfId="0" applyAlignment="1" applyBorder="1" applyFont="1" applyNumberFormat="1">
      <alignment readingOrder="0" vertical="center"/>
    </xf>
    <xf borderId="3" fillId="4" fontId="4" numFmtId="169" xfId="0" applyAlignment="1" applyBorder="1" applyFont="1" applyNumberFormat="1">
      <alignment horizontal="right" readingOrder="0" vertical="center"/>
    </xf>
    <xf borderId="3" fillId="4" fontId="4" numFmtId="9" xfId="0" applyAlignment="1" applyBorder="1" applyFont="1" applyNumberFormat="1">
      <alignment readingOrder="0" vertical="center"/>
    </xf>
    <xf borderId="39" fillId="4" fontId="179" numFmtId="0" xfId="0" applyAlignment="1" applyBorder="1" applyFont="1">
      <alignment horizontal="center" readingOrder="0" vertical="center"/>
    </xf>
    <xf borderId="3" fillId="5" fontId="4" numFmtId="0" xfId="0" applyAlignment="1" applyBorder="1" applyFont="1">
      <alignment readingOrder="0" vertical="center"/>
    </xf>
    <xf borderId="3" fillId="5" fontId="4" numFmtId="164" xfId="0" applyAlignment="1" applyBorder="1" applyFont="1" applyNumberFormat="1">
      <alignment readingOrder="0" vertical="center"/>
    </xf>
    <xf borderId="3" fillId="5" fontId="4" numFmtId="169" xfId="0" applyAlignment="1" applyBorder="1" applyFont="1" applyNumberFormat="1">
      <alignment horizontal="right" readingOrder="0" vertical="center"/>
    </xf>
    <xf borderId="3" fillId="5" fontId="4" numFmtId="9" xfId="0" applyAlignment="1" applyBorder="1" applyFont="1" applyNumberFormat="1">
      <alignment readingOrder="0" vertical="center"/>
    </xf>
    <xf borderId="39" fillId="5" fontId="180" numFmtId="0" xfId="0" applyAlignment="1" applyBorder="1" applyFont="1">
      <alignment horizontal="center" readingOrder="0" vertical="center"/>
    </xf>
    <xf borderId="39" fillId="4" fontId="4" numFmtId="0" xfId="0" applyAlignment="1" applyBorder="1" applyFont="1">
      <alignment horizontal="center" readingOrder="0" vertical="center"/>
    </xf>
    <xf borderId="40" fillId="4" fontId="4" numFmtId="0" xfId="0" applyAlignment="1" applyBorder="1" applyFont="1">
      <alignment readingOrder="0" vertical="center"/>
    </xf>
    <xf borderId="40" fillId="4" fontId="4" numFmtId="164" xfId="0" applyAlignment="1" applyBorder="1" applyFont="1" applyNumberFormat="1">
      <alignment readingOrder="0" vertical="center"/>
    </xf>
    <xf borderId="40" fillId="4" fontId="4" numFmtId="169" xfId="0" applyAlignment="1" applyBorder="1" applyFont="1" applyNumberFormat="1">
      <alignment horizontal="right" readingOrder="0" vertical="center"/>
    </xf>
    <xf borderId="40" fillId="4" fontId="4" numFmtId="9" xfId="0" applyAlignment="1" applyBorder="1" applyFont="1" applyNumberFormat="1">
      <alignment readingOrder="0" vertical="center"/>
    </xf>
    <xf borderId="41" fillId="4" fontId="4" numFmtId="0" xfId="0" applyAlignment="1" applyBorder="1" applyFont="1">
      <alignment horizontal="center" readingOrder="0" vertical="center"/>
    </xf>
    <xf borderId="36" fillId="5" fontId="4" numFmtId="0" xfId="0" applyAlignment="1" applyBorder="1" applyFont="1">
      <alignment readingOrder="0" vertical="center"/>
    </xf>
    <xf borderId="6" fillId="5" fontId="4" numFmtId="165" xfId="0" applyAlignment="1" applyBorder="1" applyFont="1" applyNumberFormat="1">
      <alignment horizontal="center" readingOrder="0" vertical="center"/>
    </xf>
    <xf borderId="6" fillId="5" fontId="4" numFmtId="170" xfId="0" applyAlignment="1" applyBorder="1" applyFont="1" applyNumberFormat="1">
      <alignment horizontal="center" readingOrder="0" vertical="center"/>
    </xf>
    <xf borderId="7" fillId="5" fontId="4" numFmtId="0" xfId="0" applyAlignment="1" applyBorder="1" applyFont="1">
      <alignment readingOrder="0" vertical="center"/>
    </xf>
    <xf borderId="6" fillId="5" fontId="4" numFmtId="0" xfId="0" applyAlignment="1" applyBorder="1" applyFont="1">
      <alignment readingOrder="0" vertical="center"/>
    </xf>
    <xf borderId="7" fillId="5" fontId="4" numFmtId="164" xfId="0" applyAlignment="1" applyBorder="1" applyFont="1" applyNumberFormat="1">
      <alignment readingOrder="0" vertical="center"/>
    </xf>
    <xf borderId="7" fillId="5" fontId="4" numFmtId="169" xfId="0" applyAlignment="1" applyBorder="1" applyFont="1" applyNumberFormat="1">
      <alignment horizontal="right" readingOrder="0" vertical="center"/>
    </xf>
    <xf borderId="7" fillId="5" fontId="4" numFmtId="9" xfId="0" applyAlignment="1" applyBorder="1" applyFont="1" applyNumberFormat="1">
      <alignment readingOrder="0" vertical="center"/>
    </xf>
    <xf borderId="38" fillId="5" fontId="4" numFmtId="0" xfId="0" applyAlignment="1" applyBorder="1" applyFont="1">
      <alignment horizontal="center" readingOrder="0" vertical="center"/>
    </xf>
    <xf borderId="36" fillId="4" fontId="4" numFmtId="0" xfId="0" applyAlignment="1" applyBorder="1" applyFont="1">
      <alignment readingOrder="0" vertical="center"/>
    </xf>
    <xf borderId="6" fillId="4" fontId="4" numFmtId="165" xfId="0" applyAlignment="1" applyBorder="1" applyFont="1" applyNumberFormat="1">
      <alignment horizontal="center" readingOrder="0" vertical="center"/>
    </xf>
    <xf borderId="6" fillId="4" fontId="4" numFmtId="170" xfId="0" applyAlignment="1" applyBorder="1" applyFont="1" applyNumberFormat="1">
      <alignment horizontal="center" readingOrder="0" vertical="center"/>
    </xf>
    <xf borderId="6" fillId="4" fontId="4" numFmtId="0" xfId="0" applyAlignment="1" applyBorder="1" applyFont="1">
      <alignment readingOrder="0" vertical="center"/>
    </xf>
    <xf borderId="39" fillId="4" fontId="4" numFmtId="0" xfId="0" applyAlignment="1" applyBorder="1" applyFont="1">
      <alignment horizontal="center" readingOrder="0" vertical="center"/>
    </xf>
    <xf borderId="39" fillId="5" fontId="4" numFmtId="0" xfId="0" applyAlignment="1" applyBorder="1" applyFont="1">
      <alignment horizontal="center" readingOrder="0" vertical="center"/>
    </xf>
    <xf borderId="3" fillId="4" fontId="4" numFmtId="164" xfId="0" applyAlignment="1" applyBorder="1" applyFont="1" applyNumberFormat="1">
      <alignment horizontal="right" readingOrder="0" vertical="center"/>
    </xf>
    <xf borderId="3" fillId="5" fontId="4" numFmtId="164" xfId="0" applyAlignment="1" applyBorder="1" applyFont="1" applyNumberFormat="1">
      <alignment horizontal="right" readingOrder="0" vertical="center"/>
    </xf>
    <xf borderId="39" fillId="5" fontId="4" numFmtId="0" xfId="0" applyAlignment="1" applyBorder="1" applyFont="1">
      <alignment horizontal="center" readingOrder="0" vertical="center"/>
    </xf>
    <xf borderId="3" fillId="5" fontId="4" numFmtId="169" xfId="0" applyAlignment="1" applyBorder="1" applyFont="1" applyNumberFormat="1">
      <alignment readingOrder="0" vertical="center"/>
    </xf>
    <xf borderId="3" fillId="4" fontId="4" numFmtId="169" xfId="0" applyAlignment="1" applyBorder="1" applyFont="1" applyNumberFormat="1">
      <alignment readingOrder="0" vertical="center"/>
    </xf>
    <xf borderId="31" fillId="5" fontId="4" numFmtId="0" xfId="0" applyAlignment="1" applyBorder="1" applyFont="1">
      <alignment readingOrder="0" vertical="center"/>
    </xf>
    <xf borderId="32" fillId="5" fontId="4" numFmtId="165" xfId="0" applyAlignment="1" applyBorder="1" applyFont="1" applyNumberFormat="1">
      <alignment horizontal="center" readingOrder="0" vertical="center"/>
    </xf>
    <xf borderId="32" fillId="5" fontId="4" numFmtId="170" xfId="0" applyAlignment="1" applyBorder="1" applyFont="1" applyNumberFormat="1">
      <alignment horizontal="center" readingOrder="0" vertical="center"/>
    </xf>
    <xf borderId="40" fillId="5" fontId="4" numFmtId="0" xfId="0" applyAlignment="1" applyBorder="1" applyFont="1">
      <alignment readingOrder="0" vertical="center"/>
    </xf>
    <xf borderId="32" fillId="5" fontId="4" numFmtId="0" xfId="0" applyAlignment="1" applyBorder="1" applyFont="1">
      <alignment readingOrder="0" vertical="center"/>
    </xf>
    <xf borderId="40" fillId="5" fontId="4" numFmtId="169" xfId="0" applyAlignment="1" applyBorder="1" applyFont="1" applyNumberFormat="1">
      <alignment readingOrder="0" vertical="center"/>
    </xf>
    <xf borderId="40" fillId="5" fontId="4" numFmtId="169" xfId="0" applyAlignment="1" applyBorder="1" applyFont="1" applyNumberFormat="1">
      <alignment horizontal="right" readingOrder="0" vertical="center"/>
    </xf>
    <xf borderId="40" fillId="5" fontId="4" numFmtId="9" xfId="0" applyAlignment="1" applyBorder="1" applyFont="1" applyNumberFormat="1">
      <alignment readingOrder="0" vertical="center"/>
    </xf>
    <xf borderId="41" fillId="5" fontId="4" numFmtId="0" xfId="0" applyAlignment="1" applyBorder="1" applyFont="1">
      <alignment horizontal="center" readingOrder="0" vertical="center"/>
    </xf>
    <xf borderId="26" fillId="4" fontId="36" numFmtId="0" xfId="0" applyAlignment="1" applyBorder="1" applyFont="1">
      <alignment readingOrder="0" vertical="center"/>
    </xf>
    <xf borderId="27" fillId="4" fontId="4" numFmtId="170" xfId="0" applyAlignment="1" applyBorder="1" applyFont="1" applyNumberFormat="1">
      <alignment horizontal="center" readingOrder="0" vertical="center"/>
    </xf>
    <xf borderId="47" fillId="4" fontId="4" numFmtId="0" xfId="0" applyAlignment="1" applyBorder="1" applyFont="1">
      <alignment readingOrder="0" vertical="center"/>
    </xf>
    <xf borderId="27" fillId="4" fontId="4" numFmtId="0" xfId="0" applyAlignment="1" applyBorder="1" applyFont="1">
      <alignment readingOrder="0" vertical="center"/>
    </xf>
    <xf borderId="47" fillId="4" fontId="4" numFmtId="169" xfId="0" applyAlignment="1" applyBorder="1" applyFont="1" applyNumberFormat="1">
      <alignment readingOrder="0" vertical="center"/>
    </xf>
    <xf borderId="27" fillId="4" fontId="4" numFmtId="169" xfId="0" applyAlignment="1" applyBorder="1" applyFont="1" applyNumberFormat="1">
      <alignment horizontal="right" readingOrder="0" vertical="center"/>
    </xf>
    <xf borderId="27" fillId="4" fontId="4" numFmtId="9" xfId="0" applyAlignment="1" applyBorder="1" applyFont="1" applyNumberFormat="1">
      <alignment readingOrder="0" vertical="center"/>
    </xf>
    <xf borderId="30" fillId="4" fontId="4" numFmtId="0" xfId="0" applyAlignment="1" applyBorder="1" applyFont="1">
      <alignment horizontal="center" readingOrder="0" vertical="center"/>
    </xf>
    <xf borderId="49" fillId="5" fontId="36" numFmtId="0" xfId="0" applyAlignment="1" applyBorder="1" applyFont="1">
      <alignment horizontal="center" readingOrder="0" vertical="center"/>
    </xf>
    <xf borderId="7" fillId="4" fontId="4" numFmtId="0" xfId="0" applyAlignment="1" applyBorder="1" applyFont="1">
      <alignment readingOrder="0" vertical="center"/>
    </xf>
    <xf borderId="7" fillId="4" fontId="4" numFmtId="169" xfId="0" applyAlignment="1" applyBorder="1" applyFont="1" applyNumberFormat="1">
      <alignment readingOrder="0" vertical="center"/>
    </xf>
    <xf borderId="6" fillId="4" fontId="4" numFmtId="169" xfId="0" applyAlignment="1" applyBorder="1" applyFont="1" applyNumberFormat="1">
      <alignment horizontal="right" readingOrder="0" vertical="center"/>
    </xf>
    <xf borderId="6" fillId="4" fontId="4" numFmtId="9" xfId="0" applyAlignment="1" applyBorder="1" applyFont="1" applyNumberFormat="1">
      <alignment readingOrder="0" vertical="center"/>
    </xf>
    <xf borderId="48" fillId="4" fontId="4" numFmtId="0" xfId="0" applyAlignment="1" applyBorder="1" applyFont="1">
      <alignment horizontal="center" readingOrder="0" vertical="center"/>
    </xf>
    <xf borderId="57" fillId="4" fontId="181" numFmtId="0" xfId="0" applyAlignment="1" applyBorder="1" applyFont="1">
      <alignment horizontal="left" readingOrder="0" vertical="center"/>
    </xf>
    <xf borderId="37" fillId="4" fontId="182" numFmtId="165" xfId="0" applyAlignment="1" applyBorder="1" applyFont="1" applyNumberFormat="1">
      <alignment horizontal="center" readingOrder="0" vertical="center"/>
    </xf>
    <xf borderId="50" fillId="4" fontId="36" numFmtId="0" xfId="0" applyAlignment="1" applyBorder="1" applyFont="1">
      <alignment horizontal="center" readingOrder="0" vertical="center"/>
    </xf>
    <xf borderId="50" fillId="4" fontId="4" numFmtId="0" xfId="0" applyBorder="1" applyFont="1"/>
    <xf borderId="51" fillId="4" fontId="4" numFmtId="0" xfId="0" applyBorder="1" applyFont="1"/>
    <xf borderId="60" fillId="4" fontId="182" numFmtId="0" xfId="0" applyAlignment="1" applyBorder="1" applyFont="1">
      <alignment horizontal="center" readingOrder="0" vertical="center"/>
    </xf>
    <xf borderId="18" fillId="13" fontId="67" numFmtId="0" xfId="0" applyAlignment="1" applyBorder="1" applyFont="1">
      <alignment horizontal="center" readingOrder="0" vertical="center"/>
    </xf>
    <xf borderId="19" fillId="4" fontId="4" numFmtId="0" xfId="0" applyBorder="1" applyFont="1"/>
    <xf borderId="26" fillId="5" fontId="182" numFmtId="0" xfId="0" applyAlignment="1" applyBorder="1" applyFont="1">
      <alignment horizontal="left" readingOrder="0" vertical="center"/>
    </xf>
    <xf borderId="27" fillId="5" fontId="182" numFmtId="170" xfId="0" applyAlignment="1" applyBorder="1" applyFont="1" applyNumberFormat="1">
      <alignment horizontal="center" readingOrder="0" vertical="center"/>
    </xf>
    <xf borderId="47" fillId="5" fontId="182" numFmtId="0" xfId="0" applyAlignment="1" applyBorder="1" applyFont="1">
      <alignment horizontal="center" readingOrder="0" vertical="center"/>
    </xf>
    <xf borderId="47" fillId="5" fontId="67" numFmtId="0" xfId="0" applyAlignment="1" applyBorder="1" applyFont="1">
      <alignment horizontal="center" readingOrder="0" vertical="center"/>
    </xf>
    <xf borderId="47" fillId="5" fontId="182" numFmtId="0" xfId="0" applyAlignment="1" applyBorder="1" applyFont="1">
      <alignment horizontal="left" readingOrder="0" vertical="center"/>
    </xf>
    <xf borderId="47" fillId="5" fontId="182" numFmtId="164" xfId="0" applyAlignment="1" applyBorder="1" applyFont="1" applyNumberFormat="1">
      <alignment horizontal="left" readingOrder="0" vertical="center"/>
    </xf>
    <xf borderId="47" fillId="5" fontId="182" numFmtId="9" xfId="0" applyAlignment="1" applyBorder="1" applyFont="1" applyNumberFormat="1">
      <alignment horizontal="left" readingOrder="0" vertical="center"/>
    </xf>
    <xf borderId="53" fillId="5" fontId="182" numFmtId="0" xfId="0" applyAlignment="1" applyBorder="1" applyFont="1">
      <alignment horizontal="center" readingOrder="0" vertical="center"/>
    </xf>
    <xf borderId="40" fillId="4" fontId="182" numFmtId="0" xfId="0" applyAlignment="1" applyBorder="1" applyFont="1">
      <alignment horizontal="center" readingOrder="0" vertical="center"/>
    </xf>
    <xf borderId="40" fillId="4" fontId="67" numFmtId="0" xfId="0" applyAlignment="1" applyBorder="1" applyFont="1">
      <alignment horizontal="center" readingOrder="0" vertical="center"/>
    </xf>
    <xf borderId="40" fillId="4" fontId="182" numFmtId="0" xfId="0" applyAlignment="1" applyBorder="1" applyFont="1">
      <alignment horizontal="left" readingOrder="0" vertical="center"/>
    </xf>
    <xf borderId="40" fillId="4" fontId="182" numFmtId="164" xfId="0" applyAlignment="1" applyBorder="1" applyFont="1" applyNumberFormat="1">
      <alignment horizontal="left" readingOrder="0" vertical="center"/>
    </xf>
    <xf borderId="40" fillId="4" fontId="182" numFmtId="9" xfId="0" applyAlignment="1" applyBorder="1" applyFont="1" applyNumberFormat="1">
      <alignment horizontal="left" readingOrder="0" vertical="center"/>
    </xf>
    <xf borderId="41" fillId="4" fontId="182" numFmtId="0" xfId="0" applyAlignment="1" applyBorder="1" applyFont="1">
      <alignment horizontal="center" readingOrder="0" vertical="center"/>
    </xf>
    <xf borderId="23" fillId="20" fontId="67" numFmtId="0" xfId="0" applyAlignment="1" applyBorder="1" applyFont="1">
      <alignment horizontal="center" readingOrder="0" vertical="center"/>
    </xf>
    <xf borderId="25" fillId="5" fontId="4" numFmtId="0" xfId="0" applyBorder="1" applyFont="1"/>
    <xf borderId="23" fillId="13" fontId="67" numFmtId="0" xfId="0" applyAlignment="1" applyBorder="1" applyFont="1">
      <alignment horizontal="center" readingOrder="0" vertical="center"/>
    </xf>
    <xf borderId="62" fillId="0" fontId="4" numFmtId="0" xfId="0" applyAlignment="1" applyBorder="1" applyFont="1">
      <alignment readingOrder="0" vertical="center"/>
    </xf>
    <xf borderId="63" fillId="0" fontId="4" numFmtId="170" xfId="0" applyAlignment="1" applyBorder="1" applyFont="1" applyNumberFormat="1">
      <alignment readingOrder="0" vertical="center"/>
    </xf>
    <xf borderId="64" fillId="0" fontId="182" numFmtId="165" xfId="0" applyAlignment="1" applyBorder="1" applyFont="1" applyNumberFormat="1">
      <alignment horizontal="right" readingOrder="0" vertical="center"/>
    </xf>
    <xf borderId="64" fillId="0" fontId="182" numFmtId="0" xfId="0" applyAlignment="1" applyBorder="1" applyFont="1">
      <alignment horizontal="right" readingOrder="0" vertical="center"/>
    </xf>
    <xf borderId="64" fillId="0" fontId="4" numFmtId="0" xfId="0" applyAlignment="1" applyBorder="1" applyFont="1">
      <alignment vertical="center"/>
    </xf>
    <xf borderId="64" fillId="0" fontId="4" numFmtId="0" xfId="0" applyAlignment="1" applyBorder="1" applyFont="1">
      <alignment readingOrder="0" vertical="center"/>
    </xf>
    <xf borderId="64" fillId="0" fontId="181" numFmtId="0" xfId="0" applyAlignment="1" applyBorder="1" applyFont="1">
      <alignment horizontal="left" readingOrder="0" vertical="center"/>
    </xf>
    <xf borderId="64" fillId="0" fontId="182" numFmtId="0" xfId="0" applyAlignment="1" applyBorder="1" applyFont="1">
      <alignment horizontal="left" readingOrder="0" vertical="center"/>
    </xf>
    <xf borderId="64" fillId="0" fontId="182" numFmtId="164" xfId="0" applyAlignment="1" applyBorder="1" applyFont="1" applyNumberFormat="1">
      <alignment horizontal="right" readingOrder="0" vertical="center"/>
    </xf>
    <xf borderId="64" fillId="0" fontId="182" numFmtId="9" xfId="0" applyAlignment="1" applyBorder="1" applyFont="1" applyNumberFormat="1">
      <alignment horizontal="right" readingOrder="0" vertical="center"/>
    </xf>
    <xf borderId="44" fillId="0" fontId="183" numFmtId="0" xfId="0" applyAlignment="1" applyBorder="1" applyFont="1">
      <alignment horizontal="center" readingOrder="0" vertical="center"/>
    </xf>
    <xf borderId="65" fillId="0" fontId="4" numFmtId="0" xfId="0" applyBorder="1" applyFont="1"/>
    <xf borderId="66" fillId="0" fontId="4" numFmtId="0" xfId="0" applyBorder="1" applyFont="1"/>
    <xf borderId="67" fillId="0" fontId="182" numFmtId="165" xfId="0" applyAlignment="1" applyBorder="1" applyFont="1" applyNumberFormat="1">
      <alignment horizontal="right" readingOrder="0" vertical="center"/>
    </xf>
    <xf borderId="67" fillId="0" fontId="182" numFmtId="0" xfId="0" applyAlignment="1" applyBorder="1" applyFont="1">
      <alignment horizontal="right" readingOrder="0" vertical="center"/>
    </xf>
    <xf borderId="67" fillId="0" fontId="4" numFmtId="0" xfId="0" applyAlignment="1" applyBorder="1" applyFont="1">
      <alignment vertical="center"/>
    </xf>
    <xf borderId="67" fillId="0" fontId="4" numFmtId="0" xfId="0" applyAlignment="1" applyBorder="1" applyFont="1">
      <alignment readingOrder="0" vertical="center"/>
    </xf>
    <xf borderId="67" fillId="0" fontId="182" numFmtId="0" xfId="0" applyAlignment="1" applyBorder="1" applyFont="1">
      <alignment horizontal="left" readingOrder="0" vertical="center"/>
    </xf>
    <xf borderId="67" fillId="0" fontId="182" numFmtId="164" xfId="0" applyAlignment="1" applyBorder="1" applyFont="1" applyNumberFormat="1">
      <alignment horizontal="right" readingOrder="0" vertical="center"/>
    </xf>
    <xf borderId="67" fillId="0" fontId="182" numFmtId="9" xfId="0" applyAlignment="1" applyBorder="1" applyFont="1" applyNumberFormat="1">
      <alignment horizontal="right" readingOrder="0" vertical="center"/>
    </xf>
    <xf borderId="67" fillId="0" fontId="182" numFmtId="0" xfId="0" applyAlignment="1" applyBorder="1" applyFont="1">
      <alignment horizontal="center" readingOrder="0" vertical="center"/>
    </xf>
    <xf borderId="67" fillId="0" fontId="4" numFmtId="165" xfId="0" applyAlignment="1" applyBorder="1" applyFont="1" applyNumberFormat="1">
      <alignment readingOrder="0" vertical="center"/>
    </xf>
    <xf borderId="67" fillId="0" fontId="4" numFmtId="0" xfId="0" applyBorder="1" applyFont="1"/>
    <xf borderId="67" fillId="0" fontId="36" numFmtId="0" xfId="0" applyAlignment="1" applyBorder="1" applyFont="1">
      <alignment readingOrder="0" vertical="center"/>
    </xf>
    <xf borderId="67" fillId="0" fontId="36" numFmtId="165" xfId="0" applyAlignment="1" applyBorder="1" applyFont="1" applyNumberFormat="1">
      <alignment readingOrder="0" vertical="center"/>
    </xf>
    <xf borderId="67" fillId="0" fontId="181" numFmtId="165" xfId="0" applyAlignment="1" applyBorder="1" applyFont="1" applyNumberFormat="1">
      <alignment horizontal="right" readingOrder="0" vertical="center"/>
    </xf>
    <xf borderId="67" fillId="0" fontId="181" numFmtId="0" xfId="0" applyAlignment="1" applyBorder="1" applyFont="1">
      <alignment horizontal="right" readingOrder="0" vertical="center"/>
    </xf>
    <xf borderId="67" fillId="0" fontId="36" numFmtId="0" xfId="0" applyBorder="1" applyFont="1"/>
    <xf borderId="67" fillId="0" fontId="181" numFmtId="0" xfId="0" applyAlignment="1" applyBorder="1" applyFont="1">
      <alignment horizontal="center" readingOrder="0" vertical="center"/>
    </xf>
    <xf borderId="67" fillId="0" fontId="181" numFmtId="0" xfId="0" applyAlignment="1" applyBorder="1" applyFont="1">
      <alignment horizontal="left" readingOrder="0" vertical="center"/>
    </xf>
    <xf borderId="67" fillId="0" fontId="181" numFmtId="164" xfId="0" applyAlignment="1" applyBorder="1" applyFont="1" applyNumberFormat="1">
      <alignment horizontal="right" readingOrder="0" vertical="center"/>
    </xf>
    <xf borderId="67" fillId="0" fontId="181" numFmtId="9" xfId="0" applyAlignment="1" applyBorder="1" applyFont="1" applyNumberFormat="1">
      <alignment horizontal="right" readingOrder="0" vertical="center"/>
    </xf>
    <xf borderId="67" fillId="0" fontId="184" numFmtId="0" xfId="0" applyAlignment="1" applyBorder="1" applyFont="1">
      <alignment horizontal="center" readingOrder="0" vertical="center"/>
    </xf>
    <xf borderId="65" fillId="0" fontId="4" numFmtId="0" xfId="0" applyAlignment="1" applyBorder="1" applyFont="1">
      <alignment readingOrder="0" vertical="center"/>
    </xf>
    <xf borderId="62" fillId="0" fontId="4" numFmtId="165" xfId="0" applyAlignment="1" applyBorder="1" applyFont="1" applyNumberFormat="1">
      <alignment readingOrder="0" vertical="center"/>
    </xf>
    <xf borderId="62" fillId="0" fontId="182" numFmtId="165" xfId="0" applyAlignment="1" applyBorder="1" applyFont="1" applyNumberFormat="1">
      <alignment horizontal="right" readingOrder="0" vertical="center"/>
    </xf>
    <xf borderId="62" fillId="0" fontId="4" numFmtId="0" xfId="0" applyBorder="1" applyFont="1"/>
    <xf borderId="62" fillId="0" fontId="182" numFmtId="0" xfId="0" applyAlignment="1" applyBorder="1" applyFont="1">
      <alignment horizontal="center" readingOrder="0" vertical="center"/>
    </xf>
    <xf borderId="68" fillId="0" fontId="182" numFmtId="0" xfId="0" applyAlignment="1" applyBorder="1" applyFont="1">
      <alignment horizontal="right" readingOrder="0" vertical="center"/>
    </xf>
    <xf borderId="68" fillId="0" fontId="182" numFmtId="0" xfId="0" applyAlignment="1" applyBorder="1" applyFont="1">
      <alignment horizontal="left" readingOrder="0" vertical="center"/>
    </xf>
    <xf borderId="68" fillId="0" fontId="182" numFmtId="164" xfId="0" applyAlignment="1" applyBorder="1" applyFont="1" applyNumberFormat="1">
      <alignment horizontal="right" readingOrder="0" vertical="center"/>
    </xf>
    <xf borderId="68" fillId="0" fontId="182" numFmtId="9" xfId="0" applyAlignment="1" applyBorder="1" applyFont="1" applyNumberFormat="1">
      <alignment horizontal="right" readingOrder="0" vertical="center"/>
    </xf>
    <xf borderId="68" fillId="0" fontId="182" numFmtId="0" xfId="0" applyAlignment="1" applyBorder="1" applyFont="1">
      <alignment horizontal="center" readingOrder="0" vertical="center"/>
    </xf>
    <xf borderId="67" fillId="0" fontId="67" numFmtId="0" xfId="0" applyAlignment="1" applyBorder="1" applyFont="1">
      <alignment horizontal="center" readingOrder="0" vertical="center"/>
    </xf>
    <xf borderId="62" fillId="0" fontId="67" numFmtId="0" xfId="0" applyAlignment="1" applyBorder="1" applyFont="1">
      <alignment horizontal="center" readingOrder="0" vertical="center"/>
    </xf>
    <xf borderId="27" fillId="5" fontId="4" numFmtId="170" xfId="0" applyAlignment="1" applyBorder="1" applyFont="1" applyNumberFormat="1">
      <alignment readingOrder="0" vertical="center"/>
    </xf>
    <xf borderId="27" fillId="5" fontId="4" numFmtId="165" xfId="0" applyAlignment="1" applyBorder="1" applyFont="1" applyNumberFormat="1">
      <alignment readingOrder="0" vertical="center"/>
    </xf>
    <xf borderId="27" fillId="5" fontId="67" numFmtId="0" xfId="0" applyAlignment="1" applyBorder="1" applyFont="1">
      <alignment horizontal="center" readingOrder="0" vertical="center"/>
    </xf>
    <xf borderId="47" fillId="5" fontId="4" numFmtId="0" xfId="0" applyAlignment="1" applyBorder="1" applyFont="1">
      <alignment horizontal="left" readingOrder="0" vertical="center"/>
    </xf>
    <xf borderId="30" fillId="5" fontId="4" numFmtId="9" xfId="0" applyAlignment="1" applyBorder="1" applyFont="1" applyNumberFormat="1">
      <alignment horizontal="center" readingOrder="0" vertical="center"/>
    </xf>
    <xf borderId="3" fillId="4" fontId="4" numFmtId="0" xfId="0" applyAlignment="1" applyBorder="1" applyFont="1">
      <alignment horizontal="left" readingOrder="0" vertical="center"/>
    </xf>
    <xf borderId="3" fillId="5" fontId="4" numFmtId="0" xfId="0" applyAlignment="1" applyBorder="1" applyFont="1">
      <alignment horizontal="left" readingOrder="0" vertical="center"/>
    </xf>
    <xf borderId="40" fillId="4" fontId="4" numFmtId="0" xfId="0" applyAlignment="1" applyBorder="1" applyFont="1">
      <alignment horizontal="left" readingOrder="0" vertical="center"/>
    </xf>
    <xf borderId="47" fillId="5" fontId="182" numFmtId="164" xfId="0" applyAlignment="1" applyBorder="1" applyFont="1" applyNumberFormat="1">
      <alignment horizontal="right" readingOrder="0" vertical="center"/>
    </xf>
    <xf borderId="47" fillId="5" fontId="182" numFmtId="9" xfId="0" applyAlignment="1" applyBorder="1" applyFont="1" applyNumberFormat="1">
      <alignment horizontal="right" readingOrder="0" vertical="center"/>
    </xf>
    <xf borderId="30" fillId="5" fontId="182" numFmtId="0" xfId="0" applyAlignment="1" applyBorder="1" applyFont="1">
      <alignment horizontal="center" readingOrder="0" vertical="center"/>
    </xf>
    <xf borderId="3" fillId="4" fontId="182" numFmtId="0" xfId="0" applyAlignment="1" applyBorder="1" applyFont="1">
      <alignment horizontal="left" readingOrder="0" vertical="center"/>
    </xf>
    <xf borderId="3" fillId="4" fontId="182" numFmtId="164" xfId="0" applyAlignment="1" applyBorder="1" applyFont="1" applyNumberFormat="1">
      <alignment horizontal="right" readingOrder="0" vertical="center"/>
    </xf>
    <xf borderId="3" fillId="4" fontId="182" numFmtId="9" xfId="0" applyAlignment="1" applyBorder="1" applyFont="1" applyNumberFormat="1">
      <alignment horizontal="right" readingOrder="0" vertical="center"/>
    </xf>
    <xf borderId="3" fillId="5" fontId="182" numFmtId="0" xfId="0" applyAlignment="1" applyBorder="1" applyFont="1">
      <alignment horizontal="left" readingOrder="0" vertical="center"/>
    </xf>
    <xf borderId="3" fillId="5" fontId="182" numFmtId="164" xfId="0" applyAlignment="1" applyBorder="1" applyFont="1" applyNumberFormat="1">
      <alignment horizontal="right" readingOrder="0" vertical="center"/>
    </xf>
    <xf borderId="3" fillId="5" fontId="182" numFmtId="9" xfId="0" applyAlignment="1" applyBorder="1" applyFont="1" applyNumberFormat="1">
      <alignment horizontal="right" readingOrder="0" vertical="center"/>
    </xf>
    <xf borderId="4" fillId="5" fontId="182" numFmtId="0" xfId="0" applyAlignment="1" applyBorder="1" applyFont="1">
      <alignment horizontal="left" readingOrder="0" vertical="center"/>
    </xf>
    <xf borderId="4" fillId="5" fontId="182" numFmtId="164" xfId="0" applyAlignment="1" applyBorder="1" applyFont="1" applyNumberFormat="1">
      <alignment horizontal="right" readingOrder="0" vertical="center"/>
    </xf>
    <xf borderId="4" fillId="5" fontId="182" numFmtId="9" xfId="0" applyAlignment="1" applyBorder="1" applyFont="1" applyNumberFormat="1">
      <alignment horizontal="right" readingOrder="0" vertical="center"/>
    </xf>
    <xf borderId="36" fillId="4" fontId="182" numFmtId="0" xfId="0" applyAlignment="1" applyBorder="1" applyFont="1">
      <alignment horizontal="left" readingOrder="0" vertical="center"/>
    </xf>
    <xf borderId="6" fillId="4" fontId="4" numFmtId="170" xfId="0" applyAlignment="1" applyBorder="1" applyFont="1" applyNumberFormat="1">
      <alignment readingOrder="0" vertical="center"/>
    </xf>
    <xf borderId="6" fillId="4" fontId="4" numFmtId="165" xfId="0" applyAlignment="1" applyBorder="1" applyFont="1" applyNumberFormat="1">
      <alignment readingOrder="0" vertical="center"/>
    </xf>
    <xf borderId="6" fillId="4" fontId="67" numFmtId="0" xfId="0" applyAlignment="1" applyBorder="1" applyFont="1">
      <alignment horizontal="center" readingOrder="0" vertical="center"/>
    </xf>
    <xf borderId="13" fillId="4" fontId="67" numFmtId="0" xfId="0" applyAlignment="1" applyBorder="1" applyFont="1">
      <alignment horizontal="center" readingOrder="0" vertical="center"/>
    </xf>
    <xf borderId="47" fillId="4" fontId="182" numFmtId="0" xfId="0" applyAlignment="1" applyBorder="1" applyFont="1">
      <alignment horizontal="left" readingOrder="0" vertical="center"/>
    </xf>
    <xf borderId="47" fillId="4" fontId="182" numFmtId="164" xfId="0" applyAlignment="1" applyBorder="1" applyFont="1" applyNumberFormat="1">
      <alignment horizontal="right" readingOrder="0" vertical="center"/>
    </xf>
    <xf borderId="47" fillId="4" fontId="182" numFmtId="9" xfId="0" applyAlignment="1" applyBorder="1" applyFont="1" applyNumberFormat="1">
      <alignment horizontal="right" readingOrder="0" vertical="center"/>
    </xf>
    <xf borderId="53" fillId="4" fontId="182" numFmtId="9" xfId="0" applyAlignment="1" applyBorder="1" applyFont="1" applyNumberFormat="1">
      <alignment horizontal="center" readingOrder="0" vertical="center"/>
    </xf>
    <xf borderId="39" fillId="5" fontId="182" numFmtId="9" xfId="0" applyAlignment="1" applyBorder="1" applyFont="1" applyNumberFormat="1">
      <alignment horizontal="center" readingOrder="0" vertical="center"/>
    </xf>
    <xf borderId="39" fillId="4" fontId="182" numFmtId="9" xfId="0" applyAlignment="1" applyBorder="1" applyFont="1" applyNumberFormat="1">
      <alignment horizontal="center" readingOrder="0" vertical="center"/>
    </xf>
    <xf borderId="56" fillId="5" fontId="182" numFmtId="9" xfId="0" applyAlignment="1" applyBorder="1" applyFont="1" applyNumberFormat="1">
      <alignment horizontal="center" readingOrder="0" vertical="center"/>
    </xf>
    <xf borderId="29" fillId="5" fontId="4" numFmtId="0" xfId="0" applyAlignment="1" applyBorder="1" applyFont="1">
      <alignment readingOrder="0" vertical="center"/>
    </xf>
    <xf borderId="27" fillId="5" fontId="4" numFmtId="0" xfId="0" applyAlignment="1" applyBorder="1" applyFont="1">
      <alignment vertical="center"/>
    </xf>
    <xf borderId="69" fillId="5" fontId="182" numFmtId="164" xfId="0" applyAlignment="1" applyBorder="1" applyFont="1" applyNumberFormat="1">
      <alignment horizontal="right" readingOrder="0" vertical="center"/>
    </xf>
    <xf borderId="69" fillId="5" fontId="182" numFmtId="164" xfId="0" applyAlignment="1" applyBorder="1" applyFont="1" applyNumberFormat="1">
      <alignment horizontal="center" readingOrder="0" vertical="center"/>
    </xf>
    <xf borderId="59" fillId="5" fontId="4" numFmtId="0" xfId="0" applyBorder="1" applyFont="1"/>
    <xf borderId="53" fillId="5" fontId="185" numFmtId="0" xfId="0" applyAlignment="1" applyBorder="1" applyFont="1">
      <alignment horizontal="center" readingOrder="0" vertical="center"/>
    </xf>
    <xf borderId="57" fillId="4" fontId="114" numFmtId="0" xfId="0" applyAlignment="1" applyBorder="1" applyFont="1">
      <alignment horizontal="left" readingOrder="0" vertical="center"/>
    </xf>
    <xf borderId="37" fillId="4" fontId="36" numFmtId="165" xfId="0" applyAlignment="1" applyBorder="1" applyFont="1" applyNumberFormat="1">
      <alignment readingOrder="0" vertical="center"/>
    </xf>
    <xf borderId="37" fillId="4" fontId="36" numFmtId="165" xfId="0" applyAlignment="1" applyBorder="1" applyFont="1" applyNumberFormat="1">
      <alignment horizontal="right" readingOrder="0" vertical="center"/>
    </xf>
    <xf borderId="37" fillId="4" fontId="181" numFmtId="0" xfId="0" applyAlignment="1" applyBorder="1" applyFont="1">
      <alignment horizontal="right" readingOrder="0" vertical="center"/>
    </xf>
    <xf borderId="37" fillId="4" fontId="67" numFmtId="0" xfId="0" applyAlignment="1" applyBorder="1" applyFont="1">
      <alignment horizontal="center" readingOrder="0" vertical="center"/>
    </xf>
    <xf borderId="37" fillId="4" fontId="181" numFmtId="0" xfId="0" applyAlignment="1" applyBorder="1" applyFont="1">
      <alignment horizontal="left" readingOrder="0" vertical="center"/>
    </xf>
    <xf borderId="37" fillId="4" fontId="181" numFmtId="164" xfId="0" applyAlignment="1" applyBorder="1" applyFont="1" applyNumberFormat="1">
      <alignment horizontal="right" readingOrder="0" vertical="center"/>
    </xf>
    <xf borderId="37" fillId="4" fontId="181" numFmtId="9" xfId="0" applyAlignment="1" applyBorder="1" applyFont="1" applyNumberFormat="1">
      <alignment horizontal="right" readingOrder="0" vertical="center"/>
    </xf>
    <xf borderId="46" fillId="4" fontId="186" numFmtId="0" xfId="0" applyAlignment="1" applyBorder="1" applyFont="1">
      <alignment horizontal="center" readingOrder="0"/>
    </xf>
    <xf borderId="26" fillId="5" fontId="4" numFmtId="165" xfId="0" applyAlignment="1" applyBorder="1" applyFont="1" applyNumberFormat="1">
      <alignment horizontal="left" readingOrder="0" vertical="center"/>
    </xf>
    <xf borderId="27" fillId="5" fontId="4" numFmtId="165" xfId="0" applyAlignment="1" applyBorder="1" applyFont="1" applyNumberFormat="1">
      <alignment horizontal="right" readingOrder="0" vertical="center"/>
    </xf>
    <xf borderId="47" fillId="4" fontId="182" numFmtId="0" xfId="0" applyAlignment="1" applyBorder="1" applyFont="1">
      <alignment horizontal="right" readingOrder="0" vertical="center"/>
    </xf>
    <xf borderId="27" fillId="5" fontId="67" numFmtId="0" xfId="0" applyAlignment="1" applyBorder="1" applyFont="1">
      <alignment horizontal="center" readingOrder="0" vertical="center"/>
    </xf>
    <xf borderId="53" fillId="4" fontId="67" numFmtId="0" xfId="0" applyAlignment="1" applyBorder="1" applyFont="1">
      <alignment horizontal="center" readingOrder="0" vertical="center"/>
    </xf>
    <xf borderId="3" fillId="4" fontId="182" numFmtId="0" xfId="0" applyAlignment="1" applyBorder="1" applyFont="1">
      <alignment horizontal="right" readingOrder="0" vertical="center"/>
    </xf>
    <xf borderId="39" fillId="4" fontId="67" numFmtId="0" xfId="0" applyAlignment="1" applyBorder="1" applyFont="1">
      <alignment horizontal="center" readingOrder="0" vertical="center"/>
    </xf>
    <xf borderId="40" fillId="4" fontId="182" numFmtId="0" xfId="0" applyAlignment="1" applyBorder="1" applyFont="1">
      <alignment horizontal="right" readingOrder="0" vertical="center"/>
    </xf>
    <xf borderId="40" fillId="4" fontId="182" numFmtId="164" xfId="0" applyAlignment="1" applyBorder="1" applyFont="1" applyNumberFormat="1">
      <alignment horizontal="right" readingOrder="0" vertical="center"/>
    </xf>
    <xf borderId="40" fillId="4" fontId="182" numFmtId="9" xfId="0" applyAlignment="1" applyBorder="1" applyFont="1" applyNumberFormat="1">
      <alignment horizontal="right" readingOrder="0" vertical="center"/>
    </xf>
    <xf borderId="41" fillId="4" fontId="67" numFmtId="0" xfId="0" applyAlignment="1" applyBorder="1" applyFont="1">
      <alignment horizontal="center" readingOrder="0" vertical="center"/>
    </xf>
    <xf borderId="6" fillId="4" fontId="182" numFmtId="0" xfId="0" applyAlignment="1" applyBorder="1" applyFont="1">
      <alignment horizontal="right" readingOrder="0" vertical="center"/>
    </xf>
    <xf borderId="6" fillId="4" fontId="67" numFmtId="0" xfId="0" applyAlignment="1" applyBorder="1" applyFont="1">
      <alignment horizontal="center" readingOrder="0" vertical="center"/>
    </xf>
    <xf borderId="7" fillId="4" fontId="182" numFmtId="0" xfId="0" applyAlignment="1" applyBorder="1" applyFont="1">
      <alignment horizontal="left" readingOrder="0" vertical="center"/>
    </xf>
    <xf borderId="7" fillId="4" fontId="182" numFmtId="164" xfId="0" applyAlignment="1" applyBorder="1" applyFont="1" applyNumberFormat="1">
      <alignment horizontal="right" readingOrder="0" vertical="center"/>
    </xf>
    <xf borderId="7" fillId="4" fontId="182" numFmtId="9" xfId="0" applyAlignment="1" applyBorder="1" applyFont="1" applyNumberFormat="1">
      <alignment horizontal="right" readingOrder="0" vertical="center"/>
    </xf>
    <xf borderId="38" fillId="4" fontId="67" numFmtId="0" xfId="0" applyAlignment="1" applyBorder="1" applyFont="1">
      <alignment horizontal="center" readingOrder="0" vertical="center"/>
    </xf>
    <xf borderId="4" fillId="4" fontId="182" numFmtId="0" xfId="0" applyAlignment="1" applyBorder="1" applyFont="1">
      <alignment horizontal="left" readingOrder="0" vertical="center"/>
    </xf>
    <xf borderId="4" fillId="4" fontId="182" numFmtId="164" xfId="0" applyAlignment="1" applyBorder="1" applyFont="1" applyNumberFormat="1">
      <alignment horizontal="right" readingOrder="0" vertical="center"/>
    </xf>
    <xf borderId="4" fillId="4" fontId="182" numFmtId="9" xfId="0" applyAlignment="1" applyBorder="1" applyFont="1" applyNumberFormat="1">
      <alignment horizontal="right" readingOrder="0" vertical="center"/>
    </xf>
    <xf borderId="56" fillId="4" fontId="67" numFmtId="0" xfId="0" applyAlignment="1" applyBorder="1" applyFont="1">
      <alignment horizontal="center" readingOrder="0" vertical="center"/>
    </xf>
    <xf borderId="57" fillId="5" fontId="114" numFmtId="0" xfId="0" applyAlignment="1" applyBorder="1" applyFont="1">
      <alignment horizontal="left" readingOrder="0" vertical="center"/>
    </xf>
    <xf borderId="37" fillId="5" fontId="36" numFmtId="165" xfId="0" applyAlignment="1" applyBorder="1" applyFont="1" applyNumberFormat="1">
      <alignment readingOrder="0" vertical="center"/>
    </xf>
    <xf borderId="37" fillId="5" fontId="36" numFmtId="165" xfId="0" applyAlignment="1" applyBorder="1" applyFont="1" applyNumberFormat="1">
      <alignment horizontal="right" readingOrder="0" vertical="center"/>
    </xf>
    <xf borderId="37" fillId="5" fontId="67" numFmtId="0" xfId="0" applyAlignment="1" applyBorder="1" applyFont="1">
      <alignment horizontal="center" readingOrder="0" vertical="center"/>
    </xf>
    <xf borderId="46" fillId="0" fontId="187" numFmtId="0" xfId="0" applyAlignment="1" applyBorder="1" applyFont="1">
      <alignment horizontal="center" readingOrder="0"/>
    </xf>
    <xf borderId="26" fillId="5" fontId="4" numFmtId="0" xfId="0" applyAlignment="1" applyBorder="1" applyFont="1">
      <alignment horizontal="left" readingOrder="0" vertical="center"/>
    </xf>
    <xf borderId="37" fillId="5" fontId="4" numFmtId="165" xfId="0" applyAlignment="1" applyBorder="1" applyFont="1" applyNumberFormat="1">
      <alignment readingOrder="0" vertical="center"/>
    </xf>
    <xf borderId="61" fillId="5" fontId="4" numFmtId="165" xfId="0" applyAlignment="1" applyBorder="1" applyFont="1" applyNumberFormat="1">
      <alignment readingOrder="0" vertical="center"/>
    </xf>
    <xf borderId="37" fillId="5" fontId="4" numFmtId="0" xfId="0" applyAlignment="1" applyBorder="1" applyFont="1">
      <alignment readingOrder="0"/>
    </xf>
    <xf borderId="37" fillId="4" fontId="4" numFmtId="0" xfId="0" applyAlignment="1" applyBorder="1" applyFont="1">
      <alignment horizontal="left" readingOrder="0" vertical="center"/>
    </xf>
    <xf borderId="37" fillId="4" fontId="4" numFmtId="164" xfId="0" applyAlignment="1" applyBorder="1" applyFont="1" applyNumberFormat="1">
      <alignment horizontal="right" readingOrder="0" vertical="center"/>
    </xf>
    <xf borderId="37" fillId="4" fontId="4" numFmtId="9" xfId="0" applyAlignment="1" applyBorder="1" applyFont="1" applyNumberFormat="1">
      <alignment horizontal="right" readingOrder="0" vertical="center"/>
    </xf>
    <xf borderId="46" fillId="4" fontId="4" numFmtId="0" xfId="0" applyAlignment="1" applyBorder="1" applyFont="1">
      <alignment horizontal="center" readingOrder="0" vertical="center"/>
    </xf>
    <xf borderId="7" fillId="4" fontId="4" numFmtId="0" xfId="0" applyAlignment="1" applyBorder="1" applyFont="1">
      <alignment readingOrder="0"/>
    </xf>
    <xf borderId="7" fillId="5" fontId="4" numFmtId="0" xfId="0" applyAlignment="1" applyBorder="1" applyFont="1">
      <alignment horizontal="left" readingOrder="0" vertical="center"/>
    </xf>
    <xf borderId="7" fillId="5" fontId="4" numFmtId="164" xfId="0" applyAlignment="1" applyBorder="1" applyFont="1" applyNumberFormat="1">
      <alignment horizontal="right" readingOrder="0" vertical="center"/>
    </xf>
    <xf borderId="7" fillId="5" fontId="4" numFmtId="9" xfId="0" applyAlignment="1" applyBorder="1" applyFont="1" applyNumberFormat="1">
      <alignment horizontal="right" readingOrder="0" vertical="center"/>
    </xf>
    <xf borderId="48" fillId="5" fontId="4" numFmtId="0" xfId="0" applyAlignment="1" applyBorder="1" applyFont="1">
      <alignment horizontal="center" readingOrder="0" vertical="center"/>
    </xf>
    <xf borderId="3" fillId="5" fontId="4" numFmtId="0" xfId="0" applyAlignment="1" applyBorder="1" applyFont="1">
      <alignment readingOrder="0"/>
    </xf>
    <xf borderId="3" fillId="0" fontId="4" numFmtId="0" xfId="0" applyAlignment="1" applyBorder="1" applyFont="1">
      <alignment horizontal="left" readingOrder="0" vertical="center"/>
    </xf>
    <xf borderId="3" fillId="0" fontId="4" numFmtId="164" xfId="0" applyAlignment="1" applyBorder="1" applyFont="1" applyNumberFormat="1">
      <alignment horizontal="right" readingOrder="0" vertical="center"/>
    </xf>
    <xf borderId="3" fillId="0" fontId="4" numFmtId="9" xfId="0" applyAlignment="1" applyBorder="1" applyFont="1" applyNumberFormat="1">
      <alignment horizontal="right" readingOrder="0" vertical="center"/>
    </xf>
    <xf borderId="38" fillId="0" fontId="4" numFmtId="0" xfId="0" applyBorder="1" applyFont="1"/>
    <xf borderId="40" fillId="4" fontId="4" numFmtId="0" xfId="0" applyAlignment="1" applyBorder="1" applyFont="1">
      <alignment readingOrder="0"/>
    </xf>
    <xf borderId="40" fillId="0" fontId="4" numFmtId="0" xfId="0" applyAlignment="1" applyBorder="1" applyFont="1">
      <alignment horizontal="left" readingOrder="0" vertical="center"/>
    </xf>
    <xf borderId="40" fillId="0" fontId="4" numFmtId="164" xfId="0" applyAlignment="1" applyBorder="1" applyFont="1" applyNumberFormat="1">
      <alignment horizontal="right" readingOrder="0" vertical="center"/>
    </xf>
    <xf borderId="40" fillId="0" fontId="4" numFmtId="9" xfId="0" applyAlignment="1" applyBorder="1" applyFont="1" applyNumberFormat="1">
      <alignment horizontal="right" readingOrder="0" vertical="center"/>
    </xf>
    <xf borderId="41" fillId="0" fontId="4" numFmtId="0" xfId="0" applyAlignment="1" applyBorder="1" applyFont="1">
      <alignment horizontal="center" readingOrder="0" vertical="center"/>
    </xf>
    <xf borderId="36" fillId="4" fontId="4" numFmtId="0" xfId="0" applyAlignment="1" applyBorder="1" applyFont="1">
      <alignment horizontal="left" readingOrder="0" vertical="center"/>
    </xf>
    <xf borderId="36" fillId="5" fontId="4" numFmtId="0" xfId="0" applyAlignment="1" applyBorder="1" applyFont="1">
      <alignment horizontal="left" readingOrder="0" vertical="center"/>
    </xf>
    <xf borderId="31" fillId="4" fontId="4" numFmtId="0" xfId="0" applyAlignment="1" applyBorder="1" applyFont="1">
      <alignment horizontal="left" readingOrder="0" vertical="center"/>
    </xf>
    <xf borderId="26" fillId="4" fontId="4" numFmtId="0" xfId="0" applyAlignment="1" applyBorder="1" applyFont="1">
      <alignment readingOrder="0" vertical="center"/>
    </xf>
    <xf borderId="27" fillId="4" fontId="4" numFmtId="170" xfId="0" applyAlignment="1" applyBorder="1" applyFont="1" applyNumberFormat="1">
      <alignment readingOrder="0" vertical="center"/>
    </xf>
    <xf borderId="28" fillId="4" fontId="4" numFmtId="170" xfId="0" applyAlignment="1" applyBorder="1" applyFont="1" applyNumberFormat="1">
      <alignment readingOrder="0" vertical="center"/>
    </xf>
    <xf borderId="4" fillId="4" fontId="67" numFmtId="0" xfId="0" applyAlignment="1" applyBorder="1" applyFont="1">
      <alignment horizontal="center" readingOrder="0" vertical="center"/>
    </xf>
    <xf borderId="4" fillId="4" fontId="67" numFmtId="0" xfId="0" applyAlignment="1" applyBorder="1" applyFont="1">
      <alignment horizontal="center" readingOrder="0" vertical="center"/>
    </xf>
    <xf borderId="3" fillId="0" fontId="4" numFmtId="164" xfId="0" applyAlignment="1" applyBorder="1" applyFont="1" applyNumberFormat="1">
      <alignment readingOrder="0" vertical="center"/>
    </xf>
    <xf borderId="56" fillId="0" fontId="4" numFmtId="0" xfId="0" applyAlignment="1" applyBorder="1" applyFont="1">
      <alignment horizontal="center" readingOrder="0" vertical="center"/>
    </xf>
    <xf borderId="48" fillId="0" fontId="4" numFmtId="0" xfId="0" applyAlignment="1" applyBorder="1" applyFont="1">
      <alignment horizontal="center" readingOrder="0" vertical="center"/>
    </xf>
    <xf borderId="40" fillId="0" fontId="4" numFmtId="0" xfId="0" applyAlignment="1" applyBorder="1" applyFont="1">
      <alignment readingOrder="0"/>
    </xf>
    <xf borderId="40" fillId="0" fontId="4" numFmtId="164" xfId="0" applyAlignment="1" applyBorder="1" applyFont="1" applyNumberFormat="1">
      <alignment readingOrder="0"/>
    </xf>
    <xf borderId="40" fillId="0" fontId="4" numFmtId="9" xfId="0" applyAlignment="1" applyBorder="1" applyFont="1" applyNumberFormat="1">
      <alignment readingOrder="0"/>
    </xf>
    <xf borderId="35" fillId="0" fontId="4" numFmtId="0" xfId="0" applyAlignment="1" applyBorder="1" applyFont="1">
      <alignment horizontal="center" readingOrder="0" vertical="center"/>
    </xf>
    <xf borderId="6" fillId="5" fontId="4" numFmtId="170" xfId="0" applyAlignment="1" applyBorder="1" applyFont="1" applyNumberFormat="1">
      <alignment readingOrder="0" vertical="center"/>
    </xf>
    <xf borderId="38" fillId="0" fontId="4" numFmtId="0" xfId="0" applyAlignment="1" applyBorder="1" applyFont="1">
      <alignment horizontal="center"/>
    </xf>
    <xf borderId="35" fillId="0" fontId="4" numFmtId="0" xfId="0" applyAlignment="1" applyBorder="1" applyFont="1">
      <alignment horizontal="center"/>
    </xf>
    <xf borderId="39" fillId="0" fontId="4" numFmtId="0" xfId="0" applyAlignment="1" applyBorder="1" applyFont="1">
      <alignment horizontal="center"/>
    </xf>
    <xf borderId="32" fillId="5" fontId="4" numFmtId="170" xfId="0" applyAlignment="1" applyBorder="1" applyFont="1" applyNumberFormat="1">
      <alignment readingOrder="0" vertical="center"/>
    </xf>
    <xf borderId="3" fillId="4" fontId="4" numFmtId="0" xfId="0" applyAlignment="1" applyBorder="1" applyFont="1">
      <alignment readingOrder="0"/>
    </xf>
    <xf borderId="3" fillId="0" fontId="4" numFmtId="164" xfId="0" applyAlignment="1" applyBorder="1" applyFont="1" applyNumberFormat="1">
      <alignment readingOrder="0"/>
    </xf>
    <xf borderId="3" fillId="0" fontId="4" numFmtId="9" xfId="0" applyAlignment="1" applyBorder="1" applyFont="1" applyNumberFormat="1">
      <alignment readingOrder="0"/>
    </xf>
    <xf borderId="4" fillId="5" fontId="4" numFmtId="0" xfId="0" applyBorder="1" applyFont="1"/>
    <xf borderId="39" fillId="0" fontId="4" numFmtId="0" xfId="0" applyAlignment="1" applyBorder="1" applyFont="1">
      <alignment horizontal="center" readingOrder="0"/>
    </xf>
    <xf borderId="4" fillId="5" fontId="4" numFmtId="0" xfId="0" applyAlignment="1" applyBorder="1" applyFont="1">
      <alignment readingOrder="0"/>
    </xf>
    <xf borderId="4" fillId="0" fontId="4" numFmtId="164" xfId="0" applyAlignment="1" applyBorder="1" applyFont="1" applyNumberFormat="1">
      <alignment readingOrder="0"/>
    </xf>
    <xf borderId="4" fillId="0" fontId="4" numFmtId="9" xfId="0" applyAlignment="1" applyBorder="1" applyFont="1" applyNumberFormat="1">
      <alignment readingOrder="0"/>
    </xf>
    <xf borderId="56" fillId="0" fontId="4" numFmtId="0" xfId="0" applyAlignment="1" applyBorder="1" applyFont="1">
      <alignment horizontal="center"/>
    </xf>
    <xf borderId="31" fillId="4" fontId="4" numFmtId="0" xfId="0" applyAlignment="1" applyBorder="1" applyFont="1">
      <alignment readingOrder="0" vertical="center"/>
    </xf>
    <xf borderId="32" fillId="4" fontId="4" numFmtId="170" xfId="0" applyAlignment="1" applyBorder="1" applyFont="1" applyNumberFormat="1">
      <alignment readingOrder="0" vertical="center"/>
    </xf>
    <xf borderId="47" fillId="4" fontId="4" numFmtId="0" xfId="0" applyAlignment="1" applyBorder="1" applyFont="1">
      <alignment readingOrder="0"/>
    </xf>
    <xf borderId="27" fillId="4" fontId="4" numFmtId="0" xfId="0" applyBorder="1" applyFont="1"/>
    <xf borderId="47" fillId="0" fontId="4" numFmtId="0" xfId="0" applyAlignment="1" applyBorder="1" applyFont="1">
      <alignment readingOrder="0"/>
    </xf>
    <xf borderId="47" fillId="0" fontId="4" numFmtId="164" xfId="0" applyAlignment="1" applyBorder="1" applyFont="1" applyNumberFormat="1">
      <alignment readingOrder="0"/>
    </xf>
    <xf borderId="47" fillId="0" fontId="4" numFmtId="9" xfId="0" applyAlignment="1" applyBorder="1" applyFont="1" applyNumberFormat="1">
      <alignment readingOrder="0"/>
    </xf>
    <xf borderId="53" fillId="0" fontId="4" numFmtId="0" xfId="0" applyAlignment="1" applyBorder="1" applyFont="1">
      <alignment horizontal="center" readingOrder="0"/>
    </xf>
    <xf borderId="39" fillId="0" fontId="4" numFmtId="0" xfId="0" applyAlignment="1" applyBorder="1" applyFont="1">
      <alignment horizontal="center" readingOrder="0"/>
    </xf>
    <xf borderId="41" fillId="0" fontId="4" numFmtId="0" xfId="0" applyAlignment="1" applyBorder="1" applyFont="1">
      <alignment horizontal="center" readingOrder="0"/>
    </xf>
    <xf borderId="7" fillId="5" fontId="4" numFmtId="0" xfId="0" applyAlignment="1" applyBorder="1" applyFont="1">
      <alignment readingOrder="0"/>
    </xf>
    <xf borderId="7" fillId="0" fontId="4" numFmtId="0" xfId="0" applyAlignment="1" applyBorder="1" applyFont="1">
      <alignment readingOrder="0"/>
    </xf>
    <xf borderId="7" fillId="0" fontId="4" numFmtId="164" xfId="0" applyAlignment="1" applyBorder="1" applyFont="1" applyNumberFormat="1">
      <alignment readingOrder="0"/>
    </xf>
    <xf borderId="7" fillId="0" fontId="4" numFmtId="9" xfId="0" applyAlignment="1" applyBorder="1" applyFont="1" applyNumberFormat="1">
      <alignment readingOrder="0"/>
    </xf>
    <xf borderId="49" fillId="4" fontId="36" numFmtId="0" xfId="0" applyAlignment="1" applyBorder="1" applyFont="1">
      <alignment horizontal="center" readingOrder="0"/>
    </xf>
    <xf borderId="50" fillId="0" fontId="4" numFmtId="0" xfId="0" applyBorder="1" applyFont="1"/>
    <xf borderId="70" fillId="0" fontId="4" numFmtId="0" xfId="0" applyBorder="1" applyFont="1"/>
    <xf borderId="3" fillId="0" fontId="4" numFmtId="9" xfId="0" applyAlignment="1" applyBorder="1" applyFont="1" applyNumberFormat="1">
      <alignment horizontal="right" readingOrder="0"/>
    </xf>
    <xf borderId="27" fillId="4" fontId="4" numFmtId="0" xfId="0" applyAlignment="1" applyBorder="1" applyFont="1">
      <alignment readingOrder="0"/>
    </xf>
    <xf borderId="4" fillId="0" fontId="4" numFmtId="0" xfId="0" applyAlignment="1" applyBorder="1" applyFont="1">
      <alignment horizontal="left" readingOrder="0" vertical="center"/>
    </xf>
    <xf borderId="27" fillId="0" fontId="4" numFmtId="0" xfId="0" applyAlignment="1" applyBorder="1" applyFont="1">
      <alignment readingOrder="0"/>
    </xf>
    <xf borderId="27" fillId="0" fontId="4" numFmtId="164" xfId="0" applyAlignment="1" applyBorder="1" applyFont="1" applyNumberFormat="1">
      <alignment readingOrder="0"/>
    </xf>
    <xf borderId="27" fillId="0" fontId="4" numFmtId="9" xfId="0" applyAlignment="1" applyBorder="1" applyFont="1" applyNumberFormat="1">
      <alignment readingOrder="0"/>
    </xf>
    <xf borderId="30" fillId="0" fontId="4" numFmtId="0" xfId="0" applyAlignment="1" applyBorder="1" applyFont="1">
      <alignment horizontal="center" readingOrder="0"/>
    </xf>
    <xf borderId="37" fillId="5" fontId="4" numFmtId="170" xfId="0" applyAlignment="1" applyBorder="1" applyFont="1" applyNumberFormat="1">
      <alignment readingOrder="0" vertical="center"/>
    </xf>
    <xf borderId="37" fillId="5" fontId="4" numFmtId="0" xfId="0" applyBorder="1" applyFont="1"/>
    <xf borderId="37" fillId="4" fontId="182" numFmtId="0" xfId="0" applyAlignment="1" applyBorder="1" applyFont="1">
      <alignment horizontal="left" readingOrder="0" vertical="center"/>
    </xf>
    <xf borderId="37" fillId="0" fontId="4" numFmtId="0" xfId="0" applyAlignment="1" applyBorder="1" applyFont="1">
      <alignment readingOrder="0"/>
    </xf>
    <xf borderId="37" fillId="0" fontId="4" numFmtId="164" xfId="0" applyAlignment="1" applyBorder="1" applyFont="1" applyNumberFormat="1">
      <alignment readingOrder="0"/>
    </xf>
    <xf borderId="37" fillId="0" fontId="4" numFmtId="9" xfId="0" applyAlignment="1" applyBorder="1" applyFont="1" applyNumberFormat="1">
      <alignment readingOrder="0"/>
    </xf>
    <xf borderId="38" fillId="0" fontId="4" numFmtId="0" xfId="0" applyAlignment="1" applyBorder="1" applyFont="1">
      <alignment horizontal="center" readingOrder="0"/>
    </xf>
    <xf borderId="40" fillId="5" fontId="4" numFmtId="0" xfId="0" applyAlignment="1" applyBorder="1" applyFont="1">
      <alignment readingOrder="0"/>
    </xf>
    <xf borderId="41" fillId="0" fontId="4" numFmtId="0" xfId="0" applyAlignment="1" applyBorder="1" applyFont="1">
      <alignment horizontal="center" readingOrder="0"/>
    </xf>
    <xf borderId="51" fillId="4" fontId="4" numFmtId="170" xfId="0" applyAlignment="1" applyBorder="1" applyFont="1" applyNumberFormat="1">
      <alignment readingOrder="0"/>
    </xf>
    <xf borderId="40" fillId="4" fontId="4" numFmtId="170" xfId="0" applyAlignment="1" applyBorder="1" applyFont="1" applyNumberFormat="1">
      <alignment readingOrder="0"/>
    </xf>
    <xf borderId="32" fillId="4" fontId="67" numFmtId="0" xfId="0" applyAlignment="1" applyBorder="1" applyFont="1">
      <alignment horizontal="center" readingOrder="0" vertical="center"/>
    </xf>
    <xf borderId="32" fillId="4" fontId="67" numFmtId="0" xfId="0" applyAlignment="1" applyBorder="1" applyFont="1">
      <alignment horizontal="center" readingOrder="0" vertical="center"/>
    </xf>
    <xf borderId="40" fillId="0" fontId="4" numFmtId="0" xfId="0" applyAlignment="1" applyBorder="1" applyFont="1">
      <alignment readingOrder="0" vertical="center"/>
    </xf>
    <xf borderId="40" fillId="0" fontId="4" numFmtId="164" xfId="0" applyAlignment="1" applyBorder="1" applyFont="1" applyNumberFormat="1">
      <alignment readingOrder="0" vertical="center"/>
    </xf>
    <xf borderId="40" fillId="0" fontId="4" numFmtId="9" xfId="0" applyAlignment="1" applyBorder="1" applyFont="1" applyNumberFormat="1">
      <alignment readingOrder="0" vertical="center"/>
    </xf>
    <xf borderId="41" fillId="0" fontId="188" numFmtId="0" xfId="0" applyAlignment="1" applyBorder="1" applyFont="1">
      <alignment horizontal="center" readingOrder="0" vertical="center"/>
    </xf>
    <xf borderId="5" fillId="5" fontId="4" numFmtId="170" xfId="0" applyAlignment="1" applyBorder="1" applyFont="1" applyNumberFormat="1">
      <alignment readingOrder="0" vertical="center"/>
    </xf>
    <xf borderId="13" fillId="5" fontId="4" numFmtId="165" xfId="0" applyAlignment="1" applyBorder="1" applyFont="1" applyNumberFormat="1">
      <alignment readingOrder="0" vertical="center"/>
    </xf>
    <xf borderId="6" fillId="5" fontId="67" numFmtId="0" xfId="0" applyAlignment="1" applyBorder="1" applyFont="1">
      <alignment horizontal="center" readingOrder="0" vertical="center"/>
    </xf>
    <xf borderId="6" fillId="5" fontId="67" numFmtId="0" xfId="0" applyAlignment="1" applyBorder="1" applyFont="1">
      <alignment horizontal="center" readingOrder="0" vertical="center"/>
    </xf>
    <xf borderId="6" fillId="0" fontId="4" numFmtId="0" xfId="0" applyAlignment="1" applyBorder="1" applyFont="1">
      <alignment readingOrder="0" vertical="center"/>
    </xf>
    <xf borderId="6" fillId="0" fontId="4" numFmtId="164" xfId="0" applyAlignment="1" applyBorder="1" applyFont="1" applyNumberFormat="1">
      <alignment readingOrder="0" vertical="center"/>
    </xf>
    <xf borderId="6" fillId="0" fontId="4" numFmtId="9" xfId="0" applyAlignment="1" applyBorder="1" applyFont="1" applyNumberFormat="1">
      <alignment readingOrder="0" vertical="center"/>
    </xf>
    <xf borderId="4" fillId="4" fontId="4" numFmtId="0" xfId="0" applyAlignment="1" applyBorder="1" applyFont="1">
      <alignment readingOrder="0" vertical="center"/>
    </xf>
    <xf borderId="4" fillId="0" fontId="4" numFmtId="164" xfId="0" applyAlignment="1" applyBorder="1" applyFont="1" applyNumberFormat="1">
      <alignment readingOrder="0" vertical="center"/>
    </xf>
    <xf borderId="4" fillId="0" fontId="4" numFmtId="9" xfId="0" applyAlignment="1" applyBorder="1" applyFont="1" applyNumberFormat="1">
      <alignment readingOrder="0" vertical="center"/>
    </xf>
    <xf borderId="4" fillId="5" fontId="4" numFmtId="0" xfId="0" applyAlignment="1" applyBorder="1" applyFont="1">
      <alignment readingOrder="0" vertical="center"/>
    </xf>
    <xf borderId="41" fillId="0" fontId="4" numFmtId="0" xfId="0" applyAlignment="1" applyBorder="1" applyFont="1">
      <alignment horizontal="center" readingOrder="0" vertical="center"/>
    </xf>
    <xf borderId="48" fillId="5" fontId="67" numFmtId="0" xfId="0" applyAlignment="1" applyBorder="1" applyFont="1">
      <alignment horizontal="center" readingOrder="0" vertical="center"/>
    </xf>
    <xf borderId="32" fillId="0" fontId="4" numFmtId="0" xfId="0" applyAlignment="1" applyBorder="1" applyFont="1">
      <alignment readingOrder="0" vertical="center"/>
    </xf>
    <xf borderId="32" fillId="0" fontId="4" numFmtId="164" xfId="0" applyAlignment="1" applyBorder="1" applyFont="1" applyNumberFormat="1">
      <alignment readingOrder="0" vertical="center"/>
    </xf>
    <xf borderId="32" fillId="0" fontId="4" numFmtId="9" xfId="0" applyAlignment="1" applyBorder="1" applyFont="1" applyNumberFormat="1">
      <alignment readingOrder="0" vertical="center"/>
    </xf>
    <xf borderId="35" fillId="4" fontId="4" numFmtId="0" xfId="0" applyAlignment="1" applyBorder="1" applyFont="1">
      <alignment readingOrder="0" vertical="center"/>
    </xf>
    <xf borderId="66" fillId="0" fontId="4" numFmtId="0" xfId="0" applyAlignment="1" applyBorder="1" applyFont="1">
      <alignment readingOrder="0" vertical="center"/>
    </xf>
    <xf borderId="66" fillId="0" fontId="4" numFmtId="164" xfId="0" applyAlignment="1" applyBorder="1" applyFont="1" applyNumberFormat="1">
      <alignment readingOrder="0" vertical="center"/>
    </xf>
    <xf borderId="66" fillId="0" fontId="4" numFmtId="9" xfId="0" applyAlignment="1" applyBorder="1" applyFont="1" applyNumberFormat="1">
      <alignment readingOrder="0" vertical="center"/>
    </xf>
    <xf borderId="66" fillId="0" fontId="4" numFmtId="0" xfId="0" applyAlignment="1" applyBorder="1" applyFont="1">
      <alignment horizontal="center" readingOrder="0" vertical="center"/>
    </xf>
    <xf borderId="46" fillId="5" fontId="4" numFmtId="0" xfId="0" applyAlignment="1" applyBorder="1" applyFont="1">
      <alignment readingOrder="0" vertical="center"/>
    </xf>
    <xf borderId="67" fillId="0" fontId="4" numFmtId="164" xfId="0" applyAlignment="1" applyBorder="1" applyFont="1" applyNumberFormat="1">
      <alignment readingOrder="0" vertical="center"/>
    </xf>
    <xf borderId="67" fillId="0" fontId="4" numFmtId="9" xfId="0" applyAlignment="1" applyBorder="1" applyFont="1" applyNumberFormat="1">
      <alignment readingOrder="0" vertical="center"/>
    </xf>
    <xf borderId="67" fillId="0" fontId="4" numFmtId="0" xfId="0" applyAlignment="1" applyBorder="1" applyFont="1">
      <alignment horizontal="center" readingOrder="0" vertical="center"/>
    </xf>
    <xf borderId="46" fillId="4" fontId="4" numFmtId="0" xfId="0" applyAlignment="1" applyBorder="1" applyFont="1">
      <alignment readingOrder="0" vertical="center"/>
    </xf>
    <xf borderId="30" fillId="4" fontId="4" numFmtId="0" xfId="0" applyAlignment="1" applyBorder="1" applyFont="1">
      <alignment readingOrder="0" vertical="center"/>
    </xf>
    <xf borderId="62" fillId="0" fontId="4" numFmtId="164" xfId="0" applyAlignment="1" applyBorder="1" applyFont="1" applyNumberFormat="1">
      <alignment readingOrder="0" vertical="center"/>
    </xf>
    <xf borderId="62" fillId="0" fontId="4" numFmtId="9" xfId="0" applyAlignment="1" applyBorder="1" applyFont="1" applyNumberFormat="1">
      <alignment readingOrder="0" vertical="center"/>
    </xf>
    <xf borderId="62" fillId="0" fontId="4" numFmtId="0" xfId="0" applyAlignment="1" applyBorder="1" applyFont="1">
      <alignment horizontal="center" readingOrder="0" vertical="center"/>
    </xf>
    <xf borderId="5" fillId="4" fontId="4" numFmtId="170" xfId="0" applyAlignment="1" applyBorder="1" applyFont="1" applyNumberFormat="1">
      <alignment readingOrder="0" vertical="center"/>
    </xf>
    <xf borderId="13" fillId="4" fontId="4" numFmtId="165" xfId="0" applyAlignment="1" applyBorder="1" applyFont="1" applyNumberFormat="1">
      <alignment readingOrder="0" vertical="center"/>
    </xf>
    <xf borderId="47" fillId="5" fontId="4" numFmtId="0" xfId="0" applyAlignment="1" applyBorder="1" applyFont="1">
      <alignment readingOrder="0"/>
    </xf>
    <xf borderId="27" fillId="5" fontId="4" numFmtId="0" xfId="0" applyBorder="1" applyFont="1"/>
    <xf borderId="53" fillId="0" fontId="4" numFmtId="0" xfId="0" applyAlignment="1" applyBorder="1" applyFont="1">
      <alignment horizontal="center" readingOrder="0" vertical="center"/>
    </xf>
    <xf borderId="39" fillId="0" fontId="4" numFmtId="0" xfId="0" applyAlignment="1" applyBorder="1" applyFont="1">
      <alignment horizontal="center" readingOrder="0" vertical="center"/>
    </xf>
    <xf borderId="7" fillId="5" fontId="67" numFmtId="0" xfId="0" applyAlignment="1" applyBorder="1" applyFont="1">
      <alignment horizontal="center" readingOrder="0" vertical="center"/>
    </xf>
    <xf borderId="7" fillId="5" fontId="67" numFmtId="0" xfId="0" applyAlignment="1" applyBorder="1" applyFont="1">
      <alignment horizontal="center" readingOrder="0" vertical="center"/>
    </xf>
    <xf borderId="7" fillId="0" fontId="4" numFmtId="0" xfId="0" applyAlignment="1" applyBorder="1" applyFont="1">
      <alignment readingOrder="0" vertical="center"/>
    </xf>
    <xf borderId="7" fillId="0" fontId="4" numFmtId="164" xfId="0" applyAlignment="1" applyBorder="1" applyFont="1" applyNumberFormat="1">
      <alignment readingOrder="0" vertical="center"/>
    </xf>
    <xf borderId="7" fillId="0" fontId="4" numFmtId="9" xfId="0" applyAlignment="1" applyBorder="1" applyFont="1" applyNumberFormat="1">
      <alignment readingOrder="0" vertical="center"/>
    </xf>
    <xf borderId="38" fillId="0" fontId="4" numFmtId="0" xfId="0" applyAlignment="1" applyBorder="1" applyFont="1">
      <alignment horizontal="center" readingOrder="0" vertical="center"/>
    </xf>
    <xf borderId="3" fillId="4" fontId="67" numFmtId="0" xfId="0" applyAlignment="1" applyBorder="1" applyFont="1">
      <alignment horizontal="center" readingOrder="0" vertical="center"/>
    </xf>
    <xf borderId="3" fillId="4" fontId="67" numFmtId="0" xfId="0" applyAlignment="1" applyBorder="1" applyFont="1">
      <alignment horizontal="center" readingOrder="0" vertical="center"/>
    </xf>
    <xf borderId="3" fillId="5" fontId="67" numFmtId="0" xfId="0" applyAlignment="1" applyBorder="1" applyFont="1">
      <alignment horizontal="center" readingOrder="0" vertical="center"/>
    </xf>
    <xf borderId="3" fillId="5" fontId="67" numFmtId="0" xfId="0" applyAlignment="1" applyBorder="1" applyFont="1">
      <alignment horizontal="center" readingOrder="0" vertical="center"/>
    </xf>
    <xf borderId="47" fillId="0" fontId="4" numFmtId="0" xfId="0" applyAlignment="1" applyBorder="1" applyFont="1">
      <alignment readingOrder="0" vertical="center"/>
    </xf>
    <xf borderId="27" fillId="0" fontId="4" numFmtId="164" xfId="0" applyAlignment="1" applyBorder="1" applyFont="1" applyNumberFormat="1">
      <alignment readingOrder="0" vertical="center"/>
    </xf>
    <xf borderId="47" fillId="0" fontId="4" numFmtId="164" xfId="0" applyAlignment="1" applyBorder="1" applyFont="1" applyNumberFormat="1">
      <alignment readingOrder="0" vertical="center"/>
    </xf>
    <xf borderId="27" fillId="0" fontId="4" numFmtId="9" xfId="0" applyAlignment="1" applyBorder="1" applyFont="1" applyNumberFormat="1">
      <alignment readingOrder="0" vertical="center"/>
    </xf>
    <xf borderId="53" fillId="0" fontId="67" numFmtId="0" xfId="0" applyAlignment="1" applyBorder="1" applyFont="1">
      <alignment horizontal="center" readingOrder="0" vertical="center"/>
    </xf>
    <xf borderId="32" fillId="4" fontId="4" numFmtId="165" xfId="0" applyAlignment="1" applyBorder="1" applyFont="1" applyNumberFormat="1">
      <alignment readingOrder="0" vertical="center"/>
    </xf>
    <xf borderId="32" fillId="0" fontId="4" numFmtId="0" xfId="0" applyBorder="1" applyFont="1"/>
    <xf borderId="41" fillId="0" fontId="67" numFmtId="0" xfId="0" applyAlignment="1" applyBorder="1" applyFont="1">
      <alignment horizontal="center" readingOrder="0" vertical="center"/>
    </xf>
    <xf borderId="32" fillId="5" fontId="4" numFmtId="165" xfId="0" applyAlignment="1" applyBorder="1" applyFont="1" applyNumberFormat="1">
      <alignment readingOrder="0" vertical="center"/>
    </xf>
    <xf borderId="32" fillId="5" fontId="67" numFmtId="0" xfId="0" applyAlignment="1" applyBorder="1" applyFont="1">
      <alignment horizontal="center" readingOrder="0" vertical="center"/>
    </xf>
    <xf borderId="32" fillId="5" fontId="67" numFmtId="0" xfId="0" applyAlignment="1" applyBorder="1" applyFont="1">
      <alignment horizontal="center" readingOrder="0" vertical="center"/>
    </xf>
    <xf borderId="35" fillId="0" fontId="67" numFmtId="0" xfId="0" applyAlignment="1" applyBorder="1" applyFont="1">
      <alignment horizontal="center" readingOrder="0" vertical="center"/>
    </xf>
    <xf borderId="7" fillId="4" fontId="67" numFmtId="0" xfId="0" applyAlignment="1" applyBorder="1" applyFont="1">
      <alignment horizontal="center" readingOrder="0" vertical="center"/>
    </xf>
    <xf borderId="7" fillId="0" fontId="67" numFmtId="0" xfId="0" applyAlignment="1" applyBorder="1" applyFont="1">
      <alignment horizontal="center" readingOrder="0" vertical="center"/>
    </xf>
    <xf borderId="3" fillId="0" fontId="67" numFmtId="0" xfId="0" applyAlignment="1" applyBorder="1" applyFont="1">
      <alignment horizontal="center" readingOrder="0" vertical="center"/>
    </xf>
    <xf borderId="4" fillId="0" fontId="67" numFmtId="0" xfId="0" applyAlignment="1" applyBorder="1" applyFont="1">
      <alignment horizontal="center" readingOrder="0" vertical="center"/>
    </xf>
    <xf borderId="26" fillId="4" fontId="4" numFmtId="170" xfId="0" applyAlignment="1" applyBorder="1" applyFont="1" applyNumberFormat="1">
      <alignment readingOrder="0" vertical="center"/>
    </xf>
    <xf borderId="26" fillId="4" fontId="4" numFmtId="165" xfId="0" applyAlignment="1" applyBorder="1" applyFont="1" applyNumberFormat="1">
      <alignment readingOrder="0" vertical="center"/>
    </xf>
    <xf borderId="7" fillId="4" fontId="67" numFmtId="0" xfId="0" applyAlignment="1" applyBorder="1" applyFont="1">
      <alignment horizontal="center" readingOrder="0" vertical="center"/>
    </xf>
    <xf borderId="35" fillId="0" fontId="4" numFmtId="0" xfId="0" applyBorder="1" applyFont="1"/>
    <xf borderId="12" fillId="0" fontId="36" numFmtId="164" xfId="0" applyAlignment="1" applyBorder="1" applyFont="1" applyNumberFormat="1">
      <alignment horizontal="center" readingOrder="0" vertical="center"/>
    </xf>
    <xf borderId="71" fillId="0" fontId="4" numFmtId="0" xfId="0" applyBorder="1" applyFont="1"/>
    <xf borderId="55" fillId="0" fontId="4" numFmtId="0" xfId="0" applyBorder="1" applyFont="1"/>
    <xf borderId="33" fillId="0" fontId="4" numFmtId="0" xfId="0" applyBorder="1" applyFont="1"/>
    <xf borderId="45" fillId="0" fontId="4" numFmtId="0" xfId="0" applyBorder="1" applyFont="1"/>
    <xf borderId="34" fillId="0" fontId="4" numFmtId="0" xfId="0" applyBorder="1" applyFont="1"/>
    <xf borderId="26" fillId="4" fontId="189" numFmtId="0" xfId="0" applyAlignment="1" applyBorder="1" applyFont="1">
      <alignment horizontal="left" readingOrder="0" vertical="center"/>
    </xf>
    <xf borderId="4" fillId="4" fontId="67" numFmtId="170" xfId="0" applyAlignment="1" applyBorder="1" applyFont="1" applyNumberFormat="1">
      <alignment horizontal="center" readingOrder="0" vertical="center"/>
    </xf>
    <xf borderId="36" fillId="0" fontId="4" numFmtId="0" xfId="0" applyBorder="1" applyFont="1"/>
    <xf borderId="3" fillId="5" fontId="4" numFmtId="164" xfId="0" applyAlignment="1" applyBorder="1" applyFont="1" applyNumberFormat="1">
      <alignment readingOrder="0"/>
    </xf>
    <xf borderId="3" fillId="5" fontId="4" numFmtId="9" xfId="0" applyAlignment="1" applyBorder="1" applyFont="1" applyNumberFormat="1">
      <alignment readingOrder="0"/>
    </xf>
    <xf borderId="3" fillId="4" fontId="4" numFmtId="164" xfId="0" applyAlignment="1" applyBorder="1" applyFont="1" applyNumberFormat="1">
      <alignment readingOrder="0"/>
    </xf>
    <xf borderId="3" fillId="4" fontId="4" numFmtId="9" xfId="0" applyAlignment="1" applyBorder="1" applyFont="1" applyNumberFormat="1">
      <alignment readingOrder="0"/>
    </xf>
    <xf borderId="40" fillId="5" fontId="182" numFmtId="0" xfId="0" applyAlignment="1" applyBorder="1" applyFont="1">
      <alignment horizontal="left" readingOrder="0" vertical="center"/>
    </xf>
    <xf borderId="40" fillId="5" fontId="182" numFmtId="164" xfId="0" applyAlignment="1" applyBorder="1" applyFont="1" applyNumberFormat="1">
      <alignment horizontal="right" readingOrder="0" vertical="center"/>
    </xf>
    <xf borderId="40" fillId="5" fontId="182" numFmtId="9" xfId="0" applyAlignment="1" applyBorder="1" applyFont="1" applyNumberFormat="1">
      <alignment horizontal="right" readingOrder="0" vertical="center"/>
    </xf>
    <xf borderId="41" fillId="5" fontId="4" numFmtId="0" xfId="0" applyAlignment="1" applyBorder="1" applyFont="1">
      <alignment horizontal="center" readingOrder="0" vertical="center"/>
    </xf>
    <xf borderId="6" fillId="4" fontId="182" numFmtId="0" xfId="0" applyAlignment="1" applyBorder="1" applyFont="1">
      <alignment horizontal="left" readingOrder="0" vertical="center"/>
    </xf>
    <xf borderId="13" fillId="4" fontId="181" numFmtId="164" xfId="0" applyAlignment="1" applyBorder="1" applyFont="1" applyNumberFormat="1">
      <alignment horizontal="center" readingOrder="0" vertical="center"/>
    </xf>
    <xf borderId="48" fillId="4" fontId="190" numFmtId="0" xfId="0" applyAlignment="1" applyBorder="1" applyFont="1">
      <alignment horizontal="center" readingOrder="0" vertical="center"/>
    </xf>
    <xf borderId="32" fillId="5" fontId="182" numFmtId="0" xfId="0" applyAlignment="1" applyBorder="1" applyFont="1">
      <alignment horizontal="left" readingOrder="0" vertical="center"/>
    </xf>
    <xf borderId="33" fillId="5" fontId="4" numFmtId="0" xfId="0" applyBorder="1" applyFont="1"/>
    <xf borderId="34" fillId="5" fontId="4" numFmtId="0" xfId="0" applyBorder="1" applyFont="1"/>
    <xf borderId="32" fillId="4" fontId="4" numFmtId="0" xfId="0" applyAlignment="1" applyBorder="1" applyFont="1">
      <alignment readingOrder="0"/>
    </xf>
    <xf borderId="32" fillId="4" fontId="4" numFmtId="0" xfId="0" applyAlignment="1" applyBorder="1" applyFont="1">
      <alignment readingOrder="0" vertical="center"/>
    </xf>
    <xf borderId="32" fillId="4" fontId="4" numFmtId="0" xfId="0" applyAlignment="1" applyBorder="1" applyFont="1">
      <alignment vertical="center"/>
    </xf>
    <xf borderId="32" fillId="4" fontId="182" numFmtId="0" xfId="0" applyAlignment="1" applyBorder="1" applyFont="1">
      <alignment horizontal="left" readingOrder="0" vertical="center"/>
    </xf>
    <xf borderId="32" fillId="4" fontId="182" numFmtId="164" xfId="0" applyAlignment="1" applyBorder="1" applyFont="1" applyNumberFormat="1">
      <alignment horizontal="right" readingOrder="0" vertical="center"/>
    </xf>
    <xf borderId="32" fillId="4" fontId="182" numFmtId="9" xfId="0" applyAlignment="1" applyBorder="1" applyFont="1" applyNumberFormat="1">
      <alignment horizontal="right" readingOrder="0" vertical="center"/>
    </xf>
    <xf borderId="35" fillId="4" fontId="4" numFmtId="0" xfId="0" applyAlignment="1" applyBorder="1" applyFont="1">
      <alignment horizontal="center" readingOrder="0" vertical="center"/>
    </xf>
    <xf borderId="6" fillId="5" fontId="182" numFmtId="0" xfId="0" applyAlignment="1" applyBorder="1" applyFont="1">
      <alignment horizontal="left" readingOrder="0" vertical="center"/>
    </xf>
    <xf borderId="13" fillId="5" fontId="181" numFmtId="164" xfId="0" applyAlignment="1" applyBorder="1" applyFont="1" applyNumberFormat="1">
      <alignment horizontal="center" readingOrder="0" vertical="center"/>
    </xf>
    <xf borderId="48" fillId="5" fontId="191" numFmtId="0" xfId="0" applyAlignment="1" applyBorder="1" applyFont="1">
      <alignment horizontal="center" readingOrder="0" vertical="center"/>
    </xf>
    <xf borderId="45" fillId="4" fontId="4" numFmtId="0" xfId="0" applyBorder="1" applyFont="1"/>
    <xf borderId="66" fillId="5" fontId="114" numFmtId="0" xfId="0" applyAlignment="1" applyBorder="1" applyFont="1">
      <alignment horizontal="left" readingOrder="0" vertical="center"/>
    </xf>
    <xf borderId="66" fillId="5" fontId="36" numFmtId="170" xfId="0" applyAlignment="1" applyBorder="1" applyFont="1" applyNumberFormat="1">
      <alignment readingOrder="0" vertical="center"/>
    </xf>
    <xf borderId="66" fillId="5" fontId="36" numFmtId="0" xfId="0" applyAlignment="1" applyBorder="1" applyFont="1">
      <alignment readingOrder="0"/>
    </xf>
    <xf borderId="66" fillId="5" fontId="36" numFmtId="0" xfId="0" applyAlignment="1" applyBorder="1" applyFont="1">
      <alignment readingOrder="0" vertical="center"/>
    </xf>
    <xf borderId="66" fillId="5" fontId="36" numFmtId="0" xfId="0" applyAlignment="1" applyBorder="1" applyFont="1">
      <alignment vertical="center"/>
    </xf>
    <xf borderId="66" fillId="5" fontId="181" numFmtId="0" xfId="0" applyAlignment="1" applyBorder="1" applyFont="1">
      <alignment horizontal="left" readingOrder="0" vertical="center"/>
    </xf>
    <xf borderId="66" fillId="5" fontId="181" numFmtId="164" xfId="0" applyAlignment="1" applyBorder="1" applyFont="1" applyNumberFormat="1">
      <alignment horizontal="right" readingOrder="0" vertical="center"/>
    </xf>
    <xf borderId="66" fillId="5" fontId="181" numFmtId="9" xfId="0" applyAlignment="1" applyBorder="1" applyFont="1" applyNumberFormat="1">
      <alignment horizontal="right" readingOrder="0" vertical="center"/>
    </xf>
    <xf borderId="66" fillId="5" fontId="192" numFmtId="0" xfId="0" applyAlignment="1" applyBorder="1" applyFont="1">
      <alignment horizontal="center" readingOrder="0" vertical="center"/>
    </xf>
    <xf borderId="67" fillId="4" fontId="36" numFmtId="0" xfId="0" applyAlignment="1" applyBorder="1" applyFont="1">
      <alignment readingOrder="0" vertical="center"/>
    </xf>
    <xf borderId="67" fillId="4" fontId="36" numFmtId="170" xfId="0" applyAlignment="1" applyBorder="1" applyFont="1" applyNumberFormat="1">
      <alignment readingOrder="0" vertical="center"/>
    </xf>
    <xf borderId="67" fillId="4" fontId="36" numFmtId="0" xfId="0" applyAlignment="1" applyBorder="1" applyFont="1">
      <alignment readingOrder="0"/>
    </xf>
    <xf borderId="67" fillId="4" fontId="36" numFmtId="0" xfId="0" applyAlignment="1" applyBorder="1" applyFont="1">
      <alignment vertical="center"/>
    </xf>
    <xf borderId="67" fillId="4" fontId="181" numFmtId="0" xfId="0" applyAlignment="1" applyBorder="1" applyFont="1">
      <alignment horizontal="left" readingOrder="0" vertical="center"/>
    </xf>
    <xf borderId="67" fillId="4" fontId="181" numFmtId="164" xfId="0" applyAlignment="1" applyBorder="1" applyFont="1" applyNumberFormat="1">
      <alignment horizontal="right" readingOrder="0" vertical="center"/>
    </xf>
    <xf borderId="67" fillId="4" fontId="181" numFmtId="9" xfId="0" applyAlignment="1" applyBorder="1" applyFont="1" applyNumberFormat="1">
      <alignment horizontal="right" readingOrder="0" vertical="center"/>
    </xf>
    <xf borderId="67" fillId="4" fontId="193" numFmtId="0" xfId="0" applyAlignment="1" applyBorder="1" applyFont="1">
      <alignment horizontal="center" readingOrder="0" vertical="center"/>
    </xf>
    <xf borderId="65" fillId="5" fontId="189" numFmtId="0" xfId="0" applyAlignment="1" applyBorder="1" applyFont="1">
      <alignment horizontal="left" readingOrder="0" vertical="center"/>
    </xf>
    <xf borderId="65" fillId="5" fontId="4" numFmtId="170" xfId="0" applyAlignment="1" applyBorder="1" applyFont="1" applyNumberFormat="1">
      <alignment readingOrder="0" vertical="center"/>
    </xf>
    <xf borderId="66" fillId="5" fontId="4" numFmtId="0" xfId="0" applyAlignment="1" applyBorder="1" applyFont="1">
      <alignment readingOrder="0"/>
    </xf>
    <xf borderId="65" fillId="5" fontId="4" numFmtId="0" xfId="0" applyAlignment="1" applyBorder="1" applyFont="1">
      <alignment readingOrder="0" vertical="center"/>
    </xf>
    <xf borderId="65" fillId="5" fontId="4" numFmtId="0" xfId="0" applyAlignment="1" applyBorder="1" applyFont="1">
      <alignment vertical="center"/>
    </xf>
    <xf borderId="66" fillId="5" fontId="182" numFmtId="0" xfId="0" applyAlignment="1" applyBorder="1" applyFont="1">
      <alignment horizontal="left" readingOrder="0" vertical="center"/>
    </xf>
    <xf borderId="66" fillId="5" fontId="182" numFmtId="164" xfId="0" applyAlignment="1" applyBorder="1" applyFont="1" applyNumberFormat="1">
      <alignment horizontal="right" readingOrder="0" vertical="center"/>
    </xf>
    <xf borderId="66" fillId="5" fontId="182" numFmtId="9" xfId="0" applyAlignment="1" applyBorder="1" applyFont="1" applyNumberFormat="1">
      <alignment horizontal="right" readingOrder="0" vertical="center"/>
    </xf>
    <xf borderId="66" fillId="5" fontId="4" numFmtId="0" xfId="0" applyAlignment="1" applyBorder="1" applyFont="1">
      <alignment horizontal="center" readingOrder="0" vertical="center"/>
    </xf>
    <xf borderId="65" fillId="4" fontId="4" numFmtId="0" xfId="0" applyBorder="1" applyFont="1"/>
    <xf borderId="67" fillId="4" fontId="4" numFmtId="0" xfId="0" applyAlignment="1" applyBorder="1" applyFont="1">
      <alignment readingOrder="0"/>
    </xf>
    <xf borderId="67" fillId="4" fontId="182" numFmtId="0" xfId="0" applyAlignment="1" applyBorder="1" applyFont="1">
      <alignment horizontal="left" readingOrder="0" vertical="center"/>
    </xf>
    <xf borderId="67" fillId="4" fontId="182" numFmtId="164" xfId="0" applyAlignment="1" applyBorder="1" applyFont="1" applyNumberFormat="1">
      <alignment horizontal="right" readingOrder="0" vertical="center"/>
    </xf>
    <xf borderId="67" fillId="4" fontId="182" numFmtId="9" xfId="0" applyAlignment="1" applyBorder="1" applyFont="1" applyNumberFormat="1">
      <alignment horizontal="right" readingOrder="0" vertical="center"/>
    </xf>
    <xf borderId="67" fillId="4" fontId="4" numFmtId="0" xfId="0" applyAlignment="1" applyBorder="1" applyFont="1">
      <alignment horizontal="center" readingOrder="0" vertical="center"/>
    </xf>
    <xf borderId="65" fillId="5" fontId="4" numFmtId="0" xfId="0" applyBorder="1" applyFont="1"/>
    <xf borderId="67" fillId="5" fontId="4" numFmtId="0" xfId="0" applyAlignment="1" applyBorder="1" applyFont="1">
      <alignment readingOrder="0"/>
    </xf>
    <xf borderId="67" fillId="5" fontId="182" numFmtId="0" xfId="0" applyAlignment="1" applyBorder="1" applyFont="1">
      <alignment horizontal="left" readingOrder="0" vertical="center"/>
    </xf>
    <xf borderId="67" fillId="5" fontId="182" numFmtId="164" xfId="0" applyAlignment="1" applyBorder="1" applyFont="1" applyNumberFormat="1">
      <alignment horizontal="right" readingOrder="0" vertical="center"/>
    </xf>
    <xf borderId="67" fillId="5" fontId="182" numFmtId="9" xfId="0" applyAlignment="1" applyBorder="1" applyFont="1" applyNumberFormat="1">
      <alignment horizontal="right" readingOrder="0" vertical="center"/>
    </xf>
    <xf borderId="67" fillId="5" fontId="4" numFmtId="0" xfId="0" applyAlignment="1" applyBorder="1" applyFont="1">
      <alignment horizontal="center" readingOrder="0" vertical="center"/>
    </xf>
    <xf borderId="66" fillId="5" fontId="4" numFmtId="0" xfId="0" applyBorder="1" applyFont="1"/>
    <xf borderId="62" fillId="4" fontId="189" numFmtId="0" xfId="0" applyAlignment="1" applyBorder="1" applyFont="1">
      <alignment horizontal="left" readingOrder="0" vertical="center"/>
    </xf>
    <xf borderId="62" fillId="4" fontId="4" numFmtId="170" xfId="0" applyAlignment="1" applyBorder="1" applyFont="1" applyNumberFormat="1">
      <alignment readingOrder="0" vertical="center"/>
    </xf>
    <xf borderId="62" fillId="4" fontId="4" numFmtId="0" xfId="0" applyAlignment="1" applyBorder="1" applyFont="1">
      <alignment readingOrder="0" vertical="center"/>
    </xf>
    <xf borderId="67" fillId="4" fontId="4" numFmtId="0" xfId="0" applyAlignment="1" applyBorder="1" applyFont="1">
      <alignment readingOrder="0" vertical="center"/>
    </xf>
    <xf borderId="23" fillId="4" fontId="182" numFmtId="164" xfId="0" applyAlignment="1" applyBorder="1" applyFont="1" applyNumberFormat="1">
      <alignment horizontal="center" readingOrder="0" vertical="center"/>
    </xf>
    <xf borderId="67" fillId="4" fontId="194" numFmtId="0" xfId="0" applyAlignment="1" applyBorder="1" applyFont="1">
      <alignment horizontal="center" readingOrder="0" vertical="center"/>
    </xf>
    <xf borderId="67" fillId="5" fontId="4" numFmtId="0" xfId="0" applyAlignment="1" applyBorder="1" applyFont="1">
      <alignment readingOrder="0" vertical="center"/>
    </xf>
    <xf borderId="23" fillId="5" fontId="182" numFmtId="164" xfId="0" applyAlignment="1" applyBorder="1" applyFont="1" applyNumberFormat="1">
      <alignment horizontal="center" readingOrder="0" vertical="center"/>
    </xf>
    <xf borderId="67" fillId="5" fontId="195" numFmtId="0" xfId="0" applyAlignment="1" applyBorder="1" applyFont="1">
      <alignment horizontal="center" readingOrder="0" vertical="center"/>
    </xf>
    <xf borderId="18" fillId="4" fontId="189" numFmtId="0" xfId="0" applyAlignment="1" applyBorder="1" applyFont="1">
      <alignment horizontal="left" readingOrder="0" vertical="center"/>
    </xf>
    <xf borderId="0" fillId="4" fontId="4" numFmtId="170" xfId="0" applyAlignment="1" applyFont="1" applyNumberFormat="1">
      <alignment readingOrder="0" vertical="center"/>
    </xf>
    <xf borderId="0" fillId="4" fontId="4" numFmtId="0" xfId="0" applyAlignment="1" applyFont="1">
      <alignment readingOrder="0" vertical="center"/>
    </xf>
    <xf borderId="0" fillId="4" fontId="4" numFmtId="0" xfId="0" applyAlignment="1" applyFont="1">
      <alignment vertical="center"/>
    </xf>
    <xf borderId="0" fillId="4" fontId="182" numFmtId="0" xfId="0" applyAlignment="1" applyFont="1">
      <alignment horizontal="left" readingOrder="0" vertical="center"/>
    </xf>
    <xf borderId="0" fillId="4" fontId="182" numFmtId="164" xfId="0" applyAlignment="1" applyFont="1" applyNumberFormat="1">
      <alignment horizontal="right" readingOrder="0" vertical="center"/>
    </xf>
    <xf borderId="0" fillId="4" fontId="182" numFmtId="9" xfId="0" applyAlignment="1" applyFont="1" applyNumberFormat="1">
      <alignment horizontal="right" readingOrder="0" vertical="center"/>
    </xf>
    <xf borderId="19" fillId="4" fontId="4" numFmtId="0" xfId="0" applyAlignment="1" applyBorder="1" applyFont="1">
      <alignment horizontal="center" readingOrder="0" vertical="center"/>
    </xf>
    <xf borderId="36" fillId="5" fontId="189" numFmtId="0" xfId="0" applyAlignment="1" applyBorder="1" applyFont="1">
      <alignment horizontal="left" readingOrder="0" vertical="center"/>
    </xf>
    <xf borderId="7" fillId="5" fontId="4" numFmtId="170" xfId="0" applyAlignment="1" applyBorder="1" applyFont="1" applyNumberFormat="1">
      <alignment readingOrder="0" vertical="center"/>
    </xf>
    <xf borderId="7" fillId="5" fontId="4" numFmtId="0" xfId="0" applyAlignment="1" applyBorder="1" applyFont="1">
      <alignment vertical="center"/>
    </xf>
    <xf borderId="7" fillId="5" fontId="182" numFmtId="0" xfId="0" applyAlignment="1" applyBorder="1" applyFont="1">
      <alignment horizontal="left" readingOrder="0" vertical="center"/>
    </xf>
    <xf borderId="7" fillId="5" fontId="182" numFmtId="164" xfId="0" applyAlignment="1" applyBorder="1" applyFont="1" applyNumberFormat="1">
      <alignment horizontal="right" readingOrder="0" vertical="center"/>
    </xf>
    <xf borderId="7" fillId="5" fontId="182" numFmtId="9" xfId="0" applyAlignment="1" applyBorder="1" applyFont="1" applyNumberFormat="1">
      <alignment horizontal="right" readingOrder="0" vertical="center"/>
    </xf>
    <xf borderId="38" fillId="5" fontId="4" numFmtId="0" xfId="0" applyAlignment="1" applyBorder="1" applyFont="1">
      <alignment horizontal="center" readingOrder="0" vertical="center"/>
    </xf>
    <xf borderId="36" fillId="4" fontId="189" numFmtId="0" xfId="0" applyAlignment="1" applyBorder="1" applyFont="1">
      <alignment horizontal="left" readingOrder="0" vertical="center"/>
    </xf>
    <xf borderId="40" fillId="4" fontId="4" numFmtId="166" xfId="0" applyAlignment="1" applyBorder="1" applyFont="1" applyNumberFormat="1">
      <alignment readingOrder="0"/>
    </xf>
    <xf borderId="40" fillId="4" fontId="4" numFmtId="0" xfId="0" applyBorder="1" applyFont="1"/>
    <xf borderId="40" fillId="4" fontId="4" numFmtId="164" xfId="0" applyAlignment="1" applyBorder="1" applyFont="1" applyNumberFormat="1">
      <alignment readingOrder="0"/>
    </xf>
    <xf borderId="40" fillId="4" fontId="4" numFmtId="9" xfId="0" applyAlignment="1" applyBorder="1" applyFont="1" applyNumberFormat="1">
      <alignment readingOrder="0"/>
    </xf>
    <xf borderId="41" fillId="4" fontId="4" numFmtId="0" xfId="0" applyAlignment="1" applyBorder="1" applyFont="1">
      <alignment horizontal="center" readingOrder="0"/>
    </xf>
    <xf borderId="37" fillId="5" fontId="4" numFmtId="166" xfId="0" applyAlignment="1" applyBorder="1" applyFont="1" applyNumberFormat="1">
      <alignment readingOrder="0"/>
    </xf>
    <xf borderId="0" fillId="4" fontId="76" numFmtId="166" xfId="0" applyAlignment="1" applyFont="1" applyNumberFormat="1">
      <alignment horizontal="left" readingOrder="0" vertical="center"/>
    </xf>
    <xf borderId="13" fillId="5" fontId="4" numFmtId="164" xfId="0" applyAlignment="1" applyBorder="1" applyFont="1" applyNumberFormat="1">
      <alignment readingOrder="0"/>
    </xf>
    <xf borderId="0" fillId="5" fontId="4" numFmtId="164" xfId="0" applyAlignment="1" applyFont="1" applyNumberFormat="1">
      <alignment readingOrder="0"/>
    </xf>
    <xf borderId="5" fillId="5" fontId="4" numFmtId="9" xfId="0" applyAlignment="1" applyBorder="1" applyFont="1" applyNumberFormat="1">
      <alignment readingOrder="0"/>
    </xf>
    <xf borderId="46" fillId="5" fontId="4" numFmtId="0" xfId="0" applyAlignment="1" applyBorder="1" applyFont="1">
      <alignment horizontal="center" readingOrder="0"/>
    </xf>
    <xf borderId="27" fillId="5" fontId="182" numFmtId="165" xfId="0" applyAlignment="1" applyBorder="1" applyFont="1" applyNumberFormat="1">
      <alignment horizontal="right" readingOrder="0" vertical="center"/>
    </xf>
    <xf borderId="47" fillId="5" fontId="182" numFmtId="0" xfId="0" applyAlignment="1" applyBorder="1" applyFont="1">
      <alignment horizontal="right" readingOrder="0" vertical="center"/>
    </xf>
    <xf borderId="3" fillId="5" fontId="182" numFmtId="0" xfId="0" applyAlignment="1" applyBorder="1" applyFont="1">
      <alignment horizontal="right" readingOrder="0" vertical="center"/>
    </xf>
    <xf borderId="39" fillId="0" fontId="4" numFmtId="9" xfId="0" applyAlignment="1" applyBorder="1" applyFont="1" applyNumberFormat="1">
      <alignment horizontal="center" readingOrder="0" vertical="center"/>
    </xf>
    <xf borderId="40" fillId="5" fontId="182" numFmtId="0" xfId="0" applyAlignment="1" applyBorder="1" applyFont="1">
      <alignment horizontal="right" readingOrder="0" vertical="center"/>
    </xf>
    <xf borderId="41" fillId="0" fontId="4" numFmtId="9" xfId="0" applyAlignment="1" applyBorder="1" applyFont="1" applyNumberFormat="1">
      <alignment horizontal="center" readingOrder="0" vertical="center"/>
    </xf>
    <xf borderId="18" fillId="5" fontId="182" numFmtId="0" xfId="0" applyAlignment="1" applyBorder="1" applyFont="1">
      <alignment horizontal="left" readingOrder="0" vertical="center"/>
    </xf>
    <xf borderId="32" fillId="5" fontId="182" numFmtId="0" xfId="0" applyAlignment="1" applyBorder="1" applyFont="1">
      <alignment horizontal="center" readingOrder="0" vertical="center"/>
    </xf>
    <xf borderId="6" fillId="5" fontId="182" numFmtId="0" xfId="0" applyAlignment="1" applyBorder="1" applyFont="1">
      <alignment horizontal="center" readingOrder="0" vertical="center"/>
    </xf>
    <xf borderId="6" fillId="5" fontId="182" numFmtId="0" xfId="0" applyAlignment="1" applyBorder="1" applyFont="1">
      <alignment horizontal="center" readingOrder="0" vertical="center"/>
    </xf>
    <xf borderId="32" fillId="5" fontId="182" numFmtId="164" xfId="0" applyAlignment="1" applyBorder="1" applyFont="1" applyNumberFormat="1">
      <alignment horizontal="center" readingOrder="0" vertical="center"/>
    </xf>
    <xf borderId="32" fillId="5" fontId="182" numFmtId="9" xfId="0" applyAlignment="1" applyBorder="1" applyFont="1" applyNumberFormat="1">
      <alignment horizontal="center" readingOrder="0" vertical="center"/>
    </xf>
    <xf borderId="32" fillId="5" fontId="182" numFmtId="0" xfId="0" applyAlignment="1" applyBorder="1" applyFont="1">
      <alignment horizontal="center" readingOrder="0" vertical="center"/>
    </xf>
    <xf borderId="18" fillId="4" fontId="4" numFmtId="0" xfId="0" applyBorder="1" applyFont="1"/>
    <xf borderId="7" fillId="4" fontId="182" numFmtId="0" xfId="0" applyAlignment="1" applyBorder="1" applyFont="1">
      <alignment horizontal="center" readingOrder="0" vertical="center"/>
    </xf>
    <xf borderId="13" fillId="4" fontId="182" numFmtId="164" xfId="0" applyAlignment="1" applyBorder="1" applyFont="1" applyNumberFormat="1">
      <alignment horizontal="center" readingOrder="0" shrinkToFit="0" vertical="center" wrapText="1"/>
    </xf>
    <xf borderId="0" fillId="4" fontId="182" numFmtId="164" xfId="0" applyAlignment="1" applyFont="1" applyNumberFormat="1">
      <alignment horizontal="center" readingOrder="0" shrinkToFit="0" vertical="center" wrapText="1"/>
    </xf>
    <xf borderId="5" fillId="4" fontId="182" numFmtId="9" xfId="0" applyAlignment="1" applyBorder="1" applyFont="1" applyNumberFormat="1">
      <alignment horizontal="center" readingOrder="0" shrinkToFit="0" vertical="center" wrapText="1"/>
    </xf>
    <xf borderId="6" fillId="4" fontId="182" numFmtId="0" xfId="0" applyAlignment="1" applyBorder="1" applyFont="1">
      <alignment horizontal="center" readingOrder="0" shrinkToFit="0" vertical="center" wrapText="1"/>
    </xf>
    <xf borderId="18" fillId="5" fontId="4" numFmtId="0" xfId="0" applyBorder="1" applyFont="1"/>
    <xf borderId="3" fillId="5" fontId="182" numFmtId="0" xfId="0" applyAlignment="1" applyBorder="1" applyFont="1">
      <alignment horizontal="center" readingOrder="0" vertical="center"/>
    </xf>
    <xf borderId="13" fillId="5" fontId="182" numFmtId="164" xfId="0" applyAlignment="1" applyBorder="1" applyFont="1" applyNumberFormat="1">
      <alignment horizontal="center" readingOrder="0" shrinkToFit="0" vertical="center" wrapText="1"/>
    </xf>
    <xf borderId="0" fillId="5" fontId="182" numFmtId="164" xfId="0" applyAlignment="1" applyFont="1" applyNumberFormat="1">
      <alignment horizontal="center" readingOrder="0" shrinkToFit="0" vertical="center" wrapText="1"/>
    </xf>
    <xf borderId="5" fillId="5" fontId="182" numFmtId="9" xfId="0" applyAlignment="1" applyBorder="1" applyFont="1" applyNumberFormat="1">
      <alignment horizontal="center" readingOrder="0" shrinkToFit="0" vertical="center" wrapText="1"/>
    </xf>
    <xf borderId="6" fillId="5" fontId="182" numFmtId="0" xfId="0" applyAlignment="1" applyBorder="1" applyFont="1">
      <alignment horizontal="center" readingOrder="0" shrinkToFit="0" vertical="center" wrapText="1"/>
    </xf>
    <xf borderId="18" fillId="4" fontId="182" numFmtId="0" xfId="0" applyAlignment="1" applyBorder="1" applyFont="1">
      <alignment horizontal="left" readingOrder="0" vertical="center"/>
    </xf>
    <xf borderId="6" fillId="4" fontId="182" numFmtId="165" xfId="0" applyAlignment="1" applyBorder="1" applyFont="1" applyNumberFormat="1">
      <alignment horizontal="right" readingOrder="0" vertical="center"/>
    </xf>
    <xf borderId="3" fillId="4" fontId="182" numFmtId="0" xfId="0" applyAlignment="1" applyBorder="1" applyFont="1">
      <alignment horizontal="center" readingOrder="0" vertical="center"/>
    </xf>
    <xf borderId="3" fillId="4" fontId="182" numFmtId="0" xfId="0" applyAlignment="1" applyBorder="1" applyFont="1">
      <alignment horizontal="center" readingOrder="0" vertical="center"/>
    </xf>
    <xf borderId="5" fillId="4" fontId="182" numFmtId="164" xfId="0" applyAlignment="1" applyBorder="1" applyFont="1" applyNumberFormat="1">
      <alignment horizontal="center" readingOrder="0" shrinkToFit="0" vertical="center" wrapText="1"/>
    </xf>
    <xf borderId="6" fillId="5" fontId="182" numFmtId="165" xfId="0" applyAlignment="1" applyBorder="1" applyFont="1" applyNumberFormat="1">
      <alignment horizontal="right" readingOrder="0" vertical="center"/>
    </xf>
    <xf borderId="3" fillId="5" fontId="182" numFmtId="0" xfId="0" applyAlignment="1" applyBorder="1" applyFont="1">
      <alignment horizontal="center" readingOrder="0" vertical="center"/>
    </xf>
    <xf borderId="5" fillId="5" fontId="182" numFmtId="164" xfId="0" applyAlignment="1" applyBorder="1" applyFont="1" applyNumberFormat="1">
      <alignment horizontal="center" readingOrder="0" shrinkToFit="0" vertical="center" wrapText="1"/>
    </xf>
    <xf borderId="32" fillId="4" fontId="182" numFmtId="165" xfId="0" applyAlignment="1" applyBorder="1" applyFont="1" applyNumberFormat="1">
      <alignment horizontal="right" readingOrder="0" vertical="center"/>
    </xf>
    <xf borderId="11" fillId="4" fontId="182" numFmtId="164" xfId="0" applyAlignment="1" applyBorder="1" applyFont="1" applyNumberFormat="1">
      <alignment horizontal="center" readingOrder="0" shrinkToFit="0" vertical="center" wrapText="1"/>
    </xf>
    <xf borderId="1" fillId="4" fontId="182" numFmtId="164" xfId="0" applyAlignment="1" applyBorder="1" applyFont="1" applyNumberFormat="1">
      <alignment horizontal="center" readingOrder="0" shrinkToFit="0" vertical="center" wrapText="1"/>
    </xf>
    <xf borderId="2" fillId="4" fontId="182" numFmtId="164" xfId="0" applyAlignment="1" applyBorder="1" applyFont="1" applyNumberFormat="1">
      <alignment horizontal="center" readingOrder="0" shrinkToFit="0" vertical="center" wrapText="1"/>
    </xf>
    <xf borderId="7" fillId="4" fontId="182" numFmtId="0" xfId="0" applyAlignment="1" applyBorder="1" applyFont="1">
      <alignment horizontal="center" readingOrder="0" shrinkToFit="0" vertical="center" wrapText="1"/>
    </xf>
    <xf borderId="23" fillId="13" fontId="67" numFmtId="0" xfId="0" applyAlignment="1" applyBorder="1" applyFont="1">
      <alignment horizontal="center" readingOrder="0"/>
    </xf>
    <xf borderId="0" fillId="0" fontId="36" numFmtId="0" xfId="0" applyAlignment="1" applyFont="1">
      <alignment readingOrder="0" vertical="center"/>
    </xf>
    <xf borderId="4" fillId="0" fontId="181" numFmtId="170" xfId="0" applyAlignment="1" applyBorder="1" applyFont="1" applyNumberFormat="1">
      <alignment horizontal="right" readingOrder="0" vertical="center"/>
    </xf>
    <xf borderId="3" fillId="0" fontId="181" numFmtId="0" xfId="0" applyAlignment="1" applyBorder="1" applyFont="1">
      <alignment horizontal="right" readingOrder="0" vertical="center"/>
    </xf>
    <xf borderId="3" fillId="0" fontId="181" numFmtId="0" xfId="0" applyAlignment="1" applyBorder="1" applyFont="1">
      <alignment horizontal="center" vertical="center"/>
    </xf>
    <xf borderId="3" fillId="0" fontId="181" numFmtId="0" xfId="0" applyAlignment="1" applyBorder="1" applyFont="1">
      <alignment horizontal="center" vertical="center"/>
    </xf>
    <xf borderId="3" fillId="0" fontId="36" numFmtId="0" xfId="0" applyAlignment="1" applyBorder="1" applyFont="1">
      <alignment readingOrder="0" vertical="center"/>
    </xf>
    <xf borderId="3" fillId="0" fontId="36" numFmtId="169" xfId="0" applyAlignment="1" applyBorder="1" applyFont="1" applyNumberFormat="1">
      <alignment readingOrder="0" vertical="center"/>
    </xf>
    <xf borderId="3" fillId="0" fontId="36" numFmtId="9" xfId="0" applyAlignment="1" applyBorder="1" applyFont="1" applyNumberFormat="1">
      <alignment readingOrder="0" vertical="center"/>
    </xf>
    <xf borderId="39" fillId="0" fontId="182" numFmtId="0" xfId="0" applyAlignment="1" applyBorder="1" applyFont="1">
      <alignment horizontal="center" readingOrder="0" vertical="center"/>
    </xf>
    <xf borderId="0" fillId="0" fontId="4" numFmtId="0" xfId="0" applyAlignment="1" applyFont="1">
      <alignment readingOrder="0" vertical="center"/>
    </xf>
    <xf borderId="6" fillId="0" fontId="182" numFmtId="170" xfId="0" applyAlignment="1" applyBorder="1" applyFont="1" applyNumberFormat="1">
      <alignment horizontal="right" readingOrder="0" vertical="center"/>
    </xf>
    <xf borderId="3" fillId="0" fontId="182" numFmtId="0" xfId="0" applyAlignment="1" applyBorder="1" applyFont="1">
      <alignment horizontal="right" readingOrder="0" vertical="center"/>
    </xf>
    <xf borderId="3" fillId="0" fontId="182" numFmtId="0" xfId="0" applyAlignment="1" applyBorder="1" applyFont="1">
      <alignment horizontal="center" vertical="center"/>
    </xf>
    <xf borderId="3" fillId="0" fontId="182" numFmtId="0" xfId="0" applyAlignment="1" applyBorder="1" applyFont="1">
      <alignment horizontal="center" vertical="center"/>
    </xf>
    <xf borderId="3" fillId="0" fontId="4" numFmtId="0" xfId="0" applyAlignment="1" applyBorder="1" applyFont="1">
      <alignment readingOrder="0" vertical="center"/>
    </xf>
    <xf borderId="3" fillId="0" fontId="4" numFmtId="169" xfId="0" applyAlignment="1" applyBorder="1" applyFont="1" applyNumberFormat="1">
      <alignment readingOrder="0" vertical="center"/>
    </xf>
    <xf borderId="3" fillId="0" fontId="4" numFmtId="9" xfId="0" applyAlignment="1" applyBorder="1" applyFont="1" applyNumberFormat="1">
      <alignment readingOrder="0" vertical="center"/>
    </xf>
    <xf borderId="45" fillId="0" fontId="4" numFmtId="0" xfId="0" applyAlignment="1" applyBorder="1" applyFont="1">
      <alignment readingOrder="0" vertical="center"/>
    </xf>
    <xf borderId="7" fillId="0" fontId="182" numFmtId="170" xfId="0" applyAlignment="1" applyBorder="1" applyFont="1" applyNumberFormat="1">
      <alignment horizontal="right" readingOrder="0" vertical="center"/>
    </xf>
    <xf borderId="3" fillId="0" fontId="4" numFmtId="0" xfId="0" applyAlignment="1" applyBorder="1" applyFont="1">
      <alignment horizontal="right" readingOrder="0"/>
    </xf>
    <xf borderId="27" fillId="5" fontId="182" numFmtId="170" xfId="0" applyAlignment="1" applyBorder="1" applyFont="1" applyNumberFormat="1">
      <alignment horizontal="right" readingOrder="0" vertical="center"/>
    </xf>
    <xf borderId="27" fillId="5" fontId="182" numFmtId="0" xfId="0" applyAlignment="1" applyBorder="1" applyFont="1">
      <alignment horizontal="right" readingOrder="0" vertical="center"/>
    </xf>
    <xf borderId="27" fillId="5" fontId="182" numFmtId="0" xfId="0" applyAlignment="1" applyBorder="1" applyFont="1">
      <alignment horizontal="left" readingOrder="0" vertical="center"/>
    </xf>
    <xf borderId="27" fillId="5" fontId="182" numFmtId="164" xfId="0" applyAlignment="1" applyBorder="1" applyFont="1" applyNumberFormat="1">
      <alignment horizontal="right" readingOrder="0" vertical="center"/>
    </xf>
    <xf borderId="28" fillId="5" fontId="182" numFmtId="164" xfId="0" applyAlignment="1" applyBorder="1" applyFont="1" applyNumberFormat="1">
      <alignment horizontal="right" readingOrder="0" vertical="center"/>
    </xf>
    <xf borderId="29" fillId="5" fontId="4" numFmtId="0" xfId="0" applyBorder="1" applyFont="1"/>
    <xf borderId="30" fillId="5" fontId="196" numFmtId="0" xfId="0" applyAlignment="1" applyBorder="1" applyFont="1">
      <alignment horizontal="center" readingOrder="0" vertical="center"/>
    </xf>
    <xf borderId="49" fillId="4" fontId="182" numFmtId="164" xfId="0" applyAlignment="1" applyBorder="1" applyFont="1" applyNumberFormat="1">
      <alignment horizontal="right" readingOrder="0" vertical="center"/>
    </xf>
    <xf borderId="41" fillId="4" fontId="197" numFmtId="0" xfId="0" applyAlignment="1" applyBorder="1" applyFont="1">
      <alignment horizontal="center" readingOrder="0" vertical="center"/>
    </xf>
    <xf borderId="37" fillId="5" fontId="182" numFmtId="0" xfId="0" applyAlignment="1" applyBorder="1" applyFont="1">
      <alignment horizontal="left" readingOrder="0" vertical="center"/>
    </xf>
    <xf borderId="29" fillId="5" fontId="182" numFmtId="9" xfId="0" applyAlignment="1" applyBorder="1" applyFont="1" applyNumberFormat="1">
      <alignment horizontal="right" readingOrder="0" vertical="center"/>
    </xf>
    <xf borderId="36" fillId="5" fontId="182" numFmtId="0" xfId="0" applyAlignment="1" applyBorder="1" applyFont="1">
      <alignment horizontal="left" readingOrder="0" vertical="center"/>
    </xf>
    <xf borderId="6" fillId="5" fontId="182" numFmtId="170" xfId="0" applyAlignment="1" applyBorder="1" applyFont="1" applyNumberFormat="1">
      <alignment horizontal="right" readingOrder="0" vertical="center"/>
    </xf>
    <xf borderId="11" fillId="5" fontId="182" numFmtId="0" xfId="0" applyAlignment="1" applyBorder="1" applyFont="1">
      <alignment horizontal="right" readingOrder="0" vertical="center"/>
    </xf>
    <xf borderId="13" fillId="5" fontId="182" numFmtId="164" xfId="0" applyAlignment="1" applyBorder="1" applyFont="1" applyNumberFormat="1">
      <alignment horizontal="center" readingOrder="0" vertical="center"/>
    </xf>
    <xf borderId="6" fillId="5" fontId="182" numFmtId="0" xfId="0" applyAlignment="1" applyBorder="1" applyFont="1">
      <alignment horizontal="center" readingOrder="0" vertical="center"/>
    </xf>
    <xf borderId="1" fillId="4" fontId="182" numFmtId="0" xfId="0" applyAlignment="1" applyBorder="1" applyFont="1">
      <alignment horizontal="right" readingOrder="0" vertical="center"/>
    </xf>
    <xf borderId="9" fillId="5" fontId="182" numFmtId="0" xfId="0" applyAlignment="1" applyBorder="1" applyFont="1">
      <alignment horizontal="right" readingOrder="0" vertical="center"/>
    </xf>
    <xf borderId="42" fillId="4" fontId="4" numFmtId="0" xfId="0" applyBorder="1" applyFont="1"/>
    <xf borderId="12" fillId="4" fontId="182" numFmtId="0" xfId="0" applyAlignment="1" applyBorder="1" applyFont="1">
      <alignment horizontal="right" readingOrder="0" vertical="center"/>
    </xf>
    <xf borderId="7" fillId="5" fontId="181" numFmtId="0" xfId="0" applyAlignment="1" applyBorder="1" applyFont="1">
      <alignment horizontal="left" readingOrder="0" vertical="center"/>
    </xf>
    <xf borderId="9" fillId="4" fontId="182" numFmtId="0" xfId="0" applyAlignment="1" applyBorder="1" applyFont="1">
      <alignment horizontal="right" readingOrder="0" vertical="center"/>
    </xf>
    <xf borderId="3" fillId="4" fontId="181" numFmtId="0" xfId="0" applyAlignment="1" applyBorder="1" applyFont="1">
      <alignment horizontal="left" readingOrder="0" vertical="center"/>
    </xf>
    <xf borderId="26" fillId="5" fontId="114" numFmtId="0" xfId="0" applyAlignment="1" applyBorder="1" applyFont="1">
      <alignment horizontal="left" readingOrder="0" vertical="center"/>
    </xf>
    <xf borderId="27" fillId="5" fontId="36" numFmtId="0" xfId="0" applyAlignment="1" applyBorder="1" applyFont="1">
      <alignment readingOrder="0" vertical="center"/>
    </xf>
    <xf borderId="27" fillId="13" fontId="181" numFmtId="0" xfId="0" applyAlignment="1" applyBorder="1" applyFont="1">
      <alignment horizontal="left" readingOrder="0" vertical="center"/>
    </xf>
    <xf borderId="27" fillId="13" fontId="182" numFmtId="164" xfId="0" applyAlignment="1" applyBorder="1" applyFont="1" applyNumberFormat="1">
      <alignment horizontal="left" readingOrder="0" vertical="center"/>
    </xf>
    <xf borderId="27" fillId="13" fontId="182" numFmtId="0" xfId="0" applyAlignment="1" applyBorder="1" applyFont="1">
      <alignment horizontal="right" readingOrder="0" vertical="center"/>
    </xf>
    <xf borderId="30" fillId="13" fontId="198" numFmtId="0" xfId="0" applyAlignment="1" applyBorder="1" applyFont="1">
      <alignment horizontal="center" readingOrder="0" vertical="center"/>
    </xf>
    <xf borderId="27" fillId="4" fontId="4" numFmtId="165" xfId="0" applyAlignment="1" applyBorder="1" applyFont="1" applyNumberFormat="1">
      <alignment readingOrder="0" vertical="center"/>
    </xf>
    <xf borderId="27" fillId="4" fontId="67" numFmtId="0" xfId="0" applyAlignment="1" applyBorder="1" applyFont="1">
      <alignment horizontal="center" readingOrder="0" vertical="center"/>
    </xf>
    <xf borderId="47" fillId="13" fontId="182" numFmtId="0" xfId="0" applyAlignment="1" applyBorder="1" applyFont="1">
      <alignment horizontal="left" readingOrder="0" vertical="center"/>
    </xf>
    <xf borderId="47" fillId="13" fontId="182" numFmtId="164" xfId="0" applyAlignment="1" applyBorder="1" applyFont="1" applyNumberFormat="1">
      <alignment horizontal="left" readingOrder="0" vertical="center"/>
    </xf>
    <xf borderId="47" fillId="13" fontId="182" numFmtId="9" xfId="0" applyAlignment="1" applyBorder="1" applyFont="1" applyNumberFormat="1">
      <alignment horizontal="right" readingOrder="0" vertical="center"/>
    </xf>
    <xf borderId="53" fillId="13" fontId="182" numFmtId="0" xfId="0" applyAlignment="1" applyBorder="1" applyFont="1">
      <alignment horizontal="center" readingOrder="0" vertical="center"/>
    </xf>
    <xf borderId="3" fillId="13" fontId="182" numFmtId="0" xfId="0" applyAlignment="1" applyBorder="1" applyFont="1">
      <alignment horizontal="left" readingOrder="0" vertical="center"/>
    </xf>
    <xf borderId="3" fillId="13" fontId="182" numFmtId="164" xfId="0" applyAlignment="1" applyBorder="1" applyFont="1" applyNumberFormat="1">
      <alignment horizontal="left" readingOrder="0" vertical="center"/>
    </xf>
    <xf borderId="3" fillId="13" fontId="182" numFmtId="9" xfId="0" applyAlignment="1" applyBorder="1" applyFont="1" applyNumberFormat="1">
      <alignment horizontal="right" readingOrder="0" vertical="center"/>
    </xf>
    <xf borderId="39" fillId="13" fontId="182" numFmtId="0" xfId="0" applyAlignment="1" applyBorder="1" applyFont="1">
      <alignment horizontal="center" readingOrder="0" vertical="center"/>
    </xf>
    <xf borderId="40" fillId="13" fontId="182" numFmtId="0" xfId="0" applyAlignment="1" applyBorder="1" applyFont="1">
      <alignment horizontal="left" readingOrder="0" vertical="center"/>
    </xf>
    <xf borderId="40" fillId="13" fontId="182" numFmtId="164" xfId="0" applyAlignment="1" applyBorder="1" applyFont="1" applyNumberFormat="1">
      <alignment horizontal="left" readingOrder="0" vertical="center"/>
    </xf>
    <xf borderId="40" fillId="13" fontId="182" numFmtId="9" xfId="0" applyAlignment="1" applyBorder="1" applyFont="1" applyNumberFormat="1">
      <alignment horizontal="right" readingOrder="0" vertical="center"/>
    </xf>
    <xf borderId="41" fillId="13" fontId="182" numFmtId="0" xfId="0" applyAlignment="1" applyBorder="1" applyFont="1">
      <alignment horizontal="center" readingOrder="0" vertical="center"/>
    </xf>
    <xf borderId="37" fillId="5" fontId="36" numFmtId="0" xfId="0" applyAlignment="1" applyBorder="1" applyFont="1">
      <alignment readingOrder="0" vertical="center"/>
    </xf>
    <xf borderId="37" fillId="5" fontId="67" numFmtId="0" xfId="0" applyAlignment="1" applyBorder="1" applyFont="1">
      <alignment horizontal="center" readingOrder="0" vertical="center"/>
    </xf>
    <xf borderId="37" fillId="13" fontId="181" numFmtId="0" xfId="0" applyAlignment="1" applyBorder="1" applyFont="1">
      <alignment horizontal="left" readingOrder="0" vertical="center"/>
    </xf>
    <xf borderId="37" fillId="13" fontId="181" numFmtId="164" xfId="0" applyAlignment="1" applyBorder="1" applyFont="1" applyNumberFormat="1">
      <alignment horizontal="left" readingOrder="0" vertical="center"/>
    </xf>
    <xf borderId="46" fillId="13" fontId="181" numFmtId="9" xfId="0" applyAlignment="1" applyBorder="1" applyFont="1" applyNumberFormat="1">
      <alignment horizontal="right" readingOrder="0" vertical="center"/>
    </xf>
    <xf borderId="72" fillId="13" fontId="199" numFmtId="0" xfId="0" applyAlignment="1" applyBorder="1" applyFont="1">
      <alignment horizontal="center" readingOrder="0" vertical="center"/>
    </xf>
    <xf borderId="27" fillId="0" fontId="4" numFmtId="0" xfId="0" applyAlignment="1" applyBorder="1" applyFont="1">
      <alignment readingOrder="0" vertical="center"/>
    </xf>
    <xf borderId="53" fillId="0" fontId="200" numFmtId="0" xfId="0" applyAlignment="1" applyBorder="1" applyFont="1">
      <alignment horizontal="center" readingOrder="0" vertical="center"/>
    </xf>
    <xf borderId="26" fillId="4" fontId="182" numFmtId="0" xfId="0" applyAlignment="1" applyBorder="1" applyFont="1">
      <alignment horizontal="left" readingOrder="0" vertical="center"/>
    </xf>
    <xf borderId="27" fillId="4" fontId="182" numFmtId="165" xfId="0" applyAlignment="1" applyBorder="1" applyFont="1" applyNumberFormat="1">
      <alignment horizontal="right" readingOrder="0" vertical="center"/>
    </xf>
    <xf borderId="28" fillId="0" fontId="201" numFmtId="164" xfId="0" applyAlignment="1" applyBorder="1" applyFont="1" applyNumberFormat="1">
      <alignment horizontal="center" readingOrder="0" vertical="center"/>
    </xf>
    <xf borderId="13" fillId="0" fontId="4" numFmtId="0" xfId="0" applyBorder="1" applyFont="1"/>
    <xf borderId="60" fillId="0" fontId="4" numFmtId="0" xfId="0" applyBorder="1" applyFont="1"/>
    <xf borderId="7" fillId="4" fontId="182" numFmtId="0" xfId="0" applyAlignment="1" applyBorder="1" applyFont="1">
      <alignment horizontal="right" readingOrder="0" vertical="center"/>
    </xf>
    <xf borderId="7" fillId="13" fontId="182" numFmtId="0" xfId="0" applyAlignment="1" applyBorder="1" applyFont="1">
      <alignment horizontal="left" readingOrder="0" vertical="center"/>
    </xf>
    <xf borderId="38" fillId="0" fontId="4" numFmtId="9" xfId="0" applyAlignment="1" applyBorder="1" applyFont="1" applyNumberFormat="1">
      <alignment horizontal="center" readingOrder="0" vertical="center"/>
    </xf>
    <xf borderId="36" fillId="0" fontId="4" numFmtId="0" xfId="0" applyAlignment="1" applyBorder="1" applyFont="1">
      <alignment readingOrder="0" vertical="center"/>
    </xf>
    <xf borderId="6" fillId="0" fontId="4" numFmtId="165" xfId="0" applyAlignment="1" applyBorder="1" applyFont="1" applyNumberFormat="1">
      <alignment readingOrder="0" vertical="center"/>
    </xf>
    <xf borderId="3" fillId="0" fontId="182" numFmtId="0" xfId="0" applyAlignment="1" applyBorder="1" applyFont="1">
      <alignment horizontal="left" readingOrder="0" vertical="center"/>
    </xf>
    <xf borderId="31" fillId="0" fontId="4" numFmtId="0" xfId="0" applyAlignment="1" applyBorder="1" applyFont="1">
      <alignment readingOrder="0" vertical="center"/>
    </xf>
    <xf borderId="32" fillId="0" fontId="4" numFmtId="165" xfId="0" applyAlignment="1" applyBorder="1" applyFont="1" applyNumberFormat="1">
      <alignment readingOrder="0" vertical="center"/>
    </xf>
    <xf borderId="4" fillId="0" fontId="182" numFmtId="0" xfId="0" applyAlignment="1" applyBorder="1" applyFont="1">
      <alignment horizontal="left" readingOrder="0" vertical="center"/>
    </xf>
    <xf borderId="56" fillId="0" fontId="4" numFmtId="9" xfId="0" applyAlignment="1" applyBorder="1" applyFont="1" applyNumberFormat="1">
      <alignment horizontal="center" readingOrder="0" vertical="center"/>
    </xf>
    <xf borderId="62" fillId="4" fontId="181" numFmtId="0" xfId="0" applyAlignment="1" applyBorder="1" applyFont="1">
      <alignment horizontal="left" readingOrder="0" vertical="center"/>
    </xf>
    <xf borderId="62" fillId="4" fontId="181" numFmtId="165" xfId="0" applyAlignment="1" applyBorder="1" applyFont="1" applyNumberFormat="1">
      <alignment horizontal="right" readingOrder="0" vertical="center"/>
    </xf>
    <xf borderId="67" fillId="4" fontId="181" numFmtId="0" xfId="0" applyAlignment="1" applyBorder="1" applyFont="1">
      <alignment horizontal="right" readingOrder="0" vertical="center"/>
    </xf>
    <xf borderId="62" fillId="4" fontId="67" numFmtId="0" xfId="0" applyAlignment="1" applyBorder="1" applyFont="1">
      <alignment horizontal="center" readingOrder="0" vertical="center"/>
    </xf>
    <xf borderId="65" fillId="4" fontId="181" numFmtId="0" xfId="0" applyAlignment="1" applyBorder="1" applyFont="1">
      <alignment horizontal="right" readingOrder="0" vertical="center"/>
    </xf>
    <xf borderId="67" fillId="4" fontId="114" numFmtId="0" xfId="0" applyAlignment="1" applyBorder="1" applyFont="1">
      <alignment horizontal="left" readingOrder="0" vertical="center"/>
    </xf>
    <xf borderId="67" fillId="4" fontId="114" numFmtId="164" xfId="0" applyAlignment="1" applyBorder="1" applyFont="1" applyNumberFormat="1">
      <alignment horizontal="right" readingOrder="0" vertical="center"/>
    </xf>
    <xf borderId="67" fillId="4" fontId="114" numFmtId="9" xfId="0" applyAlignment="1" applyBorder="1" applyFont="1" applyNumberFormat="1">
      <alignment horizontal="right" readingOrder="0" vertical="center"/>
    </xf>
    <xf borderId="62" fillId="4" fontId="202" numFmtId="0" xfId="0" applyAlignment="1" applyBorder="1" applyFont="1">
      <alignment horizontal="center" readingOrder="0" vertical="center"/>
    </xf>
    <xf borderId="62" fillId="5" fontId="181" numFmtId="0" xfId="0" applyAlignment="1" applyBorder="1" applyFont="1">
      <alignment horizontal="right" readingOrder="0" vertical="center"/>
    </xf>
    <xf borderId="73" fillId="5" fontId="4" numFmtId="0" xfId="0" applyBorder="1" applyFont="1"/>
    <xf borderId="62" fillId="5" fontId="114" numFmtId="0" xfId="0" applyAlignment="1" applyBorder="1" applyFont="1">
      <alignment horizontal="left" readingOrder="0" vertical="center"/>
    </xf>
    <xf borderId="15" fillId="5" fontId="114" numFmtId="164" xfId="0" applyAlignment="1" applyBorder="1" applyFont="1" applyNumberFormat="1">
      <alignment horizontal="center" readingOrder="0" vertical="center"/>
    </xf>
    <xf borderId="27" fillId="4" fontId="189" numFmtId="0" xfId="0" applyAlignment="1" applyBorder="1" applyFont="1">
      <alignment horizontal="right" readingOrder="0" vertical="center"/>
    </xf>
    <xf borderId="47" fillId="4" fontId="189" numFmtId="0" xfId="0" applyAlignment="1" applyBorder="1" applyFont="1">
      <alignment horizontal="right" readingOrder="0" vertical="center"/>
    </xf>
    <xf borderId="28" fillId="4" fontId="114" numFmtId="164" xfId="0" applyAlignment="1" applyBorder="1" applyFont="1" applyNumberFormat="1">
      <alignment horizontal="right" readingOrder="0" vertical="center"/>
    </xf>
    <xf borderId="30" fillId="4" fontId="114" numFmtId="0" xfId="0" applyAlignment="1" applyBorder="1" applyFont="1">
      <alignment horizontal="center" readingOrder="0" vertical="center"/>
    </xf>
    <xf borderId="47" fillId="5" fontId="189" numFmtId="0" xfId="0" applyAlignment="1" applyBorder="1" applyFont="1">
      <alignment horizontal="right" readingOrder="0" vertical="center"/>
    </xf>
    <xf borderId="1" fillId="5" fontId="4" numFmtId="0" xfId="0" applyBorder="1" applyFont="1"/>
    <xf borderId="38" fillId="5" fontId="4" numFmtId="0" xfId="0" applyBorder="1" applyFont="1"/>
    <xf borderId="6" fillId="4" fontId="182" numFmtId="165" xfId="0" applyAlignment="1" applyBorder="1" applyFont="1" applyNumberFormat="1">
      <alignment horizontal="center" readingOrder="0" vertical="center"/>
    </xf>
    <xf borderId="27" fillId="4" fontId="182" numFmtId="165" xfId="0" applyAlignment="1" applyBorder="1" applyFont="1" applyNumberFormat="1">
      <alignment horizontal="center" readingOrder="0" vertical="center"/>
    </xf>
    <xf borderId="6" fillId="4" fontId="182" numFmtId="0" xfId="0" applyAlignment="1" applyBorder="1" applyFont="1">
      <alignment horizontal="center" readingOrder="0" vertical="center"/>
    </xf>
    <xf borderId="6" fillId="4" fontId="182" numFmtId="0" xfId="0" applyAlignment="1" applyBorder="1" applyFont="1">
      <alignment horizontal="center" readingOrder="0" vertical="center"/>
    </xf>
    <xf borderId="6" fillId="4" fontId="182" numFmtId="164" xfId="0" applyAlignment="1" applyBorder="1" applyFont="1" applyNumberFormat="1">
      <alignment horizontal="right" readingOrder="0" vertical="center"/>
    </xf>
    <xf borderId="48" fillId="4" fontId="203" numFmtId="0" xfId="0" applyAlignment="1" applyBorder="1" applyFont="1">
      <alignment horizontal="center" readingOrder="0" vertical="center"/>
    </xf>
    <xf borderId="4" fillId="4" fontId="182" numFmtId="0" xfId="0" applyAlignment="1" applyBorder="1" applyFont="1">
      <alignment horizontal="right" readingOrder="0" vertical="center"/>
    </xf>
    <xf borderId="4" fillId="4" fontId="182" numFmtId="0" xfId="0" applyAlignment="1" applyBorder="1" applyFont="1">
      <alignment horizontal="center" readingOrder="0" vertical="center"/>
    </xf>
    <xf borderId="12" fillId="4" fontId="181" numFmtId="164" xfId="0" applyAlignment="1" applyBorder="1" applyFont="1" applyNumberFormat="1">
      <alignment horizontal="center" readingOrder="0" vertical="center"/>
    </xf>
    <xf borderId="62" fillId="4" fontId="182" numFmtId="0" xfId="0" applyAlignment="1" applyBorder="1" applyFont="1">
      <alignment horizontal="left" readingOrder="0" vertical="center"/>
    </xf>
    <xf borderId="62" fillId="4" fontId="182" numFmtId="170" xfId="0" applyAlignment="1" applyBorder="1" applyFont="1" applyNumberFormat="1">
      <alignment horizontal="center" readingOrder="0" vertical="center"/>
    </xf>
    <xf borderId="62" fillId="4" fontId="182" numFmtId="165" xfId="0" applyAlignment="1" applyBorder="1" applyFont="1" applyNumberFormat="1">
      <alignment horizontal="center" readingOrder="0" vertical="center"/>
    </xf>
    <xf borderId="67" fillId="4" fontId="182" numFmtId="0" xfId="0" applyAlignment="1" applyBorder="1" applyFont="1">
      <alignment horizontal="right" readingOrder="0" vertical="center"/>
    </xf>
    <xf borderId="62" fillId="4" fontId="182" numFmtId="0" xfId="0" applyAlignment="1" applyBorder="1" applyFont="1">
      <alignment horizontal="center" readingOrder="0" vertical="center"/>
    </xf>
    <xf borderId="62" fillId="4" fontId="182" numFmtId="0" xfId="0" applyAlignment="1" applyBorder="1" applyFont="1">
      <alignment horizontal="right" readingOrder="0" vertical="center"/>
    </xf>
    <xf borderId="67" fillId="4" fontId="182" numFmtId="0" xfId="0" applyAlignment="1" applyBorder="1" applyFont="1">
      <alignment horizontal="center" readingOrder="0" vertical="center"/>
    </xf>
    <xf borderId="67" fillId="4" fontId="182" numFmtId="0" xfId="0" applyAlignment="1" applyBorder="1" applyFont="1">
      <alignment horizontal="center" readingOrder="0" vertical="center"/>
    </xf>
    <xf borderId="67" fillId="5" fontId="182" numFmtId="0" xfId="0" applyAlignment="1" applyBorder="1" applyFont="1">
      <alignment horizontal="right" readingOrder="0" vertical="center"/>
    </xf>
    <xf borderId="67" fillId="5" fontId="182" numFmtId="0" xfId="0" applyAlignment="1" applyBorder="1" applyFont="1">
      <alignment horizontal="center" readingOrder="0" vertical="center"/>
    </xf>
    <xf borderId="67" fillId="5" fontId="182" numFmtId="0" xfId="0" applyAlignment="1" applyBorder="1" applyFont="1">
      <alignment horizontal="center" readingOrder="0" vertical="center"/>
    </xf>
    <xf borderId="55" fillId="4" fontId="182" numFmtId="165" xfId="0" applyAlignment="1" applyBorder="1" applyFont="1" applyNumberFormat="1">
      <alignment horizontal="center" readingOrder="0" vertical="center"/>
    </xf>
    <xf borderId="27" fillId="4" fontId="157" numFmtId="0" xfId="0" applyAlignment="1" applyBorder="1" applyFont="1">
      <alignment horizontal="center" readingOrder="0" vertical="center"/>
    </xf>
    <xf borderId="27" fillId="4" fontId="182" numFmtId="0" xfId="0" applyAlignment="1" applyBorder="1" applyFont="1">
      <alignment horizontal="center" readingOrder="0" vertical="center"/>
    </xf>
    <xf borderId="51" fillId="4" fontId="182" numFmtId="0" xfId="0" applyAlignment="1" applyBorder="1" applyFont="1">
      <alignment horizontal="left" readingOrder="0" vertical="center"/>
    </xf>
    <xf borderId="39" fillId="0" fontId="38" numFmtId="0" xfId="0" applyAlignment="1" applyBorder="1" applyFont="1">
      <alignment horizontal="center" readingOrder="0" vertical="center"/>
    </xf>
    <xf borderId="49" fillId="5" fontId="182" numFmtId="0" xfId="0" applyAlignment="1" applyBorder="1" applyFont="1">
      <alignment horizontal="right" readingOrder="0" vertical="center"/>
    </xf>
    <xf borderId="45" fillId="5" fontId="4" numFmtId="0" xfId="0" applyAlignment="1" applyBorder="1" applyFont="1">
      <alignment readingOrder="0"/>
    </xf>
    <xf borderId="41" fillId="0" fontId="38" numFmtId="0" xfId="0" applyAlignment="1" applyBorder="1" applyFont="1">
      <alignment horizontal="center" readingOrder="0" vertical="center"/>
    </xf>
    <xf borderId="5" fillId="4" fontId="182" numFmtId="165" xfId="0" applyAlignment="1" applyBorder="1" applyFont="1" applyNumberFormat="1">
      <alignment horizontal="center" readingOrder="0" vertical="center"/>
    </xf>
    <xf borderId="34" fillId="4" fontId="182" numFmtId="0" xfId="0" applyAlignment="1" applyBorder="1" applyFont="1">
      <alignment horizontal="left" readingOrder="0" vertical="center"/>
    </xf>
    <xf borderId="38" fillId="0" fontId="38" numFmtId="0" xfId="0" applyAlignment="1" applyBorder="1" applyFont="1">
      <alignment horizontal="center" readingOrder="0" vertical="center"/>
    </xf>
    <xf borderId="5" fillId="5" fontId="182" numFmtId="165" xfId="0" applyAlignment="1" applyBorder="1" applyFont="1" applyNumberFormat="1">
      <alignment horizontal="center" readingOrder="0" vertical="center"/>
    </xf>
    <xf borderId="6" fillId="5" fontId="182" numFmtId="165" xfId="0" applyAlignment="1" applyBorder="1" applyFont="1" applyNumberFormat="1">
      <alignment horizontal="center" readingOrder="0" vertical="center"/>
    </xf>
    <xf borderId="71" fillId="4" fontId="4" numFmtId="0" xfId="0" applyBorder="1" applyFont="1"/>
    <xf borderId="31" fillId="5" fontId="182" numFmtId="0" xfId="0" applyAlignment="1" applyBorder="1" applyFont="1">
      <alignment horizontal="left" readingOrder="0" vertical="center"/>
    </xf>
    <xf borderId="34" fillId="5" fontId="182" numFmtId="165" xfId="0" applyAlignment="1" applyBorder="1" applyFont="1" applyNumberFormat="1">
      <alignment horizontal="center" readingOrder="0" vertical="center"/>
    </xf>
    <xf borderId="32" fillId="5" fontId="182" numFmtId="165" xfId="0" applyAlignment="1" applyBorder="1" applyFont="1" applyNumberFormat="1">
      <alignment horizontal="center" readingOrder="0" vertical="center"/>
    </xf>
    <xf borderId="25" fillId="4" fontId="182" numFmtId="165" xfId="0" applyAlignment="1" applyBorder="1" applyFont="1" applyNumberFormat="1">
      <alignment horizontal="center" readingOrder="0" vertical="center"/>
    </xf>
    <xf borderId="67" fillId="4" fontId="182" numFmtId="165" xfId="0" applyAlignment="1" applyBorder="1" applyFont="1" applyNumberFormat="1">
      <alignment horizontal="center" readingOrder="0" vertical="center"/>
    </xf>
    <xf borderId="67" fillId="4" fontId="157" numFmtId="0" xfId="0" applyAlignment="1" applyBorder="1" applyFont="1">
      <alignment horizontal="center" readingOrder="0" vertical="center"/>
    </xf>
    <xf borderId="64" fillId="4" fontId="182" numFmtId="0" xfId="0" applyAlignment="1" applyBorder="1" applyFont="1">
      <alignment readingOrder="0" vertical="center"/>
    </xf>
    <xf borderId="64" fillId="4" fontId="182" numFmtId="9" xfId="0" applyAlignment="1" applyBorder="1" applyFont="1" applyNumberFormat="1">
      <alignment readingOrder="0" vertical="center"/>
    </xf>
    <xf borderId="25" fillId="5" fontId="182" numFmtId="165" xfId="0" applyAlignment="1" applyBorder="1" applyFont="1" applyNumberFormat="1">
      <alignment horizontal="center" readingOrder="0" vertical="center"/>
    </xf>
    <xf borderId="67" fillId="5" fontId="182" numFmtId="165" xfId="0" applyAlignment="1" applyBorder="1" applyFont="1" applyNumberFormat="1">
      <alignment horizontal="center" readingOrder="0" vertical="center"/>
    </xf>
    <xf borderId="68" fillId="5" fontId="182" numFmtId="0" xfId="0" applyAlignment="1" applyBorder="1" applyFont="1">
      <alignment horizontal="right" readingOrder="0" vertical="center"/>
    </xf>
    <xf borderId="67" fillId="5" fontId="157" numFmtId="0" xfId="0" applyAlignment="1" applyBorder="1" applyFont="1">
      <alignment horizontal="center" readingOrder="0" vertical="center"/>
    </xf>
    <xf borderId="67" fillId="5" fontId="182" numFmtId="0" xfId="0" applyAlignment="1" applyBorder="1" applyFont="1">
      <alignment readingOrder="0" vertical="center"/>
    </xf>
    <xf borderId="67" fillId="5" fontId="182" numFmtId="9" xfId="0" applyAlignment="1" applyBorder="1" applyFont="1" applyNumberFormat="1">
      <alignment readingOrder="0" vertical="center"/>
    </xf>
    <xf borderId="23" fillId="4" fontId="182" numFmtId="0" xfId="0" applyAlignment="1" applyBorder="1" applyFont="1">
      <alignment horizontal="left" readingOrder="0" vertical="center"/>
    </xf>
    <xf borderId="24" fillId="4" fontId="182" numFmtId="165" xfId="0" applyAlignment="1" applyBorder="1" applyFont="1" applyNumberFormat="1">
      <alignment horizontal="center" readingOrder="0" vertical="center"/>
    </xf>
    <xf borderId="0" fillId="4" fontId="182" numFmtId="0" xfId="0" applyAlignment="1" applyFont="1">
      <alignment horizontal="right" readingOrder="0" vertical="center"/>
    </xf>
    <xf borderId="24" fillId="4" fontId="157" numFmtId="0" xfId="0" applyAlignment="1" applyBorder="1" applyFont="1">
      <alignment horizontal="center" readingOrder="0" vertical="center"/>
    </xf>
    <xf borderId="24" fillId="4" fontId="182" numFmtId="0" xfId="0" applyAlignment="1" applyBorder="1" applyFont="1">
      <alignment horizontal="center" readingOrder="0" vertical="center"/>
    </xf>
    <xf borderId="45" fillId="4" fontId="181" numFmtId="0" xfId="0" applyAlignment="1" applyBorder="1" applyFont="1">
      <alignment readingOrder="0" vertical="center"/>
    </xf>
    <xf borderId="25" fillId="4" fontId="182" numFmtId="0" xfId="0" applyAlignment="1" applyBorder="1" applyFont="1">
      <alignment horizontal="center" readingOrder="0" vertical="center"/>
    </xf>
    <xf borderId="53" fillId="0" fontId="38" numFmtId="0" xfId="0" applyAlignment="1" applyBorder="1" applyFont="1">
      <alignment horizontal="center" readingOrder="0" vertical="center"/>
    </xf>
    <xf borderId="15" fillId="13" fontId="67" numFmtId="0" xfId="0" applyAlignment="1" applyBorder="1" applyFont="1">
      <alignment horizontal="center" readingOrder="0"/>
    </xf>
    <xf borderId="26" fillId="4" fontId="181" numFmtId="0" xfId="0" applyAlignment="1" applyBorder="1" applyFont="1">
      <alignment horizontal="left" readingOrder="0" vertical="center"/>
    </xf>
    <xf borderId="27" fillId="4" fontId="181" numFmtId="165" xfId="0" applyAlignment="1" applyBorder="1" applyFont="1" applyNumberFormat="1">
      <alignment horizontal="center" readingOrder="0" vertical="center"/>
    </xf>
    <xf borderId="47" fillId="4" fontId="181" numFmtId="0" xfId="0" applyAlignment="1" applyBorder="1" applyFont="1">
      <alignment horizontal="center" readingOrder="0" vertical="center"/>
    </xf>
    <xf borderId="27" fillId="4" fontId="181" numFmtId="0" xfId="0" applyAlignment="1" applyBorder="1" applyFont="1">
      <alignment horizontal="center" readingOrder="0" vertical="center"/>
    </xf>
    <xf borderId="47" fillId="4" fontId="181" numFmtId="0" xfId="0" applyAlignment="1" applyBorder="1" applyFont="1">
      <alignment horizontal="left" readingOrder="0" vertical="center"/>
    </xf>
    <xf borderId="47" fillId="0" fontId="181" numFmtId="164" xfId="0" applyAlignment="1" applyBorder="1" applyFont="1" applyNumberFormat="1">
      <alignment readingOrder="0" vertical="center"/>
    </xf>
    <xf borderId="47" fillId="0" fontId="181" numFmtId="9" xfId="0" applyAlignment="1" applyBorder="1" applyFont="1" applyNumberFormat="1">
      <alignment readingOrder="0" vertical="center"/>
    </xf>
    <xf borderId="53" fillId="0" fontId="204" numFmtId="0" xfId="0" applyAlignment="1" applyBorder="1" applyFont="1">
      <alignment horizontal="center" readingOrder="0" vertical="center"/>
    </xf>
    <xf borderId="3" fillId="0" fontId="182" numFmtId="164" xfId="0" applyAlignment="1" applyBorder="1" applyFont="1" applyNumberFormat="1">
      <alignment readingOrder="0" vertical="center"/>
    </xf>
    <xf borderId="3" fillId="0" fontId="182" numFmtId="9" xfId="0" applyAlignment="1" applyBorder="1" applyFont="1" applyNumberFormat="1">
      <alignment readingOrder="0" vertical="center"/>
    </xf>
    <xf borderId="39" fillId="0" fontId="182" numFmtId="0" xfId="0" applyAlignment="1" applyBorder="1" applyFont="1">
      <alignment horizontal="center" readingOrder="0" vertical="center"/>
    </xf>
    <xf borderId="39" fillId="0" fontId="182" numFmtId="0" xfId="0" applyAlignment="1" applyBorder="1" applyFont="1">
      <alignment horizontal="center" vertical="center"/>
    </xf>
    <xf borderId="4" fillId="5" fontId="182" numFmtId="0" xfId="0" applyAlignment="1" applyBorder="1" applyFont="1">
      <alignment horizontal="center" readingOrder="0" vertical="center"/>
    </xf>
    <xf borderId="4" fillId="0" fontId="182" numFmtId="164" xfId="0" applyAlignment="1" applyBorder="1" applyFont="1" applyNumberFormat="1">
      <alignment readingOrder="0" vertical="center"/>
    </xf>
    <xf borderId="4" fillId="0" fontId="182" numFmtId="9" xfId="0" applyAlignment="1" applyBorder="1" applyFont="1" applyNumberFormat="1">
      <alignment readingOrder="0" vertical="center"/>
    </xf>
    <xf borderId="56" fillId="0" fontId="182" numFmtId="0" xfId="0" applyAlignment="1" applyBorder="1" applyFont="1">
      <alignment horizontal="center" vertical="center"/>
    </xf>
    <xf borderId="27" fillId="4" fontId="182" numFmtId="0" xfId="0" applyAlignment="1" applyBorder="1" applyFont="1">
      <alignment horizontal="center" readingOrder="0" vertical="center"/>
    </xf>
    <xf borderId="27" fillId="4" fontId="182" numFmtId="0" xfId="0" applyAlignment="1" applyBorder="1" applyFont="1">
      <alignment horizontal="right" readingOrder="0" vertical="center"/>
    </xf>
    <xf borderId="27" fillId="4" fontId="181" numFmtId="0" xfId="0" applyAlignment="1" applyBorder="1" applyFont="1">
      <alignment horizontal="right" readingOrder="0" vertical="center"/>
    </xf>
    <xf borderId="27" fillId="0" fontId="182" numFmtId="164" xfId="0" applyAlignment="1" applyBorder="1" applyFont="1" applyNumberFormat="1">
      <alignment readingOrder="0" vertical="center"/>
    </xf>
    <xf borderId="30" fillId="4" fontId="156" numFmtId="0" xfId="0" applyAlignment="1" applyBorder="1" applyFont="1">
      <alignment horizontal="center" readingOrder="0" vertical="center"/>
    </xf>
    <xf borderId="31" fillId="4" fontId="182" numFmtId="0" xfId="0" applyAlignment="1" applyBorder="1" applyFont="1">
      <alignment horizontal="left" readingOrder="0" vertical="center"/>
    </xf>
    <xf borderId="32" fillId="4" fontId="182" numFmtId="165" xfId="0" applyAlignment="1" applyBorder="1" applyFont="1" applyNumberFormat="1">
      <alignment horizontal="center" readingOrder="0" vertical="center"/>
    </xf>
    <xf borderId="0" fillId="0" fontId="182" numFmtId="0" xfId="0" applyAlignment="1" applyFont="1">
      <alignment vertical="center"/>
    </xf>
    <xf borderId="0" fillId="0" fontId="182" numFmtId="0" xfId="0" applyAlignment="1" applyFont="1">
      <alignment horizontal="center" vertical="center"/>
    </xf>
    <xf borderId="0" fillId="0" fontId="4" numFmtId="165" xfId="0" applyAlignment="1" applyFont="1" applyNumberFormat="1">
      <alignment readingOrder="0"/>
    </xf>
    <xf borderId="0" fillId="21" fontId="36" numFmtId="165" xfId="0" applyAlignment="1" applyFill="1" applyFont="1" applyNumberFormat="1">
      <alignment horizontal="center" readingOrder="0"/>
    </xf>
    <xf borderId="0" fillId="0" fontId="4" numFmtId="166" xfId="0" applyFont="1" applyNumberFormat="1"/>
    <xf borderId="0" fillId="0" fontId="4" numFmtId="11" xfId="0" applyAlignment="1" applyFont="1" applyNumberFormat="1">
      <alignment readingOrder="0"/>
    </xf>
    <xf borderId="0" fillId="0" fontId="4" numFmtId="179" xfId="0" applyAlignment="1" applyFont="1" applyNumberFormat="1">
      <alignment readingOrder="0"/>
    </xf>
    <xf borderId="0" fillId="0" fontId="4" numFmtId="180" xfId="0" applyAlignment="1" applyFont="1" applyNumberFormat="1">
      <alignment readingOrder="0"/>
    </xf>
    <xf borderId="0" fillId="0" fontId="4" numFmtId="181" xfId="0" applyAlignment="1" applyFont="1" applyNumberFormat="1">
      <alignment readingOrder="0"/>
    </xf>
    <xf borderId="0" fillId="0" fontId="4" numFmtId="182" xfId="0" applyAlignment="1" applyFont="1" applyNumberFormat="1">
      <alignment readingOrder="0"/>
    </xf>
  </cellXfs>
  <cellStyles count="1">
    <cellStyle xfId="0" name="Normal" builtinId="0"/>
  </cellStyles>
  <dxfs count="9">
    <dxf>
      <font/>
      <fill>
        <patternFill patternType="none"/>
      </fill>
      <border/>
    </dxf>
    <dxf>
      <font/>
      <fill>
        <patternFill patternType="solid">
          <fgColor rgb="FFFFFFFF"/>
          <bgColor rgb="FFFFFFFF"/>
        </patternFill>
      </fill>
      <border/>
    </dxf>
    <dxf>
      <font/>
      <fill>
        <patternFill patternType="solid">
          <fgColor rgb="FFF3F3F3"/>
          <bgColor rgb="FFF3F3F3"/>
        </patternFill>
      </fill>
      <border/>
    </dxf>
    <dxf>
      <font/>
      <fill>
        <patternFill patternType="solid">
          <fgColor rgb="FF000000"/>
          <bgColor rgb="FF000000"/>
        </patternFill>
      </fill>
      <border/>
    </dxf>
    <dxf>
      <font>
        <b/>
        <color rgb="FFFF0000"/>
      </font>
      <fill>
        <patternFill patternType="none"/>
      </fill>
      <border/>
    </dxf>
    <dxf>
      <font>
        <b/>
        <i/>
        <color rgb="FFFFFFFF"/>
      </font>
      <fill>
        <patternFill patternType="solid">
          <fgColor rgb="FF6FC17B"/>
          <bgColor rgb="FF6FC17B"/>
        </patternFill>
      </fill>
      <border/>
    </dxf>
    <dxf>
      <font/>
      <fill>
        <patternFill patternType="none"/>
      </fill>
      <border/>
    </dxf>
    <dxf>
      <font>
        <b/>
        <color rgb="FF073763"/>
      </font>
      <fill>
        <patternFill patternType="solid">
          <fgColor rgb="FFFFFF00"/>
          <bgColor rgb="FFFFFF00"/>
        </patternFill>
      </fill>
      <border/>
    </dxf>
    <dxf>
      <font/>
      <fill>
        <patternFill patternType="solid">
          <fgColor rgb="FFBDBDBD"/>
          <bgColor rgb="FFBDBDBD"/>
        </patternFill>
      </fill>
      <border/>
    </dxf>
  </dxfs>
  <tableStyles count="31">
    <tableStyle count="2" pivot="0" name="Gaming-style">
      <tableStyleElement dxfId="1" type="firstRowStripe"/>
      <tableStyleElement dxfId="2" type="secondRowStripe"/>
    </tableStyle>
    <tableStyle count="2" pivot="0" name="Gaming-style 2">
      <tableStyleElement dxfId="1" type="firstRowStripe"/>
      <tableStyleElement dxfId="2" type="secondRowStripe"/>
    </tableStyle>
    <tableStyle count="2" pivot="0" name="Gaming-style 3">
      <tableStyleElement dxfId="2" type="firstRowStripe"/>
      <tableStyleElement dxfId="1" type="secondRowStripe"/>
    </tableStyle>
    <tableStyle count="2" pivot="0" name="Bureautique-style">
      <tableStyleElement dxfId="1" type="firstRowStripe"/>
      <tableStyleElement dxfId="2" type="secondRowStripe"/>
    </tableStyle>
    <tableStyle count="3" pivot="0" name="PrintReseauStockage-style">
      <tableStyleElement dxfId="8" type="headerRow"/>
      <tableStyleElement dxfId="1" type="firstRowStripe"/>
      <tableStyleElement dxfId="2" type="secondRowStripe"/>
    </tableStyle>
    <tableStyle count="3" pivot="0" name="PrintReseauStockage-style 2">
      <tableStyleElement dxfId="8" type="headerRow"/>
      <tableStyleElement dxfId="1" type="firstRowStripe"/>
      <tableStyleElement dxfId="2" type="secondRowStripe"/>
    </tableStyle>
    <tableStyle count="3" pivot="0" name="PrintReseauStockage-style 3">
      <tableStyleElement dxfId="8" type="headerRow"/>
      <tableStyleElement dxfId="1" type="firstRowStripe"/>
      <tableStyleElement dxfId="2" type="secondRowStripe"/>
    </tableStyle>
    <tableStyle count="3" pivot="0" name="PrintReseauStockage-style 4">
      <tableStyleElement dxfId="8" type="headerRow"/>
      <tableStyleElement dxfId="1" type="firstRowStripe"/>
      <tableStyleElement dxfId="2" type="secondRowStripe"/>
    </tableStyle>
    <tableStyle count="2" pivot="0" name="SmartphoneTabletteMontre co -style">
      <tableStyleElement dxfId="1" type="firstRowStripe"/>
      <tableStyleElement dxfId="2" type="secondRowStripe"/>
    </tableStyle>
    <tableStyle count="2" pivot="0" name="SmartphoneTabletteMontre co -style 2">
      <tableStyleElement dxfId="1" type="firstRowStripe"/>
      <tableStyleElement dxfId="2" type="secondRowStripe"/>
    </tableStyle>
    <tableStyle count="2" pivot="0" name="SmartphoneTabletteMontre co -style 3">
      <tableStyleElement dxfId="1" type="firstRowStripe"/>
      <tableStyleElement dxfId="2" type="secondRowStripe"/>
    </tableStyle>
    <tableStyle count="3" pivot="0" name="Barre de Son-style">
      <tableStyleElement dxfId="8" type="headerRow"/>
      <tableStyleElement dxfId="1" type="firstRowStripe"/>
      <tableStyleElement dxfId="2" type="secondRowStripe"/>
    </tableStyle>
    <tableStyle count="2" pivot="0" name="MobilitéSmartkids-style">
      <tableStyleElement dxfId="2" type="firstRowStripe"/>
      <tableStyleElement dxfId="1" type="secondRowStripe"/>
    </tableStyle>
    <tableStyle count="2" pivot="0" name="MobilitéSmartkids-style 2">
      <tableStyleElement dxfId="2" type="firstRowStripe"/>
      <tableStyleElement dxfId="1" type="secondRowStripe"/>
    </tableStyle>
    <tableStyle count="3" pivot="0" name="PhotoCam SportDrones-style">
      <tableStyleElement dxfId="8" type="headerRow"/>
      <tableStyleElement dxfId="1" type="firstRowStripe"/>
      <tableStyleElement dxfId="2" type="secondRowStripe"/>
    </tableStyle>
    <tableStyle count="2" pivot="0" name="PhotoCam SportDrones-style 2">
      <tableStyleElement dxfId="2" type="firstRowStripe"/>
      <tableStyleElement dxfId="1" type="secondRowStripe"/>
    </tableStyle>
    <tableStyle count="3" pivot="0" name="PhotoCam SportDrones-style 3">
      <tableStyleElement dxfId="8" type="headerRow"/>
      <tableStyleElement dxfId="1" type="firstRowStripe"/>
      <tableStyleElement dxfId="2" type="secondRowStripe"/>
    </tableStyle>
    <tableStyle count="3" pivot="0" name="PhotoCam SportDrones-style 4">
      <tableStyleElement dxfId="8" type="headerRow"/>
      <tableStyleElement dxfId="1" type="firstRowStripe"/>
      <tableStyleElement dxfId="2" type="secondRowStripe"/>
    </tableStyle>
    <tableStyle count="3" pivot="0" name="PhotoCam SportDrones-style 5">
      <tableStyleElement dxfId="8" type="headerRow"/>
      <tableStyleElement dxfId="1" type="firstRowStripe"/>
      <tableStyleElement dxfId="2" type="secondRowStripe"/>
    </tableStyle>
    <tableStyle count="2" pivot="0" name="PhotoCam SportDrones-style 6">
      <tableStyleElement dxfId="2" type="firstRowStripe"/>
      <tableStyleElement dxfId="1" type="secondRowStripe"/>
    </tableStyle>
    <tableStyle count="3" pivot="0" name="PhotoCam SportDrones-style 7">
      <tableStyleElement dxfId="8" type="headerRow"/>
      <tableStyleElement dxfId="1" type="firstRowStripe"/>
      <tableStyleElement dxfId="2" type="secondRowStripe"/>
    </tableStyle>
    <tableStyle count="3" pivot="0" name="PhotoCam SportDrones-style 8">
      <tableStyleElement dxfId="8" type="headerRow"/>
      <tableStyleElement dxfId="1" type="firstRowStripe"/>
      <tableStyleElement dxfId="2" type="secondRowStripe"/>
    </tableStyle>
    <tableStyle count="3" pivot="0" name="PhotoCam SportDrones-style 9">
      <tableStyleElement dxfId="8" type="headerRow"/>
      <tableStyleElement dxfId="1" type="firstRowStripe"/>
      <tableStyleElement dxfId="2" type="secondRowStripe"/>
    </tableStyle>
    <tableStyle count="2" pivot="0" name="PhotoCam SportDrones-style 10">
      <tableStyleElement dxfId="1" type="firstRowStripe"/>
      <tableStyleElement dxfId="2" type="secondRowStripe"/>
    </tableStyle>
    <tableStyle count="2" pivot="0" name="PhotoCam SportDrones-style 11">
      <tableStyleElement dxfId="2" type="firstRowStripe"/>
      <tableStyleElement dxfId="1" type="secondRowStripe"/>
    </tableStyle>
    <tableStyle count="2" pivot="0" name="Habitat connecté-style">
      <tableStyleElement dxfId="1" type="firstRowStripe"/>
      <tableStyleElement dxfId="2" type="secondRowStripe"/>
    </tableStyle>
    <tableStyle count="2" pivot="0" name="Habitat connecté-style 2">
      <tableStyleElement dxfId="1" type="firstRowStripe"/>
      <tableStyleElement dxfId="2" type="secondRowStripe"/>
    </tableStyle>
    <tableStyle count="2" pivot="0" name="Habitat connecté-style 3">
      <tableStyleElement dxfId="1" type="firstRowStripe"/>
      <tableStyleElement dxfId="2" type="secondRowStripe"/>
    </tableStyle>
    <tableStyle count="2" pivot="0" name="Habitat connecté-style 4">
      <tableStyleElement dxfId="1" type="firstRowStripe"/>
      <tableStyleElement dxfId="2" type="secondRowStripe"/>
    </tableStyle>
    <tableStyle count="2" pivot="0" name="Habitat connecté-style 5">
      <tableStyleElement dxfId="1" type="firstRowStripe"/>
      <tableStyleElement dxfId="2" type="secondRowStripe"/>
    </tableStyle>
    <tableStyle count="2" pivot="0" name="Habitat connecté-style 6">
      <tableStyleElement dxfId="1" type="firstRowStripe"/>
      <tableStyleElement dxfId="2" type="secondRowStripe"/>
    </tableStyle>
  </tableStyles>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5" Type="http://schemas.openxmlformats.org/officeDocument/2006/relationships/worksheet" Target="worksheets/sheet13.xml"/><Relationship Id="rId14" Type="http://schemas.openxmlformats.org/officeDocument/2006/relationships/worksheet" Target="worksheets/sheet12.xml"/><Relationship Id="rId16" Type="http://schemas.openxmlformats.org/officeDocument/2006/relationships/worksheet" Target="worksheets/sheet14.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A8:L8" displayName="Table_1" name="Table_1" id="1">
  <tableColumns count="12">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s>
  <tableStyleInfo name="Gaming-style" showColumnStripes="0" showFirstColumn="1" showLastColumn="1" showRowStripes="1"/>
</table>
</file>

<file path=xl/tables/table10.xml><?xml version="1.0" encoding="utf-8"?>
<table xmlns="http://schemas.openxmlformats.org/spreadsheetml/2006/main" headerRowCount="0" ref="E660:F660" displayName="Table_10" name="Table_10" id="10">
  <tableColumns count="2">
    <tableColumn name="Column1" id="1"/>
    <tableColumn name="Column2" id="2"/>
  </tableColumns>
  <tableStyleInfo name="SmartphoneTabletteMontre co -style 2" showColumnStripes="0" showFirstColumn="1" showLastColumn="1" showRowStripes="1"/>
</table>
</file>

<file path=xl/tables/table11.xml><?xml version="1.0" encoding="utf-8"?>
<table xmlns="http://schemas.openxmlformats.org/spreadsheetml/2006/main" headerRowCount="0" ref="A661:J664" displayName="Table_11" name="Table_11" id="11">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SmartphoneTabletteMontre co -style 3" showColumnStripes="0" showFirstColumn="1" showLastColumn="1" showRowStripes="1"/>
</table>
</file>

<file path=xl/tables/table12.xml><?xml version="1.0" encoding="utf-8"?>
<table xmlns="http://schemas.openxmlformats.org/spreadsheetml/2006/main" headerRowCount="0" ref="A2:J2" displayName="Table_12" name="Table_12" id="12">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Barre de Son-style" showColumnStripes="0" showFirstColumn="1" showLastColumn="1" showRowStripes="1"/>
  <extLst>
    <ext uri="GoogleSheetsCustomDataVersion1">
      <go:sheetsCustomData xmlns:go="http://customooxmlschemas.google.com/" headerRowCount="1"/>
    </ext>
  </extLst>
</table>
</file>

<file path=xl/tables/table13.xml><?xml version="1.0" encoding="utf-8"?>
<table xmlns="http://schemas.openxmlformats.org/spreadsheetml/2006/main" headerRowCount="0" ref="A113:M125" displayName="Table_13" name="Table_13" id="13">
  <tableColumns count="13">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s>
  <tableStyleInfo name="MobilitéSmartkids-style" showColumnStripes="0" showFirstColumn="1" showLastColumn="1" showRowStripes="1"/>
</table>
</file>

<file path=xl/tables/table14.xml><?xml version="1.0" encoding="utf-8"?>
<table xmlns="http://schemas.openxmlformats.org/spreadsheetml/2006/main" headerRowCount="0" ref="A127:M131" displayName="Table_14" name="Table_14" id="14">
  <tableColumns count="13">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s>
  <tableStyleInfo name="MobilitéSmartkids-style 2" showColumnStripes="0" showFirstColumn="1" showLastColumn="1" showRowStripes="1"/>
</table>
</file>

<file path=xl/tables/table15.xml><?xml version="1.0" encoding="utf-8"?>
<table xmlns="http://schemas.openxmlformats.org/spreadsheetml/2006/main" headerRowCount="0" ref="A2:J2" displayName="Table_15" name="Table_15" id="15">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hotoCam SportDrones-style" showColumnStripes="0" showFirstColumn="1" showLastColumn="1" showRowStripes="1"/>
  <extLst>
    <ext uri="GoogleSheetsCustomDataVersion1">
      <go:sheetsCustomData xmlns:go="http://customooxmlschemas.google.com/" headerRowCount="1"/>
    </ext>
  </extLst>
</table>
</file>

<file path=xl/tables/table16.xml><?xml version="1.0" encoding="utf-8"?>
<table xmlns="http://schemas.openxmlformats.org/spreadsheetml/2006/main" headerRowCount="0" ref="A5:J5" displayName="Table_16" name="Table_16" id="16">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hotoCam SportDrones-style 2" showColumnStripes="0" showFirstColumn="1" showLastColumn="1" showRowStripes="1"/>
</table>
</file>

<file path=xl/tables/table17.xml><?xml version="1.0" encoding="utf-8"?>
<table xmlns="http://schemas.openxmlformats.org/spreadsheetml/2006/main" headerRowCount="0" ref="A7:J7" displayName="Table_17" name="Table_17" id="17">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hotoCam SportDrones-style 3" showColumnStripes="0" showFirstColumn="1" showLastColumn="1" showRowStripes="1"/>
  <extLst>
    <ext uri="GoogleSheetsCustomDataVersion1">
      <go:sheetsCustomData xmlns:go="http://customooxmlschemas.google.com/" headerRowCount="1"/>
    </ext>
  </extLst>
</table>
</file>

<file path=xl/tables/table18.xml><?xml version="1.0" encoding="utf-8"?>
<table xmlns="http://schemas.openxmlformats.org/spreadsheetml/2006/main" headerRowCount="0" ref="A12:J12" displayName="Table_18" name="Table_18" id="18">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hotoCam SportDrones-style 4" showColumnStripes="0" showFirstColumn="1" showLastColumn="1" showRowStripes="1"/>
  <extLst>
    <ext uri="GoogleSheetsCustomDataVersion1">
      <go:sheetsCustomData xmlns:go="http://customooxmlschemas.google.com/" headerRowCount="1"/>
    </ext>
  </extLst>
</table>
</file>

<file path=xl/tables/table19.xml><?xml version="1.0" encoding="utf-8"?>
<table xmlns="http://schemas.openxmlformats.org/spreadsheetml/2006/main" headerRowCount="0" ref="A26:J26" displayName="Table_19" name="Table_19" id="19">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hotoCam SportDrones-style 5" showColumnStripes="0" showFirstColumn="1" showLastColumn="1" showRowStripes="1"/>
  <extLst>
    <ext uri="GoogleSheetsCustomDataVersion1">
      <go:sheetsCustomData xmlns:go="http://customooxmlschemas.google.com/" headerRowCount="1"/>
    </ext>
  </extLst>
</table>
</file>

<file path=xl/tables/table2.xml><?xml version="1.0" encoding="utf-8"?>
<table xmlns="http://schemas.openxmlformats.org/spreadsheetml/2006/main" headerRowCount="0" ref="A10:L10" displayName="Table_2" name="Table_2" id="2">
  <tableColumns count="12">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s>
  <tableStyleInfo name="Gaming-style 2" showColumnStripes="0" showFirstColumn="1" showLastColumn="1" showRowStripes="1"/>
</table>
</file>

<file path=xl/tables/table20.xml><?xml version="1.0" encoding="utf-8"?>
<table xmlns="http://schemas.openxmlformats.org/spreadsheetml/2006/main" headerRowCount="0" ref="A63:J65" displayName="Table_20" name="Table_20" id="20">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hotoCam SportDrones-style 6" showColumnStripes="0" showFirstColumn="1" showLastColumn="1" showRowStripes="1"/>
</table>
</file>

<file path=xl/tables/table21.xml><?xml version="1.0" encoding="utf-8"?>
<table xmlns="http://schemas.openxmlformats.org/spreadsheetml/2006/main" headerRowCount="0" ref="A67:J67" displayName="Table_21" name="Table_21" id="21">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hotoCam SportDrones-style 7" showColumnStripes="0" showFirstColumn="1" showLastColumn="1" showRowStripes="1"/>
  <extLst>
    <ext uri="GoogleSheetsCustomDataVersion1">
      <go:sheetsCustomData xmlns:go="http://customooxmlschemas.google.com/" headerRowCount="1"/>
    </ext>
  </extLst>
</table>
</file>

<file path=xl/tables/table22.xml><?xml version="1.0" encoding="utf-8"?>
<table xmlns="http://schemas.openxmlformats.org/spreadsheetml/2006/main" ref="B73:K90" displayName="Table_22" name="Table_22" id="22">
  <tableColumns count="10">
    <tableColumn name="Code Produit" id="1"/>
    <tableColumn name="Type Produit" id="2"/>
    <tableColumn name="Référence_x000a_fournisseur" id="3"/>
    <tableColumn name="Gamme " id="4"/>
    <tableColumn name="Nom de l'opé " id="5"/>
    <tableColumn name="PVN" id="6"/>
    <tableColumn name="PV Boulanger.com" id="7"/>
    <tableColumn name="PVOP" id="8"/>
    <tableColumn name="Date de début " id="9"/>
    <tableColumn name="Date de fin " id="10"/>
  </tableColumns>
  <tableStyleInfo name="PhotoCam SportDrones-style 8" showColumnStripes="0" showFirstColumn="1" showLastColumn="1" showRowStripes="1"/>
</table>
</file>

<file path=xl/tables/table23.xml><?xml version="1.0" encoding="utf-8"?>
<table xmlns="http://schemas.openxmlformats.org/spreadsheetml/2006/main" headerRowCount="0" ref="L73:O87" displayName="Table_23" name="Table_23" id="23">
  <tableColumns count="4">
    <tableColumn name="Column1" id="1"/>
    <tableColumn name="Column2" id="2"/>
    <tableColumn name="Column3" id="3"/>
    <tableColumn name="Column4" id="4"/>
  </tableColumns>
  <tableStyleInfo name="PhotoCam SportDrones-style 9" showColumnStripes="0" showFirstColumn="1" showLastColumn="1" showRowStripes="1"/>
  <extLst>
    <ext uri="GoogleSheetsCustomDataVersion1">
      <go:sheetsCustomData xmlns:go="http://customooxmlschemas.google.com/" headerRowCount="1"/>
    </ext>
  </extLst>
</table>
</file>

<file path=xl/tables/table24.xml><?xml version="1.0" encoding="utf-8"?>
<table xmlns="http://schemas.openxmlformats.org/spreadsheetml/2006/main" headerRowCount="0" ref="B91:O91" displayName="Table_24" name="Table_24" id="24">
  <tableColumns count="14">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s>
  <tableStyleInfo name="PhotoCam SportDrones-style 10" showColumnStripes="0" showFirstColumn="1" showLastColumn="1" showRowStripes="1"/>
</table>
</file>

<file path=xl/tables/table25.xml><?xml version="1.0" encoding="utf-8"?>
<table xmlns="http://schemas.openxmlformats.org/spreadsheetml/2006/main" headerRowCount="0" ref="B92:K102" displayName="Table_25" name="Table_25" id="25">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hotoCam SportDrones-style 11" showColumnStripes="0" showFirstColumn="1" showLastColumn="1" showRowStripes="1"/>
</table>
</file>

<file path=xl/tables/table26.xml><?xml version="1.0" encoding="utf-8"?>
<table xmlns="http://schemas.openxmlformats.org/spreadsheetml/2006/main" headerRowCount="0" ref="G130:N130" displayName="Table_26" name="Table_26" id="26">
  <tableColumns count="8">
    <tableColumn name="Column1" id="1"/>
    <tableColumn name="Column2" id="2"/>
    <tableColumn name="Column3" id="3"/>
    <tableColumn name="Column4" id="4"/>
    <tableColumn name="Column5" id="5"/>
    <tableColumn name="Column6" id="6"/>
    <tableColumn name="Column7" id="7"/>
    <tableColumn name="Column8" id="8"/>
  </tableColumns>
  <tableStyleInfo name="Habitat connecté-style" showColumnStripes="0" showFirstColumn="1" showLastColumn="1" showRowStripes="1"/>
</table>
</file>

<file path=xl/tables/table27.xml><?xml version="1.0" encoding="utf-8"?>
<table xmlns="http://schemas.openxmlformats.org/spreadsheetml/2006/main" headerRowCount="0" ref="G134:N134" displayName="Table_27" name="Table_27" id="27">
  <tableColumns count="8">
    <tableColumn name="Column1" id="1"/>
    <tableColumn name="Column2" id="2"/>
    <tableColumn name="Column3" id="3"/>
    <tableColumn name="Column4" id="4"/>
    <tableColumn name="Column5" id="5"/>
    <tableColumn name="Column6" id="6"/>
    <tableColumn name="Column7" id="7"/>
    <tableColumn name="Column8" id="8"/>
  </tableColumns>
  <tableStyleInfo name="Habitat connecté-style 2" showColumnStripes="0" showFirstColumn="1" showLastColumn="1" showRowStripes="1"/>
</table>
</file>

<file path=xl/tables/table28.xml><?xml version="1.0" encoding="utf-8"?>
<table xmlns="http://schemas.openxmlformats.org/spreadsheetml/2006/main" headerRowCount="0" ref="G200:H201" displayName="Table_28" name="Table_28" id="28">
  <tableColumns count="2">
    <tableColumn name="Column1" id="1"/>
    <tableColumn name="Column2" id="2"/>
  </tableColumns>
  <tableStyleInfo name="Habitat connecté-style 3" showColumnStripes="0" showFirstColumn="1" showLastColumn="1" showRowStripes="1"/>
</table>
</file>

<file path=xl/tables/table29.xml><?xml version="1.0" encoding="utf-8"?>
<table xmlns="http://schemas.openxmlformats.org/spreadsheetml/2006/main" headerRowCount="0" ref="A336:E337" displayName="Table_29" name="Table_29" id="29">
  <tableColumns count="5">
    <tableColumn name="Column1" id="1"/>
    <tableColumn name="Column2" id="2"/>
    <tableColumn name="Column3" id="3"/>
    <tableColumn name="Column4" id="4"/>
    <tableColumn name="Column5" id="5"/>
  </tableColumns>
  <tableStyleInfo name="Habitat connecté-style 4" showColumnStripes="0" showFirstColumn="1" showLastColumn="1" showRowStripes="1"/>
</table>
</file>

<file path=xl/tables/table3.xml><?xml version="1.0" encoding="utf-8"?>
<table xmlns="http://schemas.openxmlformats.org/spreadsheetml/2006/main" headerRowCount="0" ref="A14:L14" displayName="Table_3" name="Table_3" id="3">
  <tableColumns count="12">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s>
  <tableStyleInfo name="Gaming-style 3" showColumnStripes="0" showFirstColumn="1" showLastColumn="1" showRowStripes="1"/>
</table>
</file>

<file path=xl/tables/table30.xml><?xml version="1.0" encoding="utf-8"?>
<table xmlns="http://schemas.openxmlformats.org/spreadsheetml/2006/main" headerRowCount="0" ref="G353:N357" displayName="Table_30" name="Table_30" id="30">
  <tableColumns count="8">
    <tableColumn name="Column1" id="1"/>
    <tableColumn name="Column2" id="2"/>
    <tableColumn name="Column3" id="3"/>
    <tableColumn name="Column4" id="4"/>
    <tableColumn name="Column5" id="5"/>
    <tableColumn name="Column6" id="6"/>
    <tableColumn name="Column7" id="7"/>
    <tableColumn name="Column8" id="8"/>
  </tableColumns>
  <tableStyleInfo name="Habitat connecté-style 5" showColumnStripes="0" showFirstColumn="1" showLastColumn="1" showRowStripes="1"/>
</table>
</file>

<file path=xl/tables/table31.xml><?xml version="1.0" encoding="utf-8"?>
<table xmlns="http://schemas.openxmlformats.org/spreadsheetml/2006/main" headerRowCount="0" ref="G359:H371" displayName="Table_31" name="Table_31" id="31">
  <tableColumns count="2">
    <tableColumn name="Column1" id="1"/>
    <tableColumn name="Column2" id="2"/>
  </tableColumns>
  <tableStyleInfo name="Habitat connecté-style 6" showColumnStripes="0" showFirstColumn="1" showLastColumn="1" showRowStripes="1"/>
</table>
</file>

<file path=xl/tables/table4.xml><?xml version="1.0" encoding="utf-8"?>
<table xmlns="http://schemas.openxmlformats.org/spreadsheetml/2006/main" headerRowCount="0" ref="A5:L5" displayName="Table_4" name="Table_4" id="4">
  <tableColumns count="12">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s>
  <tableStyleInfo name="Bureautique-style" showColumnStripes="0" showFirstColumn="1" showLastColumn="1" showRowStripes="1"/>
</table>
</file>

<file path=xl/tables/table5.xml><?xml version="1.0" encoding="utf-8"?>
<table xmlns="http://schemas.openxmlformats.org/spreadsheetml/2006/main" headerRowCount="0" ref="A2:J2" displayName="Table_5" name="Table_5" id="5">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rintReseauStockage-style" showColumnStripes="0" showFirstColumn="1" showLastColumn="1" showRowStripes="1"/>
  <extLst>
    <ext uri="GoogleSheetsCustomDataVersion1">
      <go:sheetsCustomData xmlns:go="http://customooxmlschemas.google.com/" headerRowCount="1"/>
    </ext>
  </extLst>
</table>
</file>

<file path=xl/tables/table6.xml><?xml version="1.0" encoding="utf-8"?>
<table xmlns="http://schemas.openxmlformats.org/spreadsheetml/2006/main" headerRowCount="0" ref="A18:J18" displayName="Table_6" name="Table_6" id="6">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rintReseauStockage-style 2" showColumnStripes="0" showFirstColumn="1" showLastColumn="1" showRowStripes="1"/>
  <extLst>
    <ext uri="GoogleSheetsCustomDataVersion1">
      <go:sheetsCustomData xmlns:go="http://customooxmlschemas.google.com/" headerRowCount="1"/>
    </ext>
  </extLst>
</table>
</file>

<file path=xl/tables/table7.xml><?xml version="1.0" encoding="utf-8"?>
<table xmlns="http://schemas.openxmlformats.org/spreadsheetml/2006/main" headerRowCount="0" ref="A45:J45" displayName="Table_7" name="Table_7" id="7">
  <tableColumns count="10">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s>
  <tableStyleInfo name="PrintReseauStockage-style 3" showColumnStripes="0" showFirstColumn="1" showLastColumn="1" showRowStripes="1"/>
  <extLst>
    <ext uri="GoogleSheetsCustomDataVersion1">
      <go:sheetsCustomData xmlns:go="http://customooxmlschemas.google.com/" headerRowCount="1"/>
    </ext>
  </extLst>
</table>
</file>

<file path=xl/tables/table8.xml><?xml version="1.0" encoding="utf-8"?>
<table xmlns="http://schemas.openxmlformats.org/spreadsheetml/2006/main" headerRowCount="0" ref="A71:L168" displayName="Table_8" name="Table_8" id="8">
  <tableColumns count="12">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s>
  <tableStyleInfo name="PrintReseauStockage-style 4" showColumnStripes="0" showFirstColumn="1" showLastColumn="1" showRowStripes="1"/>
  <extLst>
    <ext uri="GoogleSheetsCustomDataVersion1">
      <go:sheetsCustomData xmlns:go="http://customooxmlschemas.google.com/" headerRowCount="1"/>
    </ext>
  </extLst>
</table>
</file>

<file path=xl/tables/table9.xml><?xml version="1.0" encoding="utf-8"?>
<table xmlns="http://schemas.openxmlformats.org/spreadsheetml/2006/main" headerRowCount="0" ref="A657:K659" displayName="Table_9" name="Table_9" id="9">
  <tableColumns count="11">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s>
  <tableStyleInfo name="SmartphoneTabletteMontre co -style" showColumnStripes="0" showFirstColumn="1" showLastColumn="1" showRowStripes="1"/>
</tabl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Kv7ojeYNI83Y38xo1HtyaI_p_NU2DYSd/view?usp=drive_link" TargetMode="External"/><Relationship Id="rId2" Type="http://schemas.openxmlformats.org/officeDocument/2006/relationships/hyperlink" Target="https://drive.google.com/file/d/1H4gInijiG4p6rYmyowNyyFT3b-X7-WzJ/view?usp=drive_link" TargetMode="External"/><Relationship Id="rId3" Type="http://schemas.openxmlformats.org/officeDocument/2006/relationships/hyperlink" Target="https://drive.google.com/file/d/1u3F7JV9ZBFbLkVaKuqUWzBVbknUh8Nl9/view?usp=drive_link" TargetMode="External"/><Relationship Id="rId4" Type="http://schemas.openxmlformats.org/officeDocument/2006/relationships/hyperlink" Target="https://drive.google.com/file/d/1PE4xmPE9kqAUys4XZW0qrK3JrKXIVDSF/view?usp=drive_link" TargetMode="External"/><Relationship Id="rId10" Type="http://schemas.openxmlformats.org/officeDocument/2006/relationships/drawing" Target="../drawings/drawing1.xml"/><Relationship Id="rId9" Type="http://schemas.openxmlformats.org/officeDocument/2006/relationships/hyperlink" Target="https://drive.google.com/file/d/1ihWJBztquehY6Phpguod-U5dGlW916AN/view?usp=drive_link" TargetMode="External"/><Relationship Id="rId5" Type="http://schemas.openxmlformats.org/officeDocument/2006/relationships/hyperlink" Target="https://drive.google.com/file/d/1R2-HO1QyUAesrkg71EpncSeh6IRy_tsQ/view?usp=drive_link" TargetMode="External"/><Relationship Id="rId6" Type="http://schemas.openxmlformats.org/officeDocument/2006/relationships/hyperlink" Target="https://drive.google.com/file/d/1QHb2xUeyOZkyFCFU2b1cMq4vqU243G12/view?usp=drive_link" TargetMode="External"/><Relationship Id="rId7" Type="http://schemas.openxmlformats.org/officeDocument/2006/relationships/hyperlink" Target="https://drive.google.com/file/d/1kGuCWvKnXWjIpqzQrTkpeJ2DtcASjakj/view?usp=drive_link" TargetMode="External"/><Relationship Id="rId8" Type="http://schemas.openxmlformats.org/officeDocument/2006/relationships/hyperlink" Target="https://drive.google.com/file/d/1UlgMBtTdU8uCDu-Sy7lc_qBXNEG_NCEp/view?usp=drive_link"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https://drive.google.com/file/d/1Qtv7Q0cYjKGTL_ui8LBWm1qwBTzUTO2r/view?usp=drive_link" TargetMode="External"/><Relationship Id="rId2" Type="http://schemas.openxmlformats.org/officeDocument/2006/relationships/hyperlink" Target="https://drive.google.com/file/d/1SLmeY2Ip_hImi4jCoTzQR5aZcy7UYPPM/view?usp=drive_link" TargetMode="External"/><Relationship Id="rId3" Type="http://schemas.openxmlformats.org/officeDocument/2006/relationships/hyperlink" Target="https://drive.google.com/file/d/1AD5NYZzG4m5hniHHVgigZO-jDthgVwfj/view?usp=drive_link" TargetMode="External"/><Relationship Id="rId4" Type="http://schemas.openxmlformats.org/officeDocument/2006/relationships/hyperlink" Target="https://drive.google.com/file/d/1lt3C-4sXKAlbFmjygRKSzOzDecswL9Ci/view?usp=drive_link" TargetMode="External"/><Relationship Id="rId5" Type="http://schemas.openxmlformats.org/officeDocument/2006/relationships/drawing" Target="../drawings/drawing10.xml"/><Relationship Id="rId7" Type="http://schemas.openxmlformats.org/officeDocument/2006/relationships/table" Target="../tables/table12.xml"/></Relationships>
</file>

<file path=xl/worksheets/_rels/sheet11.xml.rels><?xml version="1.0" encoding="UTF-8" standalone="yes"?><Relationships xmlns="http://schemas.openxmlformats.org/package/2006/relationships"><Relationship Id="rId11" Type="http://schemas.openxmlformats.org/officeDocument/2006/relationships/table" Target="../tables/table14.xml"/><Relationship Id="rId10" Type="http://schemas.openxmlformats.org/officeDocument/2006/relationships/table" Target="../tables/table13.xml"/><Relationship Id="rId1" Type="http://schemas.openxmlformats.org/officeDocument/2006/relationships/hyperlink" Target="https://drive.google.com/file/d/1udeXHnrsqzudowon3IY1GD5URQnSnkNn/view?usp=drive_link" TargetMode="External"/><Relationship Id="rId2" Type="http://schemas.openxmlformats.org/officeDocument/2006/relationships/hyperlink" Target="https://drive.google.com/file/d/1FTQEjdgBabuytDjRFibR6ZFONelSon9L/view?usp=drive_link" TargetMode="External"/><Relationship Id="rId3" Type="http://schemas.openxmlformats.org/officeDocument/2006/relationships/hyperlink" Target="https://drive.google.com/drive/folders/1W0ekvXQU7Q99z18GTCt4mMHpa29r9Dfo?usp=drive_link" TargetMode="External"/><Relationship Id="rId4" Type="http://schemas.openxmlformats.org/officeDocument/2006/relationships/hyperlink" Target="https://drive.google.com/drive/folders/1ESx6DXMaYFkjlFPhFfyi-NQ3ryIt0zXH?usp=drive_link" TargetMode="External"/><Relationship Id="rId5" Type="http://schemas.openxmlformats.org/officeDocument/2006/relationships/hyperlink" Target="https://drive.google.com/drive/folders/1HLB8SWBBZqANhfaAX027Gs2XgNxR7UVq?usp=drive_link" TargetMode="External"/><Relationship Id="rId6" Type="http://schemas.openxmlformats.org/officeDocument/2006/relationships/hyperlink" Target="https://drive.google.com/drive/folders/1EWm9AlknPuneoGmC0MPHggCBIZcjNs77?usp=drive_link" TargetMode="External"/><Relationship Id="rId7"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0" Type="http://schemas.openxmlformats.org/officeDocument/2006/relationships/table" Target="../tables/table17.xml"/><Relationship Id="rId22" Type="http://schemas.openxmlformats.org/officeDocument/2006/relationships/table" Target="../tables/table19.xml"/><Relationship Id="rId21" Type="http://schemas.openxmlformats.org/officeDocument/2006/relationships/table" Target="../tables/table18.xml"/><Relationship Id="rId24" Type="http://schemas.openxmlformats.org/officeDocument/2006/relationships/table" Target="../tables/table21.xml"/><Relationship Id="rId23" Type="http://schemas.openxmlformats.org/officeDocument/2006/relationships/table" Target="../tables/table20.xml"/><Relationship Id="rId26" Type="http://schemas.openxmlformats.org/officeDocument/2006/relationships/table" Target="../tables/table23.xml"/><Relationship Id="rId25" Type="http://schemas.openxmlformats.org/officeDocument/2006/relationships/table" Target="../tables/table22.xml"/><Relationship Id="rId28" Type="http://schemas.openxmlformats.org/officeDocument/2006/relationships/table" Target="../tables/table25.xml"/><Relationship Id="rId27" Type="http://schemas.openxmlformats.org/officeDocument/2006/relationships/table" Target="../tables/table24.xml"/><Relationship Id="rId19" Type="http://schemas.openxmlformats.org/officeDocument/2006/relationships/table" Target="../tables/table16.xml"/><Relationship Id="rId18" Type="http://schemas.openxmlformats.org/officeDocument/2006/relationships/table" Target="../tables/table15.xml"/><Relationship Id="rId1" Type="http://schemas.openxmlformats.org/officeDocument/2006/relationships/hyperlink" Target="https://drive.google.com/file/d/1kI3mmcw4Ptp2XbAKPSy-m5Qx5lHOOC7a/view?usp=sharing" TargetMode="External"/><Relationship Id="rId2" Type="http://schemas.openxmlformats.org/officeDocument/2006/relationships/hyperlink" Target="https://drive.google.com/file/d/1goArZs6FHuSGrza0sqLarVtUOfQQw4nS/view?usp=sharing" TargetMode="External"/><Relationship Id="rId3" Type="http://schemas.openxmlformats.org/officeDocument/2006/relationships/hyperlink" Target="https://drive.google.com/file/d/11zvmXUWNG9R9Zs8ijGebr5sc2_miPqbd/view?usp=sharing" TargetMode="External"/><Relationship Id="rId4" Type="http://schemas.openxmlformats.org/officeDocument/2006/relationships/hyperlink" Target="https://drive.google.com/file/d/1rpfKiNoq7ZRjXUcHTsjjbm_QrH1CeKBj/view?usp=sharing" TargetMode="External"/><Relationship Id="rId5" Type="http://schemas.openxmlformats.org/officeDocument/2006/relationships/hyperlink" Target="http://boulanger.com/" TargetMode="External"/><Relationship Id="rId6"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40" Type="http://schemas.openxmlformats.org/officeDocument/2006/relationships/table" Target="../tables/table27.xml"/><Relationship Id="rId42" Type="http://schemas.openxmlformats.org/officeDocument/2006/relationships/table" Target="../tables/table29.xml"/><Relationship Id="rId41" Type="http://schemas.openxmlformats.org/officeDocument/2006/relationships/table" Target="../tables/table28.xml"/><Relationship Id="rId44" Type="http://schemas.openxmlformats.org/officeDocument/2006/relationships/table" Target="../tables/table31.xml"/><Relationship Id="rId43" Type="http://schemas.openxmlformats.org/officeDocument/2006/relationships/table" Target="../tables/table30.xml"/><Relationship Id="rId31" Type="http://schemas.openxmlformats.org/officeDocument/2006/relationships/hyperlink" Target="https://drive.google.com/drive/folders/1t69-RcFFnoq6Rj5QBysbf3jA9OWxLL0Q?usp=drive_link" TargetMode="External"/><Relationship Id="rId30" Type="http://schemas.openxmlformats.org/officeDocument/2006/relationships/hyperlink" Target="https://drive.google.com/file/d/1u0Gt4_OhP2qbmIV9oTiA_g-HFOCfckxg/view?usp=drive_link" TargetMode="External"/><Relationship Id="rId32" Type="http://schemas.openxmlformats.org/officeDocument/2006/relationships/drawing" Target="../drawings/drawing13.xml"/><Relationship Id="rId39" Type="http://schemas.openxmlformats.org/officeDocument/2006/relationships/table" Target="../tables/table26.xml"/><Relationship Id="rId20" Type="http://schemas.openxmlformats.org/officeDocument/2006/relationships/hyperlink" Target="https://drive.google.com/file/d/1F2fFIKdSLMMyfOv67qeB6aAIt2-cmOi_/view?usp=drive_link" TargetMode="External"/><Relationship Id="rId22" Type="http://schemas.openxmlformats.org/officeDocument/2006/relationships/hyperlink" Target="https://drive.google.com/drive/folders/1gXfSuWbajxFvP3m49yn005YRLG6P2p6E?usp=drive_link" TargetMode="External"/><Relationship Id="rId21" Type="http://schemas.openxmlformats.org/officeDocument/2006/relationships/hyperlink" Target="https://drive.google.com/drive/folders/1fJWLplLNl5fC_cHzNotbP5D2d4OkDCQ_?usp=drive_link" TargetMode="External"/><Relationship Id="rId24" Type="http://schemas.openxmlformats.org/officeDocument/2006/relationships/hyperlink" Target="https://drive.google.com/drive/folders/1RHRgWToqy8zl6wdkx9uNKo7P61O5yXcX?usp=drive_link" TargetMode="External"/><Relationship Id="rId23" Type="http://schemas.openxmlformats.org/officeDocument/2006/relationships/hyperlink" Target="https://drive.google.com/drive/folders/11L-QssG_HN_fkEjeHubMA5syfU_juNm1?usp=drive_link" TargetMode="External"/><Relationship Id="rId26" Type="http://schemas.openxmlformats.org/officeDocument/2006/relationships/hyperlink" Target="https://drive.google.com/drive/folders/1P-NMjl0Fu_Gm9egChFAKp8ByYP2PwLu9?usp=drive_link" TargetMode="External"/><Relationship Id="rId25" Type="http://schemas.openxmlformats.org/officeDocument/2006/relationships/hyperlink" Target="https://drive.google.com/file/d/12CkNMpDq_qi4Z493CjLLJSFiRezrDq9g/view?usp=drive_link" TargetMode="External"/><Relationship Id="rId28" Type="http://schemas.openxmlformats.org/officeDocument/2006/relationships/hyperlink" Target="https://drive.google.com/file/d/1aq2kIU9eqXNqi1hfhABT6piXL2V0fQkM/view?usp=drive_link" TargetMode="External"/><Relationship Id="rId27" Type="http://schemas.openxmlformats.org/officeDocument/2006/relationships/hyperlink" Target="https://drive.google.com/drive/folders/1rJc5Jw09-a2GgzwN8O8u6xD-x0dVJTWM?usp=drive_link" TargetMode="External"/><Relationship Id="rId29" Type="http://schemas.openxmlformats.org/officeDocument/2006/relationships/hyperlink" Target="https://drive.google.com/file/d/1D0173HBCVovGDeKcE_fpXqAESLL7YnaE/view?usp=drive_link" TargetMode="External"/><Relationship Id="rId11" Type="http://schemas.openxmlformats.org/officeDocument/2006/relationships/hyperlink" Target="https://drive.google.com/file/d/1W3CVDLhMP92MvuVPE2vIH5C-tGRiSLpQ/view?usp=drive_link" TargetMode="External"/><Relationship Id="rId10" Type="http://schemas.openxmlformats.org/officeDocument/2006/relationships/hyperlink" Target="https://drive.google.com/drive/folders/1W6H8b7Ma6j6ypLUpWiHA3CcJTl0Tlhug?usp=drive_link" TargetMode="External"/><Relationship Id="rId13" Type="http://schemas.openxmlformats.org/officeDocument/2006/relationships/hyperlink" Target="https://drive.google.com/file/d/1lLwftZdObI-JKkk7WOAqdezkQRKxRZSP/view?usp=drive_link" TargetMode="External"/><Relationship Id="rId12" Type="http://schemas.openxmlformats.org/officeDocument/2006/relationships/hyperlink" Target="https://drive.google.com/file/d/1ostCdJxVooPOjEp0G_b-dOMQNdYPNla1/view?usp=drive_link" TargetMode="External"/><Relationship Id="rId15" Type="http://schemas.openxmlformats.org/officeDocument/2006/relationships/hyperlink" Target="https://drive.google.com/file/d/1q4Lh0teMJ7Fyep3T_crbKcTl-PhZZo2B/view?usp=drive_link" TargetMode="External"/><Relationship Id="rId14" Type="http://schemas.openxmlformats.org/officeDocument/2006/relationships/hyperlink" Target="https://drive.google.com/file/d/1LmllFeMQnqoemZeFg0fvkXPZJ-iyl5pM/view?usp=drive_link" TargetMode="External"/><Relationship Id="rId17" Type="http://schemas.openxmlformats.org/officeDocument/2006/relationships/hyperlink" Target="https://drive.google.com/drive/folders/1zzItCGcJGb4nGzJz8WN7leukvrcBB563?usp=drive_link" TargetMode="External"/><Relationship Id="rId16" Type="http://schemas.openxmlformats.org/officeDocument/2006/relationships/hyperlink" Target="https://drive.google.com/drive/folders/12XRO6OhH5F8zRv5nD9gnrxf3PGphFSAV?usp=drive_link" TargetMode="External"/><Relationship Id="rId19" Type="http://schemas.openxmlformats.org/officeDocument/2006/relationships/hyperlink" Target="https://drive.google.com/file/d/113tVzIKCxWofg-yuZbX1eitq-Sx_UZVu/view?usp=drive_link" TargetMode="External"/><Relationship Id="rId18" Type="http://schemas.openxmlformats.org/officeDocument/2006/relationships/hyperlink" Target="https://drive.google.com/drive/folders/1skAdpszixb9hOld8hVI-27IMoI31X_lF?usp=drive_link" TargetMode="External"/><Relationship Id="rId1" Type="http://schemas.openxmlformats.org/officeDocument/2006/relationships/hyperlink" Target="https://drive.google.com/file/d/1nFDJUzzcF8wzrqA6cDyLsQRdIyuqmqkt/view?usp=drive_link" TargetMode="External"/><Relationship Id="rId2" Type="http://schemas.openxmlformats.org/officeDocument/2006/relationships/hyperlink" Target="https://drive.google.com/file/d/1s2BK-jGghjQ9VsVUl1BPUigonjZAGZlg/view?usp=drive_link" TargetMode="External"/><Relationship Id="rId3" Type="http://schemas.openxmlformats.org/officeDocument/2006/relationships/hyperlink" Target="https://drive.google.com/file/d/1pcyou9ZjKPRMKH46u1AV0OZCyH_27Pd2/view?usp=drive_link" TargetMode="External"/><Relationship Id="rId4" Type="http://schemas.openxmlformats.org/officeDocument/2006/relationships/hyperlink" Target="https://drive.google.com/drive/folders/1lhYhi6MVuUp-BIURERcNgkJUiyclaWXg?usp=drive_link" TargetMode="External"/><Relationship Id="rId9" Type="http://schemas.openxmlformats.org/officeDocument/2006/relationships/hyperlink" Target="https://drive.google.com/drive/folders/1WU7bkglPn8HJSmBsuICIzRowlE_zDTxW?usp=drive_link" TargetMode="External"/><Relationship Id="rId5" Type="http://schemas.openxmlformats.org/officeDocument/2006/relationships/hyperlink" Target="https://drive.google.com/drive/folders/1szPB8K-puxCQJYpJEE4yUe5kyOLmzh1C?usp=drive_link" TargetMode="External"/><Relationship Id="rId6" Type="http://schemas.openxmlformats.org/officeDocument/2006/relationships/hyperlink" Target="https://drive.google.com/drive/folders/1q2OgYg70NlTWslKMqhywuP2JLiRPIl25?usp=drive_link" TargetMode="External"/><Relationship Id="rId7" Type="http://schemas.openxmlformats.org/officeDocument/2006/relationships/hyperlink" Target="https://drive.google.com/drive/folders/1yh3rDwyk4KqHLuSKmuxGvD7TOQ9iqz7g?usp=drive_link" TargetMode="External"/><Relationship Id="rId8" Type="http://schemas.openxmlformats.org/officeDocument/2006/relationships/hyperlink" Target="https://drive.google.com/drive/folders/1GtwrD-VDp8LWVbpbz0I4uLjBquw92vCg?usp=drive_link"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hyperlink" Target="https://drive.google.com/drive/u/1/folders/13_npEi4A3qDIgOi6tIrQKC_ufqnFeGgG" TargetMode="External"/><Relationship Id="rId2" Type="http://schemas.openxmlformats.org/officeDocument/2006/relationships/hyperlink" Target="https://drive.google.com/file/d/1oo-Snlg6Sg3a4yBHJsciI7-yOIjeHxbH/view?usp=sharing" TargetMode="External"/><Relationship Id="rId3" Type="http://schemas.openxmlformats.org/officeDocument/2006/relationships/hyperlink" Target="https://drive.google.com/file/d/1A_SIFGaSDO1N5sRyPiJtOeNS_y6sEOOH/view?usp=sharing" TargetMode="External"/><Relationship Id="rId4" Type="http://schemas.openxmlformats.org/officeDocument/2006/relationships/drawing" Target="../drawings/drawing2.xml"/><Relationship Id="rId10" Type="http://schemas.openxmlformats.org/officeDocument/2006/relationships/table" Target="../tables/table3.xml"/><Relationship Id="rId9" Type="http://schemas.openxmlformats.org/officeDocument/2006/relationships/table" Target="../tables/table2.xml"/><Relationship Id="rId8"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hyperlink" Target="https://drive.google.com/drive/u/1/folders/13_npEi4A3qDIgOi6tIrQKC_ufqnFeGgG" TargetMode="External"/><Relationship Id="rId2" Type="http://schemas.openxmlformats.org/officeDocument/2006/relationships/drawing" Target="../drawings/drawing3.xml"/><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1" Type="http://schemas.openxmlformats.org/officeDocument/2006/relationships/hyperlink" Target="https://drive.google.com/file/d/1OA2N7IBB7AvNg25rCGD3ywxdkn4MKZvK/view?usp=drive_link" TargetMode="External"/><Relationship Id="rId2" Type="http://schemas.openxmlformats.org/officeDocument/2006/relationships/hyperlink" Target="https://drive.google.com/file/d/1Z5n8speIpp9DgsrhGcbYdNp5PVkQ4-Fw/view?usp=drive_link" TargetMode="External"/><Relationship Id="rId3" Type="http://schemas.openxmlformats.org/officeDocument/2006/relationships/hyperlink" Target="https://drive.google.com/file/d/1mZ-Kkc4t8YrU5ctYBLzIpqm4ba6xUj3t/view?usp=drive_link" TargetMode="External"/><Relationship Id="rId4" Type="http://schemas.openxmlformats.org/officeDocument/2006/relationships/hyperlink" Target="https://drive.google.com/file/d/11VPxPVK5uPNsTgZ3N5hDUioye_pdGY8m/view?usp=sharing" TargetMode="External"/><Relationship Id="rId11" Type="http://schemas.openxmlformats.org/officeDocument/2006/relationships/hyperlink" Target="https://drive.google.com/file/d/1wX_FVfVIqb99IFlcdEz3kVY8xsjgL9Uk/view?usp=drive_link" TargetMode="External"/><Relationship Id="rId10" Type="http://schemas.openxmlformats.org/officeDocument/2006/relationships/hyperlink" Target="https://drive.google.com/file/d/1brtojW_mv8Hj4vRimA-LpVcBeXruaj7P/view?usp=drive_link" TargetMode="External"/><Relationship Id="rId12" Type="http://schemas.openxmlformats.org/officeDocument/2006/relationships/drawing" Target="../drawings/drawing4.xml"/><Relationship Id="rId9" Type="http://schemas.openxmlformats.org/officeDocument/2006/relationships/hyperlink" Target="https://drive.google.com/file/d/1Z5n8speIpp9DgsrhGcbYdNp5PVkQ4-Fw/view?usp=drive_link" TargetMode="External"/><Relationship Id="rId5" Type="http://schemas.openxmlformats.org/officeDocument/2006/relationships/hyperlink" Target="https://drive.google.com/file/d/1eb_EzABh3bMkH29frbadOPUtZyikuJJr/view?usp=drive_link" TargetMode="External"/><Relationship Id="rId6" Type="http://schemas.openxmlformats.org/officeDocument/2006/relationships/hyperlink" Target="https://drive.google.com/file/d/1I3iC1LsWXCdt7beFZQaCCPtabEqBPrWK/view?usp=drive_link" TargetMode="External"/><Relationship Id="rId7" Type="http://schemas.openxmlformats.org/officeDocument/2006/relationships/hyperlink" Target="https://drive.google.com/file/d/1H4qH4h67qdTQNoGuWLuLpzPN4fdKMQxu/view?usp=drive_link" TargetMode="External"/><Relationship Id="rId8" Type="http://schemas.openxmlformats.org/officeDocument/2006/relationships/hyperlink" Target="https://drive.google.com/file/d/1Dqp1N_wJewUbtu_6Z0BRag31Fsg80nZe/view?usp=drive_link" TargetMode="External"/></Relationships>
</file>

<file path=xl/worksheets/_rels/sheet5.xml.rels><?xml version="1.0" encoding="UTF-8" standalone="yes"?><Relationships xmlns="http://schemas.openxmlformats.org/package/2006/relationships"><Relationship Id="rId11" Type="http://schemas.openxmlformats.org/officeDocument/2006/relationships/hyperlink" Target="https://drive.google.com/file/d/1qISK0miE9_-LcGQ_iNnpHUjq7B9lWeKl/view?usp=drive_link" TargetMode="External"/><Relationship Id="rId10" Type="http://schemas.openxmlformats.org/officeDocument/2006/relationships/hyperlink" Target="https://drive.google.com/file/d/1NCst4lTvGmXAwkEhN-Iotzy6IKCvJQaK/view?usp=drive_link" TargetMode="External"/><Relationship Id="rId13" Type="http://schemas.openxmlformats.org/officeDocument/2006/relationships/hyperlink" Target="https://drive.google.com/file/d/1lElBPc00tEwTGYkvt015VixAqVNwW3IO/view?usp=drive_link" TargetMode="External"/><Relationship Id="rId12" Type="http://schemas.openxmlformats.org/officeDocument/2006/relationships/hyperlink" Target="https://drive.google.com/file/d/1qISK0miE9_-LcGQ_iNnpHUjq7B9lWeKl/view?usp=drive_link" TargetMode="External"/><Relationship Id="rId1" Type="http://schemas.openxmlformats.org/officeDocument/2006/relationships/hyperlink" Target="https://drive.google.com/file/d/17TeSIL2A252Y-qHiY7bbs7Wc-CadM7Ow/view?usp=drive_link" TargetMode="External"/><Relationship Id="rId2" Type="http://schemas.openxmlformats.org/officeDocument/2006/relationships/hyperlink" Target="https://drive.google.com/file/d/1B5JtoP51X0FUg1LiJTgH0hizSfZ1FrAZ/view?usp=drive_link" TargetMode="External"/><Relationship Id="rId3" Type="http://schemas.openxmlformats.org/officeDocument/2006/relationships/hyperlink" Target="https://drive.google.com/file/d/1MxSnedL2NE4WIWms-gIUn22G_U47r5qA/view?usp=drive_link" TargetMode="External"/><Relationship Id="rId4" Type="http://schemas.openxmlformats.org/officeDocument/2006/relationships/hyperlink" Target="https://drive.google.com/file/d/1BMlhQr84_uREaRgoYkw7oOZGmp5hrGhi/view?usp=drive_link" TargetMode="External"/><Relationship Id="rId9" Type="http://schemas.openxmlformats.org/officeDocument/2006/relationships/hyperlink" Target="https://drive.google.com/file/d/1Hx_Djf4uNUJBHD4S8r2Bmig26lhs7s9g/view?usp=drive_link" TargetMode="External"/><Relationship Id="rId15" Type="http://schemas.openxmlformats.org/officeDocument/2006/relationships/hyperlink" Target="https://drive.google.com/file/d/17hc_aVV9cABLeohOqZddljxBVfE_c8Mk/view?usp=drive_link" TargetMode="External"/><Relationship Id="rId14" Type="http://schemas.openxmlformats.org/officeDocument/2006/relationships/hyperlink" Target="https://drive.google.com/file/d/1-2_4MgHEIqpT6AxgT8SszDo-orSNRrFv/view?usp=drive_link" TargetMode="External"/><Relationship Id="rId17" Type="http://schemas.openxmlformats.org/officeDocument/2006/relationships/drawing" Target="../drawings/drawing5.xml"/><Relationship Id="rId16" Type="http://schemas.openxmlformats.org/officeDocument/2006/relationships/hyperlink" Target="https://drive.google.com/file/d/1BxT2zDlRhrAcuxn22QpBlRpwEgTVGmrD/view?usp=drive_link" TargetMode="External"/><Relationship Id="rId5" Type="http://schemas.openxmlformats.org/officeDocument/2006/relationships/hyperlink" Target="https://drive.google.com/file/d/1Ty5GTIcMBuLHjzs6AHntJ3ANibNzg0iB/view?usp=drive_link" TargetMode="External"/><Relationship Id="rId6" Type="http://schemas.openxmlformats.org/officeDocument/2006/relationships/hyperlink" Target="https://drive.google.com/file/d/1op37EPj6Yu8tTQyD4_7cro4X-ElujqAI/view?usp=drive_link" TargetMode="External"/><Relationship Id="rId7" Type="http://schemas.openxmlformats.org/officeDocument/2006/relationships/hyperlink" Target="https://drive.google.com/file/d/1XlxDDFnZAra8MolNFvG7rWa5VMoumTYm/view?usp=drive_link" TargetMode="External"/><Relationship Id="rId8" Type="http://schemas.openxmlformats.org/officeDocument/2006/relationships/hyperlink" Target="https://drive.google.com/file/d/1Pxw43vfgU96BJh9rNaFSFycFawkjFhaF/view?usp=drive_link"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drive.google.com/drive/folders/1IFzXIbTKF6MK1fbCAxhPYhPM2-QRgIt2" TargetMode="External"/><Relationship Id="rId2" Type="http://schemas.openxmlformats.org/officeDocument/2006/relationships/hyperlink" Target="https://drive.google.com/drive/folders/1IhApsuBnvJkM8DXoZgE3n5kYjJB0VOBZ" TargetMode="External"/><Relationship Id="rId3"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3" Type="http://schemas.openxmlformats.org/officeDocument/2006/relationships/table" Target="../tables/table6.xml"/><Relationship Id="rId12" Type="http://schemas.openxmlformats.org/officeDocument/2006/relationships/table" Target="../tables/table5.xml"/><Relationship Id="rId1" Type="http://schemas.openxmlformats.org/officeDocument/2006/relationships/hyperlink" Target="https://drive.google.com/file/d/1D1eve_dgFDRCJ5uzB3eQMO5CNZ7y12nP/view?usp=sharing" TargetMode="External"/><Relationship Id="rId2" Type="http://schemas.openxmlformats.org/officeDocument/2006/relationships/hyperlink" Target="https://drive.google.com/file/d/1sDsbunsziu2Ht5DvqmWI3CDRJV38c0kM/view?usp=sharing" TargetMode="External"/><Relationship Id="rId3" Type="http://schemas.openxmlformats.org/officeDocument/2006/relationships/hyperlink" Target="https://drive.google.com/file/d/1H7QWBzJjLdqWJENMxVjLWz3sJLlYXx8U/view?usp=sharing" TargetMode="External"/><Relationship Id="rId4" Type="http://schemas.openxmlformats.org/officeDocument/2006/relationships/hyperlink" Target="https://drive.google.com/file/d/1H7QWBzJjLdqWJENMxVjLWz3sJLlYXx8U/view?usp=sharing" TargetMode="External"/><Relationship Id="rId15" Type="http://schemas.openxmlformats.org/officeDocument/2006/relationships/table" Target="../tables/table8.xml"/><Relationship Id="rId14" Type="http://schemas.openxmlformats.org/officeDocument/2006/relationships/table" Target="../tables/table7.xml"/><Relationship Id="rId5" Type="http://schemas.openxmlformats.org/officeDocument/2006/relationships/hyperlink" Target="https://drive.google.com/file/d/1N5u0415eCVuXpL-3kwY-ftSFIBnwkJro/view?usp=sharing" TargetMode="External"/><Relationship Id="rId6" Type="http://schemas.openxmlformats.org/officeDocument/2006/relationships/hyperlink" Target="http://boulanger.com/" TargetMode="External"/><Relationship Id="rId7"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40" Type="http://schemas.openxmlformats.org/officeDocument/2006/relationships/hyperlink" Target="https://drive.google.com/file/d/12IIIoZPJLMntkMXQMpXHxvYyIszuK8I_/view?usp=sharing" TargetMode="External"/><Relationship Id="rId190" Type="http://schemas.openxmlformats.org/officeDocument/2006/relationships/hyperlink" Target="https://drive.google.com/file/d/1Mxhapm81qDpwAc6vo66Osr9XUN2Ginwa/view?usp=drive_link" TargetMode="External"/><Relationship Id="rId42" Type="http://schemas.openxmlformats.org/officeDocument/2006/relationships/hyperlink" Target="https://drive.google.com/drive/folders/1HawrF9_w3Lt_KWwma4b89WqLe8w8UYIA?usp=drive_link" TargetMode="External"/><Relationship Id="rId41" Type="http://schemas.openxmlformats.org/officeDocument/2006/relationships/hyperlink" Target="https://drive.google.com/file/d/12IIIoZPJLMntkMXQMpXHxvYyIszuK8I_/view?usp=sharing" TargetMode="External"/><Relationship Id="rId44" Type="http://schemas.openxmlformats.org/officeDocument/2006/relationships/hyperlink" Target="https://drive.google.com/drive/folders/1izCaiGihcp-d3rxrV68DYXqXqxGmQkjp?usp=sharing" TargetMode="External"/><Relationship Id="rId194" Type="http://schemas.openxmlformats.org/officeDocument/2006/relationships/hyperlink" Target="https://drive.google.com/file/d/13FeLj5eaxm_zhXb_jEnxJMLrww8DkLlG/view?usp=drive_link" TargetMode="External"/><Relationship Id="rId43" Type="http://schemas.openxmlformats.org/officeDocument/2006/relationships/hyperlink" Target="https://drive.google.com/drive/folders/1HawrF9_w3Lt_KWwma4b89WqLe8w8UYIA?usp=drive_link" TargetMode="External"/><Relationship Id="rId193" Type="http://schemas.openxmlformats.org/officeDocument/2006/relationships/hyperlink" Target="https://drive.google.com/file/d/1z1zQjhqlxhmmhoWf49QIpLtQ1d3OCIda/view?usp=drive_link" TargetMode="External"/><Relationship Id="rId46" Type="http://schemas.openxmlformats.org/officeDocument/2006/relationships/hyperlink" Target="https://drive.google.com/file/d/1kC8suwded0PiBekAnQ4Zt6INnnD7W3Tn/view?usp=drive_link" TargetMode="External"/><Relationship Id="rId192" Type="http://schemas.openxmlformats.org/officeDocument/2006/relationships/hyperlink" Target="https://drive.google.com/file/d/1UZIaHRN6eiZn6pb15UlNAFKAOh4Z4E3F/view?usp=drive_link" TargetMode="External"/><Relationship Id="rId45" Type="http://schemas.openxmlformats.org/officeDocument/2006/relationships/hyperlink" Target="https://drive.google.com/file/d/13PyJzzQC0kFNg_3WMKGrenB0Yy5mPGvV/view?usp=drive_link" TargetMode="External"/><Relationship Id="rId191" Type="http://schemas.openxmlformats.org/officeDocument/2006/relationships/hyperlink" Target="https://drive.google.com/file/d/1RpwL6pIpK8x-ivbt300NI8u5x5iRTAkK/view?usp=drive_link" TargetMode="External"/><Relationship Id="rId48" Type="http://schemas.openxmlformats.org/officeDocument/2006/relationships/hyperlink" Target="https://drive.google.com/drive/folders/1gKyzBE4CAbMOYkwg8p0Nx5v5jRGpKSMC?usp=drive_link" TargetMode="External"/><Relationship Id="rId187" Type="http://schemas.openxmlformats.org/officeDocument/2006/relationships/hyperlink" Target="https://drive.google.com/file/d/1WLFPTpzOtgXwlN0xPiES5PEh5QHJO98v/view?usp=drive_link" TargetMode="External"/><Relationship Id="rId47" Type="http://schemas.openxmlformats.org/officeDocument/2006/relationships/hyperlink" Target="https://drive.google.com/drive/folders/1gKyzBE4CAbMOYkwg8p0Nx5v5jRGpKSMC" TargetMode="External"/><Relationship Id="rId186" Type="http://schemas.openxmlformats.org/officeDocument/2006/relationships/hyperlink" Target="https://drive.google.com/file/d/1nTPved1Ny9aKFBcMaA0ZeQb0jvx9QW0W/view?usp=drive_link" TargetMode="External"/><Relationship Id="rId185" Type="http://schemas.openxmlformats.org/officeDocument/2006/relationships/hyperlink" Target="https://drive.google.com/file/d/1qLokRG_STZctfed-jrFbtuqoJP7s41dy/view?usp=drive_link" TargetMode="External"/><Relationship Id="rId49" Type="http://schemas.openxmlformats.org/officeDocument/2006/relationships/hyperlink" Target="https://drive.google.com/drive/folders/1AukohJpqd3EwatzRnOgrVYcXWJuvv-rJ" TargetMode="External"/><Relationship Id="rId184" Type="http://schemas.openxmlformats.org/officeDocument/2006/relationships/hyperlink" Target="https://drive.google.com/file/d/1Dyg-ozbXLkF7eiaTkF5rTXjcvJKyIqgu/view?usp=drive_link" TargetMode="External"/><Relationship Id="rId189" Type="http://schemas.openxmlformats.org/officeDocument/2006/relationships/hyperlink" Target="https://drive.google.com/file/d/1LliNOqHg-hM25GxVs6ol3GaazjVv04wu/view?usp=drive_link" TargetMode="External"/><Relationship Id="rId188" Type="http://schemas.openxmlformats.org/officeDocument/2006/relationships/hyperlink" Target="https://drive.google.com/file/d/1Rb57-HzDwtbNbtU3V-1gi9v60bOA2fs0/view?usp=drive_link" TargetMode="External"/><Relationship Id="rId31" Type="http://schemas.openxmlformats.org/officeDocument/2006/relationships/hyperlink" Target="https://drive.google.com/drive/folders/1yJiO8mwEn4zzohQpyVvbuFN-fzfWdckQ" TargetMode="External"/><Relationship Id="rId30" Type="http://schemas.openxmlformats.org/officeDocument/2006/relationships/hyperlink" Target="https://drive.google.com/drive/folders/1yJiO8mwEn4zzohQpyVvbuFN-fzfWdckQ" TargetMode="External"/><Relationship Id="rId33" Type="http://schemas.openxmlformats.org/officeDocument/2006/relationships/hyperlink" Target="https://drive.google.com/file/d/1_gktbc8Mb6MZB1WKSpKEOMSJxyRBxWZZ/view?usp=drive_link" TargetMode="External"/><Relationship Id="rId183" Type="http://schemas.openxmlformats.org/officeDocument/2006/relationships/hyperlink" Target="https://drive.google.com/file/d/1uqeDM1FVzjQ5AurmplSZ6cWICUSojo8-/view?usp=drive_link" TargetMode="External"/><Relationship Id="rId32" Type="http://schemas.openxmlformats.org/officeDocument/2006/relationships/hyperlink" Target="https://drive.google.com/drive/folders/1yJiO8mwEn4zzohQpyVvbuFN-fzfWdckQ" TargetMode="External"/><Relationship Id="rId182" Type="http://schemas.openxmlformats.org/officeDocument/2006/relationships/hyperlink" Target="https://drive.google.com/drive/folders/1Xy94sXp6IdlGo4K-8nBiHTByF48EicQu" TargetMode="External"/><Relationship Id="rId35" Type="http://schemas.openxmlformats.org/officeDocument/2006/relationships/hyperlink" Target="https://drive.google.com/file/d/1gpqqtzeXwj8fCFVWzMGf69aFmlnzw5nX/view?usp=drive_link" TargetMode="External"/><Relationship Id="rId181" Type="http://schemas.openxmlformats.org/officeDocument/2006/relationships/hyperlink" Target="https://drive.google.com/drive/folders/1Xy94sXp6IdlGo4K-8nBiHTByF48EicQu?usp=drive_link" TargetMode="External"/><Relationship Id="rId34" Type="http://schemas.openxmlformats.org/officeDocument/2006/relationships/hyperlink" Target="https://drive.google.com/file/d/1gpqqtzeXwj8fCFVWzMGf69aFmlnzw5nX/view?usp=drive_link" TargetMode="External"/><Relationship Id="rId180" Type="http://schemas.openxmlformats.org/officeDocument/2006/relationships/hyperlink" Target="https://drive.google.com/drive/folders/1Xy94sXp6IdlGo4K-8nBiHTByF48EicQu?usp=drive_link" TargetMode="External"/><Relationship Id="rId37" Type="http://schemas.openxmlformats.org/officeDocument/2006/relationships/hyperlink" Target="https://drive.google.com/file/d/1ixEF6cXqXoEnpPodkwYNxHFVs0nrbRGt/view?usp=sharing" TargetMode="External"/><Relationship Id="rId176" Type="http://schemas.openxmlformats.org/officeDocument/2006/relationships/hyperlink" Target="https://drive.google.com/file/d/1mjy5HFmkT_GQBWUyAWm3eV9-bR2f84um/view?usp=drive_link" TargetMode="External"/><Relationship Id="rId297" Type="http://schemas.openxmlformats.org/officeDocument/2006/relationships/hyperlink" Target="https://drive.google.com/file/d/1445bX3x783k6H1nuQlK8qAPSi0ZWBZHO/view?usp=drive_link" TargetMode="External"/><Relationship Id="rId36" Type="http://schemas.openxmlformats.org/officeDocument/2006/relationships/hyperlink" Target="https://drive.google.com/file/d/1Vxwe4Ogsd6bhOoKa7d93iiisbbCj5KiO/view?ts=655fb293" TargetMode="External"/><Relationship Id="rId175" Type="http://schemas.openxmlformats.org/officeDocument/2006/relationships/hyperlink" Target="https://drive.google.com/file/d/1FEeBGpVPh4K0Xj6x62Ik70TauUof4Il-/view?usp=drive_link" TargetMode="External"/><Relationship Id="rId296" Type="http://schemas.openxmlformats.org/officeDocument/2006/relationships/hyperlink" Target="https://drive.google.com/file/d/1KX3acuZXgmComL6TlXvKPcTcO4kDvVwR/view?usp=drive_link" TargetMode="External"/><Relationship Id="rId39" Type="http://schemas.openxmlformats.org/officeDocument/2006/relationships/hyperlink" Target="https://drive.google.com/drive/folders/170k4h9dvnVGoDWR5v9e5jRnZuhpeJxQo" TargetMode="External"/><Relationship Id="rId174" Type="http://schemas.openxmlformats.org/officeDocument/2006/relationships/hyperlink" Target="https://drive.google.com/file/d/15bJDp_aNHsvo7uxSPsj9kmj8UOnA5CoX/view?usp=sharing" TargetMode="External"/><Relationship Id="rId295" Type="http://schemas.openxmlformats.org/officeDocument/2006/relationships/hyperlink" Target="https://drive.google.com/file/d/1KX3acuZXgmComL6TlXvKPcTcO4kDvVwR/view?usp=drive_link" TargetMode="External"/><Relationship Id="rId38" Type="http://schemas.openxmlformats.org/officeDocument/2006/relationships/hyperlink" Target="https://drive.google.com/file/d/1Vxwe4Ogsd6bhOoKa7d93iiisbbCj5KiO/view?ts=655fb293" TargetMode="External"/><Relationship Id="rId173" Type="http://schemas.openxmlformats.org/officeDocument/2006/relationships/hyperlink" Target="https://drive.google.com/file/d/1FEeBGpVPh4K0Xj6x62Ik70TauUof4Il-/view?usp=drive_link" TargetMode="External"/><Relationship Id="rId294" Type="http://schemas.openxmlformats.org/officeDocument/2006/relationships/hyperlink" Target="https://drive.google.com/file/d/1AfDjeaeuIExwGWk91sycDdi2xZ9CEhlp/view?usp=drive_link" TargetMode="External"/><Relationship Id="rId179" Type="http://schemas.openxmlformats.org/officeDocument/2006/relationships/hyperlink" Target="https://drive.google.com/file/d/1xSV5Z_4LX8QURTvvCUDYCiT3ld7hJWaC/view?usp=drive_link" TargetMode="External"/><Relationship Id="rId178" Type="http://schemas.openxmlformats.org/officeDocument/2006/relationships/hyperlink" Target="https://drive.google.com/file/d/1TDvhBOY_0DbU2mw8muNwvc14Gy9zyEBo/view?usp=drive_link" TargetMode="External"/><Relationship Id="rId299" Type="http://schemas.openxmlformats.org/officeDocument/2006/relationships/hyperlink" Target="https://drive.google.com/file/d/1GXlq0u0Q_PlDAC-VSloss265i8J-4-ZG/view?usp=drive_link" TargetMode="External"/><Relationship Id="rId177" Type="http://schemas.openxmlformats.org/officeDocument/2006/relationships/hyperlink" Target="https://drive.google.com/file/d/1mjy5HFmkT_GQBWUyAWm3eV9-bR2f84um/view?usp=drive_link" TargetMode="External"/><Relationship Id="rId298" Type="http://schemas.openxmlformats.org/officeDocument/2006/relationships/hyperlink" Target="https://drive.google.com/file/d/1CuCfTzADXb90P5IlsYGEHtsSykCiIUl5/view?usp=drive_link" TargetMode="External"/><Relationship Id="rId20" Type="http://schemas.openxmlformats.org/officeDocument/2006/relationships/hyperlink" Target="https://drive.google.com/file/d/12Pq-rAXKKwISoKceLtA0wRTQGduHpjwr/view?usp=drive_link" TargetMode="External"/><Relationship Id="rId22" Type="http://schemas.openxmlformats.org/officeDocument/2006/relationships/hyperlink" Target="https://drive.google.com/file/d/1YOfHgrzH1_MW1ViIBiOA7euGC_DkRlVm/view?usp=drive_link" TargetMode="External"/><Relationship Id="rId21" Type="http://schemas.openxmlformats.org/officeDocument/2006/relationships/hyperlink" Target="https://drive.google.com/file/d/1Uz-RFLu0XdkUsLqouGDwO6CHzvexbtjD/view?usp=drive_link" TargetMode="External"/><Relationship Id="rId24" Type="http://schemas.openxmlformats.org/officeDocument/2006/relationships/hyperlink" Target="https://drive.google.com/file/d/1vESI0sNOeCHAjQi7iziAxHRC9iZhcl_U/view?usp=drive_link" TargetMode="External"/><Relationship Id="rId23" Type="http://schemas.openxmlformats.org/officeDocument/2006/relationships/hyperlink" Target="https://boulanger.scene7.com/is/content/Boulanger/2.B.com/Commerce/EMS/2909D.pdf" TargetMode="External"/><Relationship Id="rId26" Type="http://schemas.openxmlformats.org/officeDocument/2006/relationships/hyperlink" Target="https://www.google.com/url?q=https://drive.google.com/file/d/1Uz-RFLu0XdkUsLqouGDwO6CHzvexbtjD/view?usp%3Ddrive_link&amp;sa=D&amp;source=editors&amp;ust=1696412290864900&amp;usg=AOvVaw0OFiByl8KgU1t46Jy_tgYM" TargetMode="External"/><Relationship Id="rId25" Type="http://schemas.openxmlformats.org/officeDocument/2006/relationships/hyperlink" Target="https://drive.google.com/file/d/1R7YCe4Bvgv3apO-6DxMpCcgkDSaDSBAV/view?usp=drive_link" TargetMode="External"/><Relationship Id="rId28" Type="http://schemas.openxmlformats.org/officeDocument/2006/relationships/hyperlink" Target="https://drive.google.com/file/d/1O8x0c_eN6J1BDyuXDlko0_gGcuhXsk_I/view?usp=drive_link" TargetMode="External"/><Relationship Id="rId27" Type="http://schemas.openxmlformats.org/officeDocument/2006/relationships/hyperlink" Target="https://drive.google.com/drive/folders/1yJiO8mwEn4zzohQpyVvbuFN-fzfWdckQ" TargetMode="External"/><Relationship Id="rId29" Type="http://schemas.openxmlformats.org/officeDocument/2006/relationships/hyperlink" Target="https://drive.google.com/file/d/1O8x0c_eN6J1BDyuXDlko0_gGcuhXsk_I/view?usp=drive_link" TargetMode="External"/><Relationship Id="rId11" Type="http://schemas.openxmlformats.org/officeDocument/2006/relationships/hyperlink" Target="https://drive.google.com/file/d/1QyZJLPqoOXLm1JKrKGoV7a5o06bfUMbJ/view?usp=sharing" TargetMode="External"/><Relationship Id="rId10" Type="http://schemas.openxmlformats.org/officeDocument/2006/relationships/hyperlink" Target="https://drive.google.com/file/d/169rzg0MQifhLnOzq71yiMcZ6GBBUxhRJ/view?usp=sharing" TargetMode="External"/><Relationship Id="rId13" Type="http://schemas.openxmlformats.org/officeDocument/2006/relationships/hyperlink" Target="https://drive.google.com/file/d/1GxwSZX95uyBrdCUeKug7YUWITNcGXjq3/view?usp=drive_link" TargetMode="External"/><Relationship Id="rId12" Type="http://schemas.openxmlformats.org/officeDocument/2006/relationships/hyperlink" Target="https://drive.google.com/file/d/1YpaMe5mVmgZcpP6yQpN7AshCOCLCBBRl/view?usp=drive_link" TargetMode="External"/><Relationship Id="rId15" Type="http://schemas.openxmlformats.org/officeDocument/2006/relationships/hyperlink" Target="https://drive.google.com/file/d/19zO21pR6-sOYYhif361gvKsYI845iXWh/view?usp=drive_link" TargetMode="External"/><Relationship Id="rId198" Type="http://schemas.openxmlformats.org/officeDocument/2006/relationships/hyperlink" Target="https://drive.google.com/file/d/1EXA6fyjAtJwcwdvHtqPaL7vPhu7lyCTb/view?usp=sharing" TargetMode="External"/><Relationship Id="rId14" Type="http://schemas.openxmlformats.org/officeDocument/2006/relationships/hyperlink" Target="https://drive.google.com/file/d/1GxwSZX95uyBrdCUeKug7YUWITNcGXjq3/view?usp=drive_link" TargetMode="External"/><Relationship Id="rId197" Type="http://schemas.openxmlformats.org/officeDocument/2006/relationships/hyperlink" Target="https://drive.google.com/file/d/1SohqtNYXBiiNK_j9jON-HqQJS9B04muS/view?usp=sharing" TargetMode="External"/><Relationship Id="rId17" Type="http://schemas.openxmlformats.org/officeDocument/2006/relationships/hyperlink" Target="https://drive.google.com/file/d/1oAGP_dxL-hFbssTT-7QnFDmg8Qn43iqW/view?usp=drive_link" TargetMode="External"/><Relationship Id="rId196" Type="http://schemas.openxmlformats.org/officeDocument/2006/relationships/hyperlink" Target="https://drive.google.com/file/d/1hMawByKhyeaLTt8Wu62MXe9MSb__Dieq/view?usp=drive_link" TargetMode="External"/><Relationship Id="rId16" Type="http://schemas.openxmlformats.org/officeDocument/2006/relationships/hyperlink" Target="https://drive.google.com/file/d/12K15LPKbgM1qetodhe8bM48qbRQmJm_8/view?usp=drive_link" TargetMode="External"/><Relationship Id="rId195" Type="http://schemas.openxmlformats.org/officeDocument/2006/relationships/hyperlink" Target="https://drive.google.com/file/d/1AHf5SOAlCP6raCQd3zlYClhihpFpl8ME/view?usp=drive_link" TargetMode="External"/><Relationship Id="rId19" Type="http://schemas.openxmlformats.org/officeDocument/2006/relationships/hyperlink" Target="https://drive.google.com/file/d/1WlPY-NOG9hpA5BOSmvC1ZViMmQABnt6U/view?usp=drive_link" TargetMode="External"/><Relationship Id="rId18" Type="http://schemas.openxmlformats.org/officeDocument/2006/relationships/hyperlink" Target="https://drive.google.com/file/d/1oAGP_dxL-hFbssTT-7QnFDmg8Qn43iqW/view?usp=drive_link" TargetMode="External"/><Relationship Id="rId199" Type="http://schemas.openxmlformats.org/officeDocument/2006/relationships/hyperlink" Target="https://drive.google.com/file/d/10ba5Bp1P8pMOAvTWnlMNJoJo2vEMEXW0/view?usp=drive_link" TargetMode="External"/><Relationship Id="rId84" Type="http://schemas.openxmlformats.org/officeDocument/2006/relationships/hyperlink" Target="https://drive.google.com/file/d/1SlIrpuvHdEPuCteti0CoJ3Klm7g622IR/view?usp=drive_link" TargetMode="External"/><Relationship Id="rId83" Type="http://schemas.openxmlformats.org/officeDocument/2006/relationships/hyperlink" Target="https://drive.google.com/file/d/1SlIrpuvHdEPuCteti0CoJ3Klm7g622IR/view?usp=drive_link" TargetMode="External"/><Relationship Id="rId86" Type="http://schemas.openxmlformats.org/officeDocument/2006/relationships/hyperlink" Target="https://drive.google.com/file/d/1THflRqI-4Ztk7TDMtHGgiJxDHdtswW4M/view?usp=drive_link" TargetMode="External"/><Relationship Id="rId85" Type="http://schemas.openxmlformats.org/officeDocument/2006/relationships/hyperlink" Target="https://drive.google.com/file/d/13qCFfl5FconnTaajzCJ0AG_7TP270jM_/view?usp=drive_link" TargetMode="External"/><Relationship Id="rId88" Type="http://schemas.openxmlformats.org/officeDocument/2006/relationships/hyperlink" Target="https://drive.google.com/file/d/1j0o1j-J5thppG8x5ZCPHAjIywkOcPt8n/view?usp=drive_link" TargetMode="External"/><Relationship Id="rId150" Type="http://schemas.openxmlformats.org/officeDocument/2006/relationships/hyperlink" Target="https://drive.google.com/file/d/15imdkHQt5nhuFNhwECZaT2h5fV4mBVoM/view?usp=drive_link" TargetMode="External"/><Relationship Id="rId271" Type="http://schemas.openxmlformats.org/officeDocument/2006/relationships/hyperlink" Target="https://drive.google.com/file/d/1P4f6qRcpKVRtyit1xy824Fouxoa2aQG-/view?usp=drive_link" TargetMode="External"/><Relationship Id="rId87" Type="http://schemas.openxmlformats.org/officeDocument/2006/relationships/hyperlink" Target="https://drive.google.com/file/d/1THflRqI-4Ztk7TDMtHGgiJxDHdtswW4M/view?usp=drive_link" TargetMode="External"/><Relationship Id="rId270" Type="http://schemas.openxmlformats.org/officeDocument/2006/relationships/hyperlink" Target="https://drive.google.com/file/d/1P4f6qRcpKVRtyit1xy824Fouxoa2aQG-/view?usp=drive_link" TargetMode="External"/><Relationship Id="rId89" Type="http://schemas.openxmlformats.org/officeDocument/2006/relationships/hyperlink" Target="https://drive.google.com/file/d/1DukYHVwFTz8yl00PBooG2D3uKBNoRlDY/view?usp=drive_link" TargetMode="External"/><Relationship Id="rId80" Type="http://schemas.openxmlformats.org/officeDocument/2006/relationships/hyperlink" Target="https://drive.google.com/file/d/1SlIrpuvHdEPuCteti0CoJ3Klm7g622IR/view?usp=drive_link" TargetMode="External"/><Relationship Id="rId82" Type="http://schemas.openxmlformats.org/officeDocument/2006/relationships/hyperlink" Target="https://drive.google.com/file/d/1SlIrpuvHdEPuCteti0CoJ3Klm7g622IR/view?usp=drive_link" TargetMode="External"/><Relationship Id="rId81" Type="http://schemas.openxmlformats.org/officeDocument/2006/relationships/hyperlink" Target="https://drive.google.com/file/d/1SlIrpuvHdEPuCteti0CoJ3Klm7g622IR/view?usp=drive_link" TargetMode="External"/><Relationship Id="rId1" Type="http://schemas.openxmlformats.org/officeDocument/2006/relationships/hyperlink" Target="https://drive.google.com/file/d/12Ch78wDepnm93NHl4kOAz23rMZIGNeUP/view?usp=sharing" TargetMode="External"/><Relationship Id="rId2" Type="http://schemas.openxmlformats.org/officeDocument/2006/relationships/hyperlink" Target="https://drive.google.com/file/d/17z-xgjqmjifUzHKPys9q6a8DJyUb0qm7/view?usp=drive_link" TargetMode="External"/><Relationship Id="rId3" Type="http://schemas.openxmlformats.org/officeDocument/2006/relationships/hyperlink" Target="https://drive.google.com/file/d/17z-xgjqmjifUzHKPys9q6a8DJyUb0qm7/view?usp=drive_link" TargetMode="External"/><Relationship Id="rId149" Type="http://schemas.openxmlformats.org/officeDocument/2006/relationships/hyperlink" Target="https://drive.google.com/file/d/1KJKCCPfyMrB8mXnr41iT2UJCxCJ0s2Vk/view?usp=drive_link" TargetMode="External"/><Relationship Id="rId4" Type="http://schemas.openxmlformats.org/officeDocument/2006/relationships/hyperlink" Target="https://drive.google.com/file/d/1KEnfHSCPdBvRYJNiqIVYuMcwiBRK0KkV/view?usp=drive_link" TargetMode="External"/><Relationship Id="rId148" Type="http://schemas.openxmlformats.org/officeDocument/2006/relationships/hyperlink" Target="https://drive.google.com/file/d/124e7He6dAutuaL_uhBaaQcsQQcdtxBO_/view?usp=drive_link" TargetMode="External"/><Relationship Id="rId269" Type="http://schemas.openxmlformats.org/officeDocument/2006/relationships/hyperlink" Target="https://drive.google.com/file/d/1P4f6qRcpKVRtyit1xy824Fouxoa2aQG-/view?usp=drive_link" TargetMode="External"/><Relationship Id="rId9" Type="http://schemas.openxmlformats.org/officeDocument/2006/relationships/hyperlink" Target="https://drive.google.com/file/d/138pnSx_-L9_6L183K2M58DPi7WXawc-d/view?usp=drive_link" TargetMode="External"/><Relationship Id="rId143" Type="http://schemas.openxmlformats.org/officeDocument/2006/relationships/hyperlink" Target="https://drive.google.com/file/d/1YYpGYURNeGhAk9FqcSVozE7AXVI2_XbA/view?usp=sharing" TargetMode="External"/><Relationship Id="rId264" Type="http://schemas.openxmlformats.org/officeDocument/2006/relationships/hyperlink" Target="https://drive.google.com/file/d/1CSsgMUCAdHd5_mkcKl4RThb1EbTBte_c/view?usp=sharing" TargetMode="External"/><Relationship Id="rId142" Type="http://schemas.openxmlformats.org/officeDocument/2006/relationships/hyperlink" Target="https://drive.google.com/file/d/1bk8TAJ6BAkyLiiU07TH9vQYya6PbJfPf/view?usp=drive_link" TargetMode="External"/><Relationship Id="rId263" Type="http://schemas.openxmlformats.org/officeDocument/2006/relationships/hyperlink" Target="https://drive.google.com/file/d/1XnyYkKq1Sakr5HZ_eXadCWTOmBRi17bl/view?usp=drive_link" TargetMode="External"/><Relationship Id="rId141" Type="http://schemas.openxmlformats.org/officeDocument/2006/relationships/hyperlink" Target="https://drive.google.com/file/d/1fNC9o3HJb_4CB3tQ9fY1mX_CZ_iMVsFW/view?usp=drive_link" TargetMode="External"/><Relationship Id="rId262" Type="http://schemas.openxmlformats.org/officeDocument/2006/relationships/hyperlink" Target="https://drive.google.com/file/d/10JMmD_SjcUCGAKc0q5V4D0ihbD2Zj0i7/view?usp=drive_link" TargetMode="External"/><Relationship Id="rId140" Type="http://schemas.openxmlformats.org/officeDocument/2006/relationships/hyperlink" Target="https://drive.google.com/file/d/12v1YPoe_8Wy8hGcV_0yyD0cpZfQilBy5/view?usp=sharing" TargetMode="External"/><Relationship Id="rId261" Type="http://schemas.openxmlformats.org/officeDocument/2006/relationships/hyperlink" Target="https://drive.google.com/file/d/1falGwfm06WVyQ8pDdjNfb4z-vV2rASai/view?usp=drive_link" TargetMode="External"/><Relationship Id="rId5" Type="http://schemas.openxmlformats.org/officeDocument/2006/relationships/hyperlink" Target="https://drive.google.com/file/d/1sRLqKpV6eAkxsjeBG8RPk0Zwuq7VB5nJ/view?usp=drive_link" TargetMode="External"/><Relationship Id="rId147" Type="http://schemas.openxmlformats.org/officeDocument/2006/relationships/hyperlink" Target="https://drive.google.com/file/d/1rdWBIb21xJtfsrg_qUQLxaDFCofXjKL8/view?usp=drive_link" TargetMode="External"/><Relationship Id="rId268" Type="http://schemas.openxmlformats.org/officeDocument/2006/relationships/hyperlink" Target="https://drive.google.com/file/d/1P4f6qRcpKVRtyit1xy824Fouxoa2aQG-/view?usp=drive_link" TargetMode="External"/><Relationship Id="rId6" Type="http://schemas.openxmlformats.org/officeDocument/2006/relationships/hyperlink" Target="https://drive.google.com/file/d/1gXiZeJtucBCwe0lCv0ccbyZKQ6Al267d/view?usp=sharing" TargetMode="External"/><Relationship Id="rId146" Type="http://schemas.openxmlformats.org/officeDocument/2006/relationships/hyperlink" Target="https://drive.google.com/file/d/1rdWBIb21xJtfsrg_qUQLxaDFCofXjKL8/view?usp=drive_link" TargetMode="External"/><Relationship Id="rId267" Type="http://schemas.openxmlformats.org/officeDocument/2006/relationships/hyperlink" Target="https://drive.google.com/drive/folders/1KmQswONbr4iSLIMgfHs3UVC-R8CVVWhn?usp=drive_link" TargetMode="External"/><Relationship Id="rId7" Type="http://schemas.openxmlformats.org/officeDocument/2006/relationships/hyperlink" Target="https://drive.google.com/file/d/1Ej6Q3NLQM2Dvz76CP7nFV_64dVTDAIQ4/view?usp=sharing" TargetMode="External"/><Relationship Id="rId145" Type="http://schemas.openxmlformats.org/officeDocument/2006/relationships/hyperlink" Target="https://drive.google.com/file/d/1DcH4fCn2kD3fGoUHyIL-x64140SGAEtQ/view?usp=drive_link" TargetMode="External"/><Relationship Id="rId266" Type="http://schemas.openxmlformats.org/officeDocument/2006/relationships/hyperlink" Target="https://drive.google.com/drive/folders/1KmQswONbr4iSLIMgfHs3UVC-R8CVVWhn?usp=drive_link" TargetMode="External"/><Relationship Id="rId8" Type="http://schemas.openxmlformats.org/officeDocument/2006/relationships/hyperlink" Target="https://drive.google.com/file/d/1AYcRmPpi3uCkr6lApHFHUoXtfd029J1Z/view?usp=sharing" TargetMode="External"/><Relationship Id="rId144" Type="http://schemas.openxmlformats.org/officeDocument/2006/relationships/hyperlink" Target="https://drive.google.com/file/d/1BUWYIIF1wTCMlg0pjHSvILo3Cz5Ciunu/view?usp=sharing" TargetMode="External"/><Relationship Id="rId265" Type="http://schemas.openxmlformats.org/officeDocument/2006/relationships/hyperlink" Target="https://drive.google.com/drive/folders/1KmQswONbr4iSLIMgfHs3UVC-R8CVVWhn?usp=drive_link" TargetMode="External"/><Relationship Id="rId73" Type="http://schemas.openxmlformats.org/officeDocument/2006/relationships/hyperlink" Target="https://drive.google.com/file/d/19jOBtYFcTLppOhLK6QrFXAohfk-pkcNF/view?usp=drive_link" TargetMode="External"/><Relationship Id="rId72" Type="http://schemas.openxmlformats.org/officeDocument/2006/relationships/hyperlink" Target="https://drive.google.com/file/d/19jOBtYFcTLppOhLK6QrFXAohfk-pkcNF/view?usp=drive_link" TargetMode="External"/><Relationship Id="rId75" Type="http://schemas.openxmlformats.org/officeDocument/2006/relationships/hyperlink" Target="https://drive.google.com/file/d/1e5uyS7uzXNgG6Zw3D36-H89KxCNjoxmA/view?usp=drive_link" TargetMode="External"/><Relationship Id="rId74" Type="http://schemas.openxmlformats.org/officeDocument/2006/relationships/hyperlink" Target="https://drive.google.com/file/d/1f2uI03HIoXx8OJxAwS1mwOYRjBL3spSx/view?usp=drive_link" TargetMode="External"/><Relationship Id="rId77" Type="http://schemas.openxmlformats.org/officeDocument/2006/relationships/hyperlink" Target="https://drive.google.com/file/d/1w1AiT0fyWWhzmqkVxYIaGl2uXyFpNpYK/view?usp=sharing" TargetMode="External"/><Relationship Id="rId260" Type="http://schemas.openxmlformats.org/officeDocument/2006/relationships/hyperlink" Target="https://drive.google.com/file/d/1Q3imdKnrumXmqYVMaK43F1mICBmcuIpf/view?usp=drive_link" TargetMode="External"/><Relationship Id="rId76" Type="http://schemas.openxmlformats.org/officeDocument/2006/relationships/hyperlink" Target="https://drive.google.com/file/d/1w1AiT0fyWWhzmqkVxYIaGl2uXyFpNpYK/view?usp=sharing" TargetMode="External"/><Relationship Id="rId79" Type="http://schemas.openxmlformats.org/officeDocument/2006/relationships/hyperlink" Target="https://drive.google.com/file/d/1IscG6hrn-CqRdyH3VmSdrgLl7zrKch58/view?usp=drive_link" TargetMode="External"/><Relationship Id="rId78" Type="http://schemas.openxmlformats.org/officeDocument/2006/relationships/hyperlink" Target="https://drive.google.com/file/d/1IscG6hrn-CqRdyH3VmSdrgLl7zrKch58/view?usp=drive_link" TargetMode="External"/><Relationship Id="rId71" Type="http://schemas.openxmlformats.org/officeDocument/2006/relationships/hyperlink" Target="https://drive.google.com/file/d/1z_QFhSoq2bXvAWD6VyCUKeg3iD5hCR8W/view?usp=drive_link" TargetMode="External"/><Relationship Id="rId70" Type="http://schemas.openxmlformats.org/officeDocument/2006/relationships/hyperlink" Target="https://drive.google.com/file/d/1KKDIbuhj2hJJHYP0u-pdsjoD_K4qF41z/view?usp=drive_link" TargetMode="External"/><Relationship Id="rId139" Type="http://schemas.openxmlformats.org/officeDocument/2006/relationships/hyperlink" Target="https://drive.google.com/file/d/1DK-0niKe8OsFbf8bQWWfu-iZxAX1JcHM/view?usp=drive_link" TargetMode="External"/><Relationship Id="rId138" Type="http://schemas.openxmlformats.org/officeDocument/2006/relationships/hyperlink" Target="https://drive.google.com/file/d/1xP8L7zUfobYMn4DreklVhsucP_B8NGbw/view?usp=sharing" TargetMode="External"/><Relationship Id="rId259" Type="http://schemas.openxmlformats.org/officeDocument/2006/relationships/hyperlink" Target="https://drive.google.com/open?id=1dhiPB7blYkCRL5dWvOiJnkPWWd65o6uw&amp;usp=drive_copy" TargetMode="External"/><Relationship Id="rId137" Type="http://schemas.openxmlformats.org/officeDocument/2006/relationships/hyperlink" Target="https://drive.google.com/file/d/1AmTxKCjeuBc9FltRo3UzxVk5zAvEuYTF/view?usp=drive_link" TargetMode="External"/><Relationship Id="rId258" Type="http://schemas.openxmlformats.org/officeDocument/2006/relationships/hyperlink" Target="https://drive.google.com/file/d/1k1a7bgFN2Qe8xdBEtDLROuO6XEJ7RXW_/view?usp=drive_link" TargetMode="External"/><Relationship Id="rId132" Type="http://schemas.openxmlformats.org/officeDocument/2006/relationships/hyperlink" Target="https://drive.google.com/file/d/1CBE94lAFhhpwPb2ifr1ioWmzUWeDXYOm/view?usp=sharing" TargetMode="External"/><Relationship Id="rId253" Type="http://schemas.openxmlformats.org/officeDocument/2006/relationships/hyperlink" Target="https://drive.google.com/file/d/1NDHJIPowwex41cCodAizbIG8tuEW6f0x/view?usp=drive_link" TargetMode="External"/><Relationship Id="rId131" Type="http://schemas.openxmlformats.org/officeDocument/2006/relationships/hyperlink" Target="https://drive.google.com/file/d/1cUgzUq6NTDANQKP2P70Qqna0TB94jDCE/view?usp=drive_link" TargetMode="External"/><Relationship Id="rId252" Type="http://schemas.openxmlformats.org/officeDocument/2006/relationships/hyperlink" Target="https://drive.google.com/file/d/10Jq0Q_RDK7HaAwLpAGIW_tIVpLFGMKA3/view?usp=drive_link" TargetMode="External"/><Relationship Id="rId373" Type="http://schemas.openxmlformats.org/officeDocument/2006/relationships/table" Target="../tables/table11.xml"/><Relationship Id="rId130" Type="http://schemas.openxmlformats.org/officeDocument/2006/relationships/hyperlink" Target="https://drive.google.com/file/d/17yHo_lEAA4qmJd8e-lT8hELwVQdxjYqa/view?usp=drive_link" TargetMode="External"/><Relationship Id="rId251" Type="http://schemas.openxmlformats.org/officeDocument/2006/relationships/hyperlink" Target="https://drive.google.com/file/d/10Jq0Q_RDK7HaAwLpAGIW_tIVpLFGMKA3/view?usp=drive_link" TargetMode="External"/><Relationship Id="rId372" Type="http://schemas.openxmlformats.org/officeDocument/2006/relationships/table" Target="../tables/table10.xml"/><Relationship Id="rId250" Type="http://schemas.openxmlformats.org/officeDocument/2006/relationships/hyperlink" Target="https://drive.google.com/file/d/17oCgjrH1N9oM7ISL_ao7oUqmlLg81OIm/view?usp=sharing" TargetMode="External"/><Relationship Id="rId371" Type="http://schemas.openxmlformats.org/officeDocument/2006/relationships/table" Target="../tables/table9.xml"/><Relationship Id="rId136" Type="http://schemas.openxmlformats.org/officeDocument/2006/relationships/hyperlink" Target="https://drive.google.com/file/d/17rNXKz7qNT-fZb4xXR1jNcDjLAZd1Kd5/view?usp=drive_link" TargetMode="External"/><Relationship Id="rId257" Type="http://schemas.openxmlformats.org/officeDocument/2006/relationships/hyperlink" Target="https://drive.google.com/file/d/1elCO7WF6MGmHYxvEl_IBAcgLSvaRZD1m/view?usp=drive_link" TargetMode="External"/><Relationship Id="rId135" Type="http://schemas.openxmlformats.org/officeDocument/2006/relationships/hyperlink" Target="https://drive.google.com/file/d/1FGcENKQOnAbwwbnTvWbBusPzwnfsKfOa/view?usp=drive_link" TargetMode="External"/><Relationship Id="rId256" Type="http://schemas.openxmlformats.org/officeDocument/2006/relationships/hyperlink" Target="https://drive.google.com/file/d/1pCi5XBGbD6xNUr4dJQopZtR0lMOMK6Kj/view?usp=drive_link" TargetMode="External"/><Relationship Id="rId134" Type="http://schemas.openxmlformats.org/officeDocument/2006/relationships/hyperlink" Target="https://drive.google.com/file/d/1n6mz6YHUOkGl2DCGRyLHCAsYZeS58gV4/view?usp=drive_link" TargetMode="External"/><Relationship Id="rId255" Type="http://schemas.openxmlformats.org/officeDocument/2006/relationships/hyperlink" Target="https://drive.google.com/file/d/1nvZomiNE5tTGMk1FZ5Ex4TUD3xxOxBy9/view?usp=drive_link" TargetMode="External"/><Relationship Id="rId133" Type="http://schemas.openxmlformats.org/officeDocument/2006/relationships/hyperlink" Target="https://drive.google.com/file/d/1p7rYOsvd9PTX6R326pjT3JaCEuwRbXgx/view?usp=sharing" TargetMode="External"/><Relationship Id="rId254" Type="http://schemas.openxmlformats.org/officeDocument/2006/relationships/hyperlink" Target="https://drive.google.com/file/d/1Q0L9VmoJTWGzoq5qQvpdHQgCSpBtA9bN/view?usp=drive_link" TargetMode="External"/><Relationship Id="rId62" Type="http://schemas.openxmlformats.org/officeDocument/2006/relationships/hyperlink" Target="https://drive.google.com/file/d/1LvnnKy-iMsAUl-BN-pUThPRcabAw8Ab_/view?usp=drive_link" TargetMode="External"/><Relationship Id="rId61" Type="http://schemas.openxmlformats.org/officeDocument/2006/relationships/hyperlink" Target="https://drive.google.com/file/d/1LvnnKy-iMsAUl-BN-pUThPRcabAw8Ab_/view?usp=drive_link" TargetMode="External"/><Relationship Id="rId64" Type="http://schemas.openxmlformats.org/officeDocument/2006/relationships/hyperlink" Target="https://drive.google.com/file/d/1S1I7H2vDB5pODlHEoeZ0foOou1XzSQkV/view?usp=drive_link" TargetMode="External"/><Relationship Id="rId63" Type="http://schemas.openxmlformats.org/officeDocument/2006/relationships/hyperlink" Target="https://drive.google.com/file/d/1S1I7H2vDB5pODlHEoeZ0foOou1XzSQkV/view?usp=drive_link" TargetMode="External"/><Relationship Id="rId66" Type="http://schemas.openxmlformats.org/officeDocument/2006/relationships/hyperlink" Target="https://drive.google.com/file/d/1YhzOv7bi83kLPZ4EtAq9ALtbEIVbUl6-/view?usp=drive_link" TargetMode="External"/><Relationship Id="rId172" Type="http://schemas.openxmlformats.org/officeDocument/2006/relationships/hyperlink" Target="https://drive.google.com/file/d/1mz8TtjJcLw46xFjxXCUfk0yRDF9zk9NW/view?usp=sharing" TargetMode="External"/><Relationship Id="rId293" Type="http://schemas.openxmlformats.org/officeDocument/2006/relationships/hyperlink" Target="https://drive.google.com/file/d/1HDAIkuMwa1wgeiAI1wp1E7VnE0SdEJbv/view?usp=drive_link" TargetMode="External"/><Relationship Id="rId65" Type="http://schemas.openxmlformats.org/officeDocument/2006/relationships/hyperlink" Target="https://drive.google.com/file/d/1LvnnKy-iMsAUl-BN-pUThPRcabAw8Ab_/view?usp=drive_link" TargetMode="External"/><Relationship Id="rId171" Type="http://schemas.openxmlformats.org/officeDocument/2006/relationships/hyperlink" Target="https://drive.google.com/file/d/1qSf816xmEJGLA0kTCTxplFcZlgG1G3yF/view?usp=drive_link" TargetMode="External"/><Relationship Id="rId292" Type="http://schemas.openxmlformats.org/officeDocument/2006/relationships/hyperlink" Target="https://drive.google.com/file/d/1Sm4tDF-ajbhKj3k1ocJ3sv_EsbAV05LQ/view?usp=drive_link" TargetMode="External"/><Relationship Id="rId68" Type="http://schemas.openxmlformats.org/officeDocument/2006/relationships/hyperlink" Target="https://drive.google.com/file/d/1ecJvHn3c4doDkUUei9hXOoS0QtkpU5T1/view?usp=drive_link" TargetMode="External"/><Relationship Id="rId170" Type="http://schemas.openxmlformats.org/officeDocument/2006/relationships/hyperlink" Target="https://drive.google.com/file/d/1M7Mf8z_yqDhULZs70a1-dNiA73OVdmvQ/view?usp=drive_link" TargetMode="External"/><Relationship Id="rId291" Type="http://schemas.openxmlformats.org/officeDocument/2006/relationships/hyperlink" Target="https://drive.google.com/file/d/1j2AZ-GoLjrSTJz1aZDXzKrFMI-dbrirv/view?usp=drive_link" TargetMode="External"/><Relationship Id="rId67" Type="http://schemas.openxmlformats.org/officeDocument/2006/relationships/hyperlink" Target="https://drive.google.com/file/d/1u-cUZoB5YhkrR8cd9GaYTxWJSoSCC1HS/view?usp=drive_link" TargetMode="External"/><Relationship Id="rId290" Type="http://schemas.openxmlformats.org/officeDocument/2006/relationships/hyperlink" Target="https://drive.google.com/file/d/1FIBCnKeT_nw7YT7dwqcToIst3ZRaeXh4/view?usp=drive_link" TargetMode="External"/><Relationship Id="rId60" Type="http://schemas.openxmlformats.org/officeDocument/2006/relationships/hyperlink" Target="https://drive.google.com/file/d/1NlrWZ7YsHgp9MBM-KgSUlKo2K-4cb19m/view?usp=drive_link" TargetMode="External"/><Relationship Id="rId165" Type="http://schemas.openxmlformats.org/officeDocument/2006/relationships/hyperlink" Target="https://drive.google.com/drive/folders/1MJAgG4d4igXDynvPD5Emp3lZ48tuYokH?usp=drive_link" TargetMode="External"/><Relationship Id="rId286" Type="http://schemas.openxmlformats.org/officeDocument/2006/relationships/hyperlink" Target="https://drive.google.com/file/d/1lXPf1ELxz4fHm3rltz5vG0tV-CkwGPhd/view?usp=drive_link" TargetMode="External"/><Relationship Id="rId69" Type="http://schemas.openxmlformats.org/officeDocument/2006/relationships/hyperlink" Target="https://drive.google.com/file/d/1ecJvHn3c4doDkUUei9hXOoS0QtkpU5T1/view?usp=drive_link" TargetMode="External"/><Relationship Id="rId164" Type="http://schemas.openxmlformats.org/officeDocument/2006/relationships/hyperlink" Target="https://drive.google.com/drive/folders/1a2x1zNi-47RLQtCHxv84n4pgH_ywZklo?usp=drive_link" TargetMode="External"/><Relationship Id="rId285" Type="http://schemas.openxmlformats.org/officeDocument/2006/relationships/hyperlink" Target="https://drive.google.com/file/d/1r3ZZ-Re_leW7xyoYTc7Cp2qLWOUPg-eM/view?usp=drive_link" TargetMode="External"/><Relationship Id="rId163" Type="http://schemas.openxmlformats.org/officeDocument/2006/relationships/hyperlink" Target="https://drive.google.com/drive/folders/1a2x1zNi-47RLQtCHxv84n4pgH_ywZklo?usp=drive_link" TargetMode="External"/><Relationship Id="rId284" Type="http://schemas.openxmlformats.org/officeDocument/2006/relationships/hyperlink" Target="https://drive.google.com/file/d/1HDNDOdKyl1mOLVAfEB7ypxewVJpNs4q1/view?usp=drive_link" TargetMode="External"/><Relationship Id="rId162" Type="http://schemas.openxmlformats.org/officeDocument/2006/relationships/hyperlink" Target="https://drive.google.com/file/d/1djxxwzjWQeJrUSq_bOx7mEyQizRJ-qKP/view?usp=drive_link" TargetMode="External"/><Relationship Id="rId283" Type="http://schemas.openxmlformats.org/officeDocument/2006/relationships/hyperlink" Target="https://drive.google.com/file/d/1auCdDa6FtdCcc3r6fs4vZQjNzxZ9DHBC/view?usp=drive_link" TargetMode="External"/><Relationship Id="rId169" Type="http://schemas.openxmlformats.org/officeDocument/2006/relationships/hyperlink" Target="https://drive.google.com/file/d/1954i34BmjCX176RpXihYeJa_chAUPuHm/view?usp=sharing" TargetMode="External"/><Relationship Id="rId168" Type="http://schemas.openxmlformats.org/officeDocument/2006/relationships/hyperlink" Target="https://drive.google.com/file/d/1YbJCDf8ZcZw9OepSEkR8s-TkH9u4A0t-/view?usp=drive_link" TargetMode="External"/><Relationship Id="rId289" Type="http://schemas.openxmlformats.org/officeDocument/2006/relationships/hyperlink" Target="https://drive.google.com/file/d/1auoIiw-kG7aCxgXg2VftVANs3T93QNPj/view?usp=drive_link" TargetMode="External"/><Relationship Id="rId167" Type="http://schemas.openxmlformats.org/officeDocument/2006/relationships/hyperlink" Target="https://drive.google.com/file/d/1KnEbaYGLKnnU4XLhu9KNSQrMDeiC2PsP/view?usp=sharing" TargetMode="External"/><Relationship Id="rId288" Type="http://schemas.openxmlformats.org/officeDocument/2006/relationships/hyperlink" Target="https://drive.google.com/file/d/1Ls3OVDBz3AgXKtzyHK_ARaOciRqGypIN/view?usp=drive_link" TargetMode="External"/><Relationship Id="rId166" Type="http://schemas.openxmlformats.org/officeDocument/2006/relationships/hyperlink" Target="https://drive.google.com/file/d/16aLoWfl8GuScFlS9X1nyARsXCLYEatd3/view?usp=drive_link" TargetMode="External"/><Relationship Id="rId287" Type="http://schemas.openxmlformats.org/officeDocument/2006/relationships/hyperlink" Target="https://drive.google.com/file/d/1b8GR3UWNDg5mMxZsnSa9-2pQoeeed8Nj/view?usp=drive_link" TargetMode="External"/><Relationship Id="rId51" Type="http://schemas.openxmlformats.org/officeDocument/2006/relationships/hyperlink" Target="https://drive.google.com/file/d/1KXTkLKp5ClBuLE8YDex00vvSsbacOiG2/view?usp=drive_link" TargetMode="External"/><Relationship Id="rId50" Type="http://schemas.openxmlformats.org/officeDocument/2006/relationships/hyperlink" Target="https://drive.google.com/file/d/1CYP0uZuvoozo7pC5ggSX7bm2gTAHya8U/view?usp=drive_link" TargetMode="External"/><Relationship Id="rId53" Type="http://schemas.openxmlformats.org/officeDocument/2006/relationships/hyperlink" Target="https://drive.google.com/drive/folders/1mviSmlwpzh8RQIH_YzmIxj7vznwW1ILA?usp=drive_link" TargetMode="External"/><Relationship Id="rId52" Type="http://schemas.openxmlformats.org/officeDocument/2006/relationships/hyperlink" Target="https://drive.google.com/file/d/1KXTkLKp5ClBuLE8YDex00vvSsbacOiG2/view?usp=drive_link" TargetMode="External"/><Relationship Id="rId55" Type="http://schemas.openxmlformats.org/officeDocument/2006/relationships/hyperlink" Target="https://drive.google.com/file/d/18ua15SCIXOUPlWECBFJyXdtnK3ERQEV8/view?usp=drive_link" TargetMode="External"/><Relationship Id="rId161" Type="http://schemas.openxmlformats.org/officeDocument/2006/relationships/hyperlink" Target="https://drive.google.com/file/d/14v8qPDqQZ70RSGPm02i6AFWfOmdvNBqO/view?usp=drive_link" TargetMode="External"/><Relationship Id="rId282" Type="http://schemas.openxmlformats.org/officeDocument/2006/relationships/hyperlink" Target="https://drive.google.com/file/d/1PSu1oktZ0xOzFKmxF7D3lbj69VD-uWiT/view?usp=drive_link" TargetMode="External"/><Relationship Id="rId54" Type="http://schemas.openxmlformats.org/officeDocument/2006/relationships/hyperlink" Target="https://drive.google.com/drive/folders/1mviSmlwpzh8RQIH_YzmIxj7vznwW1ILA?usp=drive_link" TargetMode="External"/><Relationship Id="rId160" Type="http://schemas.openxmlformats.org/officeDocument/2006/relationships/hyperlink" Target="https://drive.google.com/file/d/1dMlXGZLD95OjDLPgPMlSWCXg9y2pV4kE/view?usp=drive_link" TargetMode="External"/><Relationship Id="rId281" Type="http://schemas.openxmlformats.org/officeDocument/2006/relationships/hyperlink" Target="https://drive.google.com/file/d/1i6NiTjHpC1BqA1GufSO4Bbt6ErpJyfvu/view?usp=drive_link" TargetMode="External"/><Relationship Id="rId57" Type="http://schemas.openxmlformats.org/officeDocument/2006/relationships/hyperlink" Target="https://drive.google.com/file/d/1d6XgXd7F6Dk_nkcUnVrAQ0ND9FUFJx3v/view?usp=drive_link" TargetMode="External"/><Relationship Id="rId280" Type="http://schemas.openxmlformats.org/officeDocument/2006/relationships/hyperlink" Target="https://drive.google.com/file/d/17JR4b3JPyTjA9_A6foP7x7-RjznrdMCo/view?usp=drive_link" TargetMode="External"/><Relationship Id="rId56" Type="http://schemas.openxmlformats.org/officeDocument/2006/relationships/hyperlink" Target="https://drive.google.com/file/d/1FCSd1ws_3BUTmUNeF0m5y8f_sMbaQFnh/view?usp=drive_link" TargetMode="External"/><Relationship Id="rId159" Type="http://schemas.openxmlformats.org/officeDocument/2006/relationships/hyperlink" Target="https://drive.google.com/file/d/1Af78uLud2WSn5PQB6d1V7xEBm8vM5lfg/view?usp=drive_link" TargetMode="External"/><Relationship Id="rId59" Type="http://schemas.openxmlformats.org/officeDocument/2006/relationships/hyperlink" Target="https://drive.google.com/file/d/1Uffip175kS5nls_6BJuUTbAL1GpEJzMB/view?usp=drive_link" TargetMode="External"/><Relationship Id="rId154" Type="http://schemas.openxmlformats.org/officeDocument/2006/relationships/hyperlink" Target="https://drive.google.com/file/d/1NuRatj_JFgC_ycsRnXVcdlcTpGMRr9s1/view?usp=drive_link" TargetMode="External"/><Relationship Id="rId275" Type="http://schemas.openxmlformats.org/officeDocument/2006/relationships/hyperlink" Target="https://drive.google.com/drive/folders/1QcjF_4nbdMtteCNpp0Pk1efZhpaQN3oR" TargetMode="External"/><Relationship Id="rId58" Type="http://schemas.openxmlformats.org/officeDocument/2006/relationships/hyperlink" Target="https://drive.google.com/file/d/1kCbHs6mVHeNMozIKvUH76MsvkZgQn9w5/view?usp=drive_link" TargetMode="External"/><Relationship Id="rId153" Type="http://schemas.openxmlformats.org/officeDocument/2006/relationships/hyperlink" Target="https://drive.google.com/file/d/1RAHsujImUjULs_5_9I3qjC2TsHiBGve0/view?usp=drive_link" TargetMode="External"/><Relationship Id="rId274" Type="http://schemas.openxmlformats.org/officeDocument/2006/relationships/hyperlink" Target="https://drive.google.com/file/d/1hGJhMGooLWCRR98e5NvcnTG-7M57nBTu/view?usp=drive_link" TargetMode="External"/><Relationship Id="rId152" Type="http://schemas.openxmlformats.org/officeDocument/2006/relationships/hyperlink" Target="https://drive.google.com/file/d/1hVZIB9z7HN8jB01GkmRPLqI2Z_kSsqsS/view?usp=drive_link" TargetMode="External"/><Relationship Id="rId273" Type="http://schemas.openxmlformats.org/officeDocument/2006/relationships/hyperlink" Target="https://drive.google.com/file/d/1hGJhMGooLWCRR98e5NvcnTG-7M57nBTu/view?usp=drive_link" TargetMode="External"/><Relationship Id="rId151" Type="http://schemas.openxmlformats.org/officeDocument/2006/relationships/hyperlink" Target="https://drive.google.com/file/d/16XAmBluS7nHCr_rJqk09q0_o1FHHSbyX/view?usp=drive_link" TargetMode="External"/><Relationship Id="rId272" Type="http://schemas.openxmlformats.org/officeDocument/2006/relationships/hyperlink" Target="https://drive.google.com/file/d/1hGJhMGooLWCRR98e5NvcnTG-7M57nBTu/view?usp=drive_link" TargetMode="External"/><Relationship Id="rId158" Type="http://schemas.openxmlformats.org/officeDocument/2006/relationships/hyperlink" Target="https://drive.google.com/drive/folders/1a2x1zNi-47RLQtCHxv84n4pgH_ywZklo?usp=drive_link" TargetMode="External"/><Relationship Id="rId279" Type="http://schemas.openxmlformats.org/officeDocument/2006/relationships/hyperlink" Target="https://drive.google.com/file/d/12pYhvqUq9Dxm6t3XkMu6Zj-wqoDvUxw9/view?usp=drive_link" TargetMode="External"/><Relationship Id="rId157" Type="http://schemas.openxmlformats.org/officeDocument/2006/relationships/hyperlink" Target="https://drive.google.com/drive/folders/1a2x1zNi-47RLQtCHxv84n4pgH_ywZklo?usp=drive_link" TargetMode="External"/><Relationship Id="rId278" Type="http://schemas.openxmlformats.org/officeDocument/2006/relationships/hyperlink" Target="https://drive.google.com/file/d/16aLoWfl8GuScFlS9X1nyARsXCLYEatd3/view?usp=drive_link" TargetMode="External"/><Relationship Id="rId156" Type="http://schemas.openxmlformats.org/officeDocument/2006/relationships/hyperlink" Target="https://drive.google.com/file/d/1UcAg3ePyUE--J7Z5XoM8NPYf_F4PheHI/view?usp=drive_link" TargetMode="External"/><Relationship Id="rId277" Type="http://schemas.openxmlformats.org/officeDocument/2006/relationships/hyperlink" Target="https://drive.google.com/drive/folders/1QcjF_4nbdMtteCNpp0Pk1efZhpaQN3oR" TargetMode="External"/><Relationship Id="rId155" Type="http://schemas.openxmlformats.org/officeDocument/2006/relationships/hyperlink" Target="https://drive.google.com/file/d/1UcAg3ePyUE--J7Z5XoM8NPYf_F4PheHI/view?usp=drive_link" TargetMode="External"/><Relationship Id="rId276" Type="http://schemas.openxmlformats.org/officeDocument/2006/relationships/hyperlink" Target="https://drive.google.com/drive/folders/1QcjF_4nbdMtteCNpp0Pk1efZhpaQN3oR" TargetMode="External"/><Relationship Id="rId107" Type="http://schemas.openxmlformats.org/officeDocument/2006/relationships/hyperlink" Target="https://drive.google.com/drive/folders/1rCQx4oEk3zvqnhZfH0FN4jZIwN5dJThB?usp=drive_link" TargetMode="External"/><Relationship Id="rId228" Type="http://schemas.openxmlformats.org/officeDocument/2006/relationships/hyperlink" Target="https://drive.google.com/file/d/12s2JrsMVut3F13kUGA5zbGtIG3PinQ2q/view?usp=drive_link" TargetMode="External"/><Relationship Id="rId349" Type="http://schemas.openxmlformats.org/officeDocument/2006/relationships/hyperlink" Target="https://drive.google.com/file/d/1DuaWpjPkRnbNfW6ZaQmT3Sb7oMbZlXrh/view?usp=drive_link" TargetMode="External"/><Relationship Id="rId106" Type="http://schemas.openxmlformats.org/officeDocument/2006/relationships/hyperlink" Target="https://drive.google.com/file/d/19R4-Iqq_RhOaGcK9w_dhndSDf6ocE6iV/view?usp=drive_link" TargetMode="External"/><Relationship Id="rId227" Type="http://schemas.openxmlformats.org/officeDocument/2006/relationships/hyperlink" Target="https://drive.google.com/file/d/1rFs9J1cYyLALHejV0mpL7Y-MoHWlXONi/view?usp=sharing" TargetMode="External"/><Relationship Id="rId348" Type="http://schemas.openxmlformats.org/officeDocument/2006/relationships/hyperlink" Target="https://drive.google.com/file/d/1DuaWpjPkRnbNfW6ZaQmT3Sb7oMbZlXrh/view?usp=drive_link" TargetMode="External"/><Relationship Id="rId105" Type="http://schemas.openxmlformats.org/officeDocument/2006/relationships/hyperlink" Target="https://drive.google.com/file/d/19R4-Iqq_RhOaGcK9w_dhndSDf6ocE6iV/view?usp=drive_link" TargetMode="External"/><Relationship Id="rId226" Type="http://schemas.openxmlformats.org/officeDocument/2006/relationships/hyperlink" Target="https://drive.google.com/file/d/1BC5AJMfbhsNLR3NhgM88Vu9HJ6cOYfU2/view?usp=drive_link" TargetMode="External"/><Relationship Id="rId347" Type="http://schemas.openxmlformats.org/officeDocument/2006/relationships/hyperlink" Target="https://drive.google.com/file/d/1DuaWpjPkRnbNfW6ZaQmT3Sb7oMbZlXrh/view?usp=drive_link" TargetMode="External"/><Relationship Id="rId104" Type="http://schemas.openxmlformats.org/officeDocument/2006/relationships/hyperlink" Target="https://drive.google.com/file/d/1rCjaNYYv6UQXs-y2qt3axEs9Mkoq7npe/view?usp=sharing" TargetMode="External"/><Relationship Id="rId225" Type="http://schemas.openxmlformats.org/officeDocument/2006/relationships/hyperlink" Target="https://drive.google.com/file/d/1o9oGjTRENJVV7UlZu9s2DoNpW6AW-b_M/view?usp=drive_link" TargetMode="External"/><Relationship Id="rId346" Type="http://schemas.openxmlformats.org/officeDocument/2006/relationships/hyperlink" Target="https://drive.google.com/file/d/1DuaWpjPkRnbNfW6ZaQmT3Sb7oMbZlXrh/view?usp=drive_link" TargetMode="External"/><Relationship Id="rId109" Type="http://schemas.openxmlformats.org/officeDocument/2006/relationships/hyperlink" Target="https://drive.google.com/file/d/1ba85d834mJ5mQWPKlpJRSuABjX_QtJT5/view?usp=drive_link" TargetMode="External"/><Relationship Id="rId108" Type="http://schemas.openxmlformats.org/officeDocument/2006/relationships/hyperlink" Target="https://drive.google.com/file/d/1ba85d834mJ5mQWPKlpJRSuABjX_QtJT5/view?usp=drive_link" TargetMode="External"/><Relationship Id="rId229" Type="http://schemas.openxmlformats.org/officeDocument/2006/relationships/hyperlink" Target="https://drive.google.com/drive/folders/1bFPtYfYcUDwFdEa70t2psXG28T6OrM9_?usp=drive_link" TargetMode="External"/><Relationship Id="rId220" Type="http://schemas.openxmlformats.org/officeDocument/2006/relationships/hyperlink" Target="https://drive.google.com/file/d/1H5i41k8IVpk5RzhdgVLaZcFQyMu4Nsxi/view?usp=drive_link" TargetMode="External"/><Relationship Id="rId341" Type="http://schemas.openxmlformats.org/officeDocument/2006/relationships/hyperlink" Target="https://drive.google.com/file/d/1DuaWpjPkRnbNfW6ZaQmT3Sb7oMbZlXrh/view?usp=drive_link" TargetMode="External"/><Relationship Id="rId340" Type="http://schemas.openxmlformats.org/officeDocument/2006/relationships/hyperlink" Target="https://drive.google.com/file/d/1DuaWpjPkRnbNfW6ZaQmT3Sb7oMbZlXrh/view?usp=drive_link" TargetMode="External"/><Relationship Id="rId103" Type="http://schemas.openxmlformats.org/officeDocument/2006/relationships/hyperlink" Target="https://drive.google.com/file/d/1ZgQPKAVz-s5dBY2I50NOi1UBIolgmryr/view?usp=drive_link" TargetMode="External"/><Relationship Id="rId224" Type="http://schemas.openxmlformats.org/officeDocument/2006/relationships/hyperlink" Target="https://drive.google.com/file/d/1o9oGjTRENJVV7UlZu9s2DoNpW6AW-b_M/view?usp=drive_link" TargetMode="External"/><Relationship Id="rId345" Type="http://schemas.openxmlformats.org/officeDocument/2006/relationships/hyperlink" Target="https://drive.google.com/file/d/1DuaWpjPkRnbNfW6ZaQmT3Sb7oMbZlXrh/view?usp=drive_link" TargetMode="External"/><Relationship Id="rId102" Type="http://schemas.openxmlformats.org/officeDocument/2006/relationships/hyperlink" Target="https://drive.google.com/file/d/1SNY__f2nA_7GrHsOX0DkaCJd7ubn5SbE/view?usp=sharing" TargetMode="External"/><Relationship Id="rId223" Type="http://schemas.openxmlformats.org/officeDocument/2006/relationships/hyperlink" Target="https://drive.google.com/file/d/1QcBLe1ewPr8yi9_fkFGmUrD2tdCHTbO3/view?usp=drive_link" TargetMode="External"/><Relationship Id="rId344" Type="http://schemas.openxmlformats.org/officeDocument/2006/relationships/hyperlink" Target="https://drive.google.com/file/d/1DuaWpjPkRnbNfW6ZaQmT3Sb7oMbZlXrh/view?usp=drive_link" TargetMode="External"/><Relationship Id="rId101" Type="http://schemas.openxmlformats.org/officeDocument/2006/relationships/hyperlink" Target="https://drive.google.com/file/d/1Fj-75UTEckccmewkFHBb4PuyurPkcCw8/view?usp=sharing" TargetMode="External"/><Relationship Id="rId222" Type="http://schemas.openxmlformats.org/officeDocument/2006/relationships/hyperlink" Target="https://drive.google.com/file/d/1QcBLe1ewPr8yi9_fkFGmUrD2tdCHTbO3/view?usp=drive_link" TargetMode="External"/><Relationship Id="rId343" Type="http://schemas.openxmlformats.org/officeDocument/2006/relationships/hyperlink" Target="https://drive.google.com/file/d/1DuaWpjPkRnbNfW6ZaQmT3Sb7oMbZlXrh/view?usp=drive_link" TargetMode="External"/><Relationship Id="rId100" Type="http://schemas.openxmlformats.org/officeDocument/2006/relationships/hyperlink" Target="https://drive.google.com/file/d/15TRfxUNwkmMe7SU-14eGztkaRXuXnexs/view?usp=sharing" TargetMode="External"/><Relationship Id="rId221" Type="http://schemas.openxmlformats.org/officeDocument/2006/relationships/hyperlink" Target="https://drive.google.com/file/d/1QcBLe1ewPr8yi9_fkFGmUrD2tdCHTbO3/view?usp=drive_link" TargetMode="External"/><Relationship Id="rId342" Type="http://schemas.openxmlformats.org/officeDocument/2006/relationships/hyperlink" Target="https://drive.google.com/file/d/1DuaWpjPkRnbNfW6ZaQmT3Sb7oMbZlXrh/view?usp=drive_link" TargetMode="External"/><Relationship Id="rId217" Type="http://schemas.openxmlformats.org/officeDocument/2006/relationships/hyperlink" Target="https://drive.google.com/file/d/17BX4kefDo173Y5BA7Cfnw730lC8ZP6RU/view?usp=drive_link" TargetMode="External"/><Relationship Id="rId338" Type="http://schemas.openxmlformats.org/officeDocument/2006/relationships/hyperlink" Target="https://drive.google.com/file/d/1DuaWpjPkRnbNfW6ZaQmT3Sb7oMbZlXrh/view?usp=drive_link" TargetMode="External"/><Relationship Id="rId216" Type="http://schemas.openxmlformats.org/officeDocument/2006/relationships/hyperlink" Target="https://drive.google.com/file/d/17BX4kefDo173Y5BA7Cfnw730lC8ZP6RU/view?usp=drive_link" TargetMode="External"/><Relationship Id="rId337" Type="http://schemas.openxmlformats.org/officeDocument/2006/relationships/hyperlink" Target="https://drive.google.com/file/d/1DuaWpjPkRnbNfW6ZaQmT3Sb7oMbZlXrh/view?usp=drive_link" TargetMode="External"/><Relationship Id="rId215" Type="http://schemas.openxmlformats.org/officeDocument/2006/relationships/hyperlink" Target="https://drive.google.com/file/d/17BX4kefDo173Y5BA7Cfnw730lC8ZP6RU/view?usp=drive_link" TargetMode="External"/><Relationship Id="rId336" Type="http://schemas.openxmlformats.org/officeDocument/2006/relationships/hyperlink" Target="https://drive.google.com/file/d/1DuaWpjPkRnbNfW6ZaQmT3Sb7oMbZlXrh/view?usp=drive_link" TargetMode="External"/><Relationship Id="rId214" Type="http://schemas.openxmlformats.org/officeDocument/2006/relationships/hyperlink" Target="https://drive.google.com/file/d/1-WYKtaumn--C5utW5SLoMUJNDQejWil_/view?usp=drive_link" TargetMode="External"/><Relationship Id="rId335" Type="http://schemas.openxmlformats.org/officeDocument/2006/relationships/hyperlink" Target="https://drive.google.com/file/d/1DuaWpjPkRnbNfW6ZaQmT3Sb7oMbZlXrh/view?usp=drive_link" TargetMode="External"/><Relationship Id="rId219" Type="http://schemas.openxmlformats.org/officeDocument/2006/relationships/hyperlink" Target="https://drive.google.com/file/d/1GCfqo_FdcxHcU7sw7fy_8T7ATakzZwuu/view?usp=sharing" TargetMode="External"/><Relationship Id="rId218" Type="http://schemas.openxmlformats.org/officeDocument/2006/relationships/hyperlink" Target="https://drive.google.com/drive/folders/18DRrHM0hRAbFpwqFPd7zb1JgE1jZ1-tM?usp=drive_link" TargetMode="External"/><Relationship Id="rId339" Type="http://schemas.openxmlformats.org/officeDocument/2006/relationships/hyperlink" Target="https://drive.google.com/file/d/1DuaWpjPkRnbNfW6ZaQmT3Sb7oMbZlXrh/view?usp=drive_link" TargetMode="External"/><Relationship Id="rId330" Type="http://schemas.openxmlformats.org/officeDocument/2006/relationships/hyperlink" Target="https://drive.google.com/file/d/1DuaWpjPkRnbNfW6ZaQmT3Sb7oMbZlXrh/view?usp=drive_link" TargetMode="External"/><Relationship Id="rId213" Type="http://schemas.openxmlformats.org/officeDocument/2006/relationships/hyperlink" Target="https://drive.google.com/drive/folders/1vki-BpWuQGRDk4SuLB0R5qbgMwWokx6o?usp=drive_link" TargetMode="External"/><Relationship Id="rId334" Type="http://schemas.openxmlformats.org/officeDocument/2006/relationships/hyperlink" Target="https://drive.google.com/file/d/1DuaWpjPkRnbNfW6ZaQmT3Sb7oMbZlXrh/view?usp=drive_link" TargetMode="External"/><Relationship Id="rId212" Type="http://schemas.openxmlformats.org/officeDocument/2006/relationships/hyperlink" Target="https://drive.google.com/file/d/1VSz6Jc5r9qMuVQKvi3PhdzFSVRq6Puz3/view?usp=drive_link" TargetMode="External"/><Relationship Id="rId333" Type="http://schemas.openxmlformats.org/officeDocument/2006/relationships/hyperlink" Target="https://drive.google.com/file/d/1DuaWpjPkRnbNfW6ZaQmT3Sb7oMbZlXrh/view?usp=drive_link" TargetMode="External"/><Relationship Id="rId211" Type="http://schemas.openxmlformats.org/officeDocument/2006/relationships/hyperlink" Target="https://drive.google.com/file/d/1VSz6Jc5r9qMuVQKvi3PhdzFSVRq6Puz3/view?usp=drive_link" TargetMode="External"/><Relationship Id="rId332" Type="http://schemas.openxmlformats.org/officeDocument/2006/relationships/hyperlink" Target="https://drive.google.com/file/d/1DuaWpjPkRnbNfW6ZaQmT3Sb7oMbZlXrh/view?usp=drive_link" TargetMode="External"/><Relationship Id="rId210" Type="http://schemas.openxmlformats.org/officeDocument/2006/relationships/hyperlink" Target="https://drive.google.com/file/d/1JPhSg1KsuF-SwZLBNV1Txfw8FLI3q7iE/view?usp=drive_link" TargetMode="External"/><Relationship Id="rId331" Type="http://schemas.openxmlformats.org/officeDocument/2006/relationships/hyperlink" Target="https://drive.google.com/file/d/1DuaWpjPkRnbNfW6ZaQmT3Sb7oMbZlXrh/view?usp=drive_link" TargetMode="External"/><Relationship Id="rId129" Type="http://schemas.openxmlformats.org/officeDocument/2006/relationships/hyperlink" Target="https://drive.google.com/file/d/1BMAJoDD4uYdmz3C7ZmGYMuyZi98edaXM/view?usp=drive_link" TargetMode="External"/><Relationship Id="rId128" Type="http://schemas.openxmlformats.org/officeDocument/2006/relationships/hyperlink" Target="https://drive.google.com/file/d/1BMAJoDD4uYdmz3C7ZmGYMuyZi98edaXM/view?usp=drive_link" TargetMode="External"/><Relationship Id="rId249" Type="http://schemas.openxmlformats.org/officeDocument/2006/relationships/hyperlink" Target="https://drive.google.com/file/d/1Hcm6fXsfDR7-OucePv091dbj8-bIU87E/view?usp=sharing" TargetMode="External"/><Relationship Id="rId127" Type="http://schemas.openxmlformats.org/officeDocument/2006/relationships/hyperlink" Target="https://drive.google.com/file/d/1p3Oqq0xAzSQHdIxmCzZuPxv-Xs9Mfq7h/view?usp=drive_link" TargetMode="External"/><Relationship Id="rId248" Type="http://schemas.openxmlformats.org/officeDocument/2006/relationships/hyperlink" Target="https://drive.google.com/file/d/1ACb5qybUz6o6LhA8ZoU_Vp7nwaqtPeOc/view?usp=sharing" TargetMode="External"/><Relationship Id="rId126" Type="http://schemas.openxmlformats.org/officeDocument/2006/relationships/hyperlink" Target="https://drive.google.com/file/d/1p3Oqq0xAzSQHdIxmCzZuPxv-Xs9Mfq7h/view?usp=drive_link" TargetMode="External"/><Relationship Id="rId247" Type="http://schemas.openxmlformats.org/officeDocument/2006/relationships/hyperlink" Target="https://drive.google.com/file/d/1Z-gni2ZTltHMLCRFkY55OtMdXn9Noa4B/view?usp=drive_link" TargetMode="External"/><Relationship Id="rId121" Type="http://schemas.openxmlformats.org/officeDocument/2006/relationships/hyperlink" Target="https://drive.google.com/file/d/1JbcBNbeofnPtScwud_aOpdcfm6tERqpb/view?usp=drive_link" TargetMode="External"/><Relationship Id="rId242" Type="http://schemas.openxmlformats.org/officeDocument/2006/relationships/hyperlink" Target="https://drive.google.com/file/d/1wfDE_jv-8JRxG_yThHkbudQ4QWhBCSL6/view?usp=drive_link" TargetMode="External"/><Relationship Id="rId363" Type="http://schemas.openxmlformats.org/officeDocument/2006/relationships/hyperlink" Target="https://drive.google.com/file/d/1fFLDV6yUBYaUM8ZzJtD_o-Gu8DJxciwr/view?usp=drive_link" TargetMode="External"/><Relationship Id="rId120" Type="http://schemas.openxmlformats.org/officeDocument/2006/relationships/hyperlink" Target="https://drive.google.com/file/d/1JbcBNbeofnPtScwud_aOpdcfm6tERqpb/view?usp=drive_link" TargetMode="External"/><Relationship Id="rId241" Type="http://schemas.openxmlformats.org/officeDocument/2006/relationships/hyperlink" Target="https://drive.google.com/file/d/1wfDE_jv-8JRxG_yThHkbudQ4QWhBCSL6/view?usp=drive_link" TargetMode="External"/><Relationship Id="rId362" Type="http://schemas.openxmlformats.org/officeDocument/2006/relationships/hyperlink" Target="https://drive.google.com/file/d/12lTib4PK4Y6WiUGF6kdPXpwrEln7OryM/view?usp=drive_link" TargetMode="External"/><Relationship Id="rId240" Type="http://schemas.openxmlformats.org/officeDocument/2006/relationships/hyperlink" Target="https://drive.google.com/file/d/1_hTYzRnkmISIoCPLo6FiIEZPhVIFtrp9/view?usp=drive_link" TargetMode="External"/><Relationship Id="rId361" Type="http://schemas.openxmlformats.org/officeDocument/2006/relationships/hyperlink" Target="https://drive.google.com/file/d/16CiJ-ASRccc_tzy5b0BY5fGDhuLgixzZ/view?usp=drive_link" TargetMode="External"/><Relationship Id="rId360" Type="http://schemas.openxmlformats.org/officeDocument/2006/relationships/hyperlink" Target="https://drive.google.com/file/d/1ZMD5STkRR4B-lkRA5_ki66lmobwIhjRb/view?usp=drive_link" TargetMode="External"/><Relationship Id="rId125" Type="http://schemas.openxmlformats.org/officeDocument/2006/relationships/hyperlink" Target="https://drive.google.com/file/d/1dD9ZKGpSuyi1Sc-Ui25jrX_jcpDDPOKl/view?usp=drive_link" TargetMode="External"/><Relationship Id="rId246" Type="http://schemas.openxmlformats.org/officeDocument/2006/relationships/hyperlink" Target="https://drive.google.com/file/d/1MVR4ACDPDoI6XLf4CqeyJ4Uht47eh_-4/view?usp=drive_link" TargetMode="External"/><Relationship Id="rId367" Type="http://schemas.openxmlformats.org/officeDocument/2006/relationships/drawing" Target="../drawings/drawing9.xml"/><Relationship Id="rId124" Type="http://schemas.openxmlformats.org/officeDocument/2006/relationships/hyperlink" Target="https://drive.google.com/file/d/1cOZMcyzHFtkbALNBpyOOL54n5RENH43H/view?usp=sharing" TargetMode="External"/><Relationship Id="rId245" Type="http://schemas.openxmlformats.org/officeDocument/2006/relationships/hyperlink" Target="https://drive.google.com/file/d/1MVR4ACDPDoI6XLf4CqeyJ4Uht47eh_-4/view?usp=drive_link" TargetMode="External"/><Relationship Id="rId366" Type="http://schemas.openxmlformats.org/officeDocument/2006/relationships/hyperlink" Target="https://drive.google.com/file/d/1iFViYAICXTsgB49QvK4tVIUQiUkfj8zb/view?usp=drive_link" TargetMode="External"/><Relationship Id="rId123" Type="http://schemas.openxmlformats.org/officeDocument/2006/relationships/hyperlink" Target="https://drive.google.com/file/d/1SkwhQuL5J5YLlbNeGPNJjGyQ-KVnrxKC/view?usp=drive_link" TargetMode="External"/><Relationship Id="rId244" Type="http://schemas.openxmlformats.org/officeDocument/2006/relationships/hyperlink" Target="https://drive.google.com/file/d/1MVR4ACDPDoI6XLf4CqeyJ4Uht47eh_-4/view?usp=drive_link" TargetMode="External"/><Relationship Id="rId365" Type="http://schemas.openxmlformats.org/officeDocument/2006/relationships/hyperlink" Target="https://drive.google.com/file/d/1efavLglHsMNRryiPY4Uq3A2y6BDVgAJK/view?usp=drive_link" TargetMode="External"/><Relationship Id="rId122" Type="http://schemas.openxmlformats.org/officeDocument/2006/relationships/hyperlink" Target="https://drive.google.com/file/d/1emlNnvdiOhwIBhA8x3vleV_NNGAmT2Or/view?usp=sharing" TargetMode="External"/><Relationship Id="rId243" Type="http://schemas.openxmlformats.org/officeDocument/2006/relationships/hyperlink" Target="https://drive.google.com/file/d/1wfDE_jv-8JRxG_yThHkbudQ4QWhBCSL6/view?usp=drive_link" TargetMode="External"/><Relationship Id="rId364" Type="http://schemas.openxmlformats.org/officeDocument/2006/relationships/hyperlink" Target="https://drive.google.com/file/d/1ZJiQWiwuNobqpeyG_AD1R-3bUsrhmWCA/view?usp=drive_link" TargetMode="External"/><Relationship Id="rId95" Type="http://schemas.openxmlformats.org/officeDocument/2006/relationships/hyperlink" Target="https://drive.google.com/drive/folders/1ZSDsaDkbKHyly1uvhx6DfiApIk9dRKnb?usp=sharing" TargetMode="External"/><Relationship Id="rId94" Type="http://schemas.openxmlformats.org/officeDocument/2006/relationships/hyperlink" Target="https://drive.google.com/drive/folders/1ZSDsaDkbKHyly1uvhx6DfiApIk9dRKnb?usp=sharing" TargetMode="External"/><Relationship Id="rId97" Type="http://schemas.openxmlformats.org/officeDocument/2006/relationships/hyperlink" Target="https://drive.google.com/file/d/1ibUXZqrFX8RZo7_PpFhGlP9XHlR0R2WJ/view?usp=drive_link" TargetMode="External"/><Relationship Id="rId96" Type="http://schemas.openxmlformats.org/officeDocument/2006/relationships/hyperlink" Target="https://drive.google.com/file/d/1g7_1cm0AKSjnC3QoiBFT5RkB0tfhtHn6/view?usp=drive_link" TargetMode="External"/><Relationship Id="rId99" Type="http://schemas.openxmlformats.org/officeDocument/2006/relationships/hyperlink" Target="https://drive.google.com/file/d/1zOC7JLOtXY7jtFxR7JoWAfqEx39Htzyz/view?usp=drive_link" TargetMode="External"/><Relationship Id="rId98" Type="http://schemas.openxmlformats.org/officeDocument/2006/relationships/hyperlink" Target="https://drive.google.com/file/d/10TKWvxiBYlNL8Pn3OdSnVkuD2DfGKIL-/view?usp=drive_link" TargetMode="External"/><Relationship Id="rId91" Type="http://schemas.openxmlformats.org/officeDocument/2006/relationships/hyperlink" Target="https://drive.google.com/file/d/1c3WJkIyOI9UNJkzx_KrjC5K3kmtf5D5D/view?usp=drive_link" TargetMode="External"/><Relationship Id="rId90" Type="http://schemas.openxmlformats.org/officeDocument/2006/relationships/hyperlink" Target="https://drive.google.com/file/d/1c3WJkIyOI9UNJkzx_KrjC5K3kmtf5D5D/view?usp=drive_link" TargetMode="External"/><Relationship Id="rId93" Type="http://schemas.openxmlformats.org/officeDocument/2006/relationships/hyperlink" Target="https://drive.google.com/file/d/1PaFFktDSa9h2-ptyRtwfQ0HBjzE-_3CV/view?usp=drive_link" TargetMode="External"/><Relationship Id="rId92" Type="http://schemas.openxmlformats.org/officeDocument/2006/relationships/hyperlink" Target="https://drive.google.com/file/d/1WMvX8Rz19WGw0q09TqTtGyoUrD02asdq/view?usp=drive_link" TargetMode="External"/><Relationship Id="rId118" Type="http://schemas.openxmlformats.org/officeDocument/2006/relationships/hyperlink" Target="https://drive.google.com/drive/folders/17l_GnuFs2CQahsH2de7epB8ZBhkYmosE?usp=drive_link" TargetMode="External"/><Relationship Id="rId239" Type="http://schemas.openxmlformats.org/officeDocument/2006/relationships/hyperlink" Target="https://drive.google.com/drive/folders/1l7O1pKa6OR_MvBkOwHM_dKhiLI2cmCy3?usp=sharing" TargetMode="External"/><Relationship Id="rId117" Type="http://schemas.openxmlformats.org/officeDocument/2006/relationships/hyperlink" Target="https://drive.google.com/drive/folders/17l_GnuFs2CQahsH2de7epB8ZBhkYmosE?usp=drive_link" TargetMode="External"/><Relationship Id="rId238" Type="http://schemas.openxmlformats.org/officeDocument/2006/relationships/hyperlink" Target="https://drive.google.com/drive/folders/1l7O1pKa6OR_MvBkOwHM_dKhiLI2cmCy3?usp=sharing" TargetMode="External"/><Relationship Id="rId359" Type="http://schemas.openxmlformats.org/officeDocument/2006/relationships/hyperlink" Target="https://drive.google.com/file/d/1FqaUc0rx3I3vJSj1fA8hRLi6Uf3H1B6h/view?usp=drive_link" TargetMode="External"/><Relationship Id="rId116" Type="http://schemas.openxmlformats.org/officeDocument/2006/relationships/hyperlink" Target="https://drive.google.com/drive/folders/17l_GnuFs2CQahsH2de7epB8ZBhkYmosE?usp=drive_link" TargetMode="External"/><Relationship Id="rId237" Type="http://schemas.openxmlformats.org/officeDocument/2006/relationships/hyperlink" Target="https://drive.google.com/drive/folders/1l7O1pKa6OR_MvBkOwHM_dKhiLI2cmCy3?usp=sharing" TargetMode="External"/><Relationship Id="rId358" Type="http://schemas.openxmlformats.org/officeDocument/2006/relationships/hyperlink" Target="https://drive.google.com/file/d/1ZXiqRR1_ND8gDrsZtdn1Cu_2_hccSFNu/view?usp=drive_link" TargetMode="External"/><Relationship Id="rId115" Type="http://schemas.openxmlformats.org/officeDocument/2006/relationships/hyperlink" Target="https://drive.google.com/drive/folders/17l_GnuFs2CQahsH2de7epB8ZBhkYmosE?usp=drive_link" TargetMode="External"/><Relationship Id="rId236" Type="http://schemas.openxmlformats.org/officeDocument/2006/relationships/hyperlink" Target="https://drive.google.com/file/d/1ba85d834mJ5mQWPKlpJRSuABjX_QtJT5/view?usp=drive_link" TargetMode="External"/><Relationship Id="rId357" Type="http://schemas.openxmlformats.org/officeDocument/2006/relationships/hyperlink" Target="https://drive.google.com/file/d/1vWyqo1bD4rM581ejUxjhEWcKDbzaS_Wj/view?usp=drive_link" TargetMode="External"/><Relationship Id="rId119" Type="http://schemas.openxmlformats.org/officeDocument/2006/relationships/hyperlink" Target="https://drive.google.com/drive/folders/17l_GnuFs2CQahsH2de7epB8ZBhkYmosE?usp=drive_link" TargetMode="External"/><Relationship Id="rId110" Type="http://schemas.openxmlformats.org/officeDocument/2006/relationships/hyperlink" Target="https://drive.google.com/file/d/1ba85d834mJ5mQWPKlpJRSuABjX_QtJT5/view?usp=drive_link" TargetMode="External"/><Relationship Id="rId231" Type="http://schemas.openxmlformats.org/officeDocument/2006/relationships/hyperlink" Target="https://drive.google.com/file/d/1eT7bDhuPymwemC0zjTRfTwqHFHcwFLhF/view?usp=drive_link" TargetMode="External"/><Relationship Id="rId352" Type="http://schemas.openxmlformats.org/officeDocument/2006/relationships/hyperlink" Target="https://drive.google.com/file/d/1DuaWpjPkRnbNfW6ZaQmT3Sb7oMbZlXrh/view?usp=drive_link" TargetMode="External"/><Relationship Id="rId230" Type="http://schemas.openxmlformats.org/officeDocument/2006/relationships/hyperlink" Target="https://drive.google.com/file/d/1eT7bDhuPymwemC0zjTRfTwqHFHcwFLhF/view?usp=drive_link" TargetMode="External"/><Relationship Id="rId351" Type="http://schemas.openxmlformats.org/officeDocument/2006/relationships/hyperlink" Target="https://drive.google.com/file/d/1DuaWpjPkRnbNfW6ZaQmT3Sb7oMbZlXrh/view?usp=drive_link" TargetMode="External"/><Relationship Id="rId350" Type="http://schemas.openxmlformats.org/officeDocument/2006/relationships/hyperlink" Target="https://drive.google.com/file/d/1DuaWpjPkRnbNfW6ZaQmT3Sb7oMbZlXrh/view?usp=drive_link" TargetMode="External"/><Relationship Id="rId114" Type="http://schemas.openxmlformats.org/officeDocument/2006/relationships/hyperlink" Target="https://drive.google.com/drive/folders/17l_GnuFs2CQahsH2de7epB8ZBhkYmosE?usp=drive_link" TargetMode="External"/><Relationship Id="rId235" Type="http://schemas.openxmlformats.org/officeDocument/2006/relationships/hyperlink" Target="https://drive.google.com/file/d/1Wqt2WI7E-w2yip5U2acAMFCJCWOdcyaC/view?usp=drive_link" TargetMode="External"/><Relationship Id="rId356" Type="http://schemas.openxmlformats.org/officeDocument/2006/relationships/hyperlink" Target="https://drive.google.com/file/d/1zKohVzSpzWjXe0EbHibNNmoy1Cyvu_uo/view?usp=sharing" TargetMode="External"/><Relationship Id="rId113" Type="http://schemas.openxmlformats.org/officeDocument/2006/relationships/hyperlink" Target="https://drive.google.com/drive/folders/17l_GnuFs2CQahsH2de7epB8ZBhkYmosE?usp=drive_link" TargetMode="External"/><Relationship Id="rId234" Type="http://schemas.openxmlformats.org/officeDocument/2006/relationships/hyperlink" Target="https://drive.google.com/file/d/1RVxwqtjjCcwIdz5MTp1FN8VGVwhNI_Xi/view?usp=drive_link" TargetMode="External"/><Relationship Id="rId355" Type="http://schemas.openxmlformats.org/officeDocument/2006/relationships/hyperlink" Target="https://drive.google.com/file/d/1HcS8SXnKZmmYtXquUKpPwWEMZQnE_jaI/view?usp=drive_link" TargetMode="External"/><Relationship Id="rId112" Type="http://schemas.openxmlformats.org/officeDocument/2006/relationships/hyperlink" Target="https://drive.google.com/file/d/1mqsDmZ35RKLbj7_nUkYt0uy9ELt8QLSs/view?usp=drive_link" TargetMode="External"/><Relationship Id="rId233" Type="http://schemas.openxmlformats.org/officeDocument/2006/relationships/hyperlink" Target="https://drive.google.com/file/d/1kNY9xBoV3YQ0zTd3nraZcxbvv0GlHX8Z/view?usp=drive_link" TargetMode="External"/><Relationship Id="rId354" Type="http://schemas.openxmlformats.org/officeDocument/2006/relationships/hyperlink" Target="https://drive.google.com/file/d/1TDvhBOY_0DbU2mw8muNwvc14Gy9zyEBo/view?usp=drive_link" TargetMode="External"/><Relationship Id="rId111" Type="http://schemas.openxmlformats.org/officeDocument/2006/relationships/hyperlink" Target="https://drive.google.com/file/d/1DPf3vSdjN5zCk9yXj4L2AEIcpnuZLYgk/view?usp=drive_link" TargetMode="External"/><Relationship Id="rId232" Type="http://schemas.openxmlformats.org/officeDocument/2006/relationships/hyperlink" Target="https://drive.google.com/file/d/16YsAyUo71Uexx7oivp-kAf1Yp6rRa3PS/view?usp=drive_link" TargetMode="External"/><Relationship Id="rId353" Type="http://schemas.openxmlformats.org/officeDocument/2006/relationships/hyperlink" Target="https://drive.google.com/file/d/1DuaWpjPkRnbNfW6ZaQmT3Sb7oMbZlXrh/view?usp=drive_link" TargetMode="External"/><Relationship Id="rId305" Type="http://schemas.openxmlformats.org/officeDocument/2006/relationships/hyperlink" Target="https://drive.google.com/file/d/1njTPP3SArUd6Nawg4hqyT_3KF0wv5m-n/view?usp=drive_link" TargetMode="External"/><Relationship Id="rId304" Type="http://schemas.openxmlformats.org/officeDocument/2006/relationships/hyperlink" Target="https://drive.google.com/file/d/1CrmaS_BzZYgetPISXYUo6lDfuV_3WDeo/view?usp=drive_link" TargetMode="External"/><Relationship Id="rId303" Type="http://schemas.openxmlformats.org/officeDocument/2006/relationships/hyperlink" Target="https://drive.google.com/file/d/1V38O2nctAFszw7sPFbfDKHog0wfPHJbb/view?usp=drive_link" TargetMode="External"/><Relationship Id="rId302" Type="http://schemas.openxmlformats.org/officeDocument/2006/relationships/hyperlink" Target="https://drive.google.com/file/d/1cMKEA7tS5-g8lCrRNNHlKfqaRomAAIC2/view?usp=drive_link" TargetMode="External"/><Relationship Id="rId309" Type="http://schemas.openxmlformats.org/officeDocument/2006/relationships/hyperlink" Target="https://drive.google.com/drive/folders/1lZRkf2Qlj7ndlVzjO0FUzQqoZq5Jv4Z9?usp=drive_link" TargetMode="External"/><Relationship Id="rId308" Type="http://schemas.openxmlformats.org/officeDocument/2006/relationships/hyperlink" Target="https://drive.google.com/drive/folders/1GLtYfACaZMTNZhXDcSvpmBAzgfCssAOn?usp=drive_link" TargetMode="External"/><Relationship Id="rId307" Type="http://schemas.openxmlformats.org/officeDocument/2006/relationships/hyperlink" Target="https://drive.google.com/drive/folders/1GLtYfACaZMTNZhXDcSvpmBAzgfCssAOn?usp=drive_link" TargetMode="External"/><Relationship Id="rId306" Type="http://schemas.openxmlformats.org/officeDocument/2006/relationships/hyperlink" Target="https://drive.google.com/file/d/10BiGwYwLOs3DHCMKComDXrjcKuuXcj9e/view?usp=drive_link" TargetMode="External"/><Relationship Id="rId301" Type="http://schemas.openxmlformats.org/officeDocument/2006/relationships/hyperlink" Target="https://drive.google.com/file/d/1qLokRG_STZctfed-jrFbtuqoJP7s41dy/view?usp=drive_link" TargetMode="External"/><Relationship Id="rId300" Type="http://schemas.openxmlformats.org/officeDocument/2006/relationships/hyperlink" Target="https://drive.google.com/file/d/1qLokRG_STZctfed-jrFbtuqoJP7s41dy/view?usp=drive_link" TargetMode="External"/><Relationship Id="rId206" Type="http://schemas.openxmlformats.org/officeDocument/2006/relationships/hyperlink" Target="https://drive.google.com/file/d/1S1I7H2vDB5pODlHEoeZ0foOou1XzSQkV/view?usp=drive_link" TargetMode="External"/><Relationship Id="rId327" Type="http://schemas.openxmlformats.org/officeDocument/2006/relationships/hyperlink" Target="https://drive.google.com/file/d/1DuaWpjPkRnbNfW6ZaQmT3Sb7oMbZlXrh/view?usp=drive_link" TargetMode="External"/><Relationship Id="rId205" Type="http://schemas.openxmlformats.org/officeDocument/2006/relationships/hyperlink" Target="https://drive.google.com/file/d/1jVfdI4ykuTOGaPJURvcDTAWRtwS1osG_/view?usp=drive_link" TargetMode="External"/><Relationship Id="rId326" Type="http://schemas.openxmlformats.org/officeDocument/2006/relationships/hyperlink" Target="https://drive.google.com/file/d/1DuaWpjPkRnbNfW6ZaQmT3Sb7oMbZlXrh/view?usp=drive_link" TargetMode="External"/><Relationship Id="rId204" Type="http://schemas.openxmlformats.org/officeDocument/2006/relationships/hyperlink" Target="https://drive.google.com/file/d/1hsm7dcx5CdczEv8b25pGX1ZzJmwb5gA4/view?usp=drive_link" TargetMode="External"/><Relationship Id="rId325" Type="http://schemas.openxmlformats.org/officeDocument/2006/relationships/hyperlink" Target="https://drive.google.com/file/d/1DuaWpjPkRnbNfW6ZaQmT3Sb7oMbZlXrh/view?usp=drive_link" TargetMode="External"/><Relationship Id="rId203" Type="http://schemas.openxmlformats.org/officeDocument/2006/relationships/hyperlink" Target="https://drive.google.com/file/d/1tlsB42ZA3SzHt3nlG-C0_-IsQjzaxwJ7/view?usp=drive_link" TargetMode="External"/><Relationship Id="rId324" Type="http://schemas.openxmlformats.org/officeDocument/2006/relationships/hyperlink" Target="https://drive.google.com/file/d/1DuaWpjPkRnbNfW6ZaQmT3Sb7oMbZlXrh/view?usp=drive_link" TargetMode="External"/><Relationship Id="rId209" Type="http://schemas.openxmlformats.org/officeDocument/2006/relationships/hyperlink" Target="https://drive.google.com/file/d/1Z_RgUSkKzHS5ckNmsqpfT9sDBLwNAxTf/view?usp=drive_link" TargetMode="External"/><Relationship Id="rId208" Type="http://schemas.openxmlformats.org/officeDocument/2006/relationships/hyperlink" Target="https://drive.google.com/file/d/145fKPKhbspDFxdbWaPEb-KuQUYl5OOgF/view?usp=drive_link" TargetMode="External"/><Relationship Id="rId329" Type="http://schemas.openxmlformats.org/officeDocument/2006/relationships/hyperlink" Target="https://drive.google.com/file/d/1DuaWpjPkRnbNfW6ZaQmT3Sb7oMbZlXrh/view?usp=drive_link" TargetMode="External"/><Relationship Id="rId207" Type="http://schemas.openxmlformats.org/officeDocument/2006/relationships/hyperlink" Target="https://drive.google.com/file/d/145fKPKhbspDFxdbWaPEb-KuQUYl5OOgF/view?usp=drive_link" TargetMode="External"/><Relationship Id="rId328" Type="http://schemas.openxmlformats.org/officeDocument/2006/relationships/hyperlink" Target="https://drive.google.com/file/d/1DuaWpjPkRnbNfW6ZaQmT3Sb7oMbZlXrh/view?usp=drive_link" TargetMode="External"/><Relationship Id="rId202" Type="http://schemas.openxmlformats.org/officeDocument/2006/relationships/hyperlink" Target="https://drive.google.com/file/d/1tenXe9MSVJm85chyAXD01FSMzRoupKXc/view?usp=sharing" TargetMode="External"/><Relationship Id="rId323" Type="http://schemas.openxmlformats.org/officeDocument/2006/relationships/hyperlink" Target="https://drive.google.com/file/d/1DuaWpjPkRnbNfW6ZaQmT3Sb7oMbZlXrh/view?usp=drive_link" TargetMode="External"/><Relationship Id="rId201" Type="http://schemas.openxmlformats.org/officeDocument/2006/relationships/hyperlink" Target="https://www.myunidays.com/FR/fr-FR/partners/d98f0745-7606-4cdd-ae84-4e04eec48c81/view" TargetMode="External"/><Relationship Id="rId322" Type="http://schemas.openxmlformats.org/officeDocument/2006/relationships/hyperlink" Target="https://drive.google.com/file/d/1DuaWpjPkRnbNfW6ZaQmT3Sb7oMbZlXrh/view?usp=drive_link" TargetMode="External"/><Relationship Id="rId200" Type="http://schemas.openxmlformats.org/officeDocument/2006/relationships/hyperlink" Target="https://drive.google.com/file/d/1B08jhcWJyOMT1Yy_HGtCA_AMANqqnTG3/view?usp=drive_link" TargetMode="External"/><Relationship Id="rId321" Type="http://schemas.openxmlformats.org/officeDocument/2006/relationships/hyperlink" Target="https://drive.google.com/file/d/1chW_SpHBlEVDXIDcy6jWgSvlJ4jREcV0/view?usp=drive_link" TargetMode="External"/><Relationship Id="rId320" Type="http://schemas.openxmlformats.org/officeDocument/2006/relationships/hyperlink" Target="https://drive.google.com/file/d/15QUUsH7Ukaomo4M-jpxF22tXXdF6stpR/view?usp=drive_link" TargetMode="External"/><Relationship Id="rId316" Type="http://schemas.openxmlformats.org/officeDocument/2006/relationships/hyperlink" Target="https://drive.google.com/file/d/1F49lApz3qOGF9s8nySXu_t-_E_bM2uxN/view?usp=drive_link" TargetMode="External"/><Relationship Id="rId315" Type="http://schemas.openxmlformats.org/officeDocument/2006/relationships/hyperlink" Target="https://drive.google.com/file/d/1DqHj1aUTk330hzsN43D2uywqEbczspMy/view?usp=drive_link" TargetMode="External"/><Relationship Id="rId314" Type="http://schemas.openxmlformats.org/officeDocument/2006/relationships/hyperlink" Target="https://drive.google.com/file/d/1szUQCNCRSy8l9loaMV9zmr0deJmKpOkE/view?usp=drive_link" TargetMode="External"/><Relationship Id="rId313" Type="http://schemas.openxmlformats.org/officeDocument/2006/relationships/hyperlink" Target="https://drive.google.com/file/d/1FEzOncgswTH5Wed4NegrTtZ1G6gZCTvM/view?usp=drive_link" TargetMode="External"/><Relationship Id="rId319" Type="http://schemas.openxmlformats.org/officeDocument/2006/relationships/hyperlink" Target="https://drive.google.com/file/d/1qtxxephV4d4n2WjXcLDCTcBWeDa2z_QY/view?usp=drive_link" TargetMode="External"/><Relationship Id="rId318" Type="http://schemas.openxmlformats.org/officeDocument/2006/relationships/hyperlink" Target="https://drive.google.com/file/d/1edvZ7E0MG0ZUsPmKExi9p3vcaai6sA3N/view?usp=drive_link" TargetMode="External"/><Relationship Id="rId317" Type="http://schemas.openxmlformats.org/officeDocument/2006/relationships/hyperlink" Target="https://drive.google.com/file/d/1hLo7KmkDePAbhM7GcRJEYovw6qPaZ-e1/view?usp=drive_link" TargetMode="External"/><Relationship Id="rId312" Type="http://schemas.openxmlformats.org/officeDocument/2006/relationships/hyperlink" Target="https://drive.google.com/file/d/11fSRu2CNg_IS_hm7pwRutxQoTTWWgb98/view?usp=drive_link" TargetMode="External"/><Relationship Id="rId311" Type="http://schemas.openxmlformats.org/officeDocument/2006/relationships/hyperlink" Target="https://drive.google.com/file/d/1i07XIo6OWBrhZJ06W3-KKh7abC7u9cay/view?usp=sharing" TargetMode="External"/><Relationship Id="rId310" Type="http://schemas.openxmlformats.org/officeDocument/2006/relationships/hyperlink" Target="https://drive.google.com/drive/folders/1lZRkf2Qlj7ndlVzjO0FUzQqoZq5Jv4Z9?usp=drive_link"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2.88"/>
    <col customWidth="1" min="2" max="2" width="13.13"/>
    <col customWidth="1" min="3" max="3" width="11.0"/>
    <col customWidth="1" min="4" max="4" width="57.38"/>
    <col customWidth="1" min="5" max="5" width="38.88"/>
    <col customWidth="1" min="6" max="6" width="18.88"/>
    <col customWidth="1" min="11" max="11" width="18.75"/>
    <col customWidth="1" hidden="1" min="12" max="12" width="18.75"/>
  </cols>
  <sheetData>
    <row r="1">
      <c r="A1" s="1"/>
      <c r="B1" s="1"/>
      <c r="C1" s="1"/>
      <c r="D1" s="1"/>
      <c r="E1" s="1"/>
      <c r="F1" s="1"/>
      <c r="G1" s="1"/>
      <c r="H1" s="1"/>
      <c r="I1" s="1"/>
      <c r="J1" s="1"/>
      <c r="K1" s="1"/>
      <c r="L1" s="2"/>
    </row>
    <row r="2">
      <c r="A2" s="3" t="s">
        <v>0</v>
      </c>
      <c r="B2" s="3" t="s">
        <v>1</v>
      </c>
      <c r="C2" s="3" t="s">
        <v>2</v>
      </c>
      <c r="D2" s="3" t="s">
        <v>3</v>
      </c>
      <c r="E2" s="3" t="s">
        <v>4</v>
      </c>
      <c r="F2" s="3" t="s">
        <v>5</v>
      </c>
      <c r="G2" s="4" t="s">
        <v>6</v>
      </c>
      <c r="H2" s="4" t="s">
        <v>7</v>
      </c>
      <c r="I2" s="3" t="s">
        <v>8</v>
      </c>
      <c r="J2" s="3" t="s">
        <v>9</v>
      </c>
      <c r="K2" s="3" t="s">
        <v>10</v>
      </c>
      <c r="L2" s="5" t="s">
        <v>11</v>
      </c>
    </row>
    <row r="3">
      <c r="A3" s="1" t="s">
        <v>12</v>
      </c>
      <c r="B3" s="6"/>
      <c r="C3" s="6"/>
      <c r="D3" s="6"/>
      <c r="E3" s="6"/>
      <c r="F3" s="6"/>
      <c r="G3" s="6"/>
      <c r="H3" s="6"/>
      <c r="I3" s="6"/>
      <c r="J3" s="6"/>
      <c r="K3" s="6"/>
      <c r="L3" s="7"/>
    </row>
    <row r="4">
      <c r="A4" s="1" t="s">
        <v>13</v>
      </c>
      <c r="B4" s="6"/>
      <c r="C4" s="6"/>
      <c r="D4" s="6"/>
      <c r="E4" s="6"/>
      <c r="F4" s="6"/>
      <c r="G4" s="6"/>
      <c r="H4" s="6"/>
      <c r="I4" s="6"/>
      <c r="J4" s="6"/>
      <c r="K4" s="7"/>
      <c r="L4" s="2"/>
    </row>
    <row r="5">
      <c r="A5" s="8" t="s">
        <v>14</v>
      </c>
      <c r="B5" s="9"/>
      <c r="C5" s="8" t="s">
        <v>15</v>
      </c>
      <c r="D5" s="10" t="s">
        <v>16</v>
      </c>
      <c r="E5" s="7"/>
      <c r="F5" s="9"/>
      <c r="G5" s="9"/>
      <c r="H5" s="9"/>
      <c r="I5" s="11">
        <v>45870.0</v>
      </c>
      <c r="J5" s="11">
        <v>45961.0</v>
      </c>
      <c r="K5" s="12" t="s">
        <v>17</v>
      </c>
      <c r="L5" s="2"/>
    </row>
    <row r="6">
      <c r="A6" s="1" t="s">
        <v>18</v>
      </c>
      <c r="B6" s="6"/>
      <c r="C6" s="6"/>
      <c r="D6" s="6"/>
      <c r="E6" s="6"/>
      <c r="F6" s="6"/>
      <c r="G6" s="6"/>
      <c r="H6" s="6"/>
      <c r="I6" s="6"/>
      <c r="J6" s="6"/>
      <c r="K6" s="7"/>
      <c r="L6" s="2"/>
    </row>
    <row r="7">
      <c r="A7" s="13" t="s">
        <v>19</v>
      </c>
      <c r="B7" s="8" t="s">
        <v>20</v>
      </c>
      <c r="C7" s="14" t="s">
        <v>15</v>
      </c>
      <c r="D7" s="15" t="s">
        <v>21</v>
      </c>
      <c r="E7" s="16" t="s">
        <v>22</v>
      </c>
      <c r="F7" s="9"/>
      <c r="G7" s="9"/>
      <c r="H7" s="9"/>
      <c r="I7" s="17">
        <v>45884.0</v>
      </c>
      <c r="J7" s="17">
        <v>46022.0</v>
      </c>
      <c r="K7" s="12" t="s">
        <v>23</v>
      </c>
      <c r="L7" s="2"/>
    </row>
    <row r="8">
      <c r="A8" s="18" t="s">
        <v>24</v>
      </c>
      <c r="B8" s="19">
        <v>1223942.0</v>
      </c>
      <c r="C8" s="20" t="s">
        <v>25</v>
      </c>
      <c r="D8" s="21" t="s">
        <v>26</v>
      </c>
      <c r="E8" s="22" t="s">
        <v>27</v>
      </c>
      <c r="F8" s="23"/>
      <c r="G8" s="23"/>
      <c r="H8" s="23"/>
      <c r="I8" s="24">
        <v>45948.0</v>
      </c>
      <c r="J8" s="24">
        <v>46022.0</v>
      </c>
      <c r="K8" s="25" t="s">
        <v>28</v>
      </c>
      <c r="L8" s="26"/>
    </row>
    <row r="9">
      <c r="A9" s="27"/>
      <c r="B9" s="19">
        <v>1223941.0</v>
      </c>
      <c r="C9" s="20" t="s">
        <v>25</v>
      </c>
      <c r="D9" s="21" t="s">
        <v>26</v>
      </c>
      <c r="E9" s="28"/>
      <c r="F9" s="23"/>
      <c r="G9" s="23"/>
      <c r="H9" s="23"/>
      <c r="I9" s="24">
        <v>45948.0</v>
      </c>
      <c r="J9" s="24">
        <v>46022.0</v>
      </c>
      <c r="K9" s="28"/>
      <c r="L9" s="26"/>
    </row>
    <row r="10">
      <c r="A10" s="27"/>
      <c r="B10" s="19">
        <v>1218315.0</v>
      </c>
      <c r="C10" s="20" t="s">
        <v>25</v>
      </c>
      <c r="D10" s="21" t="s">
        <v>29</v>
      </c>
      <c r="E10" s="28"/>
      <c r="F10" s="23"/>
      <c r="G10" s="23"/>
      <c r="H10" s="23"/>
      <c r="I10" s="24">
        <v>45948.0</v>
      </c>
      <c r="J10" s="24">
        <v>46022.0</v>
      </c>
      <c r="K10" s="28"/>
      <c r="L10" s="26"/>
    </row>
    <row r="11">
      <c r="A11" s="27"/>
      <c r="B11" s="19">
        <v>1218321.0</v>
      </c>
      <c r="C11" s="20" t="s">
        <v>25</v>
      </c>
      <c r="D11" s="21" t="s">
        <v>26</v>
      </c>
      <c r="E11" s="28"/>
      <c r="F11" s="23"/>
      <c r="G11" s="23"/>
      <c r="H11" s="23"/>
      <c r="I11" s="24">
        <v>45948.0</v>
      </c>
      <c r="J11" s="24">
        <v>46022.0</v>
      </c>
      <c r="K11" s="28"/>
      <c r="L11" s="26"/>
    </row>
    <row r="12">
      <c r="A12" s="27"/>
      <c r="B12" s="19">
        <v>1218312.0</v>
      </c>
      <c r="C12" s="20" t="s">
        <v>25</v>
      </c>
      <c r="D12" s="21" t="s">
        <v>30</v>
      </c>
      <c r="E12" s="28"/>
      <c r="F12" s="23"/>
      <c r="G12" s="23"/>
      <c r="H12" s="23"/>
      <c r="I12" s="24">
        <v>45948.0</v>
      </c>
      <c r="J12" s="24">
        <v>46022.0</v>
      </c>
      <c r="K12" s="28"/>
      <c r="L12" s="26"/>
    </row>
    <row r="13">
      <c r="A13" s="29"/>
      <c r="B13" s="19">
        <v>1207336.0</v>
      </c>
      <c r="C13" s="20" t="s">
        <v>25</v>
      </c>
      <c r="D13" s="21" t="s">
        <v>31</v>
      </c>
      <c r="E13" s="28"/>
      <c r="F13" s="23"/>
      <c r="G13" s="23"/>
      <c r="H13" s="23"/>
      <c r="I13" s="24">
        <v>45948.0</v>
      </c>
      <c r="J13" s="24">
        <v>46022.0</v>
      </c>
      <c r="K13" s="28"/>
      <c r="L13" s="26"/>
    </row>
    <row r="14" ht="15.0" customHeight="1">
      <c r="A14" s="30" t="s">
        <v>32</v>
      </c>
      <c r="B14" s="31"/>
      <c r="C14" s="31"/>
      <c r="D14" s="31"/>
      <c r="E14" s="31"/>
      <c r="F14" s="31"/>
      <c r="G14" s="31"/>
      <c r="H14" s="31"/>
      <c r="I14" s="31"/>
      <c r="J14" s="31"/>
      <c r="K14" s="31"/>
      <c r="L14" s="32"/>
    </row>
    <row r="15" ht="15.0" customHeight="1">
      <c r="A15" s="13" t="s">
        <v>33</v>
      </c>
      <c r="B15" s="23"/>
      <c r="C15" s="13" t="s">
        <v>33</v>
      </c>
      <c r="D15" s="33" t="s">
        <v>34</v>
      </c>
      <c r="E15" s="32"/>
      <c r="F15" s="13">
        <v>1228935.0</v>
      </c>
      <c r="G15" s="23"/>
      <c r="H15" s="23"/>
      <c r="I15" s="24">
        <v>45966.0</v>
      </c>
      <c r="J15" s="24">
        <v>45992.0</v>
      </c>
      <c r="K15" s="34" t="s">
        <v>17</v>
      </c>
      <c r="L15" s="35"/>
    </row>
    <row r="16" ht="15.0" customHeight="1">
      <c r="A16" s="36" t="s">
        <v>24</v>
      </c>
      <c r="B16" s="13">
        <v>1204604.0</v>
      </c>
      <c r="C16" s="20" t="s">
        <v>25</v>
      </c>
      <c r="D16" s="13" t="s">
        <v>35</v>
      </c>
      <c r="E16" s="36" t="s">
        <v>36</v>
      </c>
      <c r="F16" s="36">
        <v>1225965.0</v>
      </c>
      <c r="G16" s="23"/>
      <c r="H16" s="23"/>
      <c r="I16" s="24">
        <v>45962.0</v>
      </c>
      <c r="J16" s="24">
        <v>45685.0</v>
      </c>
      <c r="K16" s="37" t="s">
        <v>17</v>
      </c>
      <c r="L16" s="35"/>
    </row>
    <row r="17" ht="15.0" customHeight="1">
      <c r="A17" s="27"/>
      <c r="B17" s="13">
        <v>1207336.0</v>
      </c>
      <c r="C17" s="20" t="s">
        <v>25</v>
      </c>
      <c r="D17" s="13" t="s">
        <v>37</v>
      </c>
      <c r="E17" s="27"/>
      <c r="F17" s="27"/>
      <c r="G17" s="23"/>
      <c r="H17" s="23"/>
      <c r="I17" s="24">
        <v>45962.0</v>
      </c>
      <c r="J17" s="24">
        <v>45685.0</v>
      </c>
      <c r="K17" s="27"/>
      <c r="L17" s="35"/>
    </row>
    <row r="18" ht="15.0" customHeight="1">
      <c r="A18" s="27"/>
      <c r="B18" s="13">
        <v>1218274.0</v>
      </c>
      <c r="C18" s="20" t="s">
        <v>25</v>
      </c>
      <c r="D18" s="13" t="s">
        <v>38</v>
      </c>
      <c r="E18" s="27"/>
      <c r="F18" s="27"/>
      <c r="G18" s="23"/>
      <c r="H18" s="23"/>
      <c r="I18" s="24">
        <v>45962.0</v>
      </c>
      <c r="J18" s="24">
        <v>45685.0</v>
      </c>
      <c r="K18" s="27"/>
      <c r="L18" s="35"/>
    </row>
    <row r="19" ht="15.0" customHeight="1">
      <c r="A19" s="27"/>
      <c r="B19" s="13">
        <v>1218289.0</v>
      </c>
      <c r="C19" s="20" t="s">
        <v>25</v>
      </c>
      <c r="D19" s="13" t="s">
        <v>39</v>
      </c>
      <c r="E19" s="27"/>
      <c r="F19" s="27"/>
      <c r="G19" s="23"/>
      <c r="H19" s="23"/>
      <c r="I19" s="24">
        <v>45962.0</v>
      </c>
      <c r="J19" s="24">
        <v>45685.0</v>
      </c>
      <c r="K19" s="27"/>
      <c r="L19" s="35"/>
    </row>
    <row r="20" ht="15.0" customHeight="1">
      <c r="A20" s="27"/>
      <c r="B20" s="13">
        <v>1218308.0</v>
      </c>
      <c r="C20" s="20" t="s">
        <v>25</v>
      </c>
      <c r="D20" s="13" t="s">
        <v>38</v>
      </c>
      <c r="E20" s="27"/>
      <c r="F20" s="27"/>
      <c r="G20" s="23"/>
      <c r="H20" s="23"/>
      <c r="I20" s="24">
        <v>45962.0</v>
      </c>
      <c r="J20" s="24">
        <v>45685.0</v>
      </c>
      <c r="K20" s="27"/>
      <c r="L20" s="35"/>
    </row>
    <row r="21" ht="15.0" customHeight="1">
      <c r="A21" s="27"/>
      <c r="B21" s="13">
        <v>1218312.0</v>
      </c>
      <c r="C21" s="20" t="s">
        <v>25</v>
      </c>
      <c r="D21" s="13" t="s">
        <v>40</v>
      </c>
      <c r="E21" s="27"/>
      <c r="F21" s="27"/>
      <c r="G21" s="23"/>
      <c r="H21" s="23"/>
      <c r="I21" s="24">
        <v>45962.0</v>
      </c>
      <c r="J21" s="24">
        <v>45685.0</v>
      </c>
      <c r="K21" s="27"/>
      <c r="L21" s="35"/>
    </row>
    <row r="22" ht="15.0" customHeight="1">
      <c r="A22" s="27"/>
      <c r="B22" s="13">
        <v>1218315.0</v>
      </c>
      <c r="C22" s="20" t="s">
        <v>25</v>
      </c>
      <c r="D22" s="13" t="s">
        <v>41</v>
      </c>
      <c r="E22" s="27"/>
      <c r="F22" s="27"/>
      <c r="G22" s="23"/>
      <c r="H22" s="23"/>
      <c r="I22" s="24">
        <v>45962.0</v>
      </c>
      <c r="J22" s="24">
        <v>45685.0</v>
      </c>
      <c r="K22" s="27"/>
      <c r="L22" s="35"/>
    </row>
    <row r="23" ht="15.0" customHeight="1">
      <c r="A23" s="27"/>
      <c r="B23" s="13">
        <v>1218321.0</v>
      </c>
      <c r="C23" s="20" t="s">
        <v>25</v>
      </c>
      <c r="D23" s="13" t="s">
        <v>42</v>
      </c>
      <c r="E23" s="27"/>
      <c r="F23" s="27"/>
      <c r="G23" s="23"/>
      <c r="H23" s="23"/>
      <c r="I23" s="24">
        <v>45962.0</v>
      </c>
      <c r="J23" s="24">
        <v>45685.0</v>
      </c>
      <c r="K23" s="27"/>
      <c r="L23" s="35"/>
    </row>
    <row r="24" ht="15.0" customHeight="1">
      <c r="A24" s="27"/>
      <c r="B24" s="13">
        <v>1223941.0</v>
      </c>
      <c r="C24" s="20" t="s">
        <v>25</v>
      </c>
      <c r="D24" s="13" t="s">
        <v>43</v>
      </c>
      <c r="E24" s="27"/>
      <c r="F24" s="27"/>
      <c r="G24" s="23"/>
      <c r="H24" s="23"/>
      <c r="I24" s="24">
        <v>45962.0</v>
      </c>
      <c r="J24" s="24">
        <v>45685.0</v>
      </c>
      <c r="K24" s="27"/>
      <c r="L24" s="35"/>
    </row>
    <row r="25" ht="15.0" customHeight="1">
      <c r="A25" s="29"/>
      <c r="B25" s="13">
        <v>1223942.0</v>
      </c>
      <c r="C25" s="20" t="s">
        <v>25</v>
      </c>
      <c r="D25" s="13" t="s">
        <v>44</v>
      </c>
      <c r="E25" s="29"/>
      <c r="F25" s="29"/>
      <c r="G25" s="23"/>
      <c r="H25" s="23"/>
      <c r="I25" s="24">
        <v>45962.0</v>
      </c>
      <c r="J25" s="24">
        <v>45685.0</v>
      </c>
      <c r="K25" s="29"/>
      <c r="L25" s="35"/>
    </row>
    <row r="26" ht="15.0" customHeight="1">
      <c r="A26" s="13" t="s">
        <v>45</v>
      </c>
      <c r="B26" s="13" t="s">
        <v>46</v>
      </c>
      <c r="C26" s="38" t="s">
        <v>47</v>
      </c>
      <c r="D26" s="13" t="s">
        <v>48</v>
      </c>
      <c r="E26" s="13" t="s">
        <v>49</v>
      </c>
      <c r="F26" s="13">
        <v>1231244.0</v>
      </c>
      <c r="G26" s="23"/>
      <c r="H26" s="23"/>
      <c r="I26" s="24">
        <v>45972.0</v>
      </c>
      <c r="J26" s="24">
        <v>45992.0</v>
      </c>
      <c r="K26" s="34" t="s">
        <v>28</v>
      </c>
      <c r="L26" s="35"/>
    </row>
    <row r="27">
      <c r="A27" s="30" t="s">
        <v>50</v>
      </c>
      <c r="B27" s="31"/>
      <c r="C27" s="31"/>
      <c r="D27" s="31"/>
      <c r="E27" s="31"/>
      <c r="F27" s="31"/>
      <c r="G27" s="31"/>
      <c r="H27" s="31"/>
      <c r="I27" s="31"/>
      <c r="J27" s="31"/>
      <c r="K27" s="31"/>
      <c r="L27" s="32"/>
    </row>
    <row r="28">
      <c r="A28" s="8" t="s">
        <v>51</v>
      </c>
      <c r="B28" s="13">
        <v>1140039.0</v>
      </c>
      <c r="C28" s="13" t="s">
        <v>52</v>
      </c>
      <c r="D28" s="13" t="s">
        <v>53</v>
      </c>
      <c r="E28" s="13" t="s">
        <v>54</v>
      </c>
      <c r="F28" s="13">
        <v>1222408.0</v>
      </c>
      <c r="G28" s="23"/>
      <c r="H28" s="23"/>
      <c r="I28" s="39">
        <v>45931.0</v>
      </c>
      <c r="J28" s="39">
        <v>46022.0</v>
      </c>
      <c r="K28" s="34" t="s">
        <v>28</v>
      </c>
      <c r="L28" s="2"/>
    </row>
    <row r="29">
      <c r="A29" s="13" t="s">
        <v>55</v>
      </c>
      <c r="B29" s="13" t="s">
        <v>56</v>
      </c>
      <c r="C29" s="13" t="s">
        <v>52</v>
      </c>
      <c r="D29" s="13" t="s">
        <v>57</v>
      </c>
      <c r="E29" s="13" t="s">
        <v>58</v>
      </c>
      <c r="F29" s="23"/>
      <c r="G29" s="23"/>
      <c r="H29" s="23"/>
      <c r="I29" s="39">
        <v>45953.0</v>
      </c>
      <c r="J29" s="39">
        <v>46017.0</v>
      </c>
      <c r="K29" s="34" t="s">
        <v>17</v>
      </c>
      <c r="L29" s="40"/>
    </row>
    <row r="30">
      <c r="A30" s="41" t="s">
        <v>59</v>
      </c>
      <c r="B30" s="13" t="s">
        <v>60</v>
      </c>
      <c r="C30" s="13" t="s">
        <v>61</v>
      </c>
      <c r="D30" s="33" t="s">
        <v>62</v>
      </c>
      <c r="E30" s="32"/>
      <c r="F30" s="13">
        <v>1218913.0</v>
      </c>
      <c r="G30" s="23"/>
      <c r="H30" s="23"/>
      <c r="I30" s="39">
        <v>45957.0</v>
      </c>
      <c r="J30" s="39">
        <v>45984.0</v>
      </c>
      <c r="K30" s="34" t="s">
        <v>17</v>
      </c>
      <c r="L30" s="40"/>
    </row>
    <row r="31">
      <c r="A31" s="1" t="s">
        <v>63</v>
      </c>
      <c r="B31" s="6"/>
      <c r="C31" s="6"/>
      <c r="D31" s="6"/>
      <c r="E31" s="6"/>
      <c r="F31" s="6"/>
      <c r="G31" s="6"/>
      <c r="H31" s="6"/>
      <c r="I31" s="6"/>
      <c r="J31" s="6"/>
      <c r="K31" s="6"/>
      <c r="L31" s="7"/>
    </row>
    <row r="32">
      <c r="A32" s="20" t="s">
        <v>64</v>
      </c>
      <c r="B32" s="20">
        <v>1224217.0</v>
      </c>
      <c r="C32" s="20" t="str">
        <f t="shared" ref="C32:C80" si="1">IF(D32=2102020,"Gaming",IF(D32=2141010,"Gaming","Office"))</f>
        <v>Office</v>
      </c>
      <c r="D32" s="20" t="s">
        <v>65</v>
      </c>
      <c r="E32" s="36" t="s">
        <v>63</v>
      </c>
      <c r="F32" s="23"/>
      <c r="G32" s="42">
        <v>2199.99</v>
      </c>
      <c r="H32" s="43">
        <v>1899.99</v>
      </c>
      <c r="I32" s="44">
        <v>45961.0</v>
      </c>
      <c r="J32" s="44">
        <v>45992.0</v>
      </c>
      <c r="K32" s="23"/>
      <c r="L32" s="45"/>
    </row>
    <row r="33">
      <c r="A33" s="20" t="s">
        <v>66</v>
      </c>
      <c r="B33" s="20">
        <v>1225534.0</v>
      </c>
      <c r="C33" s="20" t="str">
        <f t="shared" si="1"/>
        <v>Office</v>
      </c>
      <c r="D33" s="20" t="s">
        <v>67</v>
      </c>
      <c r="E33" s="27"/>
      <c r="F33" s="23"/>
      <c r="G33" s="42">
        <v>899.99</v>
      </c>
      <c r="H33" s="43">
        <v>649.99</v>
      </c>
      <c r="I33" s="44">
        <v>45961.0</v>
      </c>
      <c r="J33" s="44">
        <v>45992.0</v>
      </c>
      <c r="K33" s="23"/>
      <c r="L33" s="45"/>
    </row>
    <row r="34">
      <c r="A34" s="20" t="s">
        <v>66</v>
      </c>
      <c r="B34" s="20">
        <v>1219864.0</v>
      </c>
      <c r="C34" s="20" t="str">
        <f t="shared" si="1"/>
        <v>Office</v>
      </c>
      <c r="D34" s="20" t="s">
        <v>68</v>
      </c>
      <c r="E34" s="27"/>
      <c r="F34" s="23"/>
      <c r="G34" s="42">
        <v>1599.99</v>
      </c>
      <c r="H34" s="43">
        <v>1199.99</v>
      </c>
      <c r="I34" s="44">
        <v>45961.0</v>
      </c>
      <c r="J34" s="44">
        <v>45992.0</v>
      </c>
      <c r="K34" s="23"/>
      <c r="L34" s="45"/>
    </row>
    <row r="35">
      <c r="A35" s="20" t="s">
        <v>66</v>
      </c>
      <c r="B35" s="20">
        <v>1220896.0</v>
      </c>
      <c r="C35" s="20" t="str">
        <f t="shared" si="1"/>
        <v>Office</v>
      </c>
      <c r="D35" s="20" t="s">
        <v>69</v>
      </c>
      <c r="E35" s="27"/>
      <c r="F35" s="23"/>
      <c r="G35" s="42">
        <v>1799.99</v>
      </c>
      <c r="H35" s="43">
        <v>1299.0</v>
      </c>
      <c r="I35" s="44">
        <v>45961.0</v>
      </c>
      <c r="J35" s="44">
        <v>45992.0</v>
      </c>
      <c r="K35" s="23"/>
      <c r="L35" s="45"/>
    </row>
    <row r="36">
      <c r="A36" s="20" t="s">
        <v>66</v>
      </c>
      <c r="B36" s="20">
        <v>1217623.0</v>
      </c>
      <c r="C36" s="20" t="str">
        <f t="shared" si="1"/>
        <v>Office</v>
      </c>
      <c r="D36" s="20" t="s">
        <v>70</v>
      </c>
      <c r="E36" s="27"/>
      <c r="F36" s="23"/>
      <c r="G36" s="42">
        <v>499.99</v>
      </c>
      <c r="H36" s="43">
        <v>399.99</v>
      </c>
      <c r="I36" s="44">
        <v>45961.0</v>
      </c>
      <c r="J36" s="44">
        <v>45992.0</v>
      </c>
      <c r="K36" s="23"/>
      <c r="L36" s="45"/>
    </row>
    <row r="37">
      <c r="A37" s="20" t="s">
        <v>64</v>
      </c>
      <c r="B37" s="20">
        <v>1218129.0</v>
      </c>
      <c r="C37" s="20" t="str">
        <f t="shared" si="1"/>
        <v>Office</v>
      </c>
      <c r="D37" s="20" t="s">
        <v>71</v>
      </c>
      <c r="E37" s="27"/>
      <c r="F37" s="23"/>
      <c r="G37" s="42">
        <v>799.99</v>
      </c>
      <c r="H37" s="43">
        <v>629.99</v>
      </c>
      <c r="I37" s="44">
        <v>45961.0</v>
      </c>
      <c r="J37" s="44">
        <v>45992.0</v>
      </c>
      <c r="K37" s="23"/>
      <c r="L37" s="45"/>
    </row>
    <row r="38">
      <c r="A38" s="20" t="s">
        <v>72</v>
      </c>
      <c r="B38" s="20">
        <v>8011797.0</v>
      </c>
      <c r="C38" s="20" t="str">
        <f t="shared" si="1"/>
        <v>Office</v>
      </c>
      <c r="D38" s="20" t="s">
        <v>73</v>
      </c>
      <c r="E38" s="27"/>
      <c r="F38" s="23"/>
      <c r="G38" s="42">
        <v>1199.99</v>
      </c>
      <c r="H38" s="43">
        <v>1099.99</v>
      </c>
      <c r="I38" s="44">
        <v>45961.0</v>
      </c>
      <c r="J38" s="44">
        <v>45992.0</v>
      </c>
      <c r="K38" s="23"/>
      <c r="L38" s="45"/>
    </row>
    <row r="39">
      <c r="A39" s="20" t="s">
        <v>64</v>
      </c>
      <c r="B39" s="20">
        <v>1218146.0</v>
      </c>
      <c r="C39" s="20" t="str">
        <f t="shared" si="1"/>
        <v>Office</v>
      </c>
      <c r="D39" s="20" t="s">
        <v>74</v>
      </c>
      <c r="E39" s="27"/>
      <c r="F39" s="23"/>
      <c r="G39" s="42">
        <v>1999.99</v>
      </c>
      <c r="H39" s="43">
        <v>1799.99</v>
      </c>
      <c r="I39" s="44">
        <v>45961.0</v>
      </c>
      <c r="J39" s="44">
        <v>45992.0</v>
      </c>
      <c r="K39" s="23"/>
      <c r="L39" s="45"/>
    </row>
    <row r="40">
      <c r="A40" s="20" t="s">
        <v>66</v>
      </c>
      <c r="B40" s="20">
        <v>1222780.0</v>
      </c>
      <c r="C40" s="20" t="str">
        <f t="shared" si="1"/>
        <v>Office</v>
      </c>
      <c r="D40" s="20" t="s">
        <v>75</v>
      </c>
      <c r="E40" s="27"/>
      <c r="F40" s="23"/>
      <c r="G40" s="42">
        <v>499.99</v>
      </c>
      <c r="H40" s="43">
        <v>379.99</v>
      </c>
      <c r="I40" s="44">
        <v>45961.0</v>
      </c>
      <c r="J40" s="44">
        <v>45992.0</v>
      </c>
      <c r="K40" s="23"/>
      <c r="L40" s="45"/>
    </row>
    <row r="41">
      <c r="A41" s="20" t="s">
        <v>66</v>
      </c>
      <c r="B41" s="20">
        <v>1217625.0</v>
      </c>
      <c r="C41" s="20" t="str">
        <f t="shared" si="1"/>
        <v>Office</v>
      </c>
      <c r="D41" s="20" t="s">
        <v>76</v>
      </c>
      <c r="E41" s="27"/>
      <c r="F41" s="23"/>
      <c r="G41" s="42">
        <v>799.99</v>
      </c>
      <c r="H41" s="43">
        <v>649.99</v>
      </c>
      <c r="I41" s="44">
        <v>45961.0</v>
      </c>
      <c r="J41" s="44">
        <v>45992.0</v>
      </c>
      <c r="K41" s="23"/>
      <c r="L41" s="45"/>
    </row>
    <row r="42">
      <c r="A42" s="20" t="s">
        <v>14</v>
      </c>
      <c r="B42" s="20">
        <v>1220677.0</v>
      </c>
      <c r="C42" s="20" t="str">
        <f t="shared" si="1"/>
        <v>Office</v>
      </c>
      <c r="D42" s="20" t="s">
        <v>77</v>
      </c>
      <c r="E42" s="27"/>
      <c r="F42" s="23"/>
      <c r="G42" s="42">
        <v>899.99</v>
      </c>
      <c r="H42" s="43">
        <v>599.99</v>
      </c>
      <c r="I42" s="44">
        <v>45961.0</v>
      </c>
      <c r="J42" s="44">
        <v>45981.0</v>
      </c>
      <c r="K42" s="23"/>
      <c r="L42" s="45"/>
    </row>
    <row r="43">
      <c r="A43" s="20" t="s">
        <v>14</v>
      </c>
      <c r="B43" s="20">
        <v>1220680.0</v>
      </c>
      <c r="C43" s="20" t="str">
        <f t="shared" si="1"/>
        <v>Office</v>
      </c>
      <c r="D43" s="20" t="s">
        <v>78</v>
      </c>
      <c r="E43" s="27"/>
      <c r="F43" s="23"/>
      <c r="G43" s="42">
        <v>899.99</v>
      </c>
      <c r="H43" s="43">
        <v>599.99</v>
      </c>
      <c r="I43" s="44">
        <v>45961.0</v>
      </c>
      <c r="J43" s="44">
        <v>45981.0</v>
      </c>
      <c r="K43" s="23"/>
      <c r="L43" s="45"/>
    </row>
    <row r="44">
      <c r="A44" s="20" t="s">
        <v>14</v>
      </c>
      <c r="B44" s="20">
        <v>1217468.0</v>
      </c>
      <c r="C44" s="20" t="str">
        <f t="shared" si="1"/>
        <v>Office</v>
      </c>
      <c r="D44" s="20" t="s">
        <v>79</v>
      </c>
      <c r="E44" s="27"/>
      <c r="F44" s="23"/>
      <c r="G44" s="42">
        <v>899.99</v>
      </c>
      <c r="H44" s="43">
        <v>799.99</v>
      </c>
      <c r="I44" s="44">
        <v>45961.0</v>
      </c>
      <c r="J44" s="44">
        <v>45992.0</v>
      </c>
      <c r="K44" s="23"/>
      <c r="L44" s="45"/>
    </row>
    <row r="45">
      <c r="A45" s="20" t="s">
        <v>14</v>
      </c>
      <c r="B45" s="20">
        <v>1222844.0</v>
      </c>
      <c r="C45" s="20" t="str">
        <f t="shared" si="1"/>
        <v>Office</v>
      </c>
      <c r="D45" s="20" t="s">
        <v>80</v>
      </c>
      <c r="E45" s="27"/>
      <c r="F45" s="23"/>
      <c r="G45" s="42">
        <v>499.99</v>
      </c>
      <c r="H45" s="43">
        <v>449.99</v>
      </c>
      <c r="I45" s="44">
        <v>45961.0</v>
      </c>
      <c r="J45" s="44">
        <v>45992.0</v>
      </c>
      <c r="K45" s="23"/>
      <c r="L45" s="45"/>
    </row>
    <row r="46">
      <c r="A46" s="20" t="s">
        <v>14</v>
      </c>
      <c r="B46" s="20">
        <v>1208230.0</v>
      </c>
      <c r="C46" s="20" t="str">
        <f t="shared" si="1"/>
        <v>Office</v>
      </c>
      <c r="D46" s="20" t="s">
        <v>81</v>
      </c>
      <c r="E46" s="27"/>
      <c r="F46" s="23"/>
      <c r="G46" s="42">
        <v>1399.99</v>
      </c>
      <c r="H46" s="43">
        <v>1199.99</v>
      </c>
      <c r="I46" s="44">
        <v>45961.0</v>
      </c>
      <c r="J46" s="44">
        <v>45992.0</v>
      </c>
      <c r="K46" s="23"/>
      <c r="L46" s="45"/>
    </row>
    <row r="47">
      <c r="A47" s="20" t="s">
        <v>14</v>
      </c>
      <c r="B47" s="20">
        <v>1201140.0</v>
      </c>
      <c r="C47" s="20" t="str">
        <f t="shared" si="1"/>
        <v>Office</v>
      </c>
      <c r="D47" s="20" t="s">
        <v>82</v>
      </c>
      <c r="E47" s="27"/>
      <c r="F47" s="23"/>
      <c r="G47" s="42">
        <v>1799.99</v>
      </c>
      <c r="H47" s="43">
        <v>1499.99</v>
      </c>
      <c r="I47" s="44">
        <v>45961.0</v>
      </c>
      <c r="J47" s="44">
        <v>45992.0</v>
      </c>
      <c r="K47" s="23"/>
      <c r="L47" s="45"/>
    </row>
    <row r="48">
      <c r="A48" s="20" t="s">
        <v>14</v>
      </c>
      <c r="B48" s="20">
        <v>1218862.0</v>
      </c>
      <c r="C48" s="20" t="str">
        <f t="shared" si="1"/>
        <v>Office</v>
      </c>
      <c r="D48" s="20" t="s">
        <v>83</v>
      </c>
      <c r="E48" s="27"/>
      <c r="F48" s="23"/>
      <c r="G48" s="42">
        <v>999.99</v>
      </c>
      <c r="H48" s="43">
        <v>849.99</v>
      </c>
      <c r="I48" s="44">
        <v>45961.0</v>
      </c>
      <c r="J48" s="44">
        <v>45992.0</v>
      </c>
      <c r="K48" s="23"/>
      <c r="L48" s="45"/>
    </row>
    <row r="49">
      <c r="A49" s="20" t="s">
        <v>14</v>
      </c>
      <c r="B49" s="20">
        <v>1217499.0</v>
      </c>
      <c r="C49" s="20" t="str">
        <f t="shared" si="1"/>
        <v>Office</v>
      </c>
      <c r="D49" s="20" t="s">
        <v>84</v>
      </c>
      <c r="E49" s="27"/>
      <c r="F49" s="23"/>
      <c r="G49" s="42">
        <v>999.99</v>
      </c>
      <c r="H49" s="43">
        <v>849.99</v>
      </c>
      <c r="I49" s="44">
        <v>45961.0</v>
      </c>
      <c r="J49" s="44">
        <v>45974.0</v>
      </c>
      <c r="K49" s="23"/>
      <c r="L49" s="45"/>
    </row>
    <row r="50">
      <c r="A50" s="20" t="s">
        <v>14</v>
      </c>
      <c r="B50" s="20">
        <v>1208249.0</v>
      </c>
      <c r="C50" s="20" t="str">
        <f t="shared" si="1"/>
        <v>Office</v>
      </c>
      <c r="D50" s="20" t="s">
        <v>85</v>
      </c>
      <c r="E50" s="27"/>
      <c r="F50" s="23"/>
      <c r="G50" s="42">
        <v>1799.99</v>
      </c>
      <c r="H50" s="43">
        <v>1599.99</v>
      </c>
      <c r="I50" s="44">
        <v>45961.0</v>
      </c>
      <c r="J50" s="44">
        <v>45992.0</v>
      </c>
      <c r="K50" s="23"/>
      <c r="L50" s="45"/>
    </row>
    <row r="51">
      <c r="A51" s="20" t="s">
        <v>14</v>
      </c>
      <c r="B51" s="20">
        <v>1208264.0</v>
      </c>
      <c r="C51" s="20" t="str">
        <f t="shared" si="1"/>
        <v>Office</v>
      </c>
      <c r="D51" s="20" t="s">
        <v>86</v>
      </c>
      <c r="E51" s="27"/>
      <c r="F51" s="23"/>
      <c r="G51" s="46">
        <v>2399.99</v>
      </c>
      <c r="H51" s="43">
        <v>1899.99</v>
      </c>
      <c r="I51" s="44">
        <v>45961.0</v>
      </c>
      <c r="J51" s="44">
        <v>45992.0</v>
      </c>
      <c r="K51" s="23"/>
      <c r="L51" s="45"/>
    </row>
    <row r="52">
      <c r="A52" s="20" t="s">
        <v>14</v>
      </c>
      <c r="B52" s="20">
        <v>1190274.0</v>
      </c>
      <c r="C52" s="20" t="str">
        <f t="shared" si="1"/>
        <v>Office</v>
      </c>
      <c r="D52" s="20" t="s">
        <v>87</v>
      </c>
      <c r="E52" s="27"/>
      <c r="F52" s="23"/>
      <c r="G52" s="42">
        <v>499.99</v>
      </c>
      <c r="H52" s="43">
        <v>449.99</v>
      </c>
      <c r="I52" s="44">
        <v>45961.0</v>
      </c>
      <c r="J52" s="44">
        <v>45992.0</v>
      </c>
      <c r="K52" s="23"/>
      <c r="L52" s="45"/>
    </row>
    <row r="53">
      <c r="A53" s="20" t="s">
        <v>88</v>
      </c>
      <c r="B53" s="20">
        <v>1220674.0</v>
      </c>
      <c r="C53" s="20" t="str">
        <f t="shared" si="1"/>
        <v>Office</v>
      </c>
      <c r="D53" s="20" t="s">
        <v>89</v>
      </c>
      <c r="E53" s="27"/>
      <c r="F53" s="23"/>
      <c r="G53" s="42">
        <v>4999.99</v>
      </c>
      <c r="H53" s="43">
        <v>4599.99</v>
      </c>
      <c r="I53" s="44">
        <v>45961.0</v>
      </c>
      <c r="J53" s="44">
        <v>45991.0</v>
      </c>
      <c r="K53" s="23"/>
      <c r="L53" s="45"/>
    </row>
    <row r="54">
      <c r="A54" s="20" t="s">
        <v>88</v>
      </c>
      <c r="B54" s="20">
        <v>1220880.0</v>
      </c>
      <c r="C54" s="20" t="str">
        <f t="shared" si="1"/>
        <v>Office</v>
      </c>
      <c r="D54" s="20" t="s">
        <v>90</v>
      </c>
      <c r="E54" s="27"/>
      <c r="F54" s="23"/>
      <c r="G54" s="42">
        <v>4499.99</v>
      </c>
      <c r="H54" s="43">
        <v>3999.99</v>
      </c>
      <c r="I54" s="44">
        <v>45961.0</v>
      </c>
      <c r="J54" s="44">
        <v>45991.0</v>
      </c>
      <c r="K54" s="23"/>
      <c r="L54" s="45"/>
    </row>
    <row r="55">
      <c r="A55" s="20" t="s">
        <v>88</v>
      </c>
      <c r="B55" s="20">
        <v>1220891.0</v>
      </c>
      <c r="C55" s="20" t="str">
        <f t="shared" si="1"/>
        <v>Office</v>
      </c>
      <c r="D55" s="20" t="s">
        <v>91</v>
      </c>
      <c r="E55" s="27"/>
      <c r="F55" s="23"/>
      <c r="G55" s="42">
        <v>3299.99</v>
      </c>
      <c r="H55" s="43">
        <v>2999.99</v>
      </c>
      <c r="I55" s="44">
        <v>45961.0</v>
      </c>
      <c r="J55" s="44">
        <v>45991.0</v>
      </c>
      <c r="K55" s="23"/>
      <c r="L55" s="45"/>
    </row>
    <row r="56">
      <c r="A56" s="20" t="s">
        <v>88</v>
      </c>
      <c r="B56" s="20">
        <v>1220892.0</v>
      </c>
      <c r="C56" s="20" t="str">
        <f t="shared" si="1"/>
        <v>Office</v>
      </c>
      <c r="D56" s="20" t="s">
        <v>92</v>
      </c>
      <c r="E56" s="27"/>
      <c r="F56" s="23"/>
      <c r="G56" s="42">
        <v>2999.99</v>
      </c>
      <c r="H56" s="43">
        <v>2599.99</v>
      </c>
      <c r="I56" s="44">
        <v>45961.0</v>
      </c>
      <c r="J56" s="44">
        <v>45991.0</v>
      </c>
      <c r="K56" s="23"/>
      <c r="L56" s="45"/>
    </row>
    <row r="57">
      <c r="A57" s="20" t="s">
        <v>88</v>
      </c>
      <c r="B57" s="20">
        <v>1220893.0</v>
      </c>
      <c r="C57" s="20" t="str">
        <f t="shared" si="1"/>
        <v>Office</v>
      </c>
      <c r="D57" s="20" t="s">
        <v>93</v>
      </c>
      <c r="E57" s="27"/>
      <c r="F57" s="23"/>
      <c r="G57" s="42">
        <v>2499.99</v>
      </c>
      <c r="H57" s="43">
        <v>1999.99</v>
      </c>
      <c r="I57" s="44">
        <v>45961.0</v>
      </c>
      <c r="J57" s="44">
        <v>45991.0</v>
      </c>
      <c r="K57" s="23"/>
      <c r="L57" s="45"/>
    </row>
    <row r="58">
      <c r="A58" s="20" t="s">
        <v>94</v>
      </c>
      <c r="B58" s="20">
        <v>1225956.0</v>
      </c>
      <c r="C58" s="20" t="str">
        <f t="shared" si="1"/>
        <v>Office</v>
      </c>
      <c r="D58" s="20" t="s">
        <v>95</v>
      </c>
      <c r="E58" s="27"/>
      <c r="F58" s="23"/>
      <c r="G58" s="42">
        <v>2699.99</v>
      </c>
      <c r="H58" s="43">
        <v>2399.99</v>
      </c>
      <c r="I58" s="44">
        <v>45961.0</v>
      </c>
      <c r="J58" s="44">
        <v>45992.0</v>
      </c>
      <c r="K58" s="23"/>
      <c r="L58" s="45"/>
    </row>
    <row r="59">
      <c r="A59" s="20" t="s">
        <v>96</v>
      </c>
      <c r="B59" s="20">
        <v>1218296.0</v>
      </c>
      <c r="C59" s="20" t="str">
        <f t="shared" si="1"/>
        <v>Office</v>
      </c>
      <c r="D59" s="20" t="s">
        <v>97</v>
      </c>
      <c r="E59" s="27"/>
      <c r="F59" s="23"/>
      <c r="G59" s="42">
        <v>299.99</v>
      </c>
      <c r="H59" s="43">
        <v>259.99</v>
      </c>
      <c r="I59" s="47">
        <v>45961.0</v>
      </c>
      <c r="J59" s="44">
        <v>45992.0</v>
      </c>
      <c r="K59" s="23"/>
      <c r="L59" s="45"/>
    </row>
    <row r="60">
      <c r="A60" s="20" t="s">
        <v>96</v>
      </c>
      <c r="B60" s="20">
        <v>1218297.0</v>
      </c>
      <c r="C60" s="20" t="str">
        <f t="shared" si="1"/>
        <v>Office</v>
      </c>
      <c r="D60" s="20" t="s">
        <v>98</v>
      </c>
      <c r="E60" s="27"/>
      <c r="F60" s="23"/>
      <c r="G60" s="42">
        <v>1299.99</v>
      </c>
      <c r="H60" s="43">
        <v>1199.99</v>
      </c>
      <c r="I60" s="47">
        <v>45961.0</v>
      </c>
      <c r="J60" s="44">
        <v>45992.0</v>
      </c>
      <c r="K60" s="23"/>
      <c r="L60" s="45"/>
    </row>
    <row r="61">
      <c r="A61" s="20" t="s">
        <v>96</v>
      </c>
      <c r="B61" s="20">
        <v>1207336.0</v>
      </c>
      <c r="C61" s="20" t="str">
        <f t="shared" si="1"/>
        <v>Office</v>
      </c>
      <c r="D61" s="20" t="s">
        <v>37</v>
      </c>
      <c r="E61" s="27"/>
      <c r="F61" s="23"/>
      <c r="G61" s="42">
        <v>1499.99</v>
      </c>
      <c r="H61" s="43">
        <v>1499.99</v>
      </c>
      <c r="I61" s="47">
        <v>45961.0</v>
      </c>
      <c r="J61" s="44">
        <v>45992.0</v>
      </c>
      <c r="K61" s="23"/>
      <c r="L61" s="45"/>
    </row>
    <row r="62">
      <c r="A62" s="20" t="s">
        <v>96</v>
      </c>
      <c r="B62" s="20">
        <v>1216746.0</v>
      </c>
      <c r="C62" s="20" t="str">
        <f t="shared" si="1"/>
        <v>Office</v>
      </c>
      <c r="D62" s="20" t="s">
        <v>99</v>
      </c>
      <c r="E62" s="27"/>
      <c r="F62" s="23"/>
      <c r="G62" s="42">
        <v>599.99</v>
      </c>
      <c r="H62" s="43">
        <v>499.99</v>
      </c>
      <c r="I62" s="47">
        <v>45961.0</v>
      </c>
      <c r="J62" s="44">
        <v>45992.0</v>
      </c>
      <c r="K62" s="23"/>
      <c r="L62" s="45"/>
    </row>
    <row r="63">
      <c r="A63" s="20" t="s">
        <v>96</v>
      </c>
      <c r="B63" s="20">
        <v>1218315.0</v>
      </c>
      <c r="C63" s="20" t="str">
        <f t="shared" si="1"/>
        <v>Office</v>
      </c>
      <c r="D63" s="20" t="s">
        <v>41</v>
      </c>
      <c r="E63" s="27"/>
      <c r="F63" s="23"/>
      <c r="G63" s="42">
        <v>1199.99</v>
      </c>
      <c r="H63" s="43">
        <v>899.99</v>
      </c>
      <c r="I63" s="47">
        <v>45961.0</v>
      </c>
      <c r="J63" s="44">
        <v>45992.0</v>
      </c>
      <c r="K63" s="23"/>
      <c r="L63" s="45"/>
    </row>
    <row r="64">
      <c r="A64" s="20" t="s">
        <v>96</v>
      </c>
      <c r="B64" s="20">
        <v>1223926.0</v>
      </c>
      <c r="C64" s="20" t="str">
        <f t="shared" si="1"/>
        <v>Office</v>
      </c>
      <c r="D64" s="20" t="s">
        <v>100</v>
      </c>
      <c r="E64" s="27"/>
      <c r="F64" s="23"/>
      <c r="G64" s="42">
        <v>899.99</v>
      </c>
      <c r="H64" s="43">
        <v>599.99</v>
      </c>
      <c r="I64" s="47">
        <v>45961.0</v>
      </c>
      <c r="J64" s="44">
        <v>45992.0</v>
      </c>
      <c r="K64" s="23"/>
      <c r="L64" s="45"/>
    </row>
    <row r="65">
      <c r="A65" s="20" t="s">
        <v>96</v>
      </c>
      <c r="B65" s="20">
        <v>1223927.0</v>
      </c>
      <c r="C65" s="20" t="str">
        <f t="shared" si="1"/>
        <v>Office</v>
      </c>
      <c r="D65" s="20" t="s">
        <v>101</v>
      </c>
      <c r="E65" s="27"/>
      <c r="F65" s="23"/>
      <c r="G65" s="42">
        <v>899.99</v>
      </c>
      <c r="H65" s="43">
        <v>599.99</v>
      </c>
      <c r="I65" s="47">
        <v>45961.0</v>
      </c>
      <c r="J65" s="44">
        <v>45992.0</v>
      </c>
      <c r="K65" s="23"/>
      <c r="L65" s="45"/>
    </row>
    <row r="66">
      <c r="A66" s="20" t="s">
        <v>96</v>
      </c>
      <c r="B66" s="20">
        <v>1223929.0</v>
      </c>
      <c r="C66" s="20" t="str">
        <f t="shared" si="1"/>
        <v>Office</v>
      </c>
      <c r="D66" s="20" t="s">
        <v>102</v>
      </c>
      <c r="E66" s="27"/>
      <c r="F66" s="23"/>
      <c r="G66" s="42">
        <v>999.99</v>
      </c>
      <c r="H66" s="43">
        <v>749.99</v>
      </c>
      <c r="I66" s="47">
        <v>45961.0</v>
      </c>
      <c r="J66" s="44">
        <v>45992.0</v>
      </c>
      <c r="K66" s="23"/>
      <c r="L66" s="45"/>
    </row>
    <row r="67">
      <c r="A67" s="20" t="s">
        <v>96</v>
      </c>
      <c r="B67" s="20">
        <v>1223930.0</v>
      </c>
      <c r="C67" s="20" t="str">
        <f t="shared" si="1"/>
        <v>Office</v>
      </c>
      <c r="D67" s="20" t="s">
        <v>103</v>
      </c>
      <c r="E67" s="27"/>
      <c r="F67" s="23"/>
      <c r="G67" s="42">
        <v>1199.99</v>
      </c>
      <c r="H67" s="43">
        <v>899.99</v>
      </c>
      <c r="I67" s="47">
        <v>45961.0</v>
      </c>
      <c r="J67" s="44">
        <v>45992.0</v>
      </c>
      <c r="K67" s="23"/>
      <c r="L67" s="45"/>
    </row>
    <row r="68">
      <c r="A68" s="20" t="s">
        <v>104</v>
      </c>
      <c r="B68" s="20">
        <v>1211894.0</v>
      </c>
      <c r="C68" s="20" t="str">
        <f t="shared" si="1"/>
        <v>Office</v>
      </c>
      <c r="D68" s="20" t="s">
        <v>105</v>
      </c>
      <c r="E68" s="27"/>
      <c r="F68" s="23"/>
      <c r="G68" s="42">
        <v>999.99</v>
      </c>
      <c r="H68" s="43">
        <v>899.99</v>
      </c>
      <c r="I68" s="44">
        <v>45961.0</v>
      </c>
      <c r="J68" s="44">
        <v>45992.0</v>
      </c>
      <c r="K68" s="23"/>
      <c r="L68" s="45"/>
    </row>
    <row r="69">
      <c r="A69" s="20" t="s">
        <v>96</v>
      </c>
      <c r="B69" s="20">
        <v>1231017.0</v>
      </c>
      <c r="C69" s="20" t="str">
        <f t="shared" si="1"/>
        <v>Office</v>
      </c>
      <c r="D69" s="20" t="s">
        <v>106</v>
      </c>
      <c r="E69" s="27"/>
      <c r="F69" s="23"/>
      <c r="G69" s="42">
        <v>699.99</v>
      </c>
      <c r="H69" s="43">
        <v>529.99</v>
      </c>
      <c r="I69" s="44">
        <v>45961.0</v>
      </c>
      <c r="J69" s="44">
        <v>45992.0</v>
      </c>
      <c r="K69" s="23"/>
      <c r="L69" s="45"/>
    </row>
    <row r="70">
      <c r="A70" s="20" t="s">
        <v>107</v>
      </c>
      <c r="B70" s="20">
        <v>1221845.0</v>
      </c>
      <c r="C70" s="20" t="str">
        <f t="shared" si="1"/>
        <v>Office</v>
      </c>
      <c r="D70" s="20" t="s">
        <v>108</v>
      </c>
      <c r="E70" s="27"/>
      <c r="F70" s="23"/>
      <c r="G70" s="42">
        <v>329.99</v>
      </c>
      <c r="H70" s="43">
        <v>299.99</v>
      </c>
      <c r="I70" s="44">
        <v>45961.0</v>
      </c>
      <c r="J70" s="44">
        <v>45992.0</v>
      </c>
      <c r="K70" s="23"/>
      <c r="L70" s="45"/>
    </row>
    <row r="71">
      <c r="A71" s="20" t="s">
        <v>66</v>
      </c>
      <c r="B71" s="20">
        <v>1223989.0</v>
      </c>
      <c r="C71" s="20" t="str">
        <f t="shared" si="1"/>
        <v>Office</v>
      </c>
      <c r="D71" s="20" t="s">
        <v>109</v>
      </c>
      <c r="E71" s="27"/>
      <c r="F71" s="23"/>
      <c r="G71" s="42">
        <v>299.99</v>
      </c>
      <c r="H71" s="43">
        <v>249.99</v>
      </c>
      <c r="I71" s="44">
        <v>45961.0</v>
      </c>
      <c r="J71" s="44">
        <v>45992.0</v>
      </c>
      <c r="K71" s="23"/>
      <c r="L71" s="45"/>
    </row>
    <row r="72">
      <c r="A72" s="20" t="s">
        <v>110</v>
      </c>
      <c r="B72" s="20">
        <v>1220284.0</v>
      </c>
      <c r="C72" s="20" t="str">
        <f t="shared" si="1"/>
        <v>Office</v>
      </c>
      <c r="D72" s="20" t="s">
        <v>111</v>
      </c>
      <c r="E72" s="27"/>
      <c r="F72" s="23"/>
      <c r="G72" s="42">
        <v>1999.99</v>
      </c>
      <c r="H72" s="43">
        <v>1799.99</v>
      </c>
      <c r="I72" s="44">
        <v>45961.0</v>
      </c>
      <c r="J72" s="44">
        <v>45993.0</v>
      </c>
      <c r="K72" s="23"/>
      <c r="L72" s="45"/>
    </row>
    <row r="73">
      <c r="A73" s="20" t="s">
        <v>112</v>
      </c>
      <c r="B73" s="20">
        <v>1217537.0</v>
      </c>
      <c r="C73" s="20" t="str">
        <f t="shared" si="1"/>
        <v>Office</v>
      </c>
      <c r="D73" s="20" t="s">
        <v>113</v>
      </c>
      <c r="E73" s="27"/>
      <c r="F73" s="23"/>
      <c r="G73" s="42">
        <v>3099.99</v>
      </c>
      <c r="H73" s="43">
        <v>2699.99</v>
      </c>
      <c r="I73" s="44">
        <v>45961.0</v>
      </c>
      <c r="J73" s="44">
        <v>45992.0</v>
      </c>
      <c r="K73" s="23"/>
      <c r="L73" s="45"/>
    </row>
    <row r="74">
      <c r="A74" s="20" t="s">
        <v>72</v>
      </c>
      <c r="B74" s="20">
        <v>8011793.0</v>
      </c>
      <c r="C74" s="20" t="str">
        <f t="shared" si="1"/>
        <v>Office</v>
      </c>
      <c r="D74" s="20" t="s">
        <v>114</v>
      </c>
      <c r="E74" s="27"/>
      <c r="F74" s="23"/>
      <c r="G74" s="42">
        <v>1149.99</v>
      </c>
      <c r="H74" s="43">
        <v>1049.99</v>
      </c>
      <c r="I74" s="44">
        <v>45961.0</v>
      </c>
      <c r="J74" s="44">
        <v>45992.0</v>
      </c>
      <c r="K74" s="23"/>
      <c r="L74" s="45"/>
    </row>
    <row r="75">
      <c r="A75" s="20" t="s">
        <v>112</v>
      </c>
      <c r="B75" s="20">
        <v>1228301.0</v>
      </c>
      <c r="C75" s="20" t="str">
        <f t="shared" si="1"/>
        <v>Office</v>
      </c>
      <c r="D75" s="20" t="s">
        <v>115</v>
      </c>
      <c r="E75" s="27"/>
      <c r="F75" s="23"/>
      <c r="G75" s="42">
        <v>3999.99</v>
      </c>
      <c r="H75" s="43" t="s">
        <v>116</v>
      </c>
      <c r="I75" s="44">
        <v>45961.0</v>
      </c>
      <c r="J75" s="44">
        <v>45992.0</v>
      </c>
      <c r="K75" s="23"/>
      <c r="L75" s="45"/>
    </row>
    <row r="76">
      <c r="A76" s="20" t="s">
        <v>112</v>
      </c>
      <c r="B76" s="20">
        <v>1228302.0</v>
      </c>
      <c r="C76" s="20" t="str">
        <f t="shared" si="1"/>
        <v>Office</v>
      </c>
      <c r="D76" s="20" t="s">
        <v>117</v>
      </c>
      <c r="E76" s="27"/>
      <c r="F76" s="23"/>
      <c r="G76" s="42">
        <v>3499.99</v>
      </c>
      <c r="H76" s="43">
        <v>2799.0</v>
      </c>
      <c r="I76" s="44">
        <v>45961.0</v>
      </c>
      <c r="J76" s="44">
        <v>45992.0</v>
      </c>
      <c r="K76" s="23"/>
      <c r="L76" s="45"/>
    </row>
    <row r="77">
      <c r="A77" s="20" t="s">
        <v>112</v>
      </c>
      <c r="B77" s="20">
        <v>1217570.0</v>
      </c>
      <c r="C77" s="20" t="str">
        <f t="shared" si="1"/>
        <v>Office</v>
      </c>
      <c r="D77" s="20" t="s">
        <v>118</v>
      </c>
      <c r="E77" s="27"/>
      <c r="F77" s="23"/>
      <c r="G77" s="42">
        <v>2699.99</v>
      </c>
      <c r="H77" s="43" t="s">
        <v>119</v>
      </c>
      <c r="I77" s="44">
        <v>45961.0</v>
      </c>
      <c r="J77" s="44">
        <v>45992.0</v>
      </c>
      <c r="K77" s="23"/>
      <c r="L77" s="45"/>
    </row>
    <row r="78">
      <c r="A78" s="20" t="s">
        <v>112</v>
      </c>
      <c r="B78" s="20">
        <v>1221808.0</v>
      </c>
      <c r="C78" s="20" t="str">
        <f t="shared" si="1"/>
        <v>Office</v>
      </c>
      <c r="D78" s="20" t="s">
        <v>120</v>
      </c>
      <c r="E78" s="27"/>
      <c r="F78" s="23"/>
      <c r="G78" s="42">
        <v>6499.99</v>
      </c>
      <c r="H78" s="43" t="s">
        <v>121</v>
      </c>
      <c r="I78" s="44">
        <v>45961.0</v>
      </c>
      <c r="J78" s="44">
        <v>45992.0</v>
      </c>
      <c r="K78" s="23"/>
      <c r="L78" s="45"/>
    </row>
    <row r="79">
      <c r="A79" s="20" t="s">
        <v>112</v>
      </c>
      <c r="B79" s="20">
        <v>1228304.0</v>
      </c>
      <c r="C79" s="20" t="str">
        <f t="shared" si="1"/>
        <v>Office</v>
      </c>
      <c r="D79" s="20" t="s">
        <v>122</v>
      </c>
      <c r="E79" s="27"/>
      <c r="F79" s="23"/>
      <c r="G79" s="42">
        <v>1799.99</v>
      </c>
      <c r="H79" s="43">
        <v>1399.0</v>
      </c>
      <c r="I79" s="44">
        <v>45961.0</v>
      </c>
      <c r="J79" s="44">
        <v>45992.0</v>
      </c>
      <c r="K79" s="23"/>
      <c r="L79" s="45"/>
    </row>
    <row r="80">
      <c r="A80" s="20" t="s">
        <v>112</v>
      </c>
      <c r="B80" s="20">
        <v>1217537.0</v>
      </c>
      <c r="C80" s="20" t="str">
        <f t="shared" si="1"/>
        <v>Office</v>
      </c>
      <c r="D80" s="20" t="s">
        <v>113</v>
      </c>
      <c r="E80" s="29"/>
      <c r="F80" s="23"/>
      <c r="G80" s="42">
        <v>3099.99</v>
      </c>
      <c r="H80" s="43">
        <v>2699.99</v>
      </c>
      <c r="I80" s="44">
        <v>45961.0</v>
      </c>
      <c r="J80" s="44">
        <v>45992.0</v>
      </c>
      <c r="K80" s="23"/>
      <c r="L80" s="45"/>
    </row>
    <row r="81">
      <c r="A81" s="45"/>
      <c r="B81" s="45"/>
      <c r="C81" s="45"/>
      <c r="D81" s="45"/>
      <c r="E81" s="45"/>
      <c r="F81" s="45"/>
      <c r="G81" s="45"/>
      <c r="H81" s="45"/>
      <c r="I81" s="45"/>
      <c r="J81" s="45"/>
      <c r="K81" s="45"/>
      <c r="L81" s="45"/>
    </row>
    <row r="82">
      <c r="A82" s="45"/>
      <c r="B82" s="45"/>
      <c r="C82" s="45"/>
      <c r="D82" s="45"/>
      <c r="E82" s="45"/>
      <c r="F82" s="45"/>
      <c r="G82" s="45"/>
      <c r="H82" s="45"/>
      <c r="I82" s="45"/>
      <c r="J82" s="45"/>
      <c r="K82" s="45"/>
      <c r="L82" s="45"/>
    </row>
    <row r="83">
      <c r="A83" s="45"/>
      <c r="B83" s="45"/>
      <c r="C83" s="45"/>
      <c r="D83" s="45"/>
      <c r="E83" s="45"/>
      <c r="F83" s="45"/>
      <c r="G83" s="45"/>
      <c r="H83" s="45"/>
      <c r="I83" s="45"/>
      <c r="J83" s="45"/>
      <c r="K83" s="45"/>
      <c r="L83" s="45"/>
    </row>
    <row r="84">
      <c r="A84" s="45"/>
      <c r="B84" s="45"/>
      <c r="C84" s="45"/>
      <c r="D84" s="45"/>
      <c r="E84" s="45"/>
      <c r="F84" s="45"/>
      <c r="G84" s="45"/>
      <c r="H84" s="45"/>
      <c r="I84" s="45"/>
      <c r="J84" s="45"/>
      <c r="K84" s="45"/>
      <c r="L84" s="45"/>
    </row>
    <row r="85">
      <c r="A85" s="45"/>
      <c r="B85" s="45"/>
      <c r="C85" s="45"/>
      <c r="D85" s="45"/>
      <c r="E85" s="45"/>
      <c r="F85" s="45"/>
      <c r="G85" s="45"/>
      <c r="H85" s="45"/>
      <c r="I85" s="45"/>
      <c r="J85" s="45"/>
      <c r="K85" s="45"/>
      <c r="L85" s="45"/>
    </row>
    <row r="86">
      <c r="A86" s="45"/>
      <c r="B86" s="45"/>
      <c r="C86" s="45"/>
      <c r="D86" s="45"/>
      <c r="E86" s="45"/>
      <c r="F86" s="45"/>
      <c r="G86" s="45"/>
      <c r="H86" s="45"/>
      <c r="I86" s="45"/>
      <c r="J86" s="45"/>
      <c r="K86" s="45"/>
      <c r="L86" s="45"/>
    </row>
    <row r="87">
      <c r="A87" s="45"/>
      <c r="B87" s="45"/>
      <c r="C87" s="45"/>
      <c r="D87" s="45"/>
      <c r="E87" s="45"/>
      <c r="F87" s="45"/>
      <c r="G87" s="45"/>
      <c r="H87" s="45"/>
      <c r="I87" s="45"/>
      <c r="J87" s="45"/>
      <c r="K87" s="45"/>
      <c r="L87" s="45"/>
    </row>
    <row r="88">
      <c r="A88" s="45"/>
      <c r="B88" s="45"/>
      <c r="C88" s="45"/>
      <c r="D88" s="45"/>
      <c r="E88" s="45"/>
      <c r="F88" s="45"/>
      <c r="G88" s="45"/>
      <c r="H88" s="45"/>
      <c r="I88" s="45"/>
      <c r="J88" s="45"/>
      <c r="K88" s="45"/>
      <c r="L88" s="45"/>
    </row>
    <row r="89">
      <c r="A89" s="45"/>
      <c r="B89" s="45"/>
      <c r="C89" s="45"/>
      <c r="D89" s="45"/>
      <c r="E89" s="45"/>
      <c r="F89" s="45"/>
      <c r="G89" s="45"/>
      <c r="H89" s="45"/>
      <c r="I89" s="45"/>
      <c r="J89" s="45"/>
      <c r="K89" s="45"/>
      <c r="L89" s="45"/>
    </row>
    <row r="90">
      <c r="A90" s="45"/>
      <c r="B90" s="45"/>
      <c r="C90" s="45"/>
      <c r="D90" s="45"/>
      <c r="E90" s="45"/>
      <c r="F90" s="45"/>
      <c r="G90" s="45"/>
      <c r="H90" s="45"/>
      <c r="I90" s="45"/>
      <c r="J90" s="45"/>
      <c r="K90" s="45"/>
      <c r="L90" s="45"/>
    </row>
    <row r="91">
      <c r="A91" s="45"/>
      <c r="B91" s="45"/>
      <c r="C91" s="45"/>
      <c r="D91" s="45"/>
      <c r="E91" s="45"/>
      <c r="F91" s="45"/>
      <c r="G91" s="45"/>
      <c r="H91" s="45"/>
      <c r="I91" s="45"/>
      <c r="J91" s="45"/>
      <c r="K91" s="45"/>
      <c r="L91" s="45"/>
    </row>
    <row r="92">
      <c r="A92" s="45"/>
      <c r="B92" s="45"/>
      <c r="C92" s="45"/>
      <c r="D92" s="45"/>
      <c r="E92" s="45"/>
      <c r="F92" s="45"/>
      <c r="G92" s="45"/>
      <c r="H92" s="45"/>
      <c r="I92" s="45"/>
      <c r="J92" s="45"/>
      <c r="K92" s="45"/>
      <c r="L92" s="45"/>
    </row>
    <row r="93">
      <c r="A93" s="45"/>
      <c r="B93" s="45"/>
      <c r="C93" s="45"/>
      <c r="D93" s="45"/>
      <c r="E93" s="45"/>
      <c r="F93" s="45"/>
      <c r="G93" s="45"/>
      <c r="H93" s="45"/>
      <c r="I93" s="45"/>
      <c r="J93" s="45"/>
      <c r="K93" s="45"/>
      <c r="L93" s="45"/>
    </row>
    <row r="94">
      <c r="A94" s="45"/>
      <c r="B94" s="45"/>
      <c r="C94" s="45"/>
      <c r="D94" s="45"/>
      <c r="E94" s="45"/>
      <c r="F94" s="45"/>
      <c r="G94" s="45"/>
      <c r="H94" s="45"/>
      <c r="I94" s="45"/>
      <c r="J94" s="45"/>
      <c r="K94" s="45"/>
      <c r="L94" s="45"/>
    </row>
    <row r="95">
      <c r="A95" s="45"/>
      <c r="B95" s="45"/>
      <c r="C95" s="45"/>
      <c r="D95" s="45"/>
      <c r="E95" s="45"/>
      <c r="F95" s="45"/>
      <c r="G95" s="45"/>
      <c r="H95" s="45"/>
      <c r="I95" s="45"/>
      <c r="J95" s="45"/>
      <c r="K95" s="45"/>
      <c r="L95" s="45"/>
    </row>
  </sheetData>
  <mergeCells count="17">
    <mergeCell ref="A3:L3"/>
    <mergeCell ref="A4:K4"/>
    <mergeCell ref="D5:E5"/>
    <mergeCell ref="A6:K6"/>
    <mergeCell ref="A8:A13"/>
    <mergeCell ref="K8:K13"/>
    <mergeCell ref="A14:L14"/>
    <mergeCell ref="D30:E30"/>
    <mergeCell ref="A31:L31"/>
    <mergeCell ref="E32:E80"/>
    <mergeCell ref="E8:E13"/>
    <mergeCell ref="D15:E15"/>
    <mergeCell ref="A16:A25"/>
    <mergeCell ref="E16:E25"/>
    <mergeCell ref="F16:F25"/>
    <mergeCell ref="K16:K25"/>
    <mergeCell ref="A27:L27"/>
  </mergeCells>
  <hyperlinks>
    <hyperlink r:id="rId1" ref="K5"/>
    <hyperlink r:id="rId2" ref="K7"/>
    <hyperlink r:id="rId3" ref="K8"/>
    <hyperlink r:id="rId4" ref="K15"/>
    <hyperlink r:id="rId5" ref="K16"/>
    <hyperlink r:id="rId6" ref="K26"/>
    <hyperlink r:id="rId7" ref="K28"/>
    <hyperlink r:id="rId8" ref="K29"/>
    <hyperlink r:id="rId9" ref="K30"/>
  </hyperlinks>
  <printOptions gridLines="1" horizontalCentered="1"/>
  <pageMargins bottom="0.75" footer="0.0" header="0.0" left="0.7" right="0.7" top="0.75"/>
  <pageSetup fitToHeight="0" paperSize="9" cellComments="atEnd" orientation="landscape" pageOrder="overThenDown"/>
  <drawing r:id="rId10"/>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12.25"/>
    <col customWidth="1" min="2" max="2" width="24.38"/>
    <col customWidth="1" min="3" max="3" width="22.75"/>
    <col customWidth="1" min="4" max="4" width="29.5"/>
    <col customWidth="1" min="5" max="5" width="29.88"/>
    <col customWidth="1" min="6" max="6" width="12.75"/>
    <col customWidth="1" min="7" max="8" width="12.63"/>
    <col customWidth="1" min="9" max="9" width="14.38"/>
    <col customWidth="1" min="10" max="10" width="22.63"/>
    <col customWidth="1" hidden="1" min="11" max="14" width="19.38"/>
  </cols>
  <sheetData>
    <row r="1" ht="39.75" customHeight="1">
      <c r="A1" s="130" t="s">
        <v>175</v>
      </c>
      <c r="B1" s="31"/>
      <c r="C1" s="31"/>
      <c r="D1" s="31"/>
      <c r="E1" s="31"/>
      <c r="F1" s="31"/>
      <c r="G1" s="31"/>
      <c r="H1" s="31"/>
      <c r="I1" s="31"/>
      <c r="J1" s="31"/>
      <c r="K1" s="200"/>
      <c r="L1" s="200"/>
      <c r="M1" s="200"/>
      <c r="N1" s="200"/>
    </row>
    <row r="2" ht="31.5" customHeight="1">
      <c r="A2" s="846" t="s">
        <v>2</v>
      </c>
      <c r="B2" s="846" t="s">
        <v>154</v>
      </c>
      <c r="C2" s="846" t="s">
        <v>0</v>
      </c>
      <c r="D2" s="846" t="s">
        <v>3</v>
      </c>
      <c r="E2" s="847" t="s">
        <v>124</v>
      </c>
      <c r="F2" s="848" t="s">
        <v>125</v>
      </c>
      <c r="G2" s="848" t="s">
        <v>126</v>
      </c>
      <c r="H2" s="846" t="s">
        <v>130</v>
      </c>
      <c r="I2" s="846" t="s">
        <v>155</v>
      </c>
      <c r="J2" s="846" t="s">
        <v>131</v>
      </c>
      <c r="K2" s="846"/>
      <c r="L2" s="846"/>
      <c r="M2" s="847"/>
      <c r="N2" s="848"/>
    </row>
    <row r="3" ht="61.5" customHeight="1">
      <c r="A3" s="214" t="s">
        <v>2389</v>
      </c>
      <c r="B3" s="31"/>
      <c r="C3" s="31"/>
      <c r="D3" s="31"/>
      <c r="E3" s="31"/>
      <c r="F3" s="31"/>
      <c r="G3" s="31"/>
      <c r="H3" s="31"/>
      <c r="I3" s="31"/>
      <c r="J3" s="31"/>
      <c r="K3" s="849"/>
      <c r="L3" s="849"/>
      <c r="M3" s="849"/>
      <c r="N3" s="849"/>
    </row>
    <row r="4">
      <c r="A4" s="850" t="s">
        <v>231</v>
      </c>
      <c r="B4" s="182">
        <v>1223780.0</v>
      </c>
      <c r="C4" s="160" t="s">
        <v>176</v>
      </c>
      <c r="D4" s="184" t="s">
        <v>2390</v>
      </c>
      <c r="E4" s="207" t="s">
        <v>2391</v>
      </c>
      <c r="F4" s="208">
        <v>45931.0</v>
      </c>
      <c r="G4" s="851">
        <v>45960.0</v>
      </c>
      <c r="H4" s="852" t="s">
        <v>130</v>
      </c>
      <c r="I4" s="182">
        <v>1229836.0</v>
      </c>
      <c r="J4" s="150" t="s">
        <v>163</v>
      </c>
      <c r="K4" s="160"/>
      <c r="L4" s="160"/>
      <c r="M4" s="160"/>
      <c r="N4" s="160"/>
    </row>
    <row r="5">
      <c r="A5" s="853" t="s">
        <v>231</v>
      </c>
      <c r="B5" s="184" t="s">
        <v>2392</v>
      </c>
      <c r="C5" s="216" t="s">
        <v>2393</v>
      </c>
      <c r="D5" s="184" t="s">
        <v>2394</v>
      </c>
      <c r="E5" s="185" t="s">
        <v>1030</v>
      </c>
      <c r="F5" s="208">
        <v>45931.0</v>
      </c>
      <c r="G5" s="851">
        <v>45960.0</v>
      </c>
      <c r="H5" s="227" t="s">
        <v>130</v>
      </c>
      <c r="I5" s="854">
        <v>1229799.0</v>
      </c>
      <c r="J5" s="150" t="s">
        <v>163</v>
      </c>
      <c r="K5" s="233"/>
      <c r="L5" s="212"/>
      <c r="M5" s="212"/>
      <c r="N5" s="212"/>
    </row>
    <row r="6">
      <c r="A6" s="853" t="s">
        <v>231</v>
      </c>
      <c r="B6" s="184">
        <v>1210603.0</v>
      </c>
      <c r="C6" s="216" t="s">
        <v>2393</v>
      </c>
      <c r="D6" s="184" t="s">
        <v>2395</v>
      </c>
      <c r="E6" s="185" t="s">
        <v>2396</v>
      </c>
      <c r="F6" s="208">
        <v>45931.0</v>
      </c>
      <c r="G6" s="851">
        <v>45960.0</v>
      </c>
      <c r="H6" s="227" t="s">
        <v>130</v>
      </c>
      <c r="I6" s="854">
        <v>1229798.0</v>
      </c>
      <c r="J6" s="150" t="s">
        <v>163</v>
      </c>
      <c r="K6" s="233"/>
      <c r="L6" s="212"/>
      <c r="M6" s="212"/>
      <c r="N6" s="212"/>
    </row>
    <row r="7" ht="24.0" customHeight="1">
      <c r="A7" s="214" t="s">
        <v>2397</v>
      </c>
      <c r="B7" s="31"/>
      <c r="C7" s="31"/>
      <c r="D7" s="31"/>
      <c r="E7" s="31"/>
      <c r="F7" s="31"/>
      <c r="G7" s="31"/>
      <c r="H7" s="31"/>
      <c r="I7" s="31"/>
      <c r="J7" s="31"/>
      <c r="K7" s="849"/>
      <c r="L7" s="849"/>
      <c r="M7" s="849"/>
      <c r="N7" s="849"/>
    </row>
    <row r="8">
      <c r="A8" s="853" t="s">
        <v>231</v>
      </c>
      <c r="B8" s="184" t="s">
        <v>2398</v>
      </c>
      <c r="C8" s="216" t="s">
        <v>2393</v>
      </c>
      <c r="D8" s="184" t="s">
        <v>2399</v>
      </c>
      <c r="E8" s="185" t="s">
        <v>2400</v>
      </c>
      <c r="F8" s="208">
        <v>45931.0</v>
      </c>
      <c r="G8" s="851">
        <v>45960.0</v>
      </c>
      <c r="H8" s="852" t="s">
        <v>130</v>
      </c>
      <c r="I8" s="291"/>
      <c r="J8" s="150" t="s">
        <v>163</v>
      </c>
      <c r="K8" s="233"/>
      <c r="L8" s="212"/>
      <c r="M8" s="212"/>
      <c r="N8" s="212"/>
    </row>
    <row r="9">
      <c r="A9" s="853"/>
      <c r="B9" s="184"/>
      <c r="C9" s="216"/>
      <c r="D9" s="184"/>
      <c r="E9" s="185"/>
      <c r="F9" s="186"/>
      <c r="G9" s="187"/>
      <c r="H9" s="187"/>
      <c r="I9" s="291"/>
      <c r="J9" s="184"/>
      <c r="K9" s="233"/>
      <c r="L9" s="212"/>
      <c r="M9" s="212"/>
      <c r="N9" s="212"/>
    </row>
    <row r="10">
      <c r="A10" s="853"/>
      <c r="B10" s="184"/>
      <c r="C10" s="216"/>
      <c r="D10" s="184"/>
      <c r="E10" s="185"/>
      <c r="F10" s="186"/>
      <c r="G10" s="187"/>
      <c r="H10" s="187"/>
      <c r="I10" s="291"/>
      <c r="J10" s="184"/>
      <c r="K10" s="233"/>
      <c r="L10" s="212"/>
      <c r="M10" s="212"/>
      <c r="N10" s="212"/>
    </row>
    <row r="11">
      <c r="A11" s="853"/>
      <c r="B11" s="184"/>
      <c r="C11" s="216"/>
      <c r="D11" s="184"/>
      <c r="E11" s="185"/>
      <c r="F11" s="186"/>
      <c r="G11" s="187"/>
      <c r="H11" s="187"/>
      <c r="I11" s="291"/>
      <c r="J11" s="184"/>
      <c r="K11" s="233"/>
      <c r="L11" s="212"/>
      <c r="M11" s="212"/>
      <c r="N11" s="212"/>
    </row>
    <row r="12">
      <c r="A12" s="853"/>
      <c r="B12" s="184"/>
      <c r="C12" s="216"/>
      <c r="D12" s="184"/>
      <c r="E12" s="185"/>
      <c r="F12" s="186"/>
      <c r="G12" s="187"/>
      <c r="H12" s="187"/>
      <c r="I12" s="291"/>
      <c r="J12" s="184"/>
      <c r="K12" s="233"/>
      <c r="L12" s="212"/>
      <c r="M12" s="212"/>
      <c r="N12" s="212"/>
    </row>
    <row r="13">
      <c r="A13" s="853"/>
      <c r="B13" s="184"/>
      <c r="C13" s="216"/>
      <c r="D13" s="184"/>
      <c r="E13" s="185"/>
      <c r="F13" s="186"/>
      <c r="G13" s="187"/>
      <c r="H13" s="187"/>
      <c r="I13" s="291"/>
      <c r="J13" s="184"/>
      <c r="K13" s="233"/>
      <c r="L13" s="212"/>
      <c r="M13" s="212"/>
      <c r="N13" s="212"/>
    </row>
    <row r="14">
      <c r="A14" s="853"/>
      <c r="B14" s="184"/>
      <c r="C14" s="216"/>
      <c r="D14" s="184"/>
      <c r="E14" s="185"/>
      <c r="F14" s="186"/>
      <c r="G14" s="187"/>
      <c r="H14" s="187"/>
      <c r="I14" s="291"/>
      <c r="J14" s="184"/>
      <c r="K14" s="233"/>
      <c r="L14" s="212"/>
      <c r="M14" s="212"/>
      <c r="N14" s="212"/>
    </row>
    <row r="15">
      <c r="A15" s="853"/>
      <c r="B15" s="184"/>
      <c r="C15" s="216"/>
      <c r="D15" s="184"/>
      <c r="E15" s="185"/>
      <c r="F15" s="186"/>
      <c r="G15" s="187"/>
      <c r="H15" s="187"/>
      <c r="I15" s="291"/>
      <c r="J15" s="184"/>
      <c r="K15" s="233"/>
      <c r="L15" s="212"/>
      <c r="M15" s="212"/>
      <c r="N15" s="212"/>
    </row>
    <row r="16">
      <c r="A16" s="853"/>
      <c r="B16" s="184"/>
      <c r="C16" s="216"/>
      <c r="D16" s="184"/>
      <c r="E16" s="185"/>
      <c r="F16" s="186"/>
      <c r="G16" s="187"/>
      <c r="H16" s="187"/>
      <c r="I16" s="291"/>
      <c r="J16" s="184"/>
      <c r="K16" s="233"/>
      <c r="L16" s="212"/>
      <c r="M16" s="212"/>
      <c r="N16" s="212"/>
    </row>
    <row r="17">
      <c r="A17" s="853"/>
      <c r="B17" s="184"/>
      <c r="C17" s="216"/>
      <c r="D17" s="184"/>
      <c r="E17" s="185"/>
      <c r="F17" s="186"/>
      <c r="G17" s="187"/>
      <c r="H17" s="187"/>
      <c r="I17" s="291"/>
      <c r="J17" s="184"/>
      <c r="K17" s="233"/>
      <c r="L17" s="212"/>
      <c r="M17" s="212"/>
      <c r="N17" s="212"/>
    </row>
    <row r="18">
      <c r="A18" s="853"/>
      <c r="B18" s="184"/>
      <c r="C18" s="216"/>
      <c r="D18" s="184"/>
      <c r="E18" s="185"/>
      <c r="F18" s="186"/>
      <c r="G18" s="187"/>
      <c r="H18" s="187"/>
      <c r="I18" s="291"/>
      <c r="J18" s="184"/>
      <c r="K18" s="233"/>
      <c r="L18" s="212"/>
      <c r="M18" s="212"/>
      <c r="N18" s="212"/>
    </row>
    <row r="19">
      <c r="A19" s="853"/>
      <c r="B19" s="184"/>
      <c r="C19" s="216"/>
      <c r="D19" s="184"/>
      <c r="E19" s="185"/>
      <c r="F19" s="186"/>
      <c r="G19" s="187"/>
      <c r="H19" s="187"/>
      <c r="I19" s="291"/>
      <c r="J19" s="184"/>
      <c r="K19" s="233"/>
      <c r="L19" s="212"/>
      <c r="M19" s="212"/>
      <c r="N19" s="212"/>
    </row>
    <row r="20">
      <c r="A20" s="853"/>
      <c r="B20" s="184"/>
      <c r="C20" s="216"/>
      <c r="D20" s="184"/>
      <c r="E20" s="185"/>
      <c r="F20" s="186"/>
      <c r="G20" s="187"/>
      <c r="H20" s="187"/>
      <c r="I20" s="291"/>
      <c r="J20" s="184"/>
      <c r="K20" s="233"/>
      <c r="L20" s="212"/>
      <c r="M20" s="212"/>
      <c r="N20" s="212"/>
    </row>
    <row r="21">
      <c r="A21" s="853"/>
      <c r="B21" s="184"/>
      <c r="C21" s="216"/>
      <c r="D21" s="184"/>
      <c r="E21" s="185"/>
      <c r="F21" s="186"/>
      <c r="G21" s="187"/>
      <c r="H21" s="187"/>
      <c r="I21" s="291"/>
      <c r="J21" s="184"/>
      <c r="K21" s="233"/>
      <c r="L21" s="212"/>
      <c r="M21" s="212"/>
      <c r="N21" s="212"/>
    </row>
    <row r="22">
      <c r="A22" s="853"/>
      <c r="B22" s="184"/>
      <c r="C22" s="216"/>
      <c r="D22" s="184"/>
      <c r="E22" s="185"/>
      <c r="F22" s="186"/>
      <c r="G22" s="187"/>
      <c r="H22" s="187"/>
      <c r="I22" s="291"/>
      <c r="J22" s="184"/>
      <c r="K22" s="233"/>
      <c r="L22" s="212"/>
      <c r="M22" s="212"/>
      <c r="N22" s="212"/>
    </row>
    <row r="23">
      <c r="A23" s="853"/>
      <c r="B23" s="184"/>
      <c r="C23" s="216"/>
      <c r="D23" s="184"/>
      <c r="E23" s="185"/>
      <c r="F23" s="186"/>
      <c r="G23" s="187"/>
      <c r="H23" s="187"/>
      <c r="I23" s="291"/>
      <c r="J23" s="184"/>
      <c r="K23" s="233"/>
      <c r="L23" s="212"/>
      <c r="M23" s="212"/>
      <c r="N23" s="212"/>
    </row>
    <row r="24">
      <c r="A24" s="853"/>
      <c r="B24" s="184"/>
      <c r="C24" s="216"/>
      <c r="D24" s="184"/>
      <c r="E24" s="185"/>
      <c r="F24" s="186"/>
      <c r="G24" s="187"/>
      <c r="H24" s="187"/>
      <c r="I24" s="291"/>
      <c r="J24" s="184"/>
      <c r="K24" s="233"/>
      <c r="L24" s="212"/>
      <c r="M24" s="212"/>
      <c r="N24" s="212"/>
    </row>
    <row r="25">
      <c r="A25" s="853"/>
      <c r="B25" s="184"/>
      <c r="C25" s="216"/>
      <c r="D25" s="184"/>
      <c r="E25" s="185"/>
      <c r="F25" s="186"/>
      <c r="G25" s="187"/>
      <c r="H25" s="187"/>
      <c r="I25" s="291"/>
      <c r="J25" s="184"/>
      <c r="K25" s="233"/>
      <c r="L25" s="212"/>
      <c r="M25" s="212"/>
      <c r="N25" s="212"/>
    </row>
    <row r="26">
      <c r="A26" s="853"/>
      <c r="B26" s="184"/>
      <c r="C26" s="216"/>
      <c r="D26" s="184"/>
      <c r="E26" s="185"/>
      <c r="F26" s="186"/>
      <c r="G26" s="187"/>
      <c r="H26" s="187"/>
      <c r="I26" s="291"/>
      <c r="J26" s="184"/>
      <c r="K26" s="233"/>
      <c r="L26" s="212"/>
      <c r="M26" s="212"/>
      <c r="N26" s="212"/>
    </row>
    <row r="27">
      <c r="A27" s="853"/>
      <c r="B27" s="184"/>
      <c r="C27" s="216"/>
      <c r="D27" s="184"/>
      <c r="E27" s="185"/>
      <c r="F27" s="186"/>
      <c r="G27" s="187"/>
      <c r="H27" s="187"/>
      <c r="I27" s="291"/>
      <c r="J27" s="184"/>
      <c r="K27" s="233"/>
      <c r="L27" s="212"/>
      <c r="M27" s="212"/>
      <c r="N27" s="212"/>
    </row>
    <row r="28">
      <c r="A28" s="853"/>
      <c r="B28" s="184"/>
      <c r="C28" s="216"/>
      <c r="D28" s="184"/>
      <c r="E28" s="185"/>
      <c r="F28" s="186"/>
      <c r="G28" s="187"/>
      <c r="H28" s="187"/>
      <c r="I28" s="291"/>
      <c r="J28" s="184"/>
      <c r="K28" s="233"/>
      <c r="L28" s="212"/>
      <c r="M28" s="212"/>
      <c r="N28" s="212"/>
    </row>
    <row r="29">
      <c r="A29" s="853"/>
      <c r="B29" s="184"/>
      <c r="C29" s="216"/>
      <c r="D29" s="184"/>
      <c r="E29" s="185"/>
      <c r="F29" s="186"/>
      <c r="G29" s="187"/>
      <c r="H29" s="187"/>
      <c r="I29" s="291"/>
      <c r="J29" s="184"/>
      <c r="K29" s="233"/>
      <c r="L29" s="212"/>
      <c r="M29" s="212"/>
      <c r="N29" s="212"/>
    </row>
    <row r="30">
      <c r="A30" s="853"/>
      <c r="B30" s="184"/>
      <c r="C30" s="216"/>
      <c r="D30" s="184"/>
      <c r="E30" s="185"/>
      <c r="F30" s="186"/>
      <c r="G30" s="187"/>
      <c r="H30" s="187"/>
      <c r="I30" s="291"/>
      <c r="J30" s="184"/>
      <c r="K30" s="233"/>
      <c r="L30" s="212"/>
      <c r="M30" s="212"/>
      <c r="N30" s="212"/>
    </row>
    <row r="31">
      <c r="A31" s="853"/>
      <c r="B31" s="184"/>
      <c r="C31" s="216"/>
      <c r="D31" s="184"/>
      <c r="E31" s="185"/>
      <c r="F31" s="186"/>
      <c r="G31" s="187"/>
      <c r="H31" s="187"/>
      <c r="I31" s="291"/>
      <c r="J31" s="184"/>
      <c r="K31" s="233"/>
      <c r="L31" s="212"/>
      <c r="M31" s="212"/>
      <c r="N31" s="212"/>
    </row>
    <row r="32">
      <c r="A32" s="853"/>
      <c r="B32" s="184"/>
      <c r="C32" s="216"/>
      <c r="D32" s="184"/>
      <c r="E32" s="185"/>
      <c r="F32" s="186"/>
      <c r="G32" s="187"/>
      <c r="H32" s="187"/>
      <c r="I32" s="291"/>
      <c r="J32" s="184"/>
      <c r="K32" s="233"/>
      <c r="L32" s="212"/>
      <c r="M32" s="212"/>
      <c r="N32" s="212"/>
    </row>
    <row r="33">
      <c r="A33" s="853"/>
      <c r="B33" s="184"/>
      <c r="C33" s="216"/>
      <c r="D33" s="184"/>
      <c r="E33" s="185"/>
      <c r="F33" s="186"/>
      <c r="G33" s="187"/>
      <c r="H33" s="187"/>
      <c r="I33" s="291"/>
      <c r="J33" s="184"/>
      <c r="K33" s="233"/>
      <c r="L33" s="212"/>
      <c r="M33" s="212"/>
      <c r="N33" s="212"/>
    </row>
    <row r="34">
      <c r="A34" s="853"/>
      <c r="B34" s="184"/>
      <c r="C34" s="216"/>
      <c r="D34" s="184"/>
      <c r="E34" s="185"/>
      <c r="F34" s="186"/>
      <c r="G34" s="187"/>
      <c r="H34" s="187"/>
      <c r="I34" s="291"/>
      <c r="J34" s="184"/>
      <c r="K34" s="233"/>
      <c r="L34" s="212"/>
      <c r="M34" s="212"/>
      <c r="N34" s="212"/>
    </row>
    <row r="35">
      <c r="A35" s="853"/>
      <c r="B35" s="184"/>
      <c r="C35" s="216"/>
      <c r="D35" s="184"/>
      <c r="E35" s="185"/>
      <c r="F35" s="186"/>
      <c r="G35" s="187"/>
      <c r="H35" s="187"/>
      <c r="I35" s="291"/>
      <c r="J35" s="184"/>
      <c r="K35" s="233"/>
      <c r="L35" s="212"/>
      <c r="M35" s="212"/>
      <c r="N35" s="212"/>
    </row>
    <row r="36">
      <c r="A36" s="853"/>
      <c r="B36" s="184"/>
      <c r="C36" s="216"/>
      <c r="D36" s="184"/>
      <c r="E36" s="185"/>
      <c r="F36" s="186"/>
      <c r="G36" s="187"/>
      <c r="H36" s="187"/>
      <c r="I36" s="291"/>
      <c r="J36" s="184"/>
      <c r="K36" s="233"/>
      <c r="L36" s="212"/>
      <c r="M36" s="212"/>
      <c r="N36" s="212"/>
    </row>
    <row r="37">
      <c r="A37" s="853"/>
      <c r="B37" s="184"/>
      <c r="C37" s="216"/>
      <c r="D37" s="184"/>
      <c r="E37" s="185"/>
      <c r="F37" s="186"/>
      <c r="G37" s="187"/>
      <c r="H37" s="187"/>
      <c r="I37" s="291"/>
      <c r="J37" s="184"/>
      <c r="K37" s="233"/>
      <c r="L37" s="212"/>
      <c r="M37" s="212"/>
      <c r="N37" s="212"/>
    </row>
    <row r="38">
      <c r="A38" s="853"/>
      <c r="B38" s="184"/>
      <c r="C38" s="216"/>
      <c r="D38" s="184"/>
      <c r="E38" s="185"/>
      <c r="F38" s="186"/>
      <c r="G38" s="187"/>
      <c r="H38" s="187"/>
      <c r="I38" s="291"/>
      <c r="J38" s="184"/>
      <c r="K38" s="233"/>
      <c r="L38" s="212"/>
      <c r="M38" s="212"/>
      <c r="N38" s="212"/>
    </row>
    <row r="39">
      <c r="A39" s="853"/>
      <c r="B39" s="184"/>
      <c r="C39" s="216"/>
      <c r="D39" s="184"/>
      <c r="E39" s="185"/>
      <c r="F39" s="186"/>
      <c r="G39" s="187"/>
      <c r="H39" s="187"/>
      <c r="I39" s="291"/>
      <c r="J39" s="184"/>
      <c r="K39" s="233"/>
      <c r="L39" s="212"/>
      <c r="M39" s="212"/>
      <c r="N39" s="212"/>
    </row>
    <row r="40">
      <c r="A40" s="853"/>
      <c r="B40" s="184"/>
      <c r="C40" s="216"/>
      <c r="D40" s="184"/>
      <c r="E40" s="185"/>
      <c r="F40" s="186"/>
      <c r="G40" s="187"/>
      <c r="H40" s="187"/>
      <c r="I40" s="291"/>
      <c r="J40" s="184"/>
      <c r="K40" s="233"/>
      <c r="L40" s="212"/>
      <c r="M40" s="212"/>
      <c r="N40" s="212"/>
    </row>
    <row r="41">
      <c r="A41" s="853"/>
      <c r="B41" s="184"/>
      <c r="C41" s="216"/>
      <c r="D41" s="184"/>
      <c r="E41" s="185"/>
      <c r="F41" s="186"/>
      <c r="G41" s="187"/>
      <c r="H41" s="187"/>
      <c r="I41" s="291"/>
      <c r="J41" s="184"/>
      <c r="K41" s="233"/>
      <c r="L41" s="212"/>
      <c r="M41" s="212"/>
      <c r="N41" s="212"/>
    </row>
    <row r="42">
      <c r="A42" s="853"/>
      <c r="B42" s="184"/>
      <c r="C42" s="216"/>
      <c r="D42" s="184"/>
      <c r="E42" s="185"/>
      <c r="F42" s="186"/>
      <c r="G42" s="187"/>
      <c r="H42" s="187"/>
      <c r="I42" s="291"/>
      <c r="J42" s="184"/>
      <c r="K42" s="233"/>
      <c r="L42" s="212"/>
      <c r="M42" s="212"/>
      <c r="N42" s="212"/>
    </row>
    <row r="43">
      <c r="A43" s="853"/>
      <c r="B43" s="184"/>
      <c r="C43" s="216"/>
      <c r="D43" s="184"/>
      <c r="E43" s="185"/>
      <c r="F43" s="186"/>
      <c r="G43" s="187"/>
      <c r="H43" s="187"/>
      <c r="I43" s="291"/>
      <c r="J43" s="184"/>
      <c r="K43" s="233"/>
      <c r="L43" s="212"/>
      <c r="M43" s="212"/>
      <c r="N43" s="212"/>
    </row>
    <row r="44">
      <c r="A44" s="853"/>
      <c r="B44" s="184"/>
      <c r="C44" s="216"/>
      <c r="D44" s="184"/>
      <c r="E44" s="185"/>
      <c r="F44" s="186"/>
      <c r="G44" s="187"/>
      <c r="H44" s="187"/>
      <c r="I44" s="291"/>
      <c r="J44" s="184"/>
      <c r="K44" s="233"/>
      <c r="L44" s="212"/>
      <c r="M44" s="212"/>
      <c r="N44" s="212"/>
    </row>
    <row r="45">
      <c r="A45" s="853"/>
      <c r="B45" s="184"/>
      <c r="C45" s="216"/>
      <c r="D45" s="184"/>
      <c r="E45" s="185"/>
      <c r="F45" s="186"/>
      <c r="G45" s="187"/>
      <c r="H45" s="187"/>
      <c r="I45" s="291"/>
      <c r="J45" s="184"/>
      <c r="K45" s="233"/>
      <c r="L45" s="212"/>
      <c r="M45" s="212"/>
      <c r="N45" s="212"/>
    </row>
    <row r="46">
      <c r="A46" s="853"/>
      <c r="B46" s="184"/>
      <c r="C46" s="216"/>
      <c r="D46" s="184"/>
      <c r="E46" s="185"/>
      <c r="F46" s="186"/>
      <c r="G46" s="187"/>
      <c r="H46" s="187"/>
      <c r="I46" s="291"/>
      <c r="J46" s="184"/>
      <c r="K46" s="233"/>
      <c r="L46" s="212"/>
      <c r="M46" s="212"/>
      <c r="N46" s="212"/>
    </row>
    <row r="47">
      <c r="A47" s="853"/>
      <c r="B47" s="184"/>
      <c r="C47" s="216"/>
      <c r="D47" s="184"/>
      <c r="E47" s="185"/>
      <c r="F47" s="186"/>
      <c r="G47" s="187"/>
      <c r="H47" s="187"/>
      <c r="I47" s="291"/>
      <c r="J47" s="184"/>
      <c r="K47" s="233"/>
      <c r="L47" s="212"/>
      <c r="M47" s="212"/>
      <c r="N47" s="212"/>
    </row>
    <row r="48">
      <c r="A48" s="853"/>
      <c r="B48" s="184"/>
      <c r="C48" s="216"/>
      <c r="D48" s="184"/>
      <c r="E48" s="185"/>
      <c r="F48" s="186"/>
      <c r="G48" s="187"/>
      <c r="H48" s="187"/>
      <c r="I48" s="291"/>
      <c r="J48" s="184"/>
      <c r="K48" s="233"/>
      <c r="L48" s="212"/>
      <c r="M48" s="212"/>
      <c r="N48" s="212"/>
    </row>
    <row r="49">
      <c r="A49" s="853"/>
      <c r="B49" s="184"/>
      <c r="C49" s="216"/>
      <c r="D49" s="184"/>
      <c r="E49" s="185"/>
      <c r="F49" s="186"/>
      <c r="G49" s="187"/>
      <c r="H49" s="187"/>
      <c r="I49" s="291"/>
      <c r="J49" s="184"/>
      <c r="K49" s="233"/>
      <c r="L49" s="212"/>
      <c r="M49" s="212"/>
      <c r="N49" s="212"/>
    </row>
    <row r="50">
      <c r="A50" s="184"/>
      <c r="B50" s="184"/>
      <c r="C50" s="216"/>
      <c r="D50" s="184"/>
      <c r="E50" s="185"/>
      <c r="F50" s="186"/>
      <c r="G50" s="187"/>
      <c r="H50" s="187"/>
      <c r="I50" s="291"/>
      <c r="J50" s="184"/>
      <c r="K50" s="233"/>
      <c r="L50" s="212"/>
      <c r="M50" s="212"/>
      <c r="N50" s="212"/>
    </row>
    <row r="51">
      <c r="A51" s="184"/>
      <c r="B51" s="184"/>
      <c r="C51" s="216"/>
      <c r="D51" s="184"/>
      <c r="E51" s="185"/>
      <c r="F51" s="186"/>
      <c r="G51" s="187"/>
      <c r="H51" s="187"/>
      <c r="I51" s="291"/>
      <c r="J51" s="184"/>
      <c r="K51" s="233"/>
      <c r="L51" s="212"/>
      <c r="M51" s="212"/>
      <c r="N51" s="212"/>
    </row>
    <row r="52">
      <c r="A52" s="184"/>
      <c r="B52" s="184"/>
      <c r="C52" s="216"/>
      <c r="D52" s="184"/>
      <c r="E52" s="185"/>
      <c r="F52" s="186"/>
      <c r="G52" s="187"/>
      <c r="H52" s="187"/>
      <c r="I52" s="291"/>
      <c r="J52" s="184"/>
      <c r="K52" s="233"/>
      <c r="L52" s="212"/>
      <c r="M52" s="212"/>
      <c r="N52" s="212"/>
    </row>
    <row r="53">
      <c r="A53" s="184"/>
      <c r="B53" s="184"/>
      <c r="C53" s="216"/>
      <c r="D53" s="184"/>
      <c r="E53" s="185"/>
      <c r="F53" s="186"/>
      <c r="G53" s="187"/>
      <c r="H53" s="187"/>
      <c r="I53" s="291"/>
      <c r="J53" s="184"/>
      <c r="K53" s="233"/>
      <c r="L53" s="212"/>
      <c r="M53" s="212"/>
      <c r="N53" s="212"/>
    </row>
    <row r="54">
      <c r="A54" s="184"/>
      <c r="B54" s="184"/>
      <c r="C54" s="216"/>
      <c r="D54" s="184"/>
      <c r="E54" s="185"/>
      <c r="F54" s="186"/>
      <c r="G54" s="187"/>
      <c r="H54" s="187"/>
      <c r="I54" s="291"/>
      <c r="J54" s="184"/>
      <c r="K54" s="233"/>
      <c r="L54" s="212"/>
      <c r="M54" s="212"/>
      <c r="N54" s="212"/>
    </row>
    <row r="55">
      <c r="A55" s="184"/>
      <c r="B55" s="184"/>
      <c r="C55" s="216"/>
      <c r="D55" s="184"/>
      <c r="E55" s="185"/>
      <c r="F55" s="186"/>
      <c r="G55" s="187"/>
      <c r="H55" s="187"/>
      <c r="I55" s="291"/>
      <c r="J55" s="184"/>
      <c r="K55" s="233"/>
      <c r="L55" s="212"/>
      <c r="M55" s="212"/>
      <c r="N55" s="212"/>
    </row>
    <row r="56">
      <c r="A56" s="184"/>
      <c r="B56" s="184"/>
      <c r="C56" s="216"/>
      <c r="D56" s="184"/>
      <c r="E56" s="185"/>
      <c r="F56" s="186"/>
      <c r="G56" s="187"/>
      <c r="H56" s="187"/>
      <c r="I56" s="291"/>
      <c r="J56" s="184"/>
      <c r="K56" s="233"/>
      <c r="L56" s="212"/>
      <c r="M56" s="212"/>
      <c r="N56" s="212"/>
    </row>
    <row r="57">
      <c r="A57" s="184"/>
      <c r="B57" s="184"/>
      <c r="C57" s="216"/>
      <c r="D57" s="184"/>
      <c r="E57" s="185"/>
      <c r="F57" s="186"/>
      <c r="G57" s="187"/>
      <c r="H57" s="187"/>
      <c r="I57" s="291"/>
      <c r="J57" s="184"/>
      <c r="K57" s="233"/>
      <c r="L57" s="212"/>
      <c r="M57" s="212"/>
      <c r="N57" s="212"/>
    </row>
    <row r="58">
      <c r="A58" s="184"/>
      <c r="B58" s="184"/>
      <c r="C58" s="216"/>
      <c r="D58" s="184"/>
      <c r="E58" s="185"/>
      <c r="F58" s="186"/>
      <c r="G58" s="187"/>
      <c r="H58" s="187"/>
      <c r="I58" s="291"/>
      <c r="J58" s="184"/>
      <c r="K58" s="233"/>
      <c r="L58" s="212"/>
      <c r="M58" s="212"/>
      <c r="N58" s="212"/>
    </row>
    <row r="59">
      <c r="A59" s="184"/>
      <c r="B59" s="184"/>
      <c r="C59" s="216"/>
      <c r="D59" s="184"/>
      <c r="E59" s="185"/>
      <c r="F59" s="186"/>
      <c r="G59" s="187"/>
      <c r="H59" s="187"/>
      <c r="I59" s="291"/>
      <c r="J59" s="184"/>
      <c r="K59" s="233"/>
      <c r="L59" s="212"/>
      <c r="M59" s="212"/>
      <c r="N59" s="212"/>
    </row>
    <row r="60">
      <c r="A60" s="184"/>
      <c r="B60" s="184"/>
      <c r="C60" s="216"/>
      <c r="D60" s="184"/>
      <c r="E60" s="185"/>
      <c r="F60" s="186"/>
      <c r="G60" s="187"/>
      <c r="H60" s="187"/>
      <c r="I60" s="291"/>
      <c r="J60" s="184"/>
      <c r="K60" s="233"/>
      <c r="L60" s="212"/>
      <c r="M60" s="212"/>
      <c r="N60" s="212"/>
    </row>
    <row r="61">
      <c r="A61" s="184"/>
      <c r="B61" s="184"/>
      <c r="C61" s="216"/>
      <c r="D61" s="184"/>
      <c r="E61" s="185"/>
      <c r="F61" s="186"/>
      <c r="G61" s="187"/>
      <c r="H61" s="187"/>
      <c r="I61" s="291"/>
      <c r="J61" s="184"/>
      <c r="K61" s="233"/>
      <c r="L61" s="212"/>
      <c r="M61" s="212"/>
      <c r="N61" s="212"/>
    </row>
    <row r="62">
      <c r="A62" s="184"/>
      <c r="B62" s="184"/>
      <c r="C62" s="216"/>
      <c r="D62" s="184"/>
      <c r="E62" s="185"/>
      <c r="F62" s="186"/>
      <c r="G62" s="187"/>
      <c r="H62" s="187"/>
      <c r="I62" s="291"/>
      <c r="J62" s="184"/>
      <c r="K62" s="233"/>
      <c r="L62" s="212"/>
      <c r="M62" s="212"/>
      <c r="N62" s="212"/>
    </row>
    <row r="63">
      <c r="A63" s="184"/>
      <c r="B63" s="184"/>
      <c r="C63" s="216"/>
      <c r="D63" s="184"/>
      <c r="E63" s="185"/>
      <c r="F63" s="186"/>
      <c r="G63" s="187"/>
      <c r="H63" s="187"/>
      <c r="I63" s="291"/>
      <c r="J63" s="184"/>
      <c r="K63" s="233"/>
      <c r="L63" s="212"/>
      <c r="M63" s="212"/>
      <c r="N63" s="212"/>
    </row>
    <row r="64">
      <c r="A64" s="184"/>
      <c r="B64" s="184"/>
      <c r="C64" s="216"/>
      <c r="D64" s="184"/>
      <c r="E64" s="185"/>
      <c r="F64" s="186"/>
      <c r="G64" s="187"/>
      <c r="H64" s="187"/>
      <c r="I64" s="291"/>
      <c r="J64" s="184"/>
      <c r="K64" s="233"/>
      <c r="L64" s="212"/>
      <c r="M64" s="212"/>
      <c r="N64" s="212"/>
    </row>
    <row r="65">
      <c r="A65" s="184"/>
      <c r="B65" s="184"/>
      <c r="C65" s="216"/>
      <c r="D65" s="184"/>
      <c r="E65" s="185"/>
      <c r="F65" s="186"/>
      <c r="G65" s="187"/>
      <c r="H65" s="187"/>
      <c r="I65" s="291"/>
      <c r="J65" s="184"/>
      <c r="K65" s="233"/>
      <c r="L65" s="212"/>
      <c r="M65" s="212"/>
      <c r="N65" s="212"/>
    </row>
    <row r="66">
      <c r="A66" s="184"/>
      <c r="B66" s="184"/>
      <c r="C66" s="216"/>
      <c r="D66" s="184"/>
      <c r="E66" s="185"/>
      <c r="F66" s="186"/>
      <c r="G66" s="187"/>
      <c r="H66" s="187"/>
      <c r="I66" s="291"/>
      <c r="J66" s="184"/>
      <c r="K66" s="233"/>
      <c r="L66" s="212"/>
      <c r="M66" s="212"/>
      <c r="N66" s="212"/>
    </row>
    <row r="67">
      <c r="A67" s="184"/>
      <c r="B67" s="184"/>
      <c r="C67" s="216"/>
      <c r="D67" s="184"/>
      <c r="E67" s="185"/>
      <c r="F67" s="186"/>
      <c r="G67" s="187"/>
      <c r="H67" s="187"/>
      <c r="I67" s="291"/>
      <c r="J67" s="184"/>
      <c r="K67" s="233"/>
      <c r="L67" s="212"/>
      <c r="M67" s="212"/>
      <c r="N67" s="212"/>
    </row>
    <row r="68">
      <c r="A68" s="184"/>
      <c r="B68" s="184"/>
      <c r="C68" s="216"/>
      <c r="D68" s="184"/>
      <c r="E68" s="185"/>
      <c r="F68" s="186"/>
      <c r="G68" s="187"/>
      <c r="H68" s="187"/>
      <c r="I68" s="291"/>
      <c r="J68" s="184"/>
      <c r="K68" s="233"/>
      <c r="L68" s="212"/>
      <c r="M68" s="212"/>
      <c r="N68" s="212"/>
    </row>
    <row r="69">
      <c r="A69" s="184"/>
      <c r="B69" s="184"/>
      <c r="C69" s="216"/>
      <c r="D69" s="184"/>
      <c r="E69" s="185"/>
      <c r="F69" s="186"/>
      <c r="G69" s="187"/>
      <c r="H69" s="187"/>
      <c r="I69" s="291"/>
      <c r="J69" s="184"/>
      <c r="K69" s="233"/>
      <c r="L69" s="212"/>
      <c r="M69" s="212"/>
      <c r="N69" s="212"/>
    </row>
    <row r="70">
      <c r="A70" s="184"/>
      <c r="B70" s="184"/>
      <c r="C70" s="216"/>
      <c r="D70" s="184"/>
      <c r="E70" s="185"/>
      <c r="F70" s="186"/>
      <c r="G70" s="187"/>
      <c r="H70" s="187"/>
      <c r="I70" s="291"/>
      <c r="J70" s="184"/>
      <c r="K70" s="233"/>
      <c r="L70" s="212"/>
      <c r="M70" s="212"/>
      <c r="N70" s="212"/>
    </row>
    <row r="71">
      <c r="A71" s="184"/>
      <c r="B71" s="184"/>
      <c r="C71" s="216"/>
      <c r="D71" s="184"/>
      <c r="E71" s="185"/>
      <c r="F71" s="186"/>
      <c r="G71" s="187"/>
      <c r="H71" s="187"/>
      <c r="I71" s="291"/>
      <c r="J71" s="184"/>
      <c r="K71" s="233"/>
      <c r="L71" s="212"/>
      <c r="M71" s="212"/>
      <c r="N71" s="212"/>
    </row>
    <row r="72">
      <c r="A72" s="184"/>
      <c r="B72" s="184"/>
      <c r="C72" s="216"/>
      <c r="D72" s="184"/>
      <c r="E72" s="185"/>
      <c r="F72" s="186"/>
      <c r="G72" s="187"/>
      <c r="H72" s="187"/>
      <c r="I72" s="291"/>
      <c r="J72" s="184"/>
      <c r="K72" s="233"/>
      <c r="L72" s="212"/>
      <c r="M72" s="212"/>
      <c r="N72" s="212"/>
    </row>
    <row r="73">
      <c r="A73" s="184"/>
      <c r="B73" s="184"/>
      <c r="C73" s="216"/>
      <c r="D73" s="184"/>
      <c r="E73" s="185"/>
      <c r="F73" s="186"/>
      <c r="G73" s="187"/>
      <c r="H73" s="187"/>
      <c r="I73" s="291"/>
      <c r="J73" s="184"/>
      <c r="K73" s="233"/>
      <c r="L73" s="212"/>
      <c r="M73" s="212"/>
      <c r="N73" s="212"/>
    </row>
    <row r="74">
      <c r="A74" s="184"/>
      <c r="B74" s="184"/>
      <c r="C74" s="216"/>
      <c r="D74" s="184"/>
      <c r="E74" s="185"/>
      <c r="F74" s="186"/>
      <c r="G74" s="187"/>
      <c r="H74" s="187"/>
      <c r="I74" s="291"/>
      <c r="J74" s="184"/>
      <c r="K74" s="233"/>
      <c r="L74" s="212"/>
      <c r="M74" s="212"/>
      <c r="N74" s="212"/>
    </row>
    <row r="75">
      <c r="A75" s="184"/>
      <c r="B75" s="184"/>
      <c r="C75" s="216"/>
      <c r="D75" s="184"/>
      <c r="E75" s="185"/>
      <c r="F75" s="186"/>
      <c r="G75" s="187"/>
      <c r="H75" s="187"/>
      <c r="I75" s="291"/>
      <c r="J75" s="184"/>
      <c r="K75" s="233"/>
      <c r="L75" s="212"/>
      <c r="M75" s="212"/>
      <c r="N75" s="212"/>
    </row>
    <row r="76">
      <c r="A76" s="184"/>
      <c r="B76" s="184"/>
      <c r="C76" s="216"/>
      <c r="D76" s="184"/>
      <c r="E76" s="185"/>
      <c r="F76" s="186"/>
      <c r="G76" s="187"/>
      <c r="H76" s="187"/>
      <c r="I76" s="291"/>
      <c r="J76" s="184"/>
      <c r="K76" s="233"/>
      <c r="L76" s="212"/>
      <c r="M76" s="212"/>
      <c r="N76" s="212"/>
    </row>
    <row r="77">
      <c r="A77" s="184"/>
      <c r="B77" s="184"/>
      <c r="C77" s="216"/>
      <c r="D77" s="184"/>
      <c r="E77" s="185"/>
      <c r="F77" s="186"/>
      <c r="G77" s="187"/>
      <c r="H77" s="187"/>
      <c r="I77" s="291"/>
      <c r="J77" s="184"/>
      <c r="K77" s="233"/>
      <c r="L77" s="212"/>
      <c r="M77" s="212"/>
      <c r="N77" s="212"/>
    </row>
    <row r="78">
      <c r="A78" s="184"/>
      <c r="B78" s="184"/>
      <c r="C78" s="216"/>
      <c r="D78" s="184"/>
      <c r="E78" s="185"/>
      <c r="F78" s="186"/>
      <c r="G78" s="187"/>
      <c r="H78" s="187"/>
      <c r="I78" s="291"/>
      <c r="J78" s="184"/>
      <c r="K78" s="233"/>
      <c r="L78" s="212"/>
      <c r="M78" s="212"/>
      <c r="N78" s="212"/>
    </row>
    <row r="79">
      <c r="A79" s="184"/>
      <c r="B79" s="184"/>
      <c r="C79" s="216"/>
      <c r="D79" s="184"/>
      <c r="E79" s="185"/>
      <c r="F79" s="186"/>
      <c r="G79" s="187"/>
      <c r="H79" s="187"/>
      <c r="I79" s="291"/>
      <c r="J79" s="184"/>
      <c r="K79" s="233"/>
      <c r="L79" s="212"/>
      <c r="M79" s="212"/>
      <c r="N79" s="212"/>
    </row>
    <row r="80">
      <c r="A80" s="184"/>
      <c r="B80" s="184"/>
      <c r="C80" s="216"/>
      <c r="D80" s="184"/>
      <c r="E80" s="185"/>
      <c r="F80" s="186"/>
      <c r="G80" s="187"/>
      <c r="H80" s="187"/>
      <c r="I80" s="291"/>
      <c r="J80" s="184"/>
      <c r="K80" s="233"/>
      <c r="L80" s="212"/>
      <c r="M80" s="212"/>
      <c r="N80" s="212"/>
    </row>
    <row r="81">
      <c r="A81" s="184"/>
      <c r="B81" s="184"/>
      <c r="C81" s="216"/>
      <c r="D81" s="184"/>
      <c r="E81" s="185"/>
      <c r="F81" s="186"/>
      <c r="G81" s="187"/>
      <c r="H81" s="187"/>
      <c r="I81" s="291"/>
      <c r="J81" s="184"/>
      <c r="K81" s="233"/>
      <c r="L81" s="212"/>
      <c r="M81" s="212"/>
      <c r="N81" s="212"/>
    </row>
    <row r="82">
      <c r="A82" s="184"/>
      <c r="B82" s="184"/>
      <c r="C82" s="216"/>
      <c r="D82" s="184"/>
      <c r="E82" s="185"/>
      <c r="F82" s="186"/>
      <c r="G82" s="187"/>
      <c r="H82" s="187"/>
      <c r="I82" s="291"/>
      <c r="J82" s="184"/>
      <c r="K82" s="233"/>
      <c r="L82" s="212"/>
      <c r="M82" s="212"/>
      <c r="N82" s="212"/>
    </row>
    <row r="83">
      <c r="A83" s="184"/>
      <c r="B83" s="184"/>
      <c r="C83" s="216"/>
      <c r="D83" s="184"/>
      <c r="E83" s="185"/>
      <c r="F83" s="186"/>
      <c r="G83" s="187"/>
      <c r="H83" s="187"/>
      <c r="I83" s="291"/>
      <c r="J83" s="184"/>
      <c r="K83" s="233"/>
      <c r="L83" s="212"/>
      <c r="M83" s="212"/>
      <c r="N83" s="212"/>
    </row>
    <row r="84">
      <c r="A84" s="184"/>
      <c r="B84" s="184"/>
      <c r="C84" s="216"/>
      <c r="D84" s="184"/>
      <c r="E84" s="185"/>
      <c r="F84" s="186"/>
      <c r="G84" s="187"/>
      <c r="H84" s="187"/>
      <c r="I84" s="291"/>
      <c r="J84" s="184"/>
      <c r="K84" s="233"/>
      <c r="L84" s="212"/>
      <c r="M84" s="212"/>
      <c r="N84" s="212"/>
    </row>
    <row r="85">
      <c r="A85" s="184"/>
      <c r="B85" s="184"/>
      <c r="C85" s="216"/>
      <c r="D85" s="184"/>
      <c r="E85" s="185"/>
      <c r="F85" s="186"/>
      <c r="G85" s="187"/>
      <c r="H85" s="187"/>
      <c r="I85" s="291"/>
      <c r="J85" s="184"/>
      <c r="K85" s="233"/>
      <c r="L85" s="212"/>
      <c r="M85" s="212"/>
      <c r="N85" s="212"/>
    </row>
    <row r="86">
      <c r="A86" s="184"/>
      <c r="B86" s="184"/>
      <c r="C86" s="216"/>
      <c r="D86" s="184"/>
      <c r="E86" s="185"/>
      <c r="F86" s="186"/>
      <c r="G86" s="187"/>
      <c r="H86" s="187"/>
      <c r="I86" s="291"/>
      <c r="J86" s="184"/>
      <c r="K86" s="233"/>
      <c r="L86" s="212"/>
      <c r="M86" s="212"/>
      <c r="N86" s="212"/>
    </row>
    <row r="87">
      <c r="A87" s="184"/>
      <c r="B87" s="184"/>
      <c r="C87" s="216"/>
      <c r="D87" s="184"/>
      <c r="E87" s="185"/>
      <c r="F87" s="186"/>
      <c r="G87" s="187"/>
      <c r="H87" s="187"/>
      <c r="I87" s="291"/>
      <c r="J87" s="184"/>
      <c r="K87" s="233"/>
      <c r="L87" s="212"/>
      <c r="M87" s="212"/>
      <c r="N87" s="212"/>
    </row>
    <row r="88">
      <c r="A88" s="184"/>
      <c r="B88" s="184"/>
      <c r="C88" s="216"/>
      <c r="D88" s="184"/>
      <c r="E88" s="185"/>
      <c r="F88" s="186"/>
      <c r="G88" s="187"/>
      <c r="H88" s="187"/>
      <c r="I88" s="291"/>
      <c r="J88" s="184"/>
      <c r="K88" s="233"/>
      <c r="L88" s="212"/>
      <c r="M88" s="212"/>
      <c r="N88" s="212"/>
    </row>
    <row r="89">
      <c r="A89" s="184"/>
      <c r="B89" s="184"/>
      <c r="C89" s="216"/>
      <c r="D89" s="184"/>
      <c r="E89" s="185"/>
      <c r="F89" s="186"/>
      <c r="G89" s="187"/>
      <c r="H89" s="187"/>
      <c r="I89" s="291"/>
      <c r="J89" s="184"/>
      <c r="K89" s="233"/>
      <c r="L89" s="212"/>
      <c r="M89" s="212"/>
      <c r="N89" s="212"/>
    </row>
    <row r="90">
      <c r="A90" s="184"/>
      <c r="B90" s="184"/>
      <c r="C90" s="216"/>
      <c r="D90" s="184"/>
      <c r="E90" s="185"/>
      <c r="F90" s="186"/>
      <c r="G90" s="187"/>
      <c r="H90" s="187"/>
      <c r="I90" s="291"/>
      <c r="J90" s="184"/>
      <c r="K90" s="233"/>
      <c r="L90" s="212"/>
      <c r="M90" s="212"/>
      <c r="N90" s="212"/>
    </row>
    <row r="91">
      <c r="A91" s="184"/>
      <c r="B91" s="184"/>
      <c r="C91" s="216"/>
      <c r="D91" s="184"/>
      <c r="E91" s="185"/>
      <c r="F91" s="186"/>
      <c r="G91" s="187"/>
      <c r="H91" s="187"/>
      <c r="I91" s="291"/>
      <c r="J91" s="184"/>
      <c r="K91" s="233"/>
      <c r="L91" s="212"/>
      <c r="M91" s="212"/>
      <c r="N91" s="212"/>
    </row>
    <row r="92">
      <c r="A92" s="184"/>
      <c r="B92" s="184"/>
      <c r="C92" s="216"/>
      <c r="D92" s="184"/>
      <c r="E92" s="185"/>
      <c r="F92" s="186"/>
      <c r="G92" s="187"/>
      <c r="H92" s="187"/>
      <c r="I92" s="291"/>
      <c r="J92" s="184"/>
      <c r="K92" s="233"/>
      <c r="L92" s="212"/>
      <c r="M92" s="212"/>
      <c r="N92" s="212"/>
    </row>
    <row r="93">
      <c r="A93" s="184"/>
      <c r="B93" s="184"/>
      <c r="C93" s="216"/>
      <c r="D93" s="184"/>
      <c r="E93" s="185"/>
      <c r="F93" s="186"/>
      <c r="G93" s="187"/>
      <c r="H93" s="187"/>
      <c r="I93" s="291"/>
      <c r="J93" s="184"/>
      <c r="K93" s="233"/>
      <c r="L93" s="212"/>
      <c r="M93" s="212"/>
      <c r="N93" s="212"/>
    </row>
    <row r="94">
      <c r="A94" s="184"/>
      <c r="B94" s="184"/>
      <c r="C94" s="216"/>
      <c r="D94" s="184"/>
      <c r="E94" s="185"/>
      <c r="F94" s="186"/>
      <c r="G94" s="187"/>
      <c r="H94" s="187"/>
      <c r="I94" s="291"/>
      <c r="J94" s="184"/>
      <c r="K94" s="233"/>
      <c r="L94" s="212"/>
      <c r="M94" s="212"/>
      <c r="N94" s="212"/>
    </row>
    <row r="95">
      <c r="A95" s="184"/>
      <c r="B95" s="184"/>
      <c r="C95" s="216"/>
      <c r="D95" s="184"/>
      <c r="E95" s="185"/>
      <c r="F95" s="186"/>
      <c r="G95" s="187"/>
      <c r="H95" s="187"/>
      <c r="I95" s="291"/>
      <c r="J95" s="184"/>
      <c r="K95" s="233"/>
      <c r="L95" s="212"/>
      <c r="M95" s="212"/>
      <c r="N95" s="212"/>
    </row>
    <row r="96">
      <c r="A96" s="184"/>
      <c r="B96" s="184"/>
      <c r="C96" s="216"/>
      <c r="D96" s="184"/>
      <c r="E96" s="185"/>
      <c r="F96" s="186"/>
      <c r="G96" s="187"/>
      <c r="H96" s="187"/>
      <c r="I96" s="291"/>
      <c r="J96" s="184"/>
      <c r="K96" s="233"/>
      <c r="L96" s="212"/>
      <c r="M96" s="212"/>
      <c r="N96" s="212"/>
    </row>
    <row r="97">
      <c r="A97" s="184"/>
      <c r="B97" s="184"/>
      <c r="C97" s="216"/>
      <c r="D97" s="184"/>
      <c r="E97" s="185"/>
      <c r="F97" s="186"/>
      <c r="G97" s="187"/>
      <c r="H97" s="187"/>
      <c r="I97" s="291"/>
      <c r="J97" s="184"/>
      <c r="K97" s="233"/>
      <c r="L97" s="212"/>
      <c r="M97" s="212"/>
      <c r="N97" s="212"/>
    </row>
    <row r="98">
      <c r="A98" s="184"/>
      <c r="B98" s="184"/>
      <c r="C98" s="216"/>
      <c r="D98" s="184"/>
      <c r="E98" s="185"/>
      <c r="F98" s="186"/>
      <c r="G98" s="187"/>
      <c r="H98" s="187"/>
      <c r="I98" s="291"/>
      <c r="J98" s="184"/>
      <c r="K98" s="233"/>
      <c r="L98" s="212"/>
      <c r="M98" s="212"/>
      <c r="N98" s="212"/>
    </row>
    <row r="99">
      <c r="A99" s="184"/>
      <c r="B99" s="184"/>
      <c r="C99" s="216"/>
      <c r="D99" s="184"/>
      <c r="E99" s="185"/>
      <c r="F99" s="186"/>
      <c r="G99" s="187"/>
      <c r="H99" s="187"/>
      <c r="I99" s="291"/>
      <c r="J99" s="184"/>
      <c r="K99" s="233"/>
      <c r="L99" s="212"/>
      <c r="M99" s="212"/>
      <c r="N99" s="212"/>
    </row>
    <row r="100">
      <c r="A100" s="184"/>
      <c r="B100" s="184"/>
      <c r="C100" s="216"/>
      <c r="D100" s="184"/>
      <c r="E100" s="185"/>
      <c r="F100" s="186"/>
      <c r="G100" s="187"/>
      <c r="H100" s="187"/>
      <c r="I100" s="291"/>
      <c r="J100" s="184"/>
      <c r="K100" s="233"/>
      <c r="L100" s="212"/>
      <c r="M100" s="212"/>
      <c r="N100" s="212"/>
    </row>
    <row r="101">
      <c r="A101" s="184"/>
      <c r="B101" s="184"/>
      <c r="C101" s="216"/>
      <c r="D101" s="184"/>
      <c r="E101" s="185"/>
      <c r="F101" s="186"/>
      <c r="G101" s="187"/>
      <c r="H101" s="187"/>
      <c r="I101" s="291"/>
      <c r="J101" s="184"/>
      <c r="K101" s="233"/>
      <c r="L101" s="212"/>
      <c r="M101" s="212"/>
      <c r="N101" s="212"/>
    </row>
    <row r="102">
      <c r="A102" s="184"/>
      <c r="B102" s="184"/>
      <c r="C102" s="216"/>
      <c r="D102" s="184"/>
      <c r="E102" s="185"/>
      <c r="F102" s="186"/>
      <c r="G102" s="187"/>
      <c r="H102" s="187"/>
      <c r="I102" s="291"/>
      <c r="J102" s="184"/>
      <c r="K102" s="233"/>
      <c r="L102" s="212"/>
      <c r="M102" s="212"/>
      <c r="N102" s="212"/>
    </row>
    <row r="103">
      <c r="A103" s="184"/>
      <c r="B103" s="184"/>
      <c r="C103" s="216"/>
      <c r="D103" s="184"/>
      <c r="E103" s="185"/>
      <c r="F103" s="186"/>
      <c r="G103" s="187"/>
      <c r="H103" s="187"/>
      <c r="I103" s="291"/>
      <c r="J103" s="184"/>
      <c r="K103" s="233"/>
      <c r="L103" s="212"/>
      <c r="M103" s="212"/>
      <c r="N103" s="212"/>
    </row>
    <row r="104">
      <c r="A104" s="184"/>
      <c r="B104" s="184"/>
      <c r="C104" s="216"/>
      <c r="D104" s="184"/>
      <c r="E104" s="185"/>
      <c r="F104" s="186"/>
      <c r="G104" s="187"/>
      <c r="H104" s="187"/>
      <c r="I104" s="291"/>
      <c r="J104" s="184"/>
      <c r="K104" s="233"/>
      <c r="L104" s="212"/>
      <c r="M104" s="212"/>
      <c r="N104" s="212"/>
    </row>
    <row r="105">
      <c r="A105" s="184"/>
      <c r="B105" s="184"/>
      <c r="C105" s="216"/>
      <c r="D105" s="184"/>
      <c r="E105" s="185"/>
      <c r="F105" s="186"/>
      <c r="G105" s="187"/>
      <c r="H105" s="187"/>
      <c r="I105" s="291"/>
      <c r="J105" s="184"/>
      <c r="K105" s="233"/>
      <c r="L105" s="212"/>
      <c r="M105" s="212"/>
      <c r="N105" s="212"/>
    </row>
    <row r="106">
      <c r="A106" s="184"/>
      <c r="B106" s="184"/>
      <c r="C106" s="216"/>
      <c r="D106" s="184"/>
      <c r="E106" s="185"/>
      <c r="F106" s="186"/>
      <c r="G106" s="187"/>
      <c r="H106" s="187"/>
      <c r="I106" s="291"/>
      <c r="J106" s="184"/>
      <c r="K106" s="233"/>
      <c r="L106" s="212"/>
      <c r="M106" s="212"/>
      <c r="N106" s="212"/>
    </row>
    <row r="107">
      <c r="A107" s="184"/>
      <c r="B107" s="184"/>
      <c r="C107" s="216"/>
      <c r="D107" s="184"/>
      <c r="E107" s="185"/>
      <c r="F107" s="186"/>
      <c r="G107" s="187"/>
      <c r="H107" s="187"/>
      <c r="I107" s="291"/>
      <c r="J107" s="184"/>
      <c r="K107" s="233"/>
      <c r="L107" s="212"/>
      <c r="M107" s="212"/>
      <c r="N107" s="212"/>
    </row>
    <row r="108">
      <c r="A108" s="184"/>
      <c r="B108" s="184"/>
      <c r="C108" s="216"/>
      <c r="D108" s="184"/>
      <c r="E108" s="185"/>
      <c r="F108" s="186"/>
      <c r="G108" s="187"/>
      <c r="H108" s="187"/>
      <c r="I108" s="291"/>
      <c r="J108" s="184"/>
      <c r="K108" s="233"/>
      <c r="L108" s="212"/>
      <c r="M108" s="212"/>
      <c r="N108" s="212"/>
    </row>
    <row r="109">
      <c r="A109" s="184"/>
      <c r="B109" s="184"/>
      <c r="C109" s="216"/>
      <c r="D109" s="184"/>
      <c r="E109" s="185"/>
      <c r="F109" s="186"/>
      <c r="G109" s="187"/>
      <c r="H109" s="187"/>
      <c r="I109" s="291"/>
      <c r="J109" s="184"/>
      <c r="K109" s="233"/>
      <c r="L109" s="212"/>
      <c r="M109" s="212"/>
      <c r="N109" s="212"/>
    </row>
    <row r="110">
      <c r="A110" s="184"/>
      <c r="B110" s="184"/>
      <c r="C110" s="216"/>
      <c r="D110" s="184"/>
      <c r="E110" s="185"/>
      <c r="F110" s="186"/>
      <c r="G110" s="187"/>
      <c r="H110" s="187"/>
      <c r="I110" s="291"/>
      <c r="J110" s="184"/>
      <c r="K110" s="233"/>
      <c r="L110" s="212"/>
      <c r="M110" s="212"/>
      <c r="N110" s="212"/>
    </row>
    <row r="111">
      <c r="A111" s="184"/>
      <c r="B111" s="184"/>
      <c r="C111" s="216"/>
      <c r="D111" s="184"/>
      <c r="E111" s="185"/>
      <c r="F111" s="186"/>
      <c r="G111" s="187"/>
      <c r="H111" s="187"/>
      <c r="I111" s="291"/>
      <c r="J111" s="184"/>
      <c r="K111" s="233"/>
      <c r="L111" s="212"/>
      <c r="M111" s="212"/>
      <c r="N111" s="212"/>
    </row>
    <row r="112">
      <c r="A112" s="184"/>
      <c r="B112" s="184"/>
      <c r="C112" s="216"/>
      <c r="D112" s="184"/>
      <c r="E112" s="185"/>
      <c r="F112" s="186"/>
      <c r="G112" s="187"/>
      <c r="H112" s="187"/>
      <c r="I112" s="291"/>
      <c r="J112" s="184"/>
      <c r="K112" s="233"/>
      <c r="L112" s="212"/>
      <c r="M112" s="212"/>
      <c r="N112" s="212"/>
    </row>
    <row r="113">
      <c r="A113" s="184"/>
      <c r="B113" s="184"/>
      <c r="C113" s="216"/>
      <c r="D113" s="184"/>
      <c r="E113" s="185"/>
      <c r="F113" s="186"/>
      <c r="G113" s="187"/>
      <c r="H113" s="187"/>
      <c r="I113" s="291"/>
      <c r="J113" s="184"/>
      <c r="K113" s="233"/>
      <c r="L113" s="212"/>
      <c r="M113" s="212"/>
      <c r="N113" s="212"/>
    </row>
    <row r="114">
      <c r="A114" s="184"/>
      <c r="B114" s="184"/>
      <c r="C114" s="216"/>
      <c r="D114" s="184"/>
      <c r="E114" s="185"/>
      <c r="F114" s="186"/>
      <c r="G114" s="187"/>
      <c r="H114" s="187"/>
      <c r="I114" s="291"/>
      <c r="J114" s="184"/>
      <c r="K114" s="233"/>
      <c r="L114" s="212"/>
      <c r="M114" s="212"/>
      <c r="N114" s="212"/>
    </row>
    <row r="115">
      <c r="A115" s="184"/>
      <c r="B115" s="184"/>
      <c r="C115" s="216"/>
      <c r="D115" s="184"/>
      <c r="E115" s="185"/>
      <c r="F115" s="186"/>
      <c r="G115" s="187"/>
      <c r="H115" s="187"/>
      <c r="I115" s="291"/>
      <c r="J115" s="184"/>
      <c r="K115" s="233"/>
      <c r="L115" s="212"/>
      <c r="M115" s="212"/>
      <c r="N115" s="212"/>
    </row>
    <row r="116">
      <c r="A116" s="184"/>
      <c r="B116" s="184"/>
      <c r="C116" s="216"/>
      <c r="D116" s="184"/>
      <c r="E116" s="185"/>
      <c r="F116" s="186"/>
      <c r="G116" s="187"/>
      <c r="H116" s="187"/>
      <c r="I116" s="291"/>
      <c r="J116" s="184"/>
      <c r="K116" s="233"/>
      <c r="L116" s="212"/>
      <c r="M116" s="212"/>
      <c r="N116" s="212"/>
    </row>
    <row r="117">
      <c r="A117" s="184"/>
      <c r="B117" s="184"/>
      <c r="C117" s="216"/>
      <c r="D117" s="184"/>
      <c r="E117" s="185"/>
      <c r="F117" s="186"/>
      <c r="G117" s="187"/>
      <c r="H117" s="187"/>
      <c r="I117" s="291"/>
      <c r="J117" s="184"/>
      <c r="K117" s="233"/>
      <c r="L117" s="212"/>
      <c r="M117" s="212"/>
      <c r="N117" s="212"/>
    </row>
    <row r="118">
      <c r="A118" s="184"/>
      <c r="B118" s="184"/>
      <c r="C118" s="216"/>
      <c r="D118" s="184"/>
      <c r="E118" s="185"/>
      <c r="F118" s="186"/>
      <c r="G118" s="187"/>
      <c r="H118" s="187"/>
      <c r="I118" s="291"/>
      <c r="J118" s="184"/>
      <c r="K118" s="233"/>
      <c r="L118" s="212"/>
      <c r="M118" s="212"/>
      <c r="N118" s="212"/>
    </row>
    <row r="119">
      <c r="A119" s="184"/>
      <c r="B119" s="184"/>
      <c r="C119" s="216"/>
      <c r="D119" s="184"/>
      <c r="E119" s="185"/>
      <c r="F119" s="186"/>
      <c r="G119" s="187"/>
      <c r="H119" s="187"/>
      <c r="I119" s="291"/>
      <c r="J119" s="184"/>
      <c r="K119" s="233"/>
      <c r="L119" s="212"/>
      <c r="M119" s="212"/>
      <c r="N119" s="212"/>
    </row>
    <row r="120">
      <c r="A120" s="184"/>
      <c r="B120" s="184"/>
      <c r="C120" s="216"/>
      <c r="D120" s="184"/>
      <c r="E120" s="185"/>
      <c r="F120" s="186"/>
      <c r="G120" s="187"/>
      <c r="H120" s="187"/>
      <c r="I120" s="291"/>
      <c r="J120" s="184"/>
      <c r="K120" s="233"/>
      <c r="L120" s="212"/>
      <c r="M120" s="212"/>
      <c r="N120" s="212"/>
    </row>
    <row r="121">
      <c r="A121" s="184"/>
      <c r="B121" s="184"/>
      <c r="C121" s="216"/>
      <c r="D121" s="184"/>
      <c r="E121" s="185"/>
      <c r="F121" s="186"/>
      <c r="G121" s="187"/>
      <c r="H121" s="187"/>
      <c r="I121" s="291"/>
      <c r="J121" s="184"/>
      <c r="K121" s="233"/>
      <c r="L121" s="212"/>
      <c r="M121" s="212"/>
      <c r="N121" s="212"/>
    </row>
    <row r="122">
      <c r="A122" s="184"/>
      <c r="B122" s="184"/>
      <c r="C122" s="216"/>
      <c r="D122" s="184"/>
      <c r="E122" s="185"/>
      <c r="F122" s="186"/>
      <c r="G122" s="187"/>
      <c r="H122" s="187"/>
      <c r="I122" s="291"/>
      <c r="J122" s="184"/>
      <c r="K122" s="233"/>
      <c r="L122" s="212"/>
      <c r="M122" s="212"/>
      <c r="N122" s="212"/>
    </row>
    <row r="123">
      <c r="A123" s="184"/>
      <c r="B123" s="184"/>
      <c r="C123" s="216"/>
      <c r="D123" s="184"/>
      <c r="E123" s="185"/>
      <c r="F123" s="186"/>
      <c r="G123" s="187"/>
      <c r="H123" s="187"/>
      <c r="I123" s="291"/>
      <c r="J123" s="184"/>
      <c r="K123" s="233"/>
      <c r="L123" s="212"/>
      <c r="M123" s="212"/>
      <c r="N123" s="212"/>
    </row>
    <row r="124">
      <c r="A124" s="184"/>
      <c r="B124" s="184"/>
      <c r="C124" s="216"/>
      <c r="D124" s="184"/>
      <c r="E124" s="185"/>
      <c r="F124" s="186"/>
      <c r="G124" s="187"/>
      <c r="H124" s="187"/>
      <c r="I124" s="291"/>
      <c r="J124" s="184"/>
      <c r="K124" s="233"/>
      <c r="L124" s="212"/>
      <c r="M124" s="212"/>
      <c r="N124" s="212"/>
    </row>
    <row r="125">
      <c r="A125" s="184"/>
      <c r="B125" s="184"/>
      <c r="C125" s="216"/>
      <c r="D125" s="184"/>
      <c r="E125" s="185"/>
      <c r="F125" s="186"/>
      <c r="G125" s="187"/>
      <c r="H125" s="187"/>
      <c r="I125" s="291"/>
      <c r="J125" s="184"/>
      <c r="K125" s="233"/>
      <c r="L125" s="212"/>
      <c r="M125" s="212"/>
      <c r="N125" s="212"/>
    </row>
    <row r="126">
      <c r="A126" s="184"/>
      <c r="B126" s="184"/>
      <c r="C126" s="216"/>
      <c r="D126" s="184"/>
      <c r="E126" s="185"/>
      <c r="F126" s="186"/>
      <c r="G126" s="187"/>
      <c r="H126" s="187"/>
      <c r="I126" s="291"/>
      <c r="J126" s="184"/>
      <c r="K126" s="233"/>
      <c r="L126" s="212"/>
      <c r="M126" s="212"/>
      <c r="N126" s="212"/>
    </row>
    <row r="127">
      <c r="A127" s="184"/>
      <c r="B127" s="184"/>
      <c r="C127" s="216"/>
      <c r="D127" s="184"/>
      <c r="E127" s="185"/>
      <c r="F127" s="186"/>
      <c r="G127" s="187"/>
      <c r="H127" s="187"/>
      <c r="I127" s="291"/>
      <c r="J127" s="184"/>
      <c r="K127" s="233"/>
      <c r="L127" s="212"/>
      <c r="M127" s="212"/>
      <c r="N127" s="212"/>
    </row>
    <row r="128">
      <c r="A128" s="184"/>
      <c r="B128" s="184"/>
      <c r="C128" s="216"/>
      <c r="D128" s="184"/>
      <c r="E128" s="185"/>
      <c r="F128" s="186"/>
      <c r="G128" s="187"/>
      <c r="H128" s="187"/>
      <c r="I128" s="291"/>
      <c r="J128" s="184"/>
      <c r="K128" s="233"/>
      <c r="L128" s="212"/>
      <c r="M128" s="212"/>
      <c r="N128" s="212"/>
    </row>
    <row r="129">
      <c r="A129" s="184"/>
      <c r="B129" s="184"/>
      <c r="C129" s="216"/>
      <c r="D129" s="184"/>
      <c r="E129" s="185"/>
      <c r="F129" s="186"/>
      <c r="G129" s="187"/>
      <c r="H129" s="187"/>
      <c r="I129" s="291"/>
      <c r="J129" s="184"/>
      <c r="K129" s="233"/>
      <c r="L129" s="212"/>
      <c r="M129" s="212"/>
      <c r="N129" s="212"/>
    </row>
    <row r="130">
      <c r="A130" s="184"/>
      <c r="B130" s="184"/>
      <c r="C130" s="216"/>
      <c r="D130" s="184"/>
      <c r="E130" s="185"/>
      <c r="F130" s="186"/>
      <c r="G130" s="187"/>
      <c r="H130" s="187"/>
      <c r="I130" s="291"/>
      <c r="J130" s="184"/>
      <c r="K130" s="233"/>
      <c r="L130" s="212"/>
      <c r="M130" s="212"/>
      <c r="N130" s="212"/>
    </row>
    <row r="131">
      <c r="A131" s="184"/>
      <c r="B131" s="184"/>
      <c r="C131" s="216"/>
      <c r="D131" s="184"/>
      <c r="E131" s="185"/>
      <c r="F131" s="186"/>
      <c r="G131" s="187"/>
      <c r="H131" s="187"/>
      <c r="I131" s="291"/>
      <c r="J131" s="184"/>
      <c r="K131" s="233"/>
      <c r="L131" s="212"/>
      <c r="M131" s="212"/>
      <c r="N131" s="212"/>
    </row>
    <row r="132">
      <c r="A132" s="184"/>
      <c r="B132" s="184"/>
      <c r="C132" s="216"/>
      <c r="D132" s="184"/>
      <c r="E132" s="185"/>
      <c r="F132" s="186"/>
      <c r="G132" s="187"/>
      <c r="H132" s="187"/>
      <c r="I132" s="291"/>
      <c r="J132" s="184"/>
      <c r="K132" s="233"/>
      <c r="L132" s="212"/>
      <c r="M132" s="212"/>
      <c r="N132" s="212"/>
    </row>
    <row r="133">
      <c r="A133" s="184"/>
      <c r="B133" s="184"/>
      <c r="C133" s="216"/>
      <c r="D133" s="184"/>
      <c r="E133" s="185"/>
      <c r="F133" s="186"/>
      <c r="G133" s="187"/>
      <c r="H133" s="187"/>
      <c r="I133" s="291"/>
      <c r="J133" s="184"/>
      <c r="K133" s="233"/>
      <c r="L133" s="212"/>
      <c r="M133" s="212"/>
      <c r="N133" s="212"/>
    </row>
    <row r="134">
      <c r="A134" s="184"/>
      <c r="B134" s="184"/>
      <c r="C134" s="216"/>
      <c r="D134" s="184"/>
      <c r="E134" s="185"/>
      <c r="F134" s="186"/>
      <c r="G134" s="187"/>
      <c r="H134" s="187"/>
      <c r="I134" s="291"/>
      <c r="J134" s="184"/>
      <c r="K134" s="233"/>
      <c r="L134" s="212"/>
      <c r="M134" s="212"/>
      <c r="N134" s="212"/>
    </row>
    <row r="135">
      <c r="A135" s="184"/>
      <c r="B135" s="184"/>
      <c r="C135" s="216"/>
      <c r="D135" s="184"/>
      <c r="E135" s="185"/>
      <c r="F135" s="186"/>
      <c r="G135" s="187"/>
      <c r="H135" s="187"/>
      <c r="I135" s="291"/>
      <c r="J135" s="184"/>
      <c r="K135" s="233"/>
      <c r="L135" s="212"/>
      <c r="M135" s="212"/>
      <c r="N135" s="212"/>
    </row>
    <row r="136">
      <c r="A136" s="245"/>
      <c r="B136" s="245"/>
      <c r="C136" s="245"/>
      <c r="D136" s="245"/>
      <c r="E136" s="243"/>
      <c r="F136" s="245"/>
      <c r="G136" s="245"/>
      <c r="H136" s="245"/>
      <c r="I136" s="245"/>
      <c r="J136" s="245"/>
      <c r="K136" s="245"/>
      <c r="L136" s="245"/>
      <c r="M136" s="245"/>
      <c r="N136" s="245"/>
    </row>
    <row r="137">
      <c r="A137" s="245"/>
      <c r="B137" s="245"/>
      <c r="C137" s="245"/>
      <c r="D137" s="245"/>
      <c r="E137" s="243"/>
      <c r="F137" s="245"/>
      <c r="G137" s="245"/>
      <c r="H137" s="245"/>
      <c r="I137" s="245"/>
      <c r="J137" s="245"/>
      <c r="K137" s="245"/>
      <c r="L137" s="245"/>
      <c r="M137" s="245"/>
      <c r="N137" s="245"/>
    </row>
    <row r="138">
      <c r="A138" s="245"/>
      <c r="B138" s="245"/>
      <c r="C138" s="245"/>
      <c r="D138" s="245"/>
      <c r="E138" s="243"/>
      <c r="F138" s="245"/>
      <c r="G138" s="245"/>
      <c r="H138" s="245"/>
      <c r="I138" s="245"/>
      <c r="J138" s="245"/>
      <c r="K138" s="245"/>
      <c r="L138" s="245"/>
      <c r="M138" s="245"/>
      <c r="N138" s="245"/>
    </row>
    <row r="139">
      <c r="A139" s="245"/>
      <c r="B139" s="245"/>
      <c r="C139" s="245"/>
      <c r="D139" s="245"/>
      <c r="E139" s="243"/>
      <c r="F139" s="245"/>
      <c r="G139" s="245"/>
      <c r="H139" s="245"/>
      <c r="I139" s="245"/>
      <c r="J139" s="245"/>
      <c r="K139" s="245"/>
      <c r="L139" s="245"/>
      <c r="M139" s="245"/>
      <c r="N139" s="245"/>
    </row>
    <row r="140">
      <c r="A140" s="245"/>
      <c r="B140" s="245"/>
      <c r="C140" s="245"/>
      <c r="D140" s="245"/>
      <c r="E140" s="243"/>
      <c r="F140" s="245"/>
      <c r="G140" s="245"/>
      <c r="H140" s="245"/>
      <c r="I140" s="245"/>
      <c r="J140" s="245"/>
      <c r="K140" s="245"/>
      <c r="L140" s="245"/>
      <c r="M140" s="245"/>
      <c r="N140" s="245"/>
    </row>
    <row r="141">
      <c r="A141" s="245"/>
      <c r="B141" s="245"/>
      <c r="C141" s="245"/>
      <c r="D141" s="245"/>
      <c r="E141" s="243"/>
      <c r="F141" s="245"/>
      <c r="G141" s="245"/>
      <c r="H141" s="245"/>
      <c r="I141" s="245"/>
      <c r="J141" s="245"/>
      <c r="K141" s="245"/>
      <c r="L141" s="245"/>
      <c r="M141" s="245"/>
      <c r="N141" s="245"/>
    </row>
    <row r="142">
      <c r="A142" s="245"/>
      <c r="B142" s="245"/>
      <c r="C142" s="245"/>
      <c r="D142" s="245"/>
      <c r="E142" s="243"/>
      <c r="F142" s="245"/>
      <c r="G142" s="245"/>
      <c r="H142" s="245"/>
      <c r="I142" s="245"/>
      <c r="J142" s="245"/>
      <c r="K142" s="245"/>
      <c r="L142" s="245"/>
      <c r="M142" s="245"/>
      <c r="N142" s="245"/>
    </row>
    <row r="143">
      <c r="A143" s="245"/>
      <c r="B143" s="245"/>
      <c r="C143" s="245"/>
      <c r="D143" s="245"/>
      <c r="E143" s="243"/>
      <c r="F143" s="245"/>
      <c r="G143" s="245"/>
      <c r="H143" s="245"/>
      <c r="I143" s="245"/>
      <c r="J143" s="245"/>
      <c r="K143" s="245"/>
      <c r="L143" s="245"/>
      <c r="M143" s="245"/>
      <c r="N143" s="245"/>
    </row>
    <row r="144">
      <c r="A144" s="245"/>
      <c r="B144" s="245"/>
      <c r="C144" s="245"/>
      <c r="D144" s="245"/>
      <c r="E144" s="243"/>
      <c r="F144" s="245"/>
      <c r="G144" s="245"/>
      <c r="H144" s="245"/>
      <c r="I144" s="245"/>
      <c r="J144" s="245"/>
      <c r="K144" s="245"/>
      <c r="L144" s="245"/>
      <c r="M144" s="245"/>
      <c r="N144" s="245"/>
    </row>
    <row r="145">
      <c r="A145" s="245"/>
      <c r="B145" s="245"/>
      <c r="C145" s="245"/>
      <c r="D145" s="245"/>
      <c r="E145" s="243"/>
      <c r="F145" s="245"/>
      <c r="G145" s="245"/>
      <c r="H145" s="245"/>
      <c r="I145" s="245"/>
      <c r="J145" s="245"/>
      <c r="K145" s="245"/>
      <c r="L145" s="245"/>
      <c r="M145" s="245"/>
      <c r="N145" s="245"/>
    </row>
    <row r="146">
      <c r="A146" s="245"/>
      <c r="B146" s="245"/>
      <c r="C146" s="245"/>
      <c r="D146" s="245"/>
      <c r="E146" s="243"/>
      <c r="F146" s="245"/>
      <c r="G146" s="245"/>
      <c r="H146" s="245"/>
      <c r="I146" s="245"/>
      <c r="J146" s="245"/>
      <c r="K146" s="245"/>
      <c r="L146" s="245"/>
      <c r="M146" s="245"/>
      <c r="N146" s="245"/>
    </row>
    <row r="147">
      <c r="A147" s="245"/>
      <c r="B147" s="245"/>
      <c r="C147" s="245"/>
      <c r="D147" s="245"/>
      <c r="E147" s="243"/>
      <c r="F147" s="245"/>
      <c r="G147" s="245"/>
      <c r="H147" s="245"/>
      <c r="I147" s="245"/>
      <c r="J147" s="245"/>
      <c r="K147" s="245"/>
      <c r="L147" s="245"/>
      <c r="M147" s="245"/>
      <c r="N147" s="245"/>
    </row>
    <row r="148">
      <c r="A148" s="245"/>
      <c r="B148" s="245"/>
      <c r="C148" s="245"/>
      <c r="D148" s="245"/>
      <c r="E148" s="243"/>
      <c r="F148" s="245"/>
      <c r="G148" s="245"/>
      <c r="H148" s="245"/>
      <c r="I148" s="245"/>
      <c r="J148" s="245"/>
      <c r="K148" s="245"/>
      <c r="L148" s="245"/>
      <c r="M148" s="245"/>
      <c r="N148" s="245"/>
    </row>
    <row r="149">
      <c r="A149" s="245"/>
      <c r="B149" s="245"/>
      <c r="C149" s="245"/>
      <c r="D149" s="245"/>
      <c r="E149" s="243"/>
      <c r="F149" s="245"/>
      <c r="G149" s="245"/>
      <c r="H149" s="245"/>
      <c r="I149" s="245"/>
      <c r="J149" s="245"/>
      <c r="K149" s="245"/>
      <c r="L149" s="245"/>
      <c r="M149" s="245"/>
      <c r="N149" s="245"/>
    </row>
    <row r="150">
      <c r="A150" s="245"/>
      <c r="B150" s="245"/>
      <c r="C150" s="245"/>
      <c r="D150" s="245"/>
      <c r="E150" s="243"/>
      <c r="F150" s="245"/>
      <c r="G150" s="245"/>
      <c r="H150" s="245"/>
      <c r="I150" s="245"/>
      <c r="J150" s="245"/>
      <c r="K150" s="245"/>
      <c r="L150" s="245"/>
      <c r="M150" s="245"/>
      <c r="N150" s="245"/>
    </row>
    <row r="151">
      <c r="A151" s="245"/>
      <c r="B151" s="245"/>
      <c r="C151" s="245"/>
      <c r="D151" s="245"/>
      <c r="E151" s="243"/>
      <c r="F151" s="245"/>
      <c r="G151" s="245"/>
      <c r="H151" s="245"/>
      <c r="I151" s="245"/>
      <c r="J151" s="245"/>
      <c r="K151" s="245"/>
      <c r="L151" s="245"/>
      <c r="M151" s="245"/>
      <c r="N151" s="245"/>
    </row>
    <row r="152">
      <c r="A152" s="245"/>
      <c r="B152" s="245"/>
      <c r="C152" s="245"/>
      <c r="D152" s="245"/>
      <c r="E152" s="243"/>
      <c r="F152" s="245"/>
      <c r="G152" s="245"/>
      <c r="H152" s="245"/>
      <c r="I152" s="245"/>
      <c r="J152" s="245"/>
      <c r="K152" s="245"/>
      <c r="L152" s="245"/>
      <c r="M152" s="245"/>
      <c r="N152" s="245"/>
    </row>
    <row r="153">
      <c r="A153" s="245"/>
      <c r="B153" s="245"/>
      <c r="C153" s="245"/>
      <c r="D153" s="245"/>
      <c r="E153" s="243"/>
      <c r="F153" s="245"/>
      <c r="G153" s="245"/>
      <c r="H153" s="245"/>
      <c r="I153" s="245"/>
      <c r="J153" s="245"/>
      <c r="K153" s="245"/>
      <c r="L153" s="245"/>
      <c r="M153" s="245"/>
      <c r="N153" s="245"/>
    </row>
    <row r="154">
      <c r="A154" s="245"/>
      <c r="B154" s="245"/>
      <c r="C154" s="245"/>
      <c r="D154" s="245"/>
      <c r="E154" s="243"/>
      <c r="F154" s="245"/>
      <c r="G154" s="245"/>
      <c r="H154" s="245"/>
      <c r="I154" s="245"/>
      <c r="J154" s="245"/>
      <c r="K154" s="245"/>
      <c r="L154" s="245"/>
      <c r="M154" s="245"/>
      <c r="N154" s="245"/>
    </row>
    <row r="155">
      <c r="A155" s="245"/>
      <c r="B155" s="245"/>
      <c r="C155" s="245"/>
      <c r="D155" s="245"/>
      <c r="E155" s="243"/>
      <c r="F155" s="245"/>
      <c r="G155" s="245"/>
      <c r="H155" s="245"/>
      <c r="I155" s="245"/>
      <c r="J155" s="245"/>
      <c r="K155" s="245"/>
      <c r="L155" s="245"/>
      <c r="M155" s="245"/>
      <c r="N155" s="245"/>
    </row>
    <row r="156">
      <c r="A156" s="245"/>
      <c r="B156" s="245"/>
      <c r="C156" s="245"/>
      <c r="D156" s="245"/>
      <c r="E156" s="243"/>
      <c r="F156" s="245"/>
      <c r="G156" s="245"/>
      <c r="H156" s="245"/>
      <c r="I156" s="245"/>
      <c r="J156" s="245"/>
      <c r="K156" s="245"/>
      <c r="L156" s="245"/>
      <c r="M156" s="245"/>
      <c r="N156" s="245"/>
    </row>
    <row r="157">
      <c r="A157" s="245"/>
      <c r="B157" s="245"/>
      <c r="C157" s="245"/>
      <c r="D157" s="245"/>
      <c r="E157" s="243"/>
      <c r="F157" s="245"/>
      <c r="G157" s="245"/>
      <c r="H157" s="245"/>
      <c r="I157" s="245"/>
      <c r="J157" s="245"/>
      <c r="K157" s="245"/>
      <c r="L157" s="245"/>
      <c r="M157" s="245"/>
      <c r="N157" s="245"/>
    </row>
    <row r="158">
      <c r="A158" s="245"/>
      <c r="B158" s="245"/>
      <c r="C158" s="245"/>
      <c r="D158" s="245"/>
      <c r="E158" s="243"/>
      <c r="F158" s="245"/>
      <c r="G158" s="245"/>
      <c r="H158" s="245"/>
      <c r="I158" s="245"/>
      <c r="J158" s="245"/>
      <c r="K158" s="245"/>
      <c r="L158" s="245"/>
      <c r="M158" s="245"/>
      <c r="N158" s="245"/>
    </row>
    <row r="159">
      <c r="A159" s="245"/>
      <c r="B159" s="245"/>
      <c r="C159" s="245"/>
      <c r="D159" s="245"/>
      <c r="E159" s="243"/>
      <c r="F159" s="245"/>
      <c r="G159" s="245"/>
      <c r="H159" s="245"/>
      <c r="I159" s="245"/>
      <c r="J159" s="245"/>
      <c r="K159" s="245"/>
      <c r="L159" s="245"/>
      <c r="M159" s="245"/>
      <c r="N159" s="245"/>
    </row>
    <row r="160">
      <c r="A160" s="245"/>
      <c r="B160" s="245"/>
      <c r="C160" s="245"/>
      <c r="D160" s="245"/>
      <c r="E160" s="243"/>
      <c r="F160" s="245"/>
      <c r="G160" s="245"/>
      <c r="H160" s="245"/>
      <c r="I160" s="245"/>
      <c r="J160" s="245"/>
      <c r="K160" s="245"/>
      <c r="L160" s="245"/>
      <c r="M160" s="245"/>
      <c r="N160" s="245"/>
    </row>
    <row r="161">
      <c r="A161" s="245"/>
      <c r="B161" s="245"/>
      <c r="C161" s="245"/>
      <c r="D161" s="245"/>
      <c r="E161" s="243"/>
      <c r="F161" s="245"/>
      <c r="G161" s="245"/>
      <c r="H161" s="245"/>
      <c r="I161" s="245"/>
      <c r="J161" s="245"/>
      <c r="K161" s="245"/>
      <c r="L161" s="245"/>
      <c r="M161" s="245"/>
      <c r="N161" s="245"/>
    </row>
    <row r="162">
      <c r="A162" s="245"/>
      <c r="B162" s="245"/>
      <c r="C162" s="245"/>
      <c r="D162" s="245"/>
      <c r="E162" s="243"/>
      <c r="F162" s="245"/>
      <c r="G162" s="245"/>
      <c r="H162" s="245"/>
      <c r="I162" s="245"/>
      <c r="J162" s="245"/>
      <c r="K162" s="245"/>
      <c r="L162" s="245"/>
      <c r="M162" s="245"/>
      <c r="N162" s="245"/>
    </row>
    <row r="163">
      <c r="A163" s="245"/>
      <c r="B163" s="245"/>
      <c r="C163" s="245"/>
      <c r="D163" s="245"/>
      <c r="E163" s="243"/>
      <c r="F163" s="245"/>
      <c r="G163" s="245"/>
      <c r="H163" s="245"/>
      <c r="I163" s="245"/>
      <c r="J163" s="245"/>
      <c r="K163" s="245"/>
      <c r="L163" s="245"/>
      <c r="M163" s="245"/>
      <c r="N163" s="245"/>
    </row>
    <row r="164">
      <c r="A164" s="245"/>
      <c r="B164" s="245"/>
      <c r="C164" s="245"/>
      <c r="D164" s="245"/>
      <c r="E164" s="243"/>
      <c r="F164" s="245"/>
      <c r="G164" s="245"/>
      <c r="H164" s="245"/>
      <c r="I164" s="245"/>
      <c r="J164" s="245"/>
      <c r="K164" s="245"/>
      <c r="L164" s="245"/>
      <c r="M164" s="245"/>
      <c r="N164" s="245"/>
    </row>
    <row r="165">
      <c r="A165" s="245"/>
      <c r="B165" s="245"/>
      <c r="C165" s="245"/>
      <c r="D165" s="245"/>
      <c r="E165" s="243"/>
      <c r="F165" s="245"/>
      <c r="G165" s="245"/>
      <c r="H165" s="245"/>
      <c r="I165" s="245"/>
      <c r="J165" s="245"/>
      <c r="K165" s="245"/>
      <c r="L165" s="245"/>
      <c r="M165" s="245"/>
      <c r="N165" s="245"/>
    </row>
    <row r="166">
      <c r="A166" s="245"/>
      <c r="B166" s="245"/>
      <c r="C166" s="245"/>
      <c r="D166" s="245"/>
      <c r="E166" s="243"/>
      <c r="F166" s="245"/>
      <c r="G166" s="245"/>
      <c r="H166" s="245"/>
      <c r="I166" s="245"/>
      <c r="J166" s="245"/>
      <c r="K166" s="245"/>
      <c r="L166" s="245"/>
      <c r="M166" s="245"/>
      <c r="N166" s="245"/>
    </row>
    <row r="167">
      <c r="A167" s="245"/>
      <c r="B167" s="245"/>
      <c r="C167" s="245"/>
      <c r="D167" s="245"/>
      <c r="E167" s="243"/>
      <c r="F167" s="245"/>
      <c r="G167" s="245"/>
      <c r="H167" s="245"/>
      <c r="I167" s="245"/>
      <c r="J167" s="245"/>
      <c r="K167" s="245"/>
      <c r="L167" s="245"/>
      <c r="M167" s="245"/>
      <c r="N167" s="245"/>
    </row>
    <row r="168">
      <c r="A168" s="245"/>
      <c r="B168" s="245"/>
      <c r="C168" s="245"/>
      <c r="D168" s="245"/>
      <c r="E168" s="243"/>
      <c r="F168" s="245"/>
      <c r="G168" s="245"/>
      <c r="H168" s="245"/>
      <c r="I168" s="245"/>
      <c r="J168" s="245"/>
      <c r="K168" s="245"/>
      <c r="L168" s="245"/>
      <c r="M168" s="245"/>
      <c r="N168" s="245"/>
    </row>
    <row r="169">
      <c r="A169" s="245"/>
      <c r="B169" s="245"/>
      <c r="C169" s="245"/>
      <c r="D169" s="245"/>
      <c r="E169" s="243"/>
      <c r="F169" s="245"/>
      <c r="G169" s="245"/>
      <c r="H169" s="245"/>
      <c r="I169" s="245"/>
      <c r="J169" s="245"/>
      <c r="K169" s="245"/>
      <c r="L169" s="245"/>
      <c r="M169" s="245"/>
      <c r="N169" s="245"/>
    </row>
    <row r="170">
      <c r="A170" s="245"/>
      <c r="B170" s="245"/>
      <c r="C170" s="245"/>
      <c r="D170" s="245"/>
      <c r="E170" s="243"/>
      <c r="F170" s="245"/>
      <c r="G170" s="245"/>
      <c r="H170" s="245"/>
      <c r="I170" s="245"/>
      <c r="J170" s="245"/>
      <c r="K170" s="245"/>
      <c r="L170" s="245"/>
      <c r="M170" s="245"/>
      <c r="N170" s="245"/>
    </row>
    <row r="171">
      <c r="A171" s="245"/>
      <c r="B171" s="245"/>
      <c r="C171" s="245"/>
      <c r="D171" s="245"/>
      <c r="E171" s="243"/>
      <c r="F171" s="245"/>
      <c r="G171" s="245"/>
      <c r="H171" s="245"/>
      <c r="I171" s="245"/>
      <c r="J171" s="245"/>
      <c r="K171" s="245"/>
      <c r="L171" s="245"/>
      <c r="M171" s="245"/>
      <c r="N171" s="245"/>
    </row>
    <row r="172">
      <c r="A172" s="245"/>
      <c r="B172" s="245"/>
      <c r="C172" s="245"/>
      <c r="D172" s="245"/>
      <c r="E172" s="243"/>
      <c r="F172" s="245"/>
      <c r="G172" s="245"/>
      <c r="H172" s="245"/>
      <c r="I172" s="245"/>
      <c r="J172" s="245"/>
      <c r="K172" s="245"/>
      <c r="L172" s="245"/>
      <c r="M172" s="245"/>
      <c r="N172" s="245"/>
    </row>
    <row r="173">
      <c r="A173" s="245"/>
      <c r="B173" s="245"/>
      <c r="C173" s="245"/>
      <c r="D173" s="245"/>
      <c r="E173" s="243"/>
      <c r="F173" s="245"/>
      <c r="G173" s="245"/>
      <c r="H173" s="245"/>
      <c r="I173" s="245"/>
      <c r="J173" s="245"/>
      <c r="K173" s="245"/>
      <c r="L173" s="245"/>
      <c r="M173" s="245"/>
      <c r="N173" s="245"/>
    </row>
    <row r="174">
      <c r="A174" s="245"/>
      <c r="B174" s="245"/>
      <c r="C174" s="245"/>
      <c r="D174" s="245"/>
      <c r="E174" s="243"/>
      <c r="F174" s="245"/>
      <c r="G174" s="245"/>
      <c r="H174" s="245"/>
      <c r="I174" s="245"/>
      <c r="J174" s="245"/>
      <c r="K174" s="245"/>
      <c r="L174" s="245"/>
      <c r="M174" s="245"/>
      <c r="N174" s="245"/>
    </row>
    <row r="175">
      <c r="A175" s="245"/>
      <c r="B175" s="245"/>
      <c r="C175" s="245"/>
      <c r="D175" s="245"/>
      <c r="E175" s="243"/>
      <c r="F175" s="245"/>
      <c r="G175" s="245"/>
      <c r="H175" s="245"/>
      <c r="I175" s="245"/>
      <c r="J175" s="245"/>
      <c r="K175" s="245"/>
      <c r="L175" s="245"/>
      <c r="M175" s="245"/>
      <c r="N175" s="245"/>
    </row>
    <row r="176">
      <c r="A176" s="245"/>
      <c r="B176" s="245"/>
      <c r="C176" s="245"/>
      <c r="D176" s="245"/>
      <c r="E176" s="243"/>
      <c r="F176" s="245"/>
      <c r="G176" s="245"/>
      <c r="H176" s="245"/>
      <c r="I176" s="245"/>
      <c r="J176" s="245"/>
      <c r="K176" s="245"/>
      <c r="L176" s="245"/>
      <c r="M176" s="245"/>
      <c r="N176" s="245"/>
    </row>
    <row r="177">
      <c r="A177" s="245"/>
      <c r="B177" s="245"/>
      <c r="C177" s="245"/>
      <c r="D177" s="245"/>
      <c r="E177" s="243"/>
      <c r="F177" s="245"/>
      <c r="G177" s="245"/>
      <c r="H177" s="245"/>
      <c r="I177" s="245"/>
      <c r="J177" s="245"/>
      <c r="K177" s="245"/>
      <c r="L177" s="245"/>
      <c r="M177" s="245"/>
      <c r="N177" s="245"/>
    </row>
    <row r="178">
      <c r="A178" s="245"/>
      <c r="B178" s="245"/>
      <c r="C178" s="245"/>
      <c r="D178" s="245"/>
      <c r="E178" s="243"/>
      <c r="F178" s="245"/>
      <c r="G178" s="245"/>
      <c r="H178" s="245"/>
      <c r="I178" s="245"/>
      <c r="J178" s="245"/>
      <c r="K178" s="245"/>
      <c r="L178" s="245"/>
      <c r="M178" s="245"/>
      <c r="N178" s="245"/>
    </row>
    <row r="179">
      <c r="A179" s="245"/>
      <c r="B179" s="245"/>
      <c r="C179" s="245"/>
      <c r="D179" s="245"/>
      <c r="E179" s="243"/>
      <c r="F179" s="245"/>
      <c r="G179" s="245"/>
      <c r="H179" s="245"/>
      <c r="I179" s="245"/>
      <c r="J179" s="245"/>
      <c r="K179" s="245"/>
      <c r="L179" s="245"/>
      <c r="M179" s="245"/>
      <c r="N179" s="245"/>
    </row>
    <row r="180">
      <c r="A180" s="245"/>
      <c r="B180" s="245"/>
      <c r="C180" s="245"/>
      <c r="D180" s="245"/>
      <c r="E180" s="243"/>
      <c r="F180" s="245"/>
      <c r="G180" s="245"/>
      <c r="H180" s="245"/>
      <c r="I180" s="245"/>
      <c r="J180" s="245"/>
      <c r="K180" s="245"/>
      <c r="L180" s="245"/>
      <c r="M180" s="245"/>
      <c r="N180" s="245"/>
    </row>
    <row r="181">
      <c r="A181" s="245"/>
      <c r="B181" s="245"/>
      <c r="C181" s="245"/>
      <c r="D181" s="245"/>
      <c r="E181" s="243"/>
      <c r="F181" s="245"/>
      <c r="G181" s="245"/>
      <c r="H181" s="245"/>
      <c r="I181" s="245"/>
      <c r="J181" s="245"/>
      <c r="K181" s="245"/>
      <c r="L181" s="245"/>
      <c r="M181" s="245"/>
      <c r="N181" s="245"/>
    </row>
    <row r="182">
      <c r="A182" s="245"/>
      <c r="B182" s="245"/>
      <c r="C182" s="245"/>
      <c r="D182" s="245"/>
      <c r="E182" s="243"/>
      <c r="F182" s="245"/>
      <c r="G182" s="245"/>
      <c r="H182" s="245"/>
      <c r="I182" s="245"/>
      <c r="J182" s="245"/>
      <c r="K182" s="245"/>
      <c r="L182" s="245"/>
      <c r="M182" s="245"/>
      <c r="N182" s="245"/>
    </row>
    <row r="183">
      <c r="A183" s="245"/>
      <c r="B183" s="245"/>
      <c r="C183" s="245"/>
      <c r="D183" s="245"/>
      <c r="E183" s="243"/>
      <c r="F183" s="245"/>
      <c r="G183" s="245"/>
      <c r="H183" s="245"/>
      <c r="I183" s="245"/>
      <c r="J183" s="245"/>
      <c r="K183" s="245"/>
      <c r="L183" s="245"/>
      <c r="M183" s="245"/>
      <c r="N183" s="245"/>
    </row>
    <row r="184">
      <c r="A184" s="245"/>
      <c r="B184" s="245"/>
      <c r="C184" s="245"/>
      <c r="D184" s="245"/>
      <c r="E184" s="243"/>
      <c r="F184" s="245"/>
      <c r="G184" s="245"/>
      <c r="H184" s="245"/>
      <c r="I184" s="245"/>
      <c r="J184" s="245"/>
      <c r="K184" s="245"/>
      <c r="L184" s="245"/>
      <c r="M184" s="245"/>
      <c r="N184" s="245"/>
    </row>
    <row r="185">
      <c r="A185" s="245"/>
      <c r="B185" s="245"/>
      <c r="C185" s="245"/>
      <c r="D185" s="245"/>
      <c r="E185" s="243"/>
      <c r="F185" s="245"/>
      <c r="G185" s="245"/>
      <c r="H185" s="245"/>
      <c r="I185" s="245"/>
      <c r="J185" s="245"/>
      <c r="K185" s="245"/>
      <c r="L185" s="245"/>
      <c r="M185" s="245"/>
      <c r="N185" s="245"/>
    </row>
    <row r="186">
      <c r="A186" s="245"/>
      <c r="B186" s="245"/>
      <c r="C186" s="245"/>
      <c r="D186" s="245"/>
      <c r="E186" s="243"/>
      <c r="F186" s="245"/>
      <c r="G186" s="245"/>
      <c r="H186" s="245"/>
      <c r="I186" s="245"/>
      <c r="J186" s="245"/>
      <c r="K186" s="245"/>
      <c r="L186" s="245"/>
      <c r="M186" s="245"/>
      <c r="N186" s="245"/>
    </row>
    <row r="187">
      <c r="A187" s="245"/>
      <c r="B187" s="245"/>
      <c r="C187" s="245"/>
      <c r="D187" s="245"/>
      <c r="E187" s="243"/>
      <c r="F187" s="245"/>
      <c r="G187" s="245"/>
      <c r="H187" s="245"/>
      <c r="I187" s="245"/>
      <c r="J187" s="245"/>
      <c r="K187" s="245"/>
      <c r="L187" s="245"/>
      <c r="M187" s="245"/>
      <c r="N187" s="245"/>
    </row>
    <row r="188">
      <c r="A188" s="245"/>
      <c r="B188" s="245"/>
      <c r="C188" s="245"/>
      <c r="D188" s="245"/>
      <c r="E188" s="243"/>
      <c r="F188" s="245"/>
      <c r="G188" s="245"/>
      <c r="H188" s="245"/>
      <c r="I188" s="245"/>
      <c r="J188" s="245"/>
      <c r="K188" s="245"/>
      <c r="L188" s="245"/>
      <c r="M188" s="245"/>
      <c r="N188" s="245"/>
    </row>
    <row r="189">
      <c r="A189" s="245"/>
      <c r="B189" s="245"/>
      <c r="C189" s="245"/>
      <c r="D189" s="245"/>
      <c r="E189" s="243"/>
      <c r="F189" s="245"/>
      <c r="G189" s="245"/>
      <c r="H189" s="245"/>
      <c r="I189" s="245"/>
      <c r="J189" s="245"/>
      <c r="K189" s="245"/>
      <c r="L189" s="245"/>
      <c r="M189" s="245"/>
      <c r="N189" s="245"/>
    </row>
    <row r="190">
      <c r="A190" s="245"/>
      <c r="B190" s="245"/>
      <c r="C190" s="245"/>
      <c r="D190" s="245"/>
      <c r="E190" s="243"/>
      <c r="F190" s="245"/>
      <c r="G190" s="245"/>
      <c r="H190" s="245"/>
      <c r="I190" s="245"/>
      <c r="J190" s="245"/>
      <c r="K190" s="245"/>
      <c r="L190" s="245"/>
      <c r="M190" s="245"/>
      <c r="N190" s="245"/>
    </row>
    <row r="191">
      <c r="A191" s="245"/>
      <c r="B191" s="245"/>
      <c r="C191" s="245"/>
      <c r="D191" s="245"/>
      <c r="E191" s="243"/>
      <c r="F191" s="245"/>
      <c r="G191" s="245"/>
      <c r="H191" s="245"/>
      <c r="I191" s="245"/>
      <c r="J191" s="245"/>
      <c r="K191" s="245"/>
      <c r="L191" s="245"/>
      <c r="M191" s="245"/>
      <c r="N191" s="245"/>
    </row>
    <row r="192">
      <c r="A192" s="245"/>
      <c r="B192" s="245"/>
      <c r="C192" s="245"/>
      <c r="D192" s="245"/>
      <c r="E192" s="243"/>
      <c r="F192" s="245"/>
      <c r="G192" s="245"/>
      <c r="H192" s="245"/>
      <c r="I192" s="245"/>
      <c r="J192" s="245"/>
      <c r="K192" s="245"/>
      <c r="L192" s="245"/>
      <c r="M192" s="245"/>
      <c r="N192" s="245"/>
    </row>
    <row r="193">
      <c r="A193" s="245"/>
      <c r="B193" s="245"/>
      <c r="C193" s="245"/>
      <c r="D193" s="245"/>
      <c r="E193" s="243"/>
      <c r="F193" s="245"/>
      <c r="G193" s="245"/>
      <c r="H193" s="245"/>
      <c r="I193" s="245"/>
      <c r="J193" s="245"/>
      <c r="K193" s="245"/>
      <c r="L193" s="245"/>
      <c r="M193" s="245"/>
      <c r="N193" s="245"/>
    </row>
    <row r="194">
      <c r="A194" s="245"/>
      <c r="B194" s="245"/>
      <c r="C194" s="245"/>
      <c r="D194" s="245"/>
      <c r="E194" s="243"/>
      <c r="F194" s="245"/>
      <c r="G194" s="245"/>
      <c r="H194" s="245"/>
      <c r="I194" s="245"/>
      <c r="J194" s="245"/>
      <c r="K194" s="245"/>
      <c r="L194" s="245"/>
      <c r="M194" s="245"/>
      <c r="N194" s="245"/>
    </row>
    <row r="195">
      <c r="A195" s="245"/>
      <c r="B195" s="245"/>
      <c r="C195" s="245"/>
      <c r="D195" s="245"/>
      <c r="E195" s="243"/>
      <c r="F195" s="245"/>
      <c r="G195" s="245"/>
      <c r="H195" s="245"/>
      <c r="I195" s="245"/>
      <c r="J195" s="245"/>
      <c r="K195" s="245"/>
      <c r="L195" s="245"/>
      <c r="M195" s="245"/>
      <c r="N195" s="245"/>
    </row>
    <row r="196">
      <c r="A196" s="245"/>
      <c r="B196" s="245"/>
      <c r="C196" s="245"/>
      <c r="D196" s="245"/>
      <c r="E196" s="243"/>
      <c r="F196" s="245"/>
      <c r="G196" s="245"/>
      <c r="H196" s="245"/>
      <c r="I196" s="245"/>
      <c r="J196" s="245"/>
      <c r="K196" s="245"/>
      <c r="L196" s="245"/>
      <c r="M196" s="245"/>
      <c r="N196" s="245"/>
    </row>
    <row r="197">
      <c r="A197" s="245"/>
      <c r="B197" s="245"/>
      <c r="C197" s="245"/>
      <c r="D197" s="245"/>
      <c r="E197" s="243"/>
      <c r="F197" s="245"/>
      <c r="G197" s="245"/>
      <c r="H197" s="245"/>
      <c r="I197" s="245"/>
      <c r="J197" s="245"/>
      <c r="K197" s="245"/>
      <c r="L197" s="245"/>
      <c r="M197" s="245"/>
      <c r="N197" s="245"/>
    </row>
    <row r="198">
      <c r="A198" s="245"/>
      <c r="B198" s="245"/>
      <c r="C198" s="245"/>
      <c r="D198" s="245"/>
      <c r="E198" s="243"/>
      <c r="F198" s="245"/>
      <c r="G198" s="245"/>
      <c r="H198" s="245"/>
      <c r="I198" s="245"/>
      <c r="J198" s="245"/>
      <c r="K198" s="245"/>
      <c r="L198" s="245"/>
      <c r="M198" s="245"/>
      <c r="N198" s="245"/>
    </row>
    <row r="199">
      <c r="A199" s="245"/>
      <c r="B199" s="245"/>
      <c r="C199" s="245"/>
      <c r="D199" s="245"/>
      <c r="E199" s="243"/>
      <c r="F199" s="245"/>
      <c r="G199" s="245"/>
      <c r="H199" s="245"/>
      <c r="I199" s="245"/>
      <c r="J199" s="245"/>
      <c r="K199" s="245"/>
      <c r="L199" s="245"/>
      <c r="M199" s="245"/>
      <c r="N199" s="245"/>
    </row>
    <row r="200">
      <c r="A200" s="245"/>
      <c r="B200" s="245"/>
      <c r="C200" s="245"/>
      <c r="D200" s="245"/>
      <c r="E200" s="243"/>
      <c r="F200" s="245"/>
      <c r="G200" s="245"/>
      <c r="H200" s="245"/>
      <c r="I200" s="245"/>
      <c r="J200" s="245"/>
      <c r="K200" s="245"/>
      <c r="L200" s="245"/>
      <c r="M200" s="245"/>
      <c r="N200" s="245"/>
    </row>
    <row r="201">
      <c r="A201" s="245"/>
      <c r="B201" s="245"/>
      <c r="C201" s="245"/>
      <c r="D201" s="245"/>
      <c r="E201" s="243"/>
      <c r="F201" s="245"/>
      <c r="G201" s="245"/>
      <c r="H201" s="245"/>
      <c r="I201" s="245"/>
      <c r="J201" s="245"/>
      <c r="K201" s="245"/>
      <c r="L201" s="245"/>
      <c r="M201" s="245"/>
      <c r="N201" s="245"/>
    </row>
    <row r="202">
      <c r="A202" s="245"/>
      <c r="B202" s="245"/>
      <c r="C202" s="245"/>
      <c r="D202" s="245"/>
      <c r="E202" s="243"/>
      <c r="F202" s="245"/>
      <c r="G202" s="245"/>
      <c r="H202" s="245"/>
      <c r="I202" s="245"/>
      <c r="J202" s="245"/>
      <c r="K202" s="245"/>
      <c r="L202" s="245"/>
      <c r="M202" s="245"/>
      <c r="N202" s="245"/>
    </row>
    <row r="203">
      <c r="A203" s="245"/>
      <c r="B203" s="245"/>
      <c r="C203" s="245"/>
      <c r="D203" s="245"/>
      <c r="E203" s="243"/>
      <c r="F203" s="245"/>
      <c r="G203" s="245"/>
      <c r="H203" s="245"/>
      <c r="I203" s="245"/>
      <c r="J203" s="245"/>
      <c r="K203" s="245"/>
      <c r="L203" s="245"/>
      <c r="M203" s="245"/>
      <c r="N203" s="245"/>
    </row>
    <row r="204">
      <c r="A204" s="245"/>
      <c r="B204" s="245"/>
      <c r="C204" s="245"/>
      <c r="D204" s="245"/>
      <c r="E204" s="243"/>
      <c r="F204" s="245"/>
      <c r="G204" s="245"/>
      <c r="H204" s="245"/>
      <c r="I204" s="245"/>
      <c r="J204" s="245"/>
      <c r="K204" s="245"/>
      <c r="L204" s="245"/>
      <c r="M204" s="245"/>
      <c r="N204" s="245"/>
    </row>
    <row r="205">
      <c r="A205" s="245"/>
      <c r="B205" s="245"/>
      <c r="C205" s="245"/>
      <c r="D205" s="245"/>
      <c r="E205" s="243"/>
      <c r="F205" s="245"/>
      <c r="G205" s="245"/>
      <c r="H205" s="245"/>
      <c r="I205" s="245"/>
      <c r="J205" s="245"/>
      <c r="K205" s="245"/>
      <c r="L205" s="245"/>
      <c r="M205" s="245"/>
      <c r="N205" s="245"/>
    </row>
    <row r="206">
      <c r="A206" s="245"/>
      <c r="B206" s="245"/>
      <c r="C206" s="245"/>
      <c r="D206" s="245"/>
      <c r="E206" s="243"/>
      <c r="F206" s="245"/>
      <c r="G206" s="245"/>
      <c r="H206" s="245"/>
      <c r="I206" s="245"/>
      <c r="J206" s="245"/>
      <c r="K206" s="245"/>
      <c r="L206" s="245"/>
      <c r="M206" s="245"/>
      <c r="N206" s="245"/>
    </row>
    <row r="207">
      <c r="A207" s="245"/>
      <c r="B207" s="245"/>
      <c r="C207" s="245"/>
      <c r="D207" s="245"/>
      <c r="E207" s="243"/>
      <c r="F207" s="245"/>
      <c r="G207" s="245"/>
      <c r="H207" s="245"/>
      <c r="I207" s="245"/>
      <c r="J207" s="245"/>
      <c r="K207" s="245"/>
      <c r="L207" s="245"/>
      <c r="M207" s="245"/>
      <c r="N207" s="245"/>
    </row>
    <row r="208">
      <c r="A208" s="245"/>
      <c r="B208" s="245"/>
      <c r="C208" s="245"/>
      <c r="D208" s="245"/>
      <c r="E208" s="243"/>
      <c r="F208" s="245"/>
      <c r="G208" s="245"/>
      <c r="H208" s="245"/>
      <c r="I208" s="245"/>
      <c r="J208" s="245"/>
      <c r="K208" s="245"/>
      <c r="L208" s="245"/>
      <c r="M208" s="245"/>
      <c r="N208" s="245"/>
    </row>
    <row r="209">
      <c r="A209" s="245"/>
      <c r="B209" s="245"/>
      <c r="C209" s="245"/>
      <c r="D209" s="245"/>
      <c r="E209" s="243"/>
      <c r="F209" s="245"/>
      <c r="G209" s="245"/>
      <c r="H209" s="245"/>
      <c r="I209" s="245"/>
      <c r="J209" s="245"/>
      <c r="K209" s="245"/>
      <c r="L209" s="245"/>
      <c r="M209" s="245"/>
      <c r="N209" s="245"/>
    </row>
    <row r="210">
      <c r="A210" s="245"/>
      <c r="B210" s="245"/>
      <c r="C210" s="245"/>
      <c r="D210" s="245"/>
      <c r="E210" s="243"/>
      <c r="F210" s="245"/>
      <c r="G210" s="245"/>
      <c r="H210" s="245"/>
      <c r="I210" s="245"/>
      <c r="J210" s="245"/>
      <c r="K210" s="245"/>
      <c r="L210" s="245"/>
      <c r="M210" s="245"/>
      <c r="N210" s="245"/>
    </row>
    <row r="211">
      <c r="A211" s="245"/>
      <c r="B211" s="245"/>
      <c r="C211" s="245"/>
      <c r="D211" s="245"/>
      <c r="E211" s="243"/>
      <c r="F211" s="245"/>
      <c r="G211" s="245"/>
      <c r="H211" s="245"/>
      <c r="I211" s="245"/>
      <c r="J211" s="245"/>
      <c r="K211" s="245"/>
      <c r="L211" s="245"/>
      <c r="M211" s="245"/>
      <c r="N211" s="245"/>
    </row>
    <row r="212">
      <c r="A212" s="245"/>
      <c r="B212" s="245"/>
      <c r="C212" s="245"/>
      <c r="D212" s="245"/>
      <c r="E212" s="243"/>
      <c r="F212" s="245"/>
      <c r="G212" s="245"/>
      <c r="H212" s="245"/>
      <c r="I212" s="245"/>
      <c r="J212" s="245"/>
      <c r="K212" s="245"/>
      <c r="L212" s="245"/>
      <c r="M212" s="245"/>
      <c r="N212" s="245"/>
    </row>
    <row r="213">
      <c r="A213" s="245"/>
      <c r="B213" s="245"/>
      <c r="C213" s="245"/>
      <c r="D213" s="245"/>
      <c r="E213" s="243"/>
      <c r="F213" s="245"/>
      <c r="G213" s="245"/>
      <c r="H213" s="245"/>
      <c r="I213" s="245"/>
      <c r="J213" s="245"/>
      <c r="K213" s="245"/>
      <c r="L213" s="245"/>
      <c r="M213" s="245"/>
      <c r="N213" s="245"/>
    </row>
    <row r="214">
      <c r="A214" s="245"/>
      <c r="B214" s="245"/>
      <c r="C214" s="245"/>
      <c r="D214" s="245"/>
      <c r="E214" s="243"/>
      <c r="F214" s="245"/>
      <c r="G214" s="245"/>
      <c r="H214" s="245"/>
      <c r="I214" s="245"/>
      <c r="J214" s="245"/>
      <c r="K214" s="245"/>
      <c r="L214" s="245"/>
      <c r="M214" s="245"/>
      <c r="N214" s="245"/>
    </row>
    <row r="215">
      <c r="A215" s="245"/>
      <c r="B215" s="245"/>
      <c r="C215" s="245"/>
      <c r="D215" s="245"/>
      <c r="E215" s="243"/>
      <c r="F215" s="245"/>
      <c r="G215" s="245"/>
      <c r="H215" s="245"/>
      <c r="I215" s="245"/>
      <c r="J215" s="245"/>
      <c r="K215" s="245"/>
      <c r="L215" s="245"/>
      <c r="M215" s="245"/>
      <c r="N215" s="245"/>
    </row>
    <row r="216">
      <c r="A216" s="245"/>
      <c r="B216" s="245"/>
      <c r="C216" s="245"/>
      <c r="D216" s="245"/>
      <c r="E216" s="243"/>
      <c r="F216" s="245"/>
      <c r="G216" s="245"/>
      <c r="H216" s="245"/>
      <c r="I216" s="245"/>
      <c r="J216" s="245"/>
      <c r="K216" s="245"/>
      <c r="L216" s="245"/>
      <c r="M216" s="245"/>
      <c r="N216" s="245"/>
    </row>
    <row r="217">
      <c r="A217" s="245"/>
      <c r="B217" s="245"/>
      <c r="C217" s="245"/>
      <c r="D217" s="245"/>
      <c r="E217" s="243"/>
      <c r="F217" s="245"/>
      <c r="G217" s="245"/>
      <c r="H217" s="245"/>
      <c r="I217" s="245"/>
      <c r="J217" s="245"/>
      <c r="K217" s="245"/>
      <c r="L217" s="245"/>
      <c r="M217" s="245"/>
      <c r="N217" s="245"/>
    </row>
    <row r="218">
      <c r="A218" s="245"/>
      <c r="B218" s="245"/>
      <c r="C218" s="245"/>
      <c r="D218" s="245"/>
      <c r="E218" s="243"/>
      <c r="F218" s="245"/>
      <c r="G218" s="245"/>
      <c r="H218" s="245"/>
      <c r="I218" s="245"/>
      <c r="J218" s="245"/>
      <c r="K218" s="245"/>
      <c r="L218" s="245"/>
      <c r="M218" s="245"/>
      <c r="N218" s="245"/>
    </row>
    <row r="219">
      <c r="A219" s="245"/>
      <c r="B219" s="245"/>
      <c r="C219" s="245"/>
      <c r="D219" s="245"/>
      <c r="E219" s="243"/>
      <c r="F219" s="245"/>
      <c r="G219" s="245"/>
      <c r="H219" s="245"/>
      <c r="I219" s="245"/>
      <c r="J219" s="245"/>
      <c r="K219" s="245"/>
      <c r="L219" s="245"/>
      <c r="M219" s="245"/>
      <c r="N219" s="245"/>
    </row>
    <row r="220">
      <c r="A220" s="245"/>
      <c r="B220" s="245"/>
      <c r="C220" s="245"/>
      <c r="D220" s="245"/>
      <c r="E220" s="243"/>
      <c r="F220" s="245"/>
      <c r="G220" s="245"/>
      <c r="H220" s="245"/>
      <c r="I220" s="245"/>
      <c r="J220" s="245"/>
      <c r="K220" s="245"/>
      <c r="L220" s="245"/>
      <c r="M220" s="245"/>
      <c r="N220" s="245"/>
    </row>
    <row r="221">
      <c r="A221" s="245"/>
      <c r="B221" s="245"/>
      <c r="C221" s="245"/>
      <c r="D221" s="245"/>
      <c r="E221" s="243"/>
      <c r="F221" s="245"/>
      <c r="G221" s="245"/>
      <c r="H221" s="245"/>
      <c r="I221" s="245"/>
      <c r="J221" s="245"/>
      <c r="K221" s="245"/>
      <c r="L221" s="245"/>
      <c r="M221" s="245"/>
      <c r="N221" s="245"/>
    </row>
    <row r="222">
      <c r="A222" s="245"/>
      <c r="B222" s="245"/>
      <c r="C222" s="245"/>
      <c r="D222" s="245"/>
      <c r="E222" s="243"/>
      <c r="F222" s="245"/>
      <c r="G222" s="245"/>
      <c r="H222" s="245"/>
      <c r="I222" s="245"/>
      <c r="J222" s="245"/>
      <c r="K222" s="245"/>
      <c r="L222" s="245"/>
      <c r="M222" s="245"/>
      <c r="N222" s="245"/>
    </row>
    <row r="223">
      <c r="A223" s="245"/>
      <c r="B223" s="245"/>
      <c r="C223" s="245"/>
      <c r="D223" s="245"/>
      <c r="E223" s="243"/>
      <c r="F223" s="245"/>
      <c r="G223" s="245"/>
      <c r="H223" s="245"/>
      <c r="I223" s="245"/>
      <c r="J223" s="245"/>
      <c r="K223" s="245"/>
      <c r="L223" s="245"/>
      <c r="M223" s="245"/>
      <c r="N223" s="245"/>
    </row>
    <row r="224">
      <c r="A224" s="245"/>
      <c r="B224" s="245"/>
      <c r="C224" s="245"/>
      <c r="D224" s="245"/>
      <c r="E224" s="243"/>
      <c r="F224" s="245"/>
      <c r="G224" s="245"/>
      <c r="H224" s="245"/>
      <c r="I224" s="245"/>
      <c r="J224" s="245"/>
      <c r="K224" s="245"/>
      <c r="L224" s="245"/>
      <c r="M224" s="245"/>
      <c r="N224" s="245"/>
    </row>
    <row r="225">
      <c r="A225" s="245"/>
      <c r="B225" s="245"/>
      <c r="C225" s="245"/>
      <c r="D225" s="245"/>
      <c r="E225" s="243"/>
      <c r="F225" s="245"/>
      <c r="G225" s="245"/>
      <c r="H225" s="245"/>
      <c r="I225" s="245"/>
      <c r="J225" s="245"/>
      <c r="K225" s="245"/>
      <c r="L225" s="245"/>
      <c r="M225" s="245"/>
      <c r="N225" s="245"/>
    </row>
    <row r="226">
      <c r="A226" s="245"/>
      <c r="B226" s="245"/>
      <c r="C226" s="245"/>
      <c r="D226" s="245"/>
      <c r="E226" s="243"/>
      <c r="F226" s="245"/>
      <c r="G226" s="245"/>
      <c r="H226" s="245"/>
      <c r="I226" s="245"/>
      <c r="J226" s="245"/>
      <c r="K226" s="245"/>
      <c r="L226" s="245"/>
      <c r="M226" s="245"/>
      <c r="N226" s="245"/>
    </row>
    <row r="227">
      <c r="A227" s="245"/>
      <c r="B227" s="245"/>
      <c r="C227" s="245"/>
      <c r="D227" s="245"/>
      <c r="E227" s="243"/>
      <c r="F227" s="245"/>
      <c r="G227" s="245"/>
      <c r="H227" s="245"/>
      <c r="I227" s="245"/>
      <c r="J227" s="245"/>
      <c r="K227" s="245"/>
      <c r="L227" s="245"/>
      <c r="M227" s="245"/>
      <c r="N227" s="245"/>
    </row>
    <row r="228">
      <c r="A228" s="245"/>
      <c r="B228" s="245"/>
      <c r="C228" s="245"/>
      <c r="D228" s="245"/>
      <c r="E228" s="243"/>
      <c r="F228" s="245"/>
      <c r="G228" s="245"/>
      <c r="H228" s="245"/>
      <c r="I228" s="245"/>
      <c r="J228" s="245"/>
      <c r="K228" s="245"/>
      <c r="L228" s="245"/>
      <c r="M228" s="245"/>
      <c r="N228" s="245"/>
    </row>
    <row r="229">
      <c r="A229" s="245"/>
      <c r="B229" s="245"/>
      <c r="C229" s="245"/>
      <c r="D229" s="245"/>
      <c r="E229" s="243"/>
      <c r="F229" s="245"/>
      <c r="G229" s="245"/>
      <c r="H229" s="245"/>
      <c r="I229" s="245"/>
      <c r="J229" s="245"/>
      <c r="K229" s="245"/>
      <c r="L229" s="245"/>
      <c r="M229" s="245"/>
      <c r="N229" s="245"/>
    </row>
    <row r="230">
      <c r="A230" s="245"/>
      <c r="B230" s="245"/>
      <c r="C230" s="245"/>
      <c r="D230" s="245"/>
      <c r="E230" s="243"/>
      <c r="F230" s="245"/>
      <c r="G230" s="245"/>
      <c r="H230" s="245"/>
      <c r="I230" s="245"/>
      <c r="J230" s="245"/>
      <c r="K230" s="245"/>
      <c r="L230" s="245"/>
      <c r="M230" s="245"/>
      <c r="N230" s="245"/>
    </row>
    <row r="231">
      <c r="A231" s="245"/>
      <c r="B231" s="245"/>
      <c r="C231" s="245"/>
      <c r="D231" s="245"/>
      <c r="E231" s="243"/>
      <c r="F231" s="245"/>
      <c r="G231" s="245"/>
      <c r="H231" s="245"/>
      <c r="I231" s="245"/>
      <c r="J231" s="245"/>
      <c r="K231" s="245"/>
      <c r="L231" s="245"/>
      <c r="M231" s="245"/>
      <c r="N231" s="245"/>
    </row>
    <row r="232">
      <c r="A232" s="245"/>
      <c r="B232" s="245"/>
      <c r="C232" s="245"/>
      <c r="D232" s="245"/>
      <c r="E232" s="243"/>
      <c r="F232" s="245"/>
      <c r="G232" s="245"/>
      <c r="H232" s="245"/>
      <c r="I232" s="245"/>
      <c r="J232" s="245"/>
      <c r="K232" s="245"/>
      <c r="L232" s="245"/>
      <c r="M232" s="245"/>
      <c r="N232" s="245"/>
    </row>
    <row r="233">
      <c r="A233" s="245"/>
      <c r="B233" s="245"/>
      <c r="C233" s="245"/>
      <c r="D233" s="245"/>
      <c r="E233" s="243"/>
      <c r="F233" s="245"/>
      <c r="G233" s="245"/>
      <c r="H233" s="245"/>
      <c r="I233" s="245"/>
      <c r="J233" s="245"/>
      <c r="K233" s="245"/>
      <c r="L233" s="245"/>
      <c r="M233" s="245"/>
      <c r="N233" s="245"/>
    </row>
    <row r="234">
      <c r="A234" s="245"/>
      <c r="B234" s="245"/>
      <c r="C234" s="245"/>
      <c r="D234" s="245"/>
      <c r="E234" s="243"/>
      <c r="F234" s="245"/>
      <c r="G234" s="245"/>
      <c r="H234" s="245"/>
      <c r="I234" s="245"/>
      <c r="J234" s="245"/>
      <c r="K234" s="245"/>
      <c r="L234" s="245"/>
      <c r="M234" s="245"/>
      <c r="N234" s="245"/>
    </row>
    <row r="235">
      <c r="A235" s="245"/>
      <c r="B235" s="245"/>
      <c r="C235" s="245"/>
      <c r="D235" s="245"/>
      <c r="E235" s="243"/>
      <c r="F235" s="245"/>
      <c r="G235" s="245"/>
      <c r="H235" s="245"/>
      <c r="I235" s="245"/>
      <c r="J235" s="245"/>
      <c r="K235" s="245"/>
      <c r="L235" s="245"/>
      <c r="M235" s="245"/>
      <c r="N235" s="245"/>
    </row>
    <row r="236">
      <c r="A236" s="245"/>
      <c r="B236" s="245"/>
      <c r="C236" s="245"/>
      <c r="D236" s="245"/>
      <c r="E236" s="243"/>
      <c r="F236" s="245"/>
      <c r="G236" s="245"/>
      <c r="H236" s="245"/>
      <c r="I236" s="245"/>
      <c r="J236" s="245"/>
      <c r="K236" s="245"/>
      <c r="L236" s="245"/>
      <c r="M236" s="245"/>
      <c r="N236" s="245"/>
    </row>
    <row r="237">
      <c r="A237" s="245"/>
      <c r="B237" s="245"/>
      <c r="C237" s="245"/>
      <c r="D237" s="245"/>
      <c r="E237" s="243"/>
      <c r="F237" s="245"/>
      <c r="G237" s="245"/>
      <c r="H237" s="245"/>
      <c r="I237" s="245"/>
      <c r="J237" s="245"/>
      <c r="K237" s="245"/>
      <c r="L237" s="245"/>
      <c r="M237" s="245"/>
      <c r="N237" s="245"/>
    </row>
    <row r="238">
      <c r="A238" s="245"/>
      <c r="B238" s="245"/>
      <c r="C238" s="245"/>
      <c r="D238" s="245"/>
      <c r="E238" s="243"/>
      <c r="F238" s="245"/>
      <c r="G238" s="245"/>
      <c r="H238" s="245"/>
      <c r="I238" s="245"/>
      <c r="J238" s="245"/>
      <c r="K238" s="245"/>
      <c r="L238" s="245"/>
      <c r="M238" s="245"/>
      <c r="N238" s="245"/>
    </row>
    <row r="239">
      <c r="A239" s="245"/>
      <c r="B239" s="245"/>
      <c r="C239" s="245"/>
      <c r="D239" s="245"/>
      <c r="E239" s="243"/>
      <c r="F239" s="245"/>
      <c r="G239" s="245"/>
      <c r="H239" s="245"/>
      <c r="I239" s="245"/>
      <c r="J239" s="245"/>
      <c r="K239" s="245"/>
      <c r="L239" s="245"/>
      <c r="M239" s="245"/>
      <c r="N239" s="245"/>
    </row>
    <row r="240">
      <c r="A240" s="245"/>
      <c r="B240" s="245"/>
      <c r="C240" s="245"/>
      <c r="D240" s="245"/>
      <c r="E240" s="243"/>
      <c r="F240" s="245"/>
      <c r="G240" s="245"/>
      <c r="H240" s="245"/>
      <c r="I240" s="245"/>
      <c r="J240" s="245"/>
      <c r="K240" s="245"/>
      <c r="L240" s="245"/>
      <c r="M240" s="245"/>
      <c r="N240" s="245"/>
    </row>
    <row r="241">
      <c r="A241" s="245"/>
      <c r="B241" s="245"/>
      <c r="C241" s="245"/>
      <c r="D241" s="245"/>
      <c r="E241" s="243"/>
      <c r="F241" s="245"/>
      <c r="G241" s="245"/>
      <c r="H241" s="245"/>
      <c r="I241" s="245"/>
      <c r="J241" s="245"/>
      <c r="K241" s="245"/>
      <c r="L241" s="245"/>
      <c r="M241" s="245"/>
      <c r="N241" s="245"/>
    </row>
    <row r="242">
      <c r="A242" s="245"/>
      <c r="B242" s="245"/>
      <c r="C242" s="245"/>
      <c r="D242" s="245"/>
      <c r="E242" s="243"/>
      <c r="F242" s="245"/>
      <c r="G242" s="245"/>
      <c r="H242" s="245"/>
      <c r="I242" s="245"/>
      <c r="J242" s="245"/>
      <c r="K242" s="245"/>
      <c r="L242" s="245"/>
      <c r="M242" s="245"/>
      <c r="N242" s="245"/>
    </row>
    <row r="243">
      <c r="A243" s="245"/>
      <c r="B243" s="245"/>
      <c r="C243" s="245"/>
      <c r="D243" s="245"/>
      <c r="E243" s="243"/>
      <c r="F243" s="245"/>
      <c r="G243" s="245"/>
      <c r="H243" s="245"/>
      <c r="I243" s="245"/>
      <c r="J243" s="245"/>
      <c r="K243" s="245"/>
      <c r="L243" s="245"/>
      <c r="M243" s="245"/>
      <c r="N243" s="245"/>
    </row>
    <row r="244">
      <c r="A244" s="245"/>
      <c r="B244" s="245"/>
      <c r="C244" s="245"/>
      <c r="D244" s="245"/>
      <c r="E244" s="243"/>
      <c r="F244" s="245"/>
      <c r="G244" s="245"/>
      <c r="H244" s="245"/>
      <c r="I244" s="245"/>
      <c r="J244" s="245"/>
      <c r="K244" s="245"/>
      <c r="L244" s="245"/>
      <c r="M244" s="245"/>
      <c r="N244" s="245"/>
    </row>
    <row r="245">
      <c r="A245" s="245"/>
      <c r="B245" s="245"/>
      <c r="C245" s="245"/>
      <c r="D245" s="245"/>
      <c r="E245" s="243"/>
      <c r="F245" s="245"/>
      <c r="G245" s="245"/>
      <c r="H245" s="245"/>
      <c r="I245" s="245"/>
      <c r="J245" s="245"/>
      <c r="K245" s="245"/>
      <c r="L245" s="245"/>
      <c r="M245" s="245"/>
      <c r="N245" s="245"/>
    </row>
    <row r="246">
      <c r="A246" s="245"/>
      <c r="B246" s="245"/>
      <c r="C246" s="245"/>
      <c r="D246" s="245"/>
      <c r="E246" s="243"/>
      <c r="F246" s="245"/>
      <c r="G246" s="245"/>
      <c r="H246" s="245"/>
      <c r="I246" s="245"/>
      <c r="J246" s="245"/>
      <c r="K246" s="245"/>
      <c r="L246" s="245"/>
      <c r="M246" s="245"/>
      <c r="N246" s="245"/>
    </row>
    <row r="247">
      <c r="A247" s="245"/>
      <c r="B247" s="245"/>
      <c r="C247" s="245"/>
      <c r="D247" s="245"/>
      <c r="E247" s="243"/>
      <c r="F247" s="245"/>
      <c r="G247" s="245"/>
      <c r="H247" s="245"/>
      <c r="I247" s="245"/>
      <c r="J247" s="245"/>
      <c r="K247" s="245"/>
      <c r="L247" s="245"/>
      <c r="M247" s="245"/>
      <c r="N247" s="245"/>
    </row>
    <row r="248">
      <c r="A248" s="245"/>
      <c r="B248" s="245"/>
      <c r="C248" s="245"/>
      <c r="D248" s="245"/>
      <c r="E248" s="243"/>
      <c r="F248" s="245"/>
      <c r="G248" s="245"/>
      <c r="H248" s="245"/>
      <c r="I248" s="245"/>
      <c r="J248" s="245"/>
      <c r="K248" s="245"/>
      <c r="L248" s="245"/>
      <c r="M248" s="245"/>
      <c r="N248" s="245"/>
    </row>
    <row r="249">
      <c r="A249" s="245"/>
      <c r="B249" s="245"/>
      <c r="C249" s="245"/>
      <c r="D249" s="245"/>
      <c r="E249" s="243"/>
      <c r="F249" s="245"/>
      <c r="G249" s="245"/>
      <c r="H249" s="245"/>
      <c r="I249" s="245"/>
      <c r="J249" s="245"/>
      <c r="K249" s="245"/>
      <c r="L249" s="245"/>
      <c r="M249" s="245"/>
      <c r="N249" s="245"/>
    </row>
    <row r="250">
      <c r="A250" s="245"/>
      <c r="B250" s="245"/>
      <c r="C250" s="245"/>
      <c r="D250" s="245"/>
      <c r="E250" s="243"/>
      <c r="F250" s="245"/>
      <c r="G250" s="245"/>
      <c r="H250" s="245"/>
      <c r="I250" s="245"/>
      <c r="J250" s="245"/>
      <c r="K250" s="245"/>
      <c r="L250" s="245"/>
      <c r="M250" s="245"/>
      <c r="N250" s="245"/>
    </row>
    <row r="251">
      <c r="A251" s="245"/>
      <c r="B251" s="245"/>
      <c r="C251" s="245"/>
      <c r="D251" s="245"/>
      <c r="E251" s="243"/>
      <c r="F251" s="245"/>
      <c r="G251" s="245"/>
      <c r="H251" s="245"/>
      <c r="I251" s="245"/>
      <c r="J251" s="245"/>
      <c r="K251" s="245"/>
      <c r="L251" s="245"/>
      <c r="M251" s="245"/>
      <c r="N251" s="245"/>
    </row>
    <row r="252">
      <c r="A252" s="245"/>
      <c r="B252" s="245"/>
      <c r="C252" s="245"/>
      <c r="D252" s="245"/>
      <c r="E252" s="243"/>
      <c r="F252" s="245"/>
      <c r="G252" s="245"/>
      <c r="H252" s="245"/>
      <c r="I252" s="245"/>
      <c r="J252" s="245"/>
      <c r="K252" s="245"/>
      <c r="L252" s="245"/>
      <c r="M252" s="245"/>
      <c r="N252" s="245"/>
    </row>
    <row r="253">
      <c r="A253" s="245"/>
      <c r="B253" s="245"/>
      <c r="C253" s="245"/>
      <c r="D253" s="245"/>
      <c r="E253" s="243"/>
      <c r="F253" s="245"/>
      <c r="G253" s="245"/>
      <c r="H253" s="245"/>
      <c r="I253" s="245"/>
      <c r="J253" s="245"/>
      <c r="K253" s="245"/>
      <c r="L253" s="245"/>
      <c r="M253" s="245"/>
      <c r="N253" s="245"/>
    </row>
    <row r="254">
      <c r="A254" s="245"/>
      <c r="B254" s="245"/>
      <c r="C254" s="245"/>
      <c r="D254" s="245"/>
      <c r="E254" s="243"/>
      <c r="F254" s="245"/>
      <c r="G254" s="245"/>
      <c r="H254" s="245"/>
      <c r="I254" s="245"/>
      <c r="J254" s="245"/>
      <c r="K254" s="245"/>
      <c r="L254" s="245"/>
      <c r="M254" s="245"/>
      <c r="N254" s="245"/>
    </row>
    <row r="255">
      <c r="A255" s="245"/>
      <c r="B255" s="245"/>
      <c r="C255" s="245"/>
      <c r="D255" s="245"/>
      <c r="E255" s="243"/>
      <c r="F255" s="245"/>
      <c r="G255" s="245"/>
      <c r="H255" s="245"/>
      <c r="I255" s="245"/>
      <c r="J255" s="245"/>
      <c r="K255" s="245"/>
      <c r="L255" s="245"/>
      <c r="M255" s="245"/>
      <c r="N255" s="245"/>
    </row>
    <row r="256">
      <c r="A256" s="245"/>
      <c r="B256" s="245"/>
      <c r="C256" s="245"/>
      <c r="D256" s="245"/>
      <c r="E256" s="243"/>
      <c r="F256" s="245"/>
      <c r="G256" s="245"/>
      <c r="H256" s="245"/>
      <c r="I256" s="245"/>
      <c r="J256" s="245"/>
      <c r="K256" s="245"/>
      <c r="L256" s="245"/>
      <c r="M256" s="245"/>
      <c r="N256" s="245"/>
    </row>
    <row r="257">
      <c r="A257" s="245"/>
      <c r="B257" s="245"/>
      <c r="C257" s="245"/>
      <c r="D257" s="245"/>
      <c r="E257" s="243"/>
      <c r="F257" s="245"/>
      <c r="G257" s="245"/>
      <c r="H257" s="245"/>
      <c r="I257" s="245"/>
      <c r="J257" s="245"/>
      <c r="K257" s="245"/>
      <c r="L257" s="245"/>
      <c r="M257" s="245"/>
      <c r="N257" s="245"/>
    </row>
    <row r="258">
      <c r="A258" s="245"/>
      <c r="B258" s="245"/>
      <c r="C258" s="245"/>
      <c r="D258" s="245"/>
      <c r="E258" s="243"/>
      <c r="F258" s="245"/>
      <c r="G258" s="245"/>
      <c r="H258" s="245"/>
      <c r="I258" s="245"/>
      <c r="J258" s="245"/>
      <c r="K258" s="245"/>
      <c r="L258" s="245"/>
      <c r="M258" s="245"/>
      <c r="N258" s="245"/>
    </row>
    <row r="259">
      <c r="A259" s="245"/>
      <c r="B259" s="245"/>
      <c r="C259" s="245"/>
      <c r="D259" s="245"/>
      <c r="E259" s="243"/>
      <c r="F259" s="245"/>
      <c r="G259" s="245"/>
      <c r="H259" s="245"/>
      <c r="I259" s="245"/>
      <c r="J259" s="245"/>
      <c r="K259" s="245"/>
      <c r="L259" s="245"/>
      <c r="M259" s="245"/>
      <c r="N259" s="245"/>
    </row>
    <row r="260">
      <c r="A260" s="245"/>
      <c r="B260" s="245"/>
      <c r="C260" s="245"/>
      <c r="D260" s="245"/>
      <c r="E260" s="243"/>
      <c r="F260" s="245"/>
      <c r="G260" s="245"/>
      <c r="H260" s="245"/>
      <c r="I260" s="245"/>
      <c r="J260" s="245"/>
      <c r="K260" s="245"/>
      <c r="L260" s="245"/>
      <c r="M260" s="245"/>
      <c r="N260" s="245"/>
    </row>
    <row r="261">
      <c r="A261" s="245"/>
      <c r="B261" s="245"/>
      <c r="C261" s="245"/>
      <c r="D261" s="245"/>
      <c r="E261" s="243"/>
      <c r="F261" s="245"/>
      <c r="G261" s="245"/>
      <c r="H261" s="245"/>
      <c r="I261" s="245"/>
      <c r="J261" s="245"/>
      <c r="K261" s="245"/>
      <c r="L261" s="245"/>
      <c r="M261" s="245"/>
      <c r="N261" s="245"/>
    </row>
    <row r="262">
      <c r="A262" s="245"/>
      <c r="B262" s="245"/>
      <c r="C262" s="245"/>
      <c r="D262" s="245"/>
      <c r="E262" s="243"/>
      <c r="F262" s="245"/>
      <c r="G262" s="245"/>
      <c r="H262" s="245"/>
      <c r="I262" s="245"/>
      <c r="J262" s="245"/>
      <c r="K262" s="245"/>
      <c r="L262" s="245"/>
      <c r="M262" s="245"/>
      <c r="N262" s="245"/>
    </row>
    <row r="263">
      <c r="A263" s="245"/>
      <c r="B263" s="245"/>
      <c r="C263" s="245"/>
      <c r="D263" s="245"/>
      <c r="E263" s="243"/>
      <c r="F263" s="245"/>
      <c r="G263" s="245"/>
      <c r="H263" s="245"/>
      <c r="I263" s="245"/>
      <c r="J263" s="245"/>
      <c r="K263" s="245"/>
      <c r="L263" s="245"/>
      <c r="M263" s="245"/>
      <c r="N263" s="245"/>
    </row>
    <row r="264">
      <c r="A264" s="245"/>
      <c r="B264" s="245"/>
      <c r="C264" s="245"/>
      <c r="D264" s="245"/>
      <c r="E264" s="243"/>
      <c r="F264" s="245"/>
      <c r="G264" s="245"/>
      <c r="H264" s="245"/>
      <c r="I264" s="245"/>
      <c r="J264" s="245"/>
      <c r="K264" s="245"/>
      <c r="L264" s="245"/>
      <c r="M264" s="245"/>
      <c r="N264" s="245"/>
    </row>
    <row r="265">
      <c r="A265" s="245"/>
      <c r="B265" s="245"/>
      <c r="C265" s="245"/>
      <c r="D265" s="245"/>
      <c r="E265" s="243"/>
      <c r="F265" s="245"/>
      <c r="G265" s="245"/>
      <c r="H265" s="245"/>
      <c r="I265" s="245"/>
      <c r="J265" s="245"/>
      <c r="K265" s="245"/>
      <c r="L265" s="245"/>
      <c r="M265" s="245"/>
      <c r="N265" s="245"/>
    </row>
    <row r="266">
      <c r="A266" s="245"/>
      <c r="B266" s="245"/>
      <c r="C266" s="245"/>
      <c r="D266" s="245"/>
      <c r="E266" s="243"/>
      <c r="F266" s="245"/>
      <c r="G266" s="245"/>
      <c r="H266" s="245"/>
      <c r="I266" s="245"/>
      <c r="J266" s="245"/>
      <c r="K266" s="245"/>
      <c r="L266" s="245"/>
      <c r="M266" s="245"/>
      <c r="N266" s="245"/>
    </row>
    <row r="267">
      <c r="A267" s="245"/>
      <c r="B267" s="245"/>
      <c r="C267" s="245"/>
      <c r="D267" s="245"/>
      <c r="E267" s="243"/>
      <c r="F267" s="245"/>
      <c r="G267" s="245"/>
      <c r="H267" s="245"/>
      <c r="I267" s="245"/>
      <c r="J267" s="245"/>
      <c r="K267" s="245"/>
      <c r="L267" s="245"/>
      <c r="M267" s="245"/>
      <c r="N267" s="245"/>
    </row>
    <row r="268">
      <c r="A268" s="245"/>
      <c r="B268" s="245"/>
      <c r="C268" s="245"/>
      <c r="D268" s="245"/>
      <c r="E268" s="243"/>
      <c r="F268" s="245"/>
      <c r="G268" s="245"/>
      <c r="H268" s="245"/>
      <c r="I268" s="245"/>
      <c r="J268" s="245"/>
      <c r="K268" s="245"/>
      <c r="L268" s="245"/>
      <c r="M268" s="245"/>
      <c r="N268" s="245"/>
    </row>
    <row r="269">
      <c r="A269" s="245"/>
      <c r="B269" s="245"/>
      <c r="C269" s="245"/>
      <c r="D269" s="245"/>
      <c r="E269" s="243"/>
      <c r="F269" s="245"/>
      <c r="G269" s="245"/>
      <c r="H269" s="245"/>
      <c r="I269" s="245"/>
      <c r="J269" s="245"/>
      <c r="K269" s="245"/>
      <c r="L269" s="245"/>
      <c r="M269" s="245"/>
      <c r="N269" s="245"/>
    </row>
    <row r="270">
      <c r="A270" s="245"/>
      <c r="B270" s="245"/>
      <c r="C270" s="245"/>
      <c r="D270" s="245"/>
      <c r="E270" s="243"/>
      <c r="F270" s="245"/>
      <c r="G270" s="245"/>
      <c r="H270" s="245"/>
      <c r="I270" s="245"/>
      <c r="J270" s="245"/>
      <c r="K270" s="245"/>
      <c r="L270" s="245"/>
      <c r="M270" s="245"/>
      <c r="N270" s="245"/>
    </row>
    <row r="271">
      <c r="A271" s="245"/>
      <c r="B271" s="245"/>
      <c r="C271" s="245"/>
      <c r="D271" s="245"/>
      <c r="E271" s="243"/>
      <c r="F271" s="245"/>
      <c r="G271" s="245"/>
      <c r="H271" s="245"/>
      <c r="I271" s="245"/>
      <c r="J271" s="245"/>
      <c r="K271" s="245"/>
      <c r="L271" s="245"/>
      <c r="M271" s="245"/>
      <c r="N271" s="245"/>
    </row>
    <row r="272">
      <c r="A272" s="245"/>
      <c r="B272" s="245"/>
      <c r="C272" s="245"/>
      <c r="D272" s="245"/>
      <c r="E272" s="243"/>
      <c r="F272" s="245"/>
      <c r="G272" s="245"/>
      <c r="H272" s="245"/>
      <c r="I272" s="245"/>
      <c r="J272" s="245"/>
      <c r="K272" s="245"/>
      <c r="L272" s="245"/>
      <c r="M272" s="245"/>
      <c r="N272" s="245"/>
    </row>
    <row r="273">
      <c r="A273" s="245"/>
      <c r="B273" s="245"/>
      <c r="C273" s="245"/>
      <c r="D273" s="245"/>
      <c r="E273" s="243"/>
      <c r="F273" s="245"/>
      <c r="G273" s="245"/>
      <c r="H273" s="245"/>
      <c r="I273" s="245"/>
      <c r="J273" s="245"/>
      <c r="K273" s="245"/>
      <c r="L273" s="245"/>
      <c r="M273" s="245"/>
      <c r="N273" s="245"/>
    </row>
    <row r="274">
      <c r="A274" s="245"/>
      <c r="B274" s="245"/>
      <c r="C274" s="245"/>
      <c r="D274" s="245"/>
      <c r="E274" s="243"/>
      <c r="F274" s="245"/>
      <c r="G274" s="245"/>
      <c r="H274" s="245"/>
      <c r="I274" s="245"/>
      <c r="J274" s="245"/>
      <c r="K274" s="245"/>
      <c r="L274" s="245"/>
      <c r="M274" s="245"/>
      <c r="N274" s="245"/>
    </row>
    <row r="275">
      <c r="A275" s="245"/>
      <c r="B275" s="245"/>
      <c r="C275" s="245"/>
      <c r="D275" s="245"/>
      <c r="E275" s="243"/>
      <c r="F275" s="245"/>
      <c r="G275" s="245"/>
      <c r="H275" s="245"/>
      <c r="I275" s="245"/>
      <c r="J275" s="245"/>
      <c r="K275" s="245"/>
      <c r="L275" s="245"/>
      <c r="M275" s="245"/>
      <c r="N275" s="245"/>
    </row>
    <row r="276">
      <c r="A276" s="245"/>
      <c r="B276" s="245"/>
      <c r="C276" s="245"/>
      <c r="D276" s="245"/>
      <c r="E276" s="243"/>
      <c r="F276" s="245"/>
      <c r="G276" s="245"/>
      <c r="H276" s="245"/>
      <c r="I276" s="245"/>
      <c r="J276" s="245"/>
      <c r="K276" s="245"/>
      <c r="L276" s="245"/>
      <c r="M276" s="245"/>
      <c r="N276" s="245"/>
    </row>
    <row r="277">
      <c r="A277" s="245"/>
      <c r="B277" s="245"/>
      <c r="C277" s="245"/>
      <c r="D277" s="245"/>
      <c r="E277" s="243"/>
      <c r="F277" s="245"/>
      <c r="G277" s="245"/>
      <c r="H277" s="245"/>
      <c r="I277" s="245"/>
      <c r="J277" s="245"/>
      <c r="K277" s="245"/>
      <c r="L277" s="245"/>
      <c r="M277" s="245"/>
      <c r="N277" s="245"/>
    </row>
    <row r="278">
      <c r="A278" s="245"/>
      <c r="B278" s="245"/>
      <c r="C278" s="245"/>
      <c r="D278" s="245"/>
      <c r="E278" s="243"/>
      <c r="F278" s="245"/>
      <c r="G278" s="245"/>
      <c r="H278" s="245"/>
      <c r="I278" s="245"/>
      <c r="J278" s="245"/>
      <c r="K278" s="245"/>
      <c r="L278" s="245"/>
      <c r="M278" s="245"/>
      <c r="N278" s="245"/>
    </row>
    <row r="279">
      <c r="A279" s="245"/>
      <c r="B279" s="245"/>
      <c r="C279" s="245"/>
      <c r="D279" s="245"/>
      <c r="E279" s="243"/>
      <c r="F279" s="245"/>
      <c r="G279" s="245"/>
      <c r="H279" s="245"/>
      <c r="I279" s="245"/>
      <c r="J279" s="245"/>
      <c r="K279" s="245"/>
      <c r="L279" s="245"/>
      <c r="M279" s="245"/>
      <c r="N279" s="245"/>
    </row>
    <row r="280">
      <c r="A280" s="245"/>
      <c r="B280" s="245"/>
      <c r="C280" s="245"/>
      <c r="D280" s="245"/>
      <c r="E280" s="243"/>
      <c r="F280" s="245"/>
      <c r="G280" s="245"/>
      <c r="H280" s="245"/>
      <c r="I280" s="245"/>
      <c r="J280" s="245"/>
      <c r="K280" s="245"/>
      <c r="L280" s="245"/>
      <c r="M280" s="245"/>
      <c r="N280" s="245"/>
    </row>
    <row r="281">
      <c r="A281" s="245"/>
      <c r="B281" s="245"/>
      <c r="C281" s="245"/>
      <c r="D281" s="245"/>
      <c r="E281" s="243"/>
      <c r="F281" s="245"/>
      <c r="G281" s="245"/>
      <c r="H281" s="245"/>
      <c r="I281" s="245"/>
      <c r="J281" s="245"/>
      <c r="K281" s="245"/>
      <c r="L281" s="245"/>
      <c r="M281" s="245"/>
      <c r="N281" s="245"/>
    </row>
    <row r="282">
      <c r="A282" s="245"/>
      <c r="B282" s="245"/>
      <c r="C282" s="245"/>
      <c r="D282" s="245"/>
      <c r="E282" s="243"/>
      <c r="F282" s="245"/>
      <c r="G282" s="245"/>
      <c r="H282" s="245"/>
      <c r="I282" s="245"/>
      <c r="J282" s="245"/>
      <c r="K282" s="245"/>
      <c r="L282" s="245"/>
      <c r="M282" s="245"/>
      <c r="N282" s="245"/>
    </row>
    <row r="283">
      <c r="A283" s="245"/>
      <c r="B283" s="245"/>
      <c r="C283" s="245"/>
      <c r="D283" s="245"/>
      <c r="E283" s="243"/>
      <c r="F283" s="245"/>
      <c r="G283" s="245"/>
      <c r="H283" s="245"/>
      <c r="I283" s="245"/>
      <c r="J283" s="245"/>
      <c r="K283" s="245"/>
      <c r="L283" s="245"/>
      <c r="M283" s="245"/>
      <c r="N283" s="245"/>
    </row>
    <row r="284">
      <c r="A284" s="245"/>
      <c r="B284" s="245"/>
      <c r="C284" s="245"/>
      <c r="D284" s="245"/>
      <c r="E284" s="243"/>
      <c r="F284" s="245"/>
      <c r="G284" s="245"/>
      <c r="H284" s="245"/>
      <c r="I284" s="245"/>
      <c r="J284" s="245"/>
      <c r="K284" s="245"/>
      <c r="L284" s="245"/>
      <c r="M284" s="245"/>
      <c r="N284" s="245"/>
    </row>
    <row r="285">
      <c r="A285" s="245"/>
      <c r="B285" s="245"/>
      <c r="C285" s="245"/>
      <c r="D285" s="245"/>
      <c r="E285" s="243"/>
      <c r="F285" s="245"/>
      <c r="G285" s="245"/>
      <c r="H285" s="245"/>
      <c r="I285" s="245"/>
      <c r="J285" s="245"/>
      <c r="K285" s="245"/>
      <c r="L285" s="245"/>
      <c r="M285" s="245"/>
      <c r="N285" s="245"/>
    </row>
    <row r="286">
      <c r="A286" s="245"/>
      <c r="B286" s="245"/>
      <c r="C286" s="245"/>
      <c r="D286" s="245"/>
      <c r="E286" s="243"/>
      <c r="F286" s="245"/>
      <c r="G286" s="245"/>
      <c r="H286" s="245"/>
      <c r="I286" s="245"/>
      <c r="J286" s="245"/>
      <c r="K286" s="245"/>
      <c r="L286" s="245"/>
      <c r="M286" s="245"/>
      <c r="N286" s="245"/>
    </row>
    <row r="287">
      <c r="A287" s="245"/>
      <c r="B287" s="245"/>
      <c r="C287" s="245"/>
      <c r="D287" s="245"/>
      <c r="E287" s="243"/>
      <c r="F287" s="245"/>
      <c r="G287" s="245"/>
      <c r="H287" s="245"/>
      <c r="I287" s="245"/>
      <c r="J287" s="245"/>
      <c r="K287" s="245"/>
      <c r="L287" s="245"/>
      <c r="M287" s="245"/>
      <c r="N287" s="245"/>
    </row>
    <row r="288">
      <c r="A288" s="245"/>
      <c r="B288" s="245"/>
      <c r="C288" s="245"/>
      <c r="D288" s="245"/>
      <c r="E288" s="243"/>
      <c r="F288" s="245"/>
      <c r="G288" s="245"/>
      <c r="H288" s="245"/>
      <c r="I288" s="245"/>
      <c r="J288" s="245"/>
      <c r="K288" s="245"/>
      <c r="L288" s="245"/>
      <c r="M288" s="245"/>
      <c r="N288" s="245"/>
    </row>
    <row r="289">
      <c r="A289" s="245"/>
      <c r="B289" s="245"/>
      <c r="C289" s="245"/>
      <c r="D289" s="245"/>
      <c r="E289" s="243"/>
      <c r="F289" s="245"/>
      <c r="G289" s="245"/>
      <c r="H289" s="245"/>
      <c r="I289" s="245"/>
      <c r="J289" s="245"/>
      <c r="K289" s="245"/>
      <c r="L289" s="245"/>
      <c r="M289" s="245"/>
      <c r="N289" s="245"/>
    </row>
    <row r="290">
      <c r="A290" s="245"/>
      <c r="B290" s="245"/>
      <c r="C290" s="245"/>
      <c r="D290" s="245"/>
      <c r="E290" s="243"/>
      <c r="F290" s="245"/>
      <c r="G290" s="245"/>
      <c r="H290" s="245"/>
      <c r="I290" s="245"/>
      <c r="J290" s="245"/>
      <c r="K290" s="245"/>
      <c r="L290" s="245"/>
      <c r="M290" s="245"/>
      <c r="N290" s="245"/>
    </row>
    <row r="291">
      <c r="A291" s="245"/>
      <c r="B291" s="245"/>
      <c r="C291" s="245"/>
      <c r="D291" s="245"/>
      <c r="E291" s="243"/>
      <c r="F291" s="245"/>
      <c r="G291" s="245"/>
      <c r="H291" s="245"/>
      <c r="I291" s="245"/>
      <c r="J291" s="245"/>
      <c r="K291" s="245"/>
      <c r="L291" s="245"/>
      <c r="M291" s="245"/>
      <c r="N291" s="245"/>
    </row>
    <row r="292">
      <c r="A292" s="245"/>
      <c r="B292" s="245"/>
      <c r="C292" s="245"/>
      <c r="D292" s="245"/>
      <c r="E292" s="243"/>
      <c r="F292" s="245"/>
      <c r="G292" s="245"/>
      <c r="H292" s="245"/>
      <c r="I292" s="245"/>
      <c r="J292" s="245"/>
      <c r="K292" s="245"/>
      <c r="L292" s="245"/>
      <c r="M292" s="245"/>
      <c r="N292" s="245"/>
    </row>
    <row r="293">
      <c r="A293" s="245"/>
      <c r="B293" s="245"/>
      <c r="C293" s="245"/>
      <c r="D293" s="245"/>
      <c r="E293" s="243"/>
      <c r="F293" s="245"/>
      <c r="G293" s="245"/>
      <c r="H293" s="245"/>
      <c r="I293" s="245"/>
      <c r="J293" s="245"/>
      <c r="K293" s="245"/>
      <c r="L293" s="245"/>
      <c r="M293" s="245"/>
      <c r="N293" s="245"/>
    </row>
    <row r="294">
      <c r="A294" s="245"/>
      <c r="B294" s="245"/>
      <c r="C294" s="245"/>
      <c r="D294" s="245"/>
      <c r="E294" s="243"/>
      <c r="F294" s="245"/>
      <c r="G294" s="245"/>
      <c r="H294" s="245"/>
      <c r="I294" s="245"/>
      <c r="J294" s="245"/>
      <c r="K294" s="245"/>
      <c r="L294" s="245"/>
      <c r="M294" s="245"/>
      <c r="N294" s="245"/>
    </row>
    <row r="295">
      <c r="A295" s="245"/>
      <c r="B295" s="245"/>
      <c r="C295" s="245"/>
      <c r="D295" s="245"/>
      <c r="E295" s="243"/>
      <c r="F295" s="245"/>
      <c r="G295" s="245"/>
      <c r="H295" s="245"/>
      <c r="I295" s="245"/>
      <c r="J295" s="245"/>
      <c r="K295" s="245"/>
      <c r="L295" s="245"/>
      <c r="M295" s="245"/>
      <c r="N295" s="245"/>
    </row>
    <row r="296">
      <c r="A296" s="245"/>
      <c r="B296" s="245"/>
      <c r="C296" s="245"/>
      <c r="D296" s="245"/>
      <c r="E296" s="243"/>
      <c r="F296" s="245"/>
      <c r="G296" s="245"/>
      <c r="H296" s="245"/>
      <c r="I296" s="245"/>
      <c r="J296" s="245"/>
      <c r="K296" s="245"/>
      <c r="L296" s="245"/>
      <c r="M296" s="245"/>
      <c r="N296" s="245"/>
    </row>
    <row r="297">
      <c r="A297" s="245"/>
      <c r="B297" s="245"/>
      <c r="C297" s="245"/>
      <c r="D297" s="245"/>
      <c r="E297" s="243"/>
      <c r="F297" s="245"/>
      <c r="G297" s="245"/>
      <c r="H297" s="245"/>
      <c r="I297" s="245"/>
      <c r="J297" s="245"/>
      <c r="K297" s="245"/>
      <c r="L297" s="245"/>
      <c r="M297" s="245"/>
      <c r="N297" s="245"/>
    </row>
    <row r="298">
      <c r="A298" s="245"/>
      <c r="B298" s="245"/>
      <c r="C298" s="245"/>
      <c r="D298" s="245"/>
      <c r="E298" s="243"/>
      <c r="F298" s="245"/>
      <c r="G298" s="245"/>
      <c r="H298" s="245"/>
      <c r="I298" s="245"/>
      <c r="J298" s="245"/>
      <c r="K298" s="245"/>
      <c r="L298" s="245"/>
      <c r="M298" s="245"/>
      <c r="N298" s="245"/>
    </row>
    <row r="299">
      <c r="A299" s="245"/>
      <c r="B299" s="245"/>
      <c r="C299" s="245"/>
      <c r="D299" s="245"/>
      <c r="E299" s="243"/>
      <c r="F299" s="245"/>
      <c r="G299" s="245"/>
      <c r="H299" s="245"/>
      <c r="I299" s="245"/>
      <c r="J299" s="245"/>
      <c r="K299" s="245"/>
      <c r="L299" s="245"/>
      <c r="M299" s="245"/>
      <c r="N299" s="245"/>
    </row>
    <row r="300">
      <c r="A300" s="245"/>
      <c r="B300" s="245"/>
      <c r="C300" s="245"/>
      <c r="D300" s="245"/>
      <c r="E300" s="243"/>
      <c r="F300" s="245"/>
      <c r="G300" s="245"/>
      <c r="H300" s="245"/>
      <c r="I300" s="245"/>
      <c r="J300" s="245"/>
      <c r="K300" s="245"/>
      <c r="L300" s="245"/>
      <c r="M300" s="245"/>
      <c r="N300" s="245"/>
    </row>
    <row r="301">
      <c r="A301" s="245"/>
      <c r="B301" s="245"/>
      <c r="C301" s="245"/>
      <c r="D301" s="245"/>
      <c r="E301" s="243"/>
      <c r="F301" s="245"/>
      <c r="G301" s="245"/>
      <c r="H301" s="245"/>
      <c r="I301" s="245"/>
      <c r="J301" s="245"/>
      <c r="K301" s="245"/>
      <c r="L301" s="245"/>
      <c r="M301" s="245"/>
      <c r="N301" s="245"/>
    </row>
    <row r="302">
      <c r="A302" s="245"/>
      <c r="B302" s="245"/>
      <c r="C302" s="245"/>
      <c r="D302" s="245"/>
      <c r="E302" s="243"/>
      <c r="F302" s="245"/>
      <c r="G302" s="245"/>
      <c r="H302" s="245"/>
      <c r="I302" s="245"/>
      <c r="J302" s="245"/>
      <c r="K302" s="245"/>
      <c r="L302" s="245"/>
      <c r="M302" s="245"/>
      <c r="N302" s="245"/>
    </row>
    <row r="303">
      <c r="A303" s="245"/>
      <c r="B303" s="245"/>
      <c r="C303" s="245"/>
      <c r="D303" s="245"/>
      <c r="E303" s="243"/>
      <c r="F303" s="245"/>
      <c r="G303" s="245"/>
      <c r="H303" s="245"/>
      <c r="I303" s="245"/>
      <c r="J303" s="245"/>
      <c r="K303" s="245"/>
      <c r="L303" s="245"/>
      <c r="M303" s="245"/>
      <c r="N303" s="245"/>
    </row>
    <row r="304">
      <c r="A304" s="245"/>
      <c r="B304" s="245"/>
      <c r="C304" s="245"/>
      <c r="D304" s="245"/>
      <c r="E304" s="243"/>
      <c r="F304" s="245"/>
      <c r="G304" s="245"/>
      <c r="H304" s="245"/>
      <c r="I304" s="245"/>
      <c r="J304" s="245"/>
      <c r="K304" s="245"/>
      <c r="L304" s="245"/>
      <c r="M304" s="245"/>
      <c r="N304" s="245"/>
    </row>
    <row r="305">
      <c r="A305" s="245"/>
      <c r="B305" s="245"/>
      <c r="C305" s="245"/>
      <c r="D305" s="245"/>
      <c r="E305" s="243"/>
      <c r="F305" s="245"/>
      <c r="G305" s="245"/>
      <c r="H305" s="245"/>
      <c r="I305" s="245"/>
      <c r="J305" s="245"/>
      <c r="K305" s="245"/>
      <c r="L305" s="245"/>
      <c r="M305" s="245"/>
      <c r="N305" s="245"/>
    </row>
    <row r="306">
      <c r="A306" s="245"/>
      <c r="B306" s="245"/>
      <c r="C306" s="245"/>
      <c r="D306" s="245"/>
      <c r="E306" s="243"/>
      <c r="F306" s="245"/>
      <c r="G306" s="245"/>
      <c r="H306" s="245"/>
      <c r="I306" s="245"/>
      <c r="J306" s="245"/>
      <c r="K306" s="245"/>
      <c r="L306" s="245"/>
      <c r="M306" s="245"/>
      <c r="N306" s="245"/>
    </row>
    <row r="307">
      <c r="A307" s="245"/>
      <c r="B307" s="245"/>
      <c r="C307" s="245"/>
      <c r="D307" s="245"/>
      <c r="E307" s="243"/>
      <c r="F307" s="245"/>
      <c r="G307" s="245"/>
      <c r="H307" s="245"/>
      <c r="I307" s="245"/>
      <c r="J307" s="245"/>
      <c r="K307" s="245"/>
      <c r="L307" s="245"/>
      <c r="M307" s="245"/>
      <c r="N307" s="245"/>
    </row>
    <row r="308">
      <c r="A308" s="245"/>
      <c r="B308" s="245"/>
      <c r="C308" s="245"/>
      <c r="D308" s="245"/>
      <c r="E308" s="243"/>
      <c r="F308" s="245"/>
      <c r="G308" s="245"/>
      <c r="H308" s="245"/>
      <c r="I308" s="245"/>
      <c r="J308" s="245"/>
      <c r="K308" s="245"/>
      <c r="L308" s="245"/>
      <c r="M308" s="245"/>
      <c r="N308" s="245"/>
    </row>
    <row r="309">
      <c r="A309" s="245"/>
      <c r="B309" s="245"/>
      <c r="C309" s="245"/>
      <c r="D309" s="245"/>
      <c r="E309" s="243"/>
      <c r="F309" s="245"/>
      <c r="G309" s="245"/>
      <c r="H309" s="245"/>
      <c r="I309" s="245"/>
      <c r="J309" s="245"/>
      <c r="K309" s="245"/>
      <c r="L309" s="245"/>
      <c r="M309" s="245"/>
      <c r="N309" s="245"/>
    </row>
    <row r="310">
      <c r="A310" s="245"/>
      <c r="B310" s="245"/>
      <c r="C310" s="245"/>
      <c r="D310" s="245"/>
      <c r="E310" s="243"/>
      <c r="F310" s="245"/>
      <c r="G310" s="245"/>
      <c r="H310" s="245"/>
      <c r="I310" s="245"/>
      <c r="J310" s="245"/>
      <c r="K310" s="245"/>
      <c r="L310" s="245"/>
      <c r="M310" s="245"/>
      <c r="N310" s="245"/>
    </row>
    <row r="311">
      <c r="A311" s="245"/>
      <c r="B311" s="245"/>
      <c r="C311" s="245"/>
      <c r="D311" s="245"/>
      <c r="E311" s="243"/>
      <c r="F311" s="245"/>
      <c r="G311" s="245"/>
      <c r="H311" s="245"/>
      <c r="I311" s="245"/>
      <c r="J311" s="245"/>
      <c r="K311" s="245"/>
      <c r="L311" s="245"/>
      <c r="M311" s="245"/>
      <c r="N311" s="245"/>
    </row>
    <row r="312">
      <c r="A312" s="245"/>
      <c r="B312" s="245"/>
      <c r="C312" s="245"/>
      <c r="D312" s="245"/>
      <c r="E312" s="243"/>
      <c r="F312" s="245"/>
      <c r="G312" s="245"/>
      <c r="H312" s="245"/>
      <c r="I312" s="245"/>
      <c r="J312" s="245"/>
      <c r="K312" s="245"/>
      <c r="L312" s="245"/>
      <c r="M312" s="245"/>
      <c r="N312" s="245"/>
    </row>
    <row r="313">
      <c r="A313" s="245"/>
      <c r="B313" s="245"/>
      <c r="C313" s="245"/>
      <c r="D313" s="245"/>
      <c r="E313" s="243"/>
      <c r="F313" s="245"/>
      <c r="G313" s="245"/>
      <c r="H313" s="245"/>
      <c r="I313" s="245"/>
      <c r="J313" s="245"/>
      <c r="K313" s="245"/>
      <c r="L313" s="245"/>
      <c r="M313" s="245"/>
      <c r="N313" s="245"/>
    </row>
    <row r="314">
      <c r="A314" s="245"/>
      <c r="B314" s="245"/>
      <c r="C314" s="245"/>
      <c r="D314" s="245"/>
      <c r="E314" s="243"/>
      <c r="F314" s="245"/>
      <c r="G314" s="245"/>
      <c r="H314" s="245"/>
      <c r="I314" s="245"/>
      <c r="J314" s="245"/>
      <c r="K314" s="245"/>
      <c r="L314" s="245"/>
      <c r="M314" s="245"/>
      <c r="N314" s="245"/>
    </row>
    <row r="315">
      <c r="A315" s="245"/>
      <c r="B315" s="245"/>
      <c r="C315" s="245"/>
      <c r="D315" s="245"/>
      <c r="E315" s="243"/>
      <c r="F315" s="245"/>
      <c r="G315" s="245"/>
      <c r="H315" s="245"/>
      <c r="I315" s="245"/>
      <c r="J315" s="245"/>
      <c r="K315" s="245"/>
      <c r="L315" s="245"/>
      <c r="M315" s="245"/>
      <c r="N315" s="245"/>
    </row>
    <row r="316">
      <c r="A316" s="245"/>
      <c r="B316" s="245"/>
      <c r="C316" s="245"/>
      <c r="D316" s="245"/>
      <c r="E316" s="243"/>
      <c r="F316" s="245"/>
      <c r="G316" s="245"/>
      <c r="H316" s="245"/>
      <c r="I316" s="245"/>
      <c r="J316" s="245"/>
      <c r="K316" s="245"/>
      <c r="L316" s="245"/>
      <c r="M316" s="245"/>
      <c r="N316" s="245"/>
    </row>
    <row r="317">
      <c r="A317" s="245"/>
      <c r="B317" s="245"/>
      <c r="C317" s="245"/>
      <c r="D317" s="245"/>
      <c r="E317" s="243"/>
      <c r="F317" s="245"/>
      <c r="G317" s="245"/>
      <c r="H317" s="245"/>
      <c r="I317" s="245"/>
      <c r="J317" s="245"/>
      <c r="K317" s="245"/>
      <c r="L317" s="245"/>
      <c r="M317" s="245"/>
      <c r="N317" s="245"/>
    </row>
    <row r="318">
      <c r="A318" s="245"/>
      <c r="B318" s="245"/>
      <c r="C318" s="245"/>
      <c r="D318" s="245"/>
      <c r="E318" s="243"/>
      <c r="F318" s="245"/>
      <c r="G318" s="245"/>
      <c r="H318" s="245"/>
      <c r="I318" s="245"/>
      <c r="J318" s="245"/>
      <c r="K318" s="245"/>
      <c r="L318" s="245"/>
      <c r="M318" s="245"/>
      <c r="N318" s="245"/>
    </row>
    <row r="319">
      <c r="A319" s="245"/>
      <c r="B319" s="245"/>
      <c r="C319" s="245"/>
      <c r="D319" s="245"/>
      <c r="E319" s="243"/>
      <c r="F319" s="245"/>
      <c r="G319" s="245"/>
      <c r="H319" s="245"/>
      <c r="I319" s="245"/>
      <c r="J319" s="245"/>
      <c r="K319" s="245"/>
      <c r="L319" s="245"/>
      <c r="M319" s="245"/>
      <c r="N319" s="245"/>
    </row>
    <row r="320">
      <c r="A320" s="245"/>
      <c r="B320" s="245"/>
      <c r="C320" s="245"/>
      <c r="D320" s="245"/>
      <c r="E320" s="243"/>
      <c r="F320" s="245"/>
      <c r="G320" s="245"/>
      <c r="H320" s="245"/>
      <c r="I320" s="245"/>
      <c r="J320" s="245"/>
      <c r="K320" s="245"/>
      <c r="L320" s="245"/>
      <c r="M320" s="245"/>
      <c r="N320" s="245"/>
    </row>
    <row r="321">
      <c r="A321" s="245"/>
      <c r="B321" s="245"/>
      <c r="C321" s="245"/>
      <c r="D321" s="245"/>
      <c r="E321" s="243"/>
      <c r="F321" s="245"/>
      <c r="G321" s="245"/>
      <c r="H321" s="245"/>
      <c r="I321" s="245"/>
      <c r="J321" s="245"/>
      <c r="K321" s="245"/>
      <c r="L321" s="245"/>
      <c r="M321" s="245"/>
      <c r="N321" s="245"/>
    </row>
    <row r="322">
      <c r="A322" s="245"/>
      <c r="B322" s="245"/>
      <c r="C322" s="245"/>
      <c r="D322" s="245"/>
      <c r="E322" s="243"/>
      <c r="F322" s="245"/>
      <c r="G322" s="245"/>
      <c r="H322" s="245"/>
      <c r="I322" s="245"/>
      <c r="J322" s="245"/>
      <c r="K322" s="245"/>
      <c r="L322" s="245"/>
      <c r="M322" s="245"/>
      <c r="N322" s="245"/>
    </row>
    <row r="323">
      <c r="A323" s="245"/>
      <c r="B323" s="245"/>
      <c r="C323" s="245"/>
      <c r="D323" s="245"/>
      <c r="E323" s="243"/>
      <c r="F323" s="245"/>
      <c r="G323" s="245"/>
      <c r="H323" s="245"/>
      <c r="I323" s="245"/>
      <c r="J323" s="245"/>
      <c r="K323" s="245"/>
      <c r="L323" s="245"/>
      <c r="M323" s="245"/>
      <c r="N323" s="245"/>
    </row>
    <row r="324">
      <c r="A324" s="245"/>
      <c r="B324" s="245"/>
      <c r="C324" s="245"/>
      <c r="D324" s="245"/>
      <c r="E324" s="243"/>
      <c r="F324" s="245"/>
      <c r="G324" s="245"/>
      <c r="H324" s="245"/>
      <c r="I324" s="245"/>
      <c r="J324" s="245"/>
      <c r="K324" s="245"/>
      <c r="L324" s="245"/>
      <c r="M324" s="245"/>
      <c r="N324" s="245"/>
    </row>
    <row r="325">
      <c r="A325" s="245"/>
      <c r="B325" s="245"/>
      <c r="C325" s="245"/>
      <c r="D325" s="245"/>
      <c r="E325" s="243"/>
      <c r="F325" s="245"/>
      <c r="G325" s="245"/>
      <c r="H325" s="245"/>
      <c r="I325" s="245"/>
      <c r="J325" s="245"/>
      <c r="K325" s="245"/>
      <c r="L325" s="245"/>
      <c r="M325" s="245"/>
      <c r="N325" s="245"/>
    </row>
    <row r="326">
      <c r="A326" s="245"/>
      <c r="B326" s="245"/>
      <c r="C326" s="245"/>
      <c r="D326" s="245"/>
      <c r="E326" s="243"/>
      <c r="F326" s="245"/>
      <c r="G326" s="245"/>
      <c r="H326" s="245"/>
      <c r="I326" s="245"/>
      <c r="J326" s="245"/>
      <c r="K326" s="245"/>
      <c r="L326" s="245"/>
      <c r="M326" s="245"/>
      <c r="N326" s="245"/>
    </row>
    <row r="327">
      <c r="A327" s="245"/>
      <c r="B327" s="245"/>
      <c r="C327" s="245"/>
      <c r="D327" s="245"/>
      <c r="E327" s="243"/>
      <c r="F327" s="245"/>
      <c r="G327" s="245"/>
      <c r="H327" s="245"/>
      <c r="I327" s="245"/>
      <c r="J327" s="245"/>
      <c r="K327" s="245"/>
      <c r="L327" s="245"/>
      <c r="M327" s="245"/>
      <c r="N327" s="245"/>
    </row>
    <row r="328">
      <c r="A328" s="245"/>
      <c r="B328" s="245"/>
      <c r="C328" s="245"/>
      <c r="D328" s="245"/>
      <c r="E328" s="243"/>
      <c r="F328" s="245"/>
      <c r="G328" s="245"/>
      <c r="H328" s="245"/>
      <c r="I328" s="245"/>
      <c r="J328" s="245"/>
      <c r="K328" s="245"/>
      <c r="L328" s="245"/>
      <c r="M328" s="245"/>
      <c r="N328" s="245"/>
    </row>
    <row r="329">
      <c r="A329" s="245"/>
      <c r="B329" s="245"/>
      <c r="C329" s="245"/>
      <c r="D329" s="245"/>
      <c r="E329" s="243"/>
      <c r="F329" s="245"/>
      <c r="G329" s="245"/>
      <c r="H329" s="245"/>
      <c r="I329" s="245"/>
      <c r="J329" s="245"/>
      <c r="K329" s="245"/>
      <c r="L329" s="245"/>
      <c r="M329" s="245"/>
      <c r="N329" s="245"/>
    </row>
    <row r="330">
      <c r="A330" s="245"/>
      <c r="B330" s="245"/>
      <c r="C330" s="245"/>
      <c r="D330" s="245"/>
      <c r="E330" s="243"/>
      <c r="F330" s="245"/>
      <c r="G330" s="245"/>
      <c r="H330" s="245"/>
      <c r="I330" s="245"/>
      <c r="J330" s="245"/>
      <c r="K330" s="245"/>
      <c r="L330" s="245"/>
      <c r="M330" s="245"/>
      <c r="N330" s="245"/>
    </row>
    <row r="331">
      <c r="A331" s="245"/>
      <c r="B331" s="245"/>
      <c r="C331" s="245"/>
      <c r="D331" s="245"/>
      <c r="E331" s="243"/>
      <c r="F331" s="245"/>
      <c r="G331" s="245"/>
      <c r="H331" s="245"/>
      <c r="I331" s="245"/>
      <c r="J331" s="245"/>
      <c r="K331" s="245"/>
      <c r="L331" s="245"/>
      <c r="M331" s="245"/>
      <c r="N331" s="245"/>
    </row>
    <row r="332">
      <c r="A332" s="245"/>
      <c r="B332" s="245"/>
      <c r="C332" s="245"/>
      <c r="D332" s="245"/>
      <c r="E332" s="243"/>
      <c r="F332" s="245"/>
      <c r="G332" s="245"/>
      <c r="H332" s="245"/>
      <c r="I332" s="245"/>
      <c r="J332" s="245"/>
      <c r="K332" s="245"/>
      <c r="L332" s="245"/>
      <c r="M332" s="245"/>
      <c r="N332" s="245"/>
    </row>
    <row r="333">
      <c r="A333" s="245"/>
      <c r="B333" s="245"/>
      <c r="C333" s="245"/>
      <c r="D333" s="245"/>
      <c r="E333" s="243"/>
      <c r="F333" s="245"/>
      <c r="G333" s="245"/>
      <c r="H333" s="245"/>
      <c r="I333" s="245"/>
      <c r="J333" s="245"/>
      <c r="K333" s="245"/>
      <c r="L333" s="245"/>
      <c r="M333" s="245"/>
      <c r="N333" s="245"/>
    </row>
    <row r="334">
      <c r="A334" s="245"/>
      <c r="B334" s="245"/>
      <c r="C334" s="245"/>
      <c r="D334" s="245"/>
      <c r="E334" s="243"/>
      <c r="F334" s="245"/>
      <c r="G334" s="245"/>
      <c r="H334" s="245"/>
      <c r="I334" s="245"/>
      <c r="J334" s="245"/>
      <c r="K334" s="245"/>
      <c r="L334" s="245"/>
      <c r="M334" s="245"/>
      <c r="N334" s="245"/>
    </row>
    <row r="335">
      <c r="A335" s="245"/>
      <c r="B335" s="245"/>
      <c r="C335" s="245"/>
      <c r="D335" s="245"/>
      <c r="E335" s="243"/>
      <c r="F335" s="245"/>
      <c r="G335" s="245"/>
      <c r="H335" s="245"/>
      <c r="I335" s="245"/>
      <c r="J335" s="245"/>
      <c r="K335" s="245"/>
      <c r="L335" s="245"/>
      <c r="M335" s="245"/>
      <c r="N335" s="245"/>
    </row>
    <row r="336">
      <c r="A336" s="245"/>
      <c r="B336" s="245"/>
      <c r="C336" s="245"/>
      <c r="D336" s="245"/>
      <c r="E336" s="243"/>
      <c r="F336" s="245"/>
      <c r="G336" s="245"/>
      <c r="H336" s="245"/>
      <c r="I336" s="245"/>
      <c r="J336" s="245"/>
      <c r="K336" s="245"/>
      <c r="L336" s="245"/>
      <c r="M336" s="245"/>
      <c r="N336" s="245"/>
    </row>
    <row r="337">
      <c r="A337" s="245"/>
      <c r="B337" s="245"/>
      <c r="C337" s="245"/>
      <c r="D337" s="245"/>
      <c r="E337" s="243"/>
      <c r="F337" s="245"/>
      <c r="G337" s="245"/>
      <c r="H337" s="245"/>
      <c r="I337" s="245"/>
      <c r="J337" s="245"/>
      <c r="K337" s="245"/>
      <c r="L337" s="245"/>
      <c r="M337" s="245"/>
      <c r="N337" s="245"/>
    </row>
    <row r="338">
      <c r="A338" s="245"/>
      <c r="B338" s="245"/>
      <c r="C338" s="245"/>
      <c r="D338" s="245"/>
      <c r="E338" s="243"/>
      <c r="F338" s="245"/>
      <c r="G338" s="245"/>
      <c r="H338" s="245"/>
      <c r="I338" s="245"/>
      <c r="J338" s="245"/>
      <c r="K338" s="245"/>
      <c r="L338" s="245"/>
      <c r="M338" s="245"/>
      <c r="N338" s="245"/>
    </row>
    <row r="339">
      <c r="A339" s="245"/>
      <c r="B339" s="245"/>
      <c r="C339" s="245"/>
      <c r="D339" s="245"/>
      <c r="E339" s="243"/>
      <c r="F339" s="245"/>
      <c r="G339" s="245"/>
      <c r="H339" s="245"/>
      <c r="I339" s="245"/>
      <c r="J339" s="245"/>
      <c r="K339" s="245"/>
      <c r="L339" s="245"/>
      <c r="M339" s="245"/>
      <c r="N339" s="245"/>
    </row>
    <row r="340">
      <c r="A340" s="245"/>
      <c r="B340" s="245"/>
      <c r="C340" s="245"/>
      <c r="D340" s="245"/>
      <c r="E340" s="243"/>
      <c r="F340" s="245"/>
      <c r="G340" s="245"/>
      <c r="H340" s="245"/>
      <c r="I340" s="245"/>
      <c r="J340" s="245"/>
      <c r="K340" s="245"/>
      <c r="L340" s="245"/>
      <c r="M340" s="245"/>
      <c r="N340" s="245"/>
    </row>
    <row r="341">
      <c r="A341" s="245"/>
      <c r="B341" s="245"/>
      <c r="C341" s="245"/>
      <c r="D341" s="245"/>
      <c r="E341" s="243"/>
      <c r="F341" s="245"/>
      <c r="G341" s="245"/>
      <c r="H341" s="245"/>
      <c r="I341" s="245"/>
      <c r="J341" s="245"/>
      <c r="K341" s="245"/>
      <c r="L341" s="245"/>
      <c r="M341" s="245"/>
      <c r="N341" s="245"/>
    </row>
    <row r="342">
      <c r="A342" s="245"/>
      <c r="B342" s="245"/>
      <c r="C342" s="245"/>
      <c r="D342" s="245"/>
      <c r="E342" s="243"/>
      <c r="F342" s="245"/>
      <c r="G342" s="245"/>
      <c r="H342" s="245"/>
      <c r="I342" s="245"/>
      <c r="J342" s="245"/>
      <c r="K342" s="245"/>
      <c r="L342" s="245"/>
      <c r="M342" s="245"/>
      <c r="N342" s="245"/>
    </row>
    <row r="343">
      <c r="A343" s="245"/>
      <c r="B343" s="245"/>
      <c r="C343" s="245"/>
      <c r="D343" s="245"/>
      <c r="E343" s="243"/>
      <c r="F343" s="245"/>
      <c r="G343" s="245"/>
      <c r="H343" s="245"/>
      <c r="I343" s="245"/>
      <c r="J343" s="245"/>
      <c r="K343" s="245"/>
      <c r="L343" s="245"/>
      <c r="M343" s="245"/>
      <c r="N343" s="245"/>
    </row>
    <row r="344">
      <c r="A344" s="245"/>
      <c r="B344" s="245"/>
      <c r="C344" s="245"/>
      <c r="D344" s="245"/>
      <c r="E344" s="243"/>
      <c r="F344" s="245"/>
      <c r="G344" s="245"/>
      <c r="H344" s="245"/>
      <c r="I344" s="245"/>
      <c r="J344" s="245"/>
      <c r="K344" s="245"/>
      <c r="L344" s="245"/>
      <c r="M344" s="245"/>
      <c r="N344" s="245"/>
    </row>
    <row r="345">
      <c r="A345" s="245"/>
      <c r="B345" s="245"/>
      <c r="C345" s="245"/>
      <c r="D345" s="245"/>
      <c r="E345" s="243"/>
      <c r="F345" s="245"/>
      <c r="G345" s="245"/>
      <c r="H345" s="245"/>
      <c r="I345" s="245"/>
      <c r="J345" s="245"/>
      <c r="K345" s="245"/>
      <c r="L345" s="245"/>
      <c r="M345" s="245"/>
      <c r="N345" s="245"/>
    </row>
    <row r="346">
      <c r="A346" s="245"/>
      <c r="B346" s="245"/>
      <c r="C346" s="245"/>
      <c r="D346" s="245"/>
      <c r="E346" s="243"/>
      <c r="F346" s="245"/>
      <c r="G346" s="245"/>
      <c r="H346" s="245"/>
      <c r="I346" s="245"/>
      <c r="J346" s="245"/>
      <c r="K346" s="245"/>
      <c r="L346" s="245"/>
      <c r="M346" s="245"/>
      <c r="N346" s="245"/>
    </row>
    <row r="347">
      <c r="A347" s="245"/>
      <c r="B347" s="245"/>
      <c r="C347" s="245"/>
      <c r="D347" s="245"/>
      <c r="E347" s="243"/>
      <c r="F347" s="245"/>
      <c r="G347" s="245"/>
      <c r="H347" s="245"/>
      <c r="I347" s="245"/>
      <c r="J347" s="245"/>
      <c r="K347" s="245"/>
      <c r="L347" s="245"/>
      <c r="M347" s="245"/>
      <c r="N347" s="245"/>
    </row>
    <row r="348">
      <c r="A348" s="245"/>
      <c r="B348" s="245"/>
      <c r="C348" s="245"/>
      <c r="D348" s="245"/>
      <c r="E348" s="243"/>
      <c r="F348" s="245"/>
      <c r="G348" s="245"/>
      <c r="H348" s="245"/>
      <c r="I348" s="245"/>
      <c r="J348" s="245"/>
      <c r="K348" s="245"/>
      <c r="L348" s="245"/>
      <c r="M348" s="245"/>
      <c r="N348" s="245"/>
    </row>
    <row r="349">
      <c r="A349" s="245"/>
      <c r="B349" s="245"/>
      <c r="C349" s="245"/>
      <c r="D349" s="245"/>
      <c r="E349" s="243"/>
      <c r="F349" s="245"/>
      <c r="G349" s="245"/>
      <c r="H349" s="245"/>
      <c r="I349" s="245"/>
      <c r="J349" s="245"/>
      <c r="K349" s="245"/>
      <c r="L349" s="245"/>
      <c r="M349" s="245"/>
      <c r="N349" s="245"/>
    </row>
    <row r="350">
      <c r="A350" s="245"/>
      <c r="B350" s="245"/>
      <c r="C350" s="245"/>
      <c r="D350" s="245"/>
      <c r="E350" s="243"/>
      <c r="F350" s="245"/>
      <c r="G350" s="245"/>
      <c r="H350" s="245"/>
      <c r="I350" s="245"/>
      <c r="J350" s="245"/>
      <c r="K350" s="245"/>
      <c r="L350" s="245"/>
      <c r="M350" s="245"/>
      <c r="N350" s="245"/>
    </row>
    <row r="351">
      <c r="A351" s="245"/>
      <c r="B351" s="245"/>
      <c r="C351" s="245"/>
      <c r="D351" s="245"/>
      <c r="E351" s="243"/>
      <c r="F351" s="245"/>
      <c r="G351" s="245"/>
      <c r="H351" s="245"/>
      <c r="I351" s="245"/>
      <c r="J351" s="245"/>
      <c r="K351" s="245"/>
      <c r="L351" s="245"/>
      <c r="M351" s="245"/>
      <c r="N351" s="245"/>
    </row>
    <row r="352">
      <c r="A352" s="245"/>
      <c r="B352" s="245"/>
      <c r="C352" s="245"/>
      <c r="D352" s="245"/>
      <c r="E352" s="243"/>
      <c r="F352" s="245"/>
      <c r="G352" s="245"/>
      <c r="H352" s="245"/>
      <c r="I352" s="245"/>
      <c r="J352" s="245"/>
      <c r="K352" s="245"/>
      <c r="L352" s="245"/>
      <c r="M352" s="245"/>
      <c r="N352" s="245"/>
    </row>
    <row r="353">
      <c r="A353" s="245"/>
      <c r="B353" s="245"/>
      <c r="C353" s="245"/>
      <c r="D353" s="245"/>
      <c r="E353" s="243"/>
      <c r="F353" s="245"/>
      <c r="G353" s="245"/>
      <c r="H353" s="245"/>
      <c r="I353" s="245"/>
      <c r="J353" s="245"/>
      <c r="K353" s="245"/>
      <c r="L353" s="245"/>
      <c r="M353" s="245"/>
      <c r="N353" s="245"/>
    </row>
    <row r="354">
      <c r="A354" s="245"/>
      <c r="B354" s="245"/>
      <c r="C354" s="245"/>
      <c r="D354" s="245"/>
      <c r="E354" s="243"/>
      <c r="F354" s="245"/>
      <c r="G354" s="245"/>
      <c r="H354" s="245"/>
      <c r="I354" s="245"/>
      <c r="J354" s="245"/>
      <c r="K354" s="245"/>
      <c r="L354" s="245"/>
      <c r="M354" s="245"/>
      <c r="N354" s="245"/>
    </row>
    <row r="355">
      <c r="A355" s="245"/>
      <c r="B355" s="245"/>
      <c r="C355" s="245"/>
      <c r="D355" s="245"/>
      <c r="E355" s="243"/>
      <c r="F355" s="245"/>
      <c r="G355" s="245"/>
      <c r="H355" s="245"/>
      <c r="I355" s="245"/>
      <c r="J355" s="245"/>
      <c r="K355" s="245"/>
      <c r="L355" s="245"/>
      <c r="M355" s="245"/>
      <c r="N355" s="245"/>
    </row>
    <row r="356">
      <c r="A356" s="245"/>
      <c r="B356" s="245"/>
      <c r="C356" s="245"/>
      <c r="D356" s="245"/>
      <c r="E356" s="243"/>
      <c r="F356" s="245"/>
      <c r="G356" s="245"/>
      <c r="H356" s="245"/>
      <c r="I356" s="245"/>
      <c r="J356" s="245"/>
      <c r="K356" s="245"/>
      <c r="L356" s="245"/>
      <c r="M356" s="245"/>
      <c r="N356" s="245"/>
    </row>
    <row r="357">
      <c r="A357" s="245"/>
      <c r="B357" s="245"/>
      <c r="C357" s="245"/>
      <c r="D357" s="245"/>
      <c r="E357" s="243"/>
      <c r="F357" s="245"/>
      <c r="G357" s="245"/>
      <c r="H357" s="245"/>
      <c r="I357" s="245"/>
      <c r="J357" s="245"/>
      <c r="K357" s="245"/>
      <c r="L357" s="245"/>
      <c r="M357" s="245"/>
      <c r="N357" s="245"/>
    </row>
    <row r="358">
      <c r="A358" s="245"/>
      <c r="B358" s="245"/>
      <c r="C358" s="245"/>
      <c r="D358" s="245"/>
      <c r="E358" s="243"/>
      <c r="F358" s="245"/>
      <c r="G358" s="245"/>
      <c r="H358" s="245"/>
      <c r="I358" s="245"/>
      <c r="J358" s="245"/>
      <c r="K358" s="245"/>
      <c r="L358" s="245"/>
      <c r="M358" s="245"/>
      <c r="N358" s="245"/>
    </row>
    <row r="359">
      <c r="A359" s="245"/>
      <c r="B359" s="245"/>
      <c r="C359" s="245"/>
      <c r="D359" s="245"/>
      <c r="E359" s="243"/>
      <c r="F359" s="245"/>
      <c r="G359" s="245"/>
      <c r="H359" s="245"/>
      <c r="I359" s="245"/>
      <c r="J359" s="245"/>
      <c r="K359" s="245"/>
      <c r="L359" s="245"/>
      <c r="M359" s="245"/>
      <c r="N359" s="245"/>
    </row>
    <row r="360">
      <c r="A360" s="245"/>
      <c r="B360" s="245"/>
      <c r="C360" s="245"/>
      <c r="D360" s="245"/>
      <c r="E360" s="243"/>
      <c r="F360" s="245"/>
      <c r="G360" s="245"/>
      <c r="H360" s="245"/>
      <c r="I360" s="245"/>
      <c r="J360" s="245"/>
      <c r="K360" s="245"/>
      <c r="L360" s="245"/>
      <c r="M360" s="245"/>
      <c r="N360" s="245"/>
    </row>
    <row r="361">
      <c r="A361" s="245"/>
      <c r="B361" s="245"/>
      <c r="C361" s="245"/>
      <c r="D361" s="245"/>
      <c r="E361" s="243"/>
      <c r="F361" s="245"/>
      <c r="G361" s="245"/>
      <c r="H361" s="245"/>
      <c r="I361" s="245"/>
      <c r="J361" s="245"/>
      <c r="K361" s="245"/>
      <c r="L361" s="245"/>
      <c r="M361" s="245"/>
      <c r="N361" s="245"/>
    </row>
    <row r="362">
      <c r="A362" s="245"/>
      <c r="B362" s="245"/>
      <c r="C362" s="245"/>
      <c r="D362" s="245"/>
      <c r="E362" s="243"/>
      <c r="F362" s="245"/>
      <c r="G362" s="245"/>
      <c r="H362" s="245"/>
      <c r="I362" s="245"/>
      <c r="J362" s="245"/>
      <c r="K362" s="245"/>
      <c r="L362" s="245"/>
      <c r="M362" s="245"/>
      <c r="N362" s="245"/>
    </row>
    <row r="363">
      <c r="A363" s="245"/>
      <c r="B363" s="245"/>
      <c r="C363" s="245"/>
      <c r="D363" s="245"/>
      <c r="E363" s="243"/>
      <c r="F363" s="245"/>
      <c r="G363" s="245"/>
      <c r="H363" s="245"/>
      <c r="I363" s="245"/>
      <c r="J363" s="245"/>
      <c r="K363" s="245"/>
      <c r="L363" s="245"/>
      <c r="M363" s="245"/>
      <c r="N363" s="245"/>
    </row>
    <row r="364">
      <c r="A364" s="245"/>
      <c r="B364" s="245"/>
      <c r="C364" s="245"/>
      <c r="D364" s="245"/>
      <c r="E364" s="243"/>
      <c r="F364" s="245"/>
      <c r="G364" s="245"/>
      <c r="H364" s="245"/>
      <c r="I364" s="245"/>
      <c r="J364" s="245"/>
      <c r="K364" s="245"/>
      <c r="L364" s="245"/>
      <c r="M364" s="245"/>
      <c r="N364" s="245"/>
    </row>
    <row r="365">
      <c r="A365" s="245"/>
      <c r="B365" s="245"/>
      <c r="C365" s="245"/>
      <c r="D365" s="245"/>
      <c r="E365" s="243"/>
      <c r="F365" s="245"/>
      <c r="G365" s="245"/>
      <c r="H365" s="245"/>
      <c r="I365" s="245"/>
      <c r="J365" s="245"/>
      <c r="K365" s="245"/>
      <c r="L365" s="245"/>
      <c r="M365" s="245"/>
      <c r="N365" s="245"/>
    </row>
    <row r="366">
      <c r="A366" s="245"/>
      <c r="B366" s="245"/>
      <c r="C366" s="245"/>
      <c r="D366" s="245"/>
      <c r="E366" s="243"/>
      <c r="F366" s="245"/>
      <c r="G366" s="245"/>
      <c r="H366" s="245"/>
      <c r="I366" s="245"/>
      <c r="J366" s="245"/>
      <c r="K366" s="245"/>
      <c r="L366" s="245"/>
      <c r="M366" s="245"/>
      <c r="N366" s="245"/>
    </row>
    <row r="367">
      <c r="A367" s="245"/>
      <c r="B367" s="245"/>
      <c r="C367" s="245"/>
      <c r="D367" s="245"/>
      <c r="E367" s="243"/>
      <c r="F367" s="245"/>
      <c r="G367" s="245"/>
      <c r="H367" s="245"/>
      <c r="I367" s="245"/>
      <c r="J367" s="245"/>
      <c r="K367" s="245"/>
      <c r="L367" s="245"/>
      <c r="M367" s="245"/>
      <c r="N367" s="245"/>
    </row>
    <row r="368">
      <c r="A368" s="245"/>
      <c r="B368" s="245"/>
      <c r="C368" s="245"/>
      <c r="D368" s="245"/>
      <c r="E368" s="243"/>
      <c r="F368" s="245"/>
      <c r="G368" s="245"/>
      <c r="H368" s="245"/>
      <c r="I368" s="245"/>
      <c r="J368" s="245"/>
      <c r="K368" s="245"/>
      <c r="L368" s="245"/>
      <c r="M368" s="245"/>
      <c r="N368" s="245"/>
    </row>
    <row r="369">
      <c r="A369" s="245"/>
      <c r="B369" s="245"/>
      <c r="C369" s="245"/>
      <c r="D369" s="245"/>
      <c r="E369" s="243"/>
      <c r="F369" s="245"/>
      <c r="G369" s="245"/>
      <c r="H369" s="245"/>
      <c r="I369" s="245"/>
      <c r="J369" s="245"/>
      <c r="K369" s="245"/>
      <c r="L369" s="245"/>
      <c r="M369" s="245"/>
      <c r="N369" s="245"/>
    </row>
    <row r="370">
      <c r="A370" s="245"/>
      <c r="B370" s="245"/>
      <c r="C370" s="245"/>
      <c r="D370" s="245"/>
      <c r="E370" s="243"/>
      <c r="F370" s="245"/>
      <c r="G370" s="245"/>
      <c r="H370" s="245"/>
      <c r="I370" s="245"/>
      <c r="J370" s="245"/>
      <c r="K370" s="245"/>
      <c r="L370" s="245"/>
      <c r="M370" s="245"/>
      <c r="N370" s="245"/>
    </row>
    <row r="371">
      <c r="A371" s="245"/>
      <c r="B371" s="245"/>
      <c r="C371" s="245"/>
      <c r="D371" s="245"/>
      <c r="E371" s="243"/>
      <c r="F371" s="245"/>
      <c r="G371" s="245"/>
      <c r="H371" s="245"/>
      <c r="I371" s="245"/>
      <c r="J371" s="245"/>
      <c r="K371" s="245"/>
      <c r="L371" s="245"/>
      <c r="M371" s="245"/>
      <c r="N371" s="245"/>
    </row>
    <row r="372">
      <c r="A372" s="245"/>
      <c r="B372" s="245"/>
      <c r="C372" s="245"/>
      <c r="D372" s="245"/>
      <c r="E372" s="243"/>
      <c r="F372" s="245"/>
      <c r="G372" s="245"/>
      <c r="H372" s="245"/>
      <c r="I372" s="245"/>
      <c r="J372" s="245"/>
      <c r="K372" s="245"/>
      <c r="L372" s="245"/>
      <c r="M372" s="245"/>
      <c r="N372" s="245"/>
    </row>
    <row r="373">
      <c r="A373" s="245"/>
      <c r="B373" s="245"/>
      <c r="C373" s="245"/>
      <c r="D373" s="245"/>
      <c r="E373" s="243"/>
      <c r="F373" s="245"/>
      <c r="G373" s="245"/>
      <c r="H373" s="245"/>
      <c r="I373" s="245"/>
      <c r="J373" s="245"/>
      <c r="K373" s="245"/>
      <c r="L373" s="245"/>
      <c r="M373" s="245"/>
      <c r="N373" s="245"/>
    </row>
    <row r="374">
      <c r="A374" s="245"/>
      <c r="B374" s="245"/>
      <c r="C374" s="245"/>
      <c r="D374" s="245"/>
      <c r="E374" s="243"/>
      <c r="F374" s="245"/>
      <c r="G374" s="245"/>
      <c r="H374" s="245"/>
      <c r="I374" s="245"/>
      <c r="J374" s="245"/>
      <c r="K374" s="245"/>
      <c r="L374" s="245"/>
      <c r="M374" s="245"/>
      <c r="N374" s="245"/>
    </row>
    <row r="375">
      <c r="A375" s="245"/>
      <c r="B375" s="245"/>
      <c r="C375" s="245"/>
      <c r="D375" s="245"/>
      <c r="E375" s="243"/>
      <c r="F375" s="245"/>
      <c r="G375" s="245"/>
      <c r="H375" s="245"/>
      <c r="I375" s="245"/>
      <c r="J375" s="245"/>
      <c r="K375" s="245"/>
      <c r="L375" s="245"/>
      <c r="M375" s="245"/>
      <c r="N375" s="245"/>
    </row>
    <row r="376">
      <c r="A376" s="245"/>
      <c r="B376" s="245"/>
      <c r="C376" s="245"/>
      <c r="D376" s="245"/>
      <c r="E376" s="243"/>
      <c r="F376" s="245"/>
      <c r="G376" s="245"/>
      <c r="H376" s="245"/>
      <c r="I376" s="245"/>
      <c r="J376" s="245"/>
      <c r="K376" s="245"/>
      <c r="L376" s="245"/>
      <c r="M376" s="245"/>
      <c r="N376" s="245"/>
    </row>
    <row r="377">
      <c r="A377" s="245"/>
      <c r="B377" s="245"/>
      <c r="C377" s="245"/>
      <c r="D377" s="245"/>
      <c r="E377" s="243"/>
      <c r="F377" s="245"/>
      <c r="G377" s="245"/>
      <c r="H377" s="245"/>
      <c r="I377" s="245"/>
      <c r="J377" s="245"/>
      <c r="K377" s="245"/>
      <c r="L377" s="245"/>
      <c r="M377" s="245"/>
      <c r="N377" s="245"/>
    </row>
    <row r="378">
      <c r="A378" s="245"/>
      <c r="B378" s="245"/>
      <c r="C378" s="245"/>
      <c r="D378" s="245"/>
      <c r="E378" s="243"/>
      <c r="F378" s="245"/>
      <c r="G378" s="245"/>
      <c r="H378" s="245"/>
      <c r="I378" s="245"/>
      <c r="J378" s="245"/>
      <c r="K378" s="245"/>
      <c r="L378" s="245"/>
      <c r="M378" s="245"/>
      <c r="N378" s="245"/>
    </row>
    <row r="379">
      <c r="A379" s="245"/>
      <c r="B379" s="245"/>
      <c r="C379" s="245"/>
      <c r="D379" s="245"/>
      <c r="E379" s="243"/>
      <c r="F379" s="245"/>
      <c r="G379" s="245"/>
      <c r="H379" s="245"/>
      <c r="I379" s="245"/>
      <c r="J379" s="245"/>
      <c r="K379" s="245"/>
      <c r="L379" s="245"/>
      <c r="M379" s="245"/>
      <c r="N379" s="245"/>
    </row>
    <row r="380">
      <c r="A380" s="245"/>
      <c r="B380" s="245"/>
      <c r="C380" s="245"/>
      <c r="D380" s="245"/>
      <c r="E380" s="243"/>
      <c r="F380" s="245"/>
      <c r="G380" s="245"/>
      <c r="H380" s="245"/>
      <c r="I380" s="245"/>
      <c r="J380" s="245"/>
      <c r="K380" s="245"/>
      <c r="L380" s="245"/>
      <c r="M380" s="245"/>
      <c r="N380" s="245"/>
    </row>
    <row r="381">
      <c r="A381" s="245"/>
      <c r="B381" s="245"/>
      <c r="C381" s="245"/>
      <c r="D381" s="245"/>
      <c r="E381" s="243"/>
      <c r="F381" s="245"/>
      <c r="G381" s="245"/>
      <c r="H381" s="245"/>
      <c r="I381" s="245"/>
      <c r="J381" s="245"/>
      <c r="K381" s="245"/>
      <c r="L381" s="245"/>
      <c r="M381" s="245"/>
      <c r="N381" s="245"/>
    </row>
    <row r="382">
      <c r="A382" s="245"/>
      <c r="B382" s="245"/>
      <c r="C382" s="245"/>
      <c r="D382" s="245"/>
      <c r="E382" s="243"/>
      <c r="F382" s="245"/>
      <c r="G382" s="245"/>
      <c r="H382" s="245"/>
      <c r="I382" s="245"/>
      <c r="J382" s="245"/>
      <c r="K382" s="245"/>
      <c r="L382" s="245"/>
      <c r="M382" s="245"/>
      <c r="N382" s="245"/>
    </row>
    <row r="383">
      <c r="A383" s="245"/>
      <c r="B383" s="245"/>
      <c r="C383" s="245"/>
      <c r="D383" s="245"/>
      <c r="E383" s="243"/>
      <c r="F383" s="245"/>
      <c r="G383" s="245"/>
      <c r="H383" s="245"/>
      <c r="I383" s="245"/>
      <c r="J383" s="245"/>
      <c r="K383" s="245"/>
      <c r="L383" s="245"/>
      <c r="M383" s="245"/>
      <c r="N383" s="245"/>
    </row>
    <row r="384">
      <c r="A384" s="245"/>
      <c r="B384" s="245"/>
      <c r="C384" s="245"/>
      <c r="D384" s="245"/>
      <c r="E384" s="243"/>
      <c r="F384" s="245"/>
      <c r="G384" s="245"/>
      <c r="H384" s="245"/>
      <c r="I384" s="245"/>
      <c r="J384" s="245"/>
      <c r="K384" s="245"/>
      <c r="L384" s="245"/>
      <c r="M384" s="245"/>
      <c r="N384" s="245"/>
    </row>
    <row r="385">
      <c r="A385" s="245"/>
      <c r="B385" s="245"/>
      <c r="C385" s="245"/>
      <c r="D385" s="245"/>
      <c r="E385" s="243"/>
      <c r="F385" s="245"/>
      <c r="G385" s="245"/>
      <c r="H385" s="245"/>
      <c r="I385" s="245"/>
      <c r="J385" s="245"/>
      <c r="K385" s="245"/>
      <c r="L385" s="245"/>
      <c r="M385" s="245"/>
      <c r="N385" s="245"/>
    </row>
    <row r="386">
      <c r="A386" s="245"/>
      <c r="B386" s="245"/>
      <c r="C386" s="245"/>
      <c r="D386" s="245"/>
      <c r="E386" s="243"/>
      <c r="F386" s="245"/>
      <c r="G386" s="245"/>
      <c r="H386" s="245"/>
      <c r="I386" s="245"/>
      <c r="J386" s="245"/>
      <c r="K386" s="245"/>
      <c r="L386" s="245"/>
      <c r="M386" s="245"/>
      <c r="N386" s="245"/>
    </row>
    <row r="387">
      <c r="A387" s="245"/>
      <c r="B387" s="245"/>
      <c r="C387" s="245"/>
      <c r="D387" s="245"/>
      <c r="E387" s="243"/>
      <c r="F387" s="245"/>
      <c r="G387" s="245"/>
      <c r="H387" s="245"/>
      <c r="I387" s="245"/>
      <c r="J387" s="245"/>
      <c r="K387" s="245"/>
      <c r="L387" s="245"/>
      <c r="M387" s="245"/>
      <c r="N387" s="245"/>
    </row>
    <row r="388">
      <c r="A388" s="245"/>
      <c r="B388" s="245"/>
      <c r="C388" s="245"/>
      <c r="D388" s="245"/>
      <c r="E388" s="243"/>
      <c r="F388" s="245"/>
      <c r="G388" s="245"/>
      <c r="H388" s="245"/>
      <c r="I388" s="245"/>
      <c r="J388" s="245"/>
      <c r="K388" s="245"/>
      <c r="L388" s="245"/>
      <c r="M388" s="245"/>
      <c r="N388" s="245"/>
    </row>
    <row r="389">
      <c r="A389" s="245"/>
      <c r="B389" s="245"/>
      <c r="C389" s="245"/>
      <c r="D389" s="245"/>
      <c r="E389" s="243"/>
      <c r="F389" s="245"/>
      <c r="G389" s="245"/>
      <c r="H389" s="245"/>
      <c r="I389" s="245"/>
      <c r="J389" s="245"/>
      <c r="K389" s="245"/>
      <c r="L389" s="245"/>
      <c r="M389" s="245"/>
      <c r="N389" s="245"/>
    </row>
    <row r="390">
      <c r="A390" s="245"/>
      <c r="B390" s="245"/>
      <c r="C390" s="245"/>
      <c r="D390" s="245"/>
      <c r="E390" s="243"/>
      <c r="F390" s="245"/>
      <c r="G390" s="245"/>
      <c r="H390" s="245"/>
      <c r="I390" s="245"/>
      <c r="J390" s="245"/>
      <c r="K390" s="245"/>
      <c r="L390" s="245"/>
      <c r="M390" s="245"/>
      <c r="N390" s="245"/>
    </row>
    <row r="391">
      <c r="A391" s="245"/>
      <c r="B391" s="245"/>
      <c r="C391" s="245"/>
      <c r="D391" s="245"/>
      <c r="E391" s="243"/>
      <c r="F391" s="245"/>
      <c r="G391" s="245"/>
      <c r="H391" s="245"/>
      <c r="I391" s="245"/>
      <c r="J391" s="245"/>
      <c r="K391" s="245"/>
      <c r="L391" s="245"/>
      <c r="M391" s="245"/>
      <c r="N391" s="245"/>
    </row>
    <row r="392">
      <c r="A392" s="245"/>
      <c r="B392" s="245"/>
      <c r="C392" s="245"/>
      <c r="D392" s="245"/>
      <c r="E392" s="243"/>
      <c r="F392" s="245"/>
      <c r="G392" s="245"/>
      <c r="H392" s="245"/>
      <c r="I392" s="245"/>
      <c r="J392" s="245"/>
      <c r="K392" s="245"/>
      <c r="L392" s="245"/>
      <c r="M392" s="245"/>
      <c r="N392" s="245"/>
    </row>
    <row r="393">
      <c r="A393" s="245"/>
      <c r="B393" s="245"/>
      <c r="C393" s="245"/>
      <c r="D393" s="245"/>
      <c r="E393" s="243"/>
      <c r="F393" s="245"/>
      <c r="G393" s="245"/>
      <c r="H393" s="245"/>
      <c r="I393" s="245"/>
      <c r="J393" s="245"/>
      <c r="K393" s="245"/>
      <c r="L393" s="245"/>
      <c r="M393" s="245"/>
      <c r="N393" s="245"/>
    </row>
    <row r="394">
      <c r="A394" s="245"/>
      <c r="B394" s="245"/>
      <c r="C394" s="245"/>
      <c r="D394" s="245"/>
      <c r="E394" s="243"/>
      <c r="F394" s="245"/>
      <c r="G394" s="245"/>
      <c r="H394" s="245"/>
      <c r="I394" s="245"/>
      <c r="J394" s="245"/>
      <c r="K394" s="245"/>
      <c r="L394" s="245"/>
      <c r="M394" s="245"/>
      <c r="N394" s="245"/>
    </row>
    <row r="395">
      <c r="A395" s="245"/>
      <c r="B395" s="245"/>
      <c r="C395" s="245"/>
      <c r="D395" s="245"/>
      <c r="E395" s="243"/>
      <c r="F395" s="245"/>
      <c r="G395" s="245"/>
      <c r="H395" s="245"/>
      <c r="I395" s="245"/>
      <c r="J395" s="245"/>
      <c r="K395" s="245"/>
      <c r="L395" s="245"/>
      <c r="M395" s="245"/>
      <c r="N395" s="245"/>
    </row>
    <row r="396">
      <c r="A396" s="245"/>
      <c r="B396" s="245"/>
      <c r="C396" s="245"/>
      <c r="D396" s="245"/>
      <c r="E396" s="243"/>
      <c r="F396" s="245"/>
      <c r="G396" s="245"/>
      <c r="H396" s="245"/>
      <c r="I396" s="245"/>
      <c r="J396" s="245"/>
      <c r="K396" s="245"/>
      <c r="L396" s="245"/>
      <c r="M396" s="245"/>
      <c r="N396" s="245"/>
    </row>
    <row r="397">
      <c r="A397" s="245"/>
      <c r="B397" s="245"/>
      <c r="C397" s="245"/>
      <c r="D397" s="245"/>
      <c r="E397" s="243"/>
      <c r="F397" s="245"/>
      <c r="G397" s="245"/>
      <c r="H397" s="245"/>
      <c r="I397" s="245"/>
      <c r="J397" s="245"/>
      <c r="K397" s="245"/>
      <c r="L397" s="245"/>
      <c r="M397" s="245"/>
      <c r="N397" s="245"/>
    </row>
    <row r="398">
      <c r="A398" s="245"/>
      <c r="B398" s="245"/>
      <c r="C398" s="245"/>
      <c r="D398" s="245"/>
      <c r="E398" s="243"/>
      <c r="F398" s="245"/>
      <c r="G398" s="245"/>
      <c r="H398" s="245"/>
      <c r="I398" s="245"/>
      <c r="J398" s="245"/>
      <c r="K398" s="245"/>
      <c r="L398" s="245"/>
      <c r="M398" s="245"/>
      <c r="N398" s="245"/>
    </row>
    <row r="399">
      <c r="A399" s="245"/>
      <c r="B399" s="245"/>
      <c r="C399" s="245"/>
      <c r="D399" s="245"/>
      <c r="E399" s="243"/>
      <c r="F399" s="245"/>
      <c r="G399" s="245"/>
      <c r="H399" s="245"/>
      <c r="I399" s="245"/>
      <c r="J399" s="245"/>
      <c r="K399" s="245"/>
      <c r="L399" s="245"/>
      <c r="M399" s="245"/>
      <c r="N399" s="245"/>
    </row>
    <row r="400">
      <c r="A400" s="245"/>
      <c r="B400" s="245"/>
      <c r="C400" s="245"/>
      <c r="D400" s="245"/>
      <c r="E400" s="243"/>
      <c r="F400" s="245"/>
      <c r="G400" s="245"/>
      <c r="H400" s="245"/>
      <c r="I400" s="245"/>
      <c r="J400" s="245"/>
      <c r="K400" s="245"/>
      <c r="L400" s="245"/>
      <c r="M400" s="245"/>
      <c r="N400" s="245"/>
    </row>
    <row r="401">
      <c r="A401" s="245"/>
      <c r="B401" s="245"/>
      <c r="C401" s="245"/>
      <c r="D401" s="245"/>
      <c r="E401" s="243"/>
      <c r="F401" s="245"/>
      <c r="G401" s="245"/>
      <c r="H401" s="245"/>
      <c r="I401" s="245"/>
      <c r="J401" s="245"/>
      <c r="K401" s="245"/>
      <c r="L401" s="245"/>
      <c r="M401" s="245"/>
      <c r="N401" s="245"/>
    </row>
    <row r="402">
      <c r="A402" s="245"/>
      <c r="B402" s="245"/>
      <c r="C402" s="245"/>
      <c r="D402" s="245"/>
      <c r="E402" s="243"/>
      <c r="F402" s="245"/>
      <c r="G402" s="245"/>
      <c r="H402" s="245"/>
      <c r="I402" s="245"/>
      <c r="J402" s="245"/>
      <c r="K402" s="245"/>
      <c r="L402" s="245"/>
      <c r="M402" s="245"/>
      <c r="N402" s="245"/>
    </row>
    <row r="403">
      <c r="A403" s="245"/>
      <c r="B403" s="245"/>
      <c r="C403" s="245"/>
      <c r="D403" s="245"/>
      <c r="E403" s="243"/>
      <c r="F403" s="245"/>
      <c r="G403" s="245"/>
      <c r="H403" s="245"/>
      <c r="I403" s="245"/>
      <c r="J403" s="245"/>
      <c r="K403" s="245"/>
      <c r="L403" s="245"/>
      <c r="M403" s="245"/>
      <c r="N403" s="245"/>
    </row>
    <row r="404">
      <c r="A404" s="245"/>
      <c r="B404" s="245"/>
      <c r="C404" s="245"/>
      <c r="D404" s="245"/>
      <c r="E404" s="243"/>
      <c r="F404" s="245"/>
      <c r="G404" s="245"/>
      <c r="H404" s="245"/>
      <c r="I404" s="245"/>
      <c r="J404" s="245"/>
      <c r="K404" s="245"/>
      <c r="L404" s="245"/>
      <c r="M404" s="245"/>
      <c r="N404" s="245"/>
    </row>
    <row r="405">
      <c r="A405" s="245"/>
      <c r="B405" s="245"/>
      <c r="C405" s="245"/>
      <c r="D405" s="245"/>
      <c r="E405" s="243"/>
      <c r="F405" s="245"/>
      <c r="G405" s="245"/>
      <c r="H405" s="245"/>
      <c r="I405" s="245"/>
      <c r="J405" s="245"/>
      <c r="K405" s="245"/>
      <c r="L405" s="245"/>
      <c r="M405" s="245"/>
      <c r="N405" s="245"/>
    </row>
    <row r="406">
      <c r="A406" s="245"/>
      <c r="B406" s="245"/>
      <c r="C406" s="245"/>
      <c r="D406" s="245"/>
      <c r="E406" s="243"/>
      <c r="F406" s="245"/>
      <c r="G406" s="245"/>
      <c r="H406" s="245"/>
      <c r="I406" s="245"/>
      <c r="J406" s="245"/>
      <c r="K406" s="245"/>
      <c r="L406" s="245"/>
      <c r="M406" s="245"/>
      <c r="N406" s="245"/>
    </row>
    <row r="407">
      <c r="A407" s="245"/>
      <c r="B407" s="245"/>
      <c r="C407" s="245"/>
      <c r="D407" s="245"/>
      <c r="E407" s="243"/>
      <c r="F407" s="245"/>
      <c r="G407" s="245"/>
      <c r="H407" s="245"/>
      <c r="I407" s="245"/>
      <c r="J407" s="245"/>
      <c r="K407" s="245"/>
      <c r="L407" s="245"/>
      <c r="M407" s="245"/>
      <c r="N407" s="245"/>
    </row>
    <row r="408">
      <c r="A408" s="245"/>
      <c r="B408" s="245"/>
      <c r="C408" s="245"/>
      <c r="D408" s="245"/>
      <c r="E408" s="243"/>
      <c r="F408" s="245"/>
      <c r="G408" s="245"/>
      <c r="H408" s="245"/>
      <c r="I408" s="245"/>
      <c r="J408" s="245"/>
      <c r="K408" s="245"/>
      <c r="L408" s="245"/>
      <c r="M408" s="245"/>
      <c r="N408" s="245"/>
    </row>
    <row r="409">
      <c r="A409" s="245"/>
      <c r="B409" s="245"/>
      <c r="C409" s="245"/>
      <c r="D409" s="245"/>
      <c r="E409" s="243"/>
      <c r="F409" s="245"/>
      <c r="G409" s="245"/>
      <c r="H409" s="245"/>
      <c r="I409" s="245"/>
      <c r="J409" s="245"/>
      <c r="K409" s="245"/>
      <c r="L409" s="245"/>
      <c r="M409" s="245"/>
      <c r="N409" s="245"/>
    </row>
    <row r="410">
      <c r="A410" s="245"/>
      <c r="B410" s="245"/>
      <c r="C410" s="245"/>
      <c r="D410" s="245"/>
      <c r="E410" s="243"/>
      <c r="F410" s="245"/>
      <c r="G410" s="245"/>
      <c r="H410" s="245"/>
      <c r="I410" s="245"/>
      <c r="J410" s="245"/>
      <c r="K410" s="245"/>
      <c r="L410" s="245"/>
      <c r="M410" s="245"/>
      <c r="N410" s="245"/>
    </row>
    <row r="411">
      <c r="A411" s="245"/>
      <c r="B411" s="245"/>
      <c r="C411" s="245"/>
      <c r="D411" s="245"/>
      <c r="E411" s="243"/>
      <c r="F411" s="245"/>
      <c r="G411" s="245"/>
      <c r="H411" s="245"/>
      <c r="I411" s="245"/>
      <c r="J411" s="245"/>
      <c r="K411" s="245"/>
      <c r="L411" s="245"/>
      <c r="M411" s="245"/>
      <c r="N411" s="245"/>
    </row>
    <row r="412">
      <c r="A412" s="245"/>
      <c r="B412" s="245"/>
      <c r="C412" s="245"/>
      <c r="D412" s="245"/>
      <c r="E412" s="243"/>
      <c r="F412" s="245"/>
      <c r="G412" s="245"/>
      <c r="H412" s="245"/>
      <c r="I412" s="245"/>
      <c r="J412" s="245"/>
      <c r="K412" s="245"/>
      <c r="L412" s="245"/>
      <c r="M412" s="245"/>
      <c r="N412" s="245"/>
    </row>
    <row r="413">
      <c r="A413" s="245"/>
      <c r="B413" s="245"/>
      <c r="C413" s="245"/>
      <c r="D413" s="245"/>
      <c r="E413" s="243"/>
      <c r="F413" s="245"/>
      <c r="G413" s="245"/>
      <c r="H413" s="245"/>
      <c r="I413" s="245"/>
      <c r="J413" s="245"/>
      <c r="K413" s="245"/>
      <c r="L413" s="245"/>
      <c r="M413" s="245"/>
      <c r="N413" s="245"/>
    </row>
    <row r="414">
      <c r="A414" s="245"/>
      <c r="B414" s="245"/>
      <c r="C414" s="245"/>
      <c r="D414" s="245"/>
      <c r="E414" s="243"/>
      <c r="F414" s="245"/>
      <c r="G414" s="245"/>
      <c r="H414" s="245"/>
      <c r="I414" s="245"/>
      <c r="J414" s="245"/>
      <c r="K414" s="245"/>
      <c r="L414" s="245"/>
      <c r="M414" s="245"/>
      <c r="N414" s="245"/>
    </row>
    <row r="415">
      <c r="A415" s="245"/>
      <c r="B415" s="245"/>
      <c r="C415" s="245"/>
      <c r="D415" s="245"/>
      <c r="E415" s="243"/>
      <c r="F415" s="245"/>
      <c r="G415" s="245"/>
      <c r="H415" s="245"/>
      <c r="I415" s="245"/>
      <c r="J415" s="245"/>
      <c r="K415" s="245"/>
      <c r="L415" s="245"/>
      <c r="M415" s="245"/>
      <c r="N415" s="245"/>
    </row>
    <row r="416">
      <c r="A416" s="245"/>
      <c r="B416" s="245"/>
      <c r="C416" s="245"/>
      <c r="D416" s="245"/>
      <c r="E416" s="243"/>
      <c r="F416" s="245"/>
      <c r="G416" s="245"/>
      <c r="H416" s="245"/>
      <c r="I416" s="245"/>
      <c r="J416" s="245"/>
      <c r="K416" s="245"/>
      <c r="L416" s="245"/>
      <c r="M416" s="245"/>
      <c r="N416" s="245"/>
    </row>
    <row r="417">
      <c r="A417" s="245"/>
      <c r="B417" s="245"/>
      <c r="C417" s="245"/>
      <c r="D417" s="245"/>
      <c r="E417" s="243"/>
      <c r="F417" s="245"/>
      <c r="G417" s="245"/>
      <c r="H417" s="245"/>
      <c r="I417" s="245"/>
      <c r="J417" s="245"/>
      <c r="K417" s="245"/>
      <c r="L417" s="245"/>
      <c r="M417" s="245"/>
      <c r="N417" s="245"/>
    </row>
    <row r="418">
      <c r="A418" s="245"/>
      <c r="B418" s="245"/>
      <c r="C418" s="245"/>
      <c r="D418" s="245"/>
      <c r="E418" s="243"/>
      <c r="F418" s="245"/>
      <c r="G418" s="245"/>
      <c r="H418" s="245"/>
      <c r="I418" s="245"/>
      <c r="J418" s="245"/>
      <c r="K418" s="245"/>
      <c r="L418" s="245"/>
      <c r="M418" s="245"/>
      <c r="N418" s="245"/>
    </row>
    <row r="419">
      <c r="A419" s="245"/>
      <c r="B419" s="245"/>
      <c r="C419" s="245"/>
      <c r="D419" s="245"/>
      <c r="E419" s="243"/>
      <c r="F419" s="245"/>
      <c r="G419" s="245"/>
      <c r="H419" s="245"/>
      <c r="I419" s="245"/>
      <c r="J419" s="245"/>
      <c r="K419" s="245"/>
      <c r="L419" s="245"/>
      <c r="M419" s="245"/>
      <c r="N419" s="245"/>
    </row>
    <row r="420">
      <c r="A420" s="245"/>
      <c r="B420" s="245"/>
      <c r="C420" s="245"/>
      <c r="D420" s="245"/>
      <c r="E420" s="243"/>
      <c r="F420" s="245"/>
      <c r="G420" s="245"/>
      <c r="H420" s="245"/>
      <c r="I420" s="245"/>
      <c r="J420" s="245"/>
      <c r="K420" s="245"/>
      <c r="L420" s="245"/>
      <c r="M420" s="245"/>
      <c r="N420" s="245"/>
    </row>
    <row r="421">
      <c r="A421" s="245"/>
      <c r="B421" s="245"/>
      <c r="C421" s="245"/>
      <c r="D421" s="245"/>
      <c r="E421" s="243"/>
      <c r="F421" s="245"/>
      <c r="G421" s="245"/>
      <c r="H421" s="245"/>
      <c r="I421" s="245"/>
      <c r="J421" s="245"/>
      <c r="K421" s="245"/>
      <c r="L421" s="245"/>
      <c r="M421" s="245"/>
      <c r="N421" s="245"/>
    </row>
    <row r="422">
      <c r="A422" s="245"/>
      <c r="B422" s="245"/>
      <c r="C422" s="245"/>
      <c r="D422" s="245"/>
      <c r="E422" s="243"/>
      <c r="F422" s="245"/>
      <c r="G422" s="245"/>
      <c r="H422" s="245"/>
      <c r="I422" s="245"/>
      <c r="J422" s="245"/>
      <c r="K422" s="245"/>
      <c r="L422" s="245"/>
      <c r="M422" s="245"/>
      <c r="N422" s="245"/>
    </row>
    <row r="423">
      <c r="A423" s="245"/>
      <c r="B423" s="245"/>
      <c r="C423" s="245"/>
      <c r="D423" s="245"/>
      <c r="E423" s="243"/>
      <c r="F423" s="245"/>
      <c r="G423" s="245"/>
      <c r="H423" s="245"/>
      <c r="I423" s="245"/>
      <c r="J423" s="245"/>
      <c r="K423" s="245"/>
      <c r="L423" s="245"/>
      <c r="M423" s="245"/>
      <c r="N423" s="245"/>
    </row>
    <row r="424">
      <c r="A424" s="245"/>
      <c r="B424" s="245"/>
      <c r="C424" s="245"/>
      <c r="D424" s="245"/>
      <c r="E424" s="243"/>
      <c r="F424" s="245"/>
      <c r="G424" s="245"/>
      <c r="H424" s="245"/>
      <c r="I424" s="245"/>
      <c r="J424" s="245"/>
      <c r="K424" s="245"/>
      <c r="L424" s="245"/>
      <c r="M424" s="245"/>
      <c r="N424" s="245"/>
    </row>
    <row r="425">
      <c r="A425" s="245"/>
      <c r="B425" s="245"/>
      <c r="C425" s="245"/>
      <c r="D425" s="245"/>
      <c r="E425" s="243"/>
      <c r="F425" s="245"/>
      <c r="G425" s="245"/>
      <c r="H425" s="245"/>
      <c r="I425" s="245"/>
      <c r="J425" s="245"/>
      <c r="K425" s="245"/>
      <c r="L425" s="245"/>
      <c r="M425" s="245"/>
      <c r="N425" s="245"/>
    </row>
    <row r="426">
      <c r="A426" s="245"/>
      <c r="B426" s="245"/>
      <c r="C426" s="245"/>
      <c r="D426" s="245"/>
      <c r="E426" s="243"/>
      <c r="F426" s="245"/>
      <c r="G426" s="245"/>
      <c r="H426" s="245"/>
      <c r="I426" s="245"/>
      <c r="J426" s="245"/>
      <c r="K426" s="245"/>
      <c r="L426" s="245"/>
      <c r="M426" s="245"/>
      <c r="N426" s="245"/>
    </row>
    <row r="427">
      <c r="A427" s="245"/>
      <c r="B427" s="245"/>
      <c r="C427" s="245"/>
      <c r="D427" s="245"/>
      <c r="E427" s="243"/>
      <c r="F427" s="245"/>
      <c r="G427" s="245"/>
      <c r="H427" s="245"/>
      <c r="I427" s="245"/>
      <c r="J427" s="245"/>
      <c r="K427" s="245"/>
      <c r="L427" s="245"/>
      <c r="M427" s="245"/>
      <c r="N427" s="245"/>
    </row>
    <row r="428">
      <c r="A428" s="245"/>
      <c r="B428" s="245"/>
      <c r="C428" s="245"/>
      <c r="D428" s="245"/>
      <c r="E428" s="243"/>
      <c r="F428" s="245"/>
      <c r="G428" s="245"/>
      <c r="H428" s="245"/>
      <c r="I428" s="245"/>
      <c r="J428" s="245"/>
      <c r="K428" s="245"/>
      <c r="L428" s="245"/>
      <c r="M428" s="245"/>
      <c r="N428" s="245"/>
    </row>
    <row r="429">
      <c r="A429" s="245"/>
      <c r="B429" s="245"/>
      <c r="C429" s="245"/>
      <c r="D429" s="245"/>
      <c r="E429" s="243"/>
      <c r="F429" s="245"/>
      <c r="G429" s="245"/>
      <c r="H429" s="245"/>
      <c r="I429" s="245"/>
      <c r="J429" s="245"/>
      <c r="K429" s="245"/>
      <c r="L429" s="245"/>
      <c r="M429" s="245"/>
      <c r="N429" s="245"/>
    </row>
    <row r="430">
      <c r="A430" s="245"/>
      <c r="B430" s="245"/>
      <c r="C430" s="245"/>
      <c r="D430" s="245"/>
      <c r="E430" s="243"/>
      <c r="F430" s="245"/>
      <c r="G430" s="245"/>
      <c r="H430" s="245"/>
      <c r="I430" s="245"/>
      <c r="J430" s="245"/>
      <c r="K430" s="245"/>
      <c r="L430" s="245"/>
      <c r="M430" s="245"/>
      <c r="N430" s="245"/>
    </row>
    <row r="431">
      <c r="A431" s="245"/>
      <c r="B431" s="245"/>
      <c r="C431" s="245"/>
      <c r="D431" s="245"/>
      <c r="E431" s="243"/>
      <c r="F431" s="245"/>
      <c r="G431" s="245"/>
      <c r="H431" s="245"/>
      <c r="I431" s="245"/>
      <c r="J431" s="245"/>
      <c r="K431" s="245"/>
      <c r="L431" s="245"/>
      <c r="M431" s="245"/>
      <c r="N431" s="245"/>
    </row>
    <row r="432">
      <c r="A432" s="245"/>
      <c r="B432" s="245"/>
      <c r="C432" s="245"/>
      <c r="D432" s="245"/>
      <c r="E432" s="243"/>
      <c r="F432" s="245"/>
      <c r="G432" s="245"/>
      <c r="H432" s="245"/>
      <c r="I432" s="245"/>
      <c r="J432" s="245"/>
      <c r="K432" s="245"/>
      <c r="L432" s="245"/>
      <c r="M432" s="245"/>
      <c r="N432" s="245"/>
    </row>
    <row r="433">
      <c r="A433" s="245"/>
      <c r="B433" s="245"/>
      <c r="C433" s="245"/>
      <c r="D433" s="245"/>
      <c r="E433" s="243"/>
      <c r="F433" s="245"/>
      <c r="G433" s="245"/>
      <c r="H433" s="245"/>
      <c r="I433" s="245"/>
      <c r="J433" s="245"/>
      <c r="K433" s="245"/>
      <c r="L433" s="245"/>
      <c r="M433" s="245"/>
      <c r="N433" s="245"/>
    </row>
    <row r="434">
      <c r="E434" s="247"/>
      <c r="H434" s="246"/>
      <c r="I434" s="246"/>
    </row>
    <row r="435">
      <c r="E435" s="247"/>
      <c r="H435" s="246"/>
      <c r="I435" s="246"/>
    </row>
    <row r="436">
      <c r="E436" s="247"/>
      <c r="H436" s="246"/>
      <c r="I436" s="246"/>
    </row>
    <row r="437">
      <c r="E437" s="247"/>
      <c r="H437" s="246"/>
      <c r="I437" s="246"/>
    </row>
    <row r="438">
      <c r="E438" s="247"/>
      <c r="H438" s="246"/>
      <c r="I438" s="246"/>
    </row>
    <row r="439">
      <c r="E439" s="247"/>
      <c r="H439" s="246"/>
      <c r="I439" s="246"/>
    </row>
    <row r="440">
      <c r="E440" s="247"/>
      <c r="H440" s="246"/>
      <c r="I440" s="246"/>
    </row>
    <row r="441">
      <c r="E441" s="247"/>
      <c r="H441" s="246"/>
      <c r="I441" s="246"/>
    </row>
    <row r="442">
      <c r="E442" s="247"/>
      <c r="H442" s="246"/>
      <c r="I442" s="246"/>
    </row>
    <row r="443">
      <c r="E443" s="247"/>
      <c r="H443" s="246"/>
      <c r="I443" s="246"/>
    </row>
    <row r="444">
      <c r="E444" s="247"/>
      <c r="H444" s="246"/>
      <c r="I444" s="246"/>
    </row>
    <row r="445">
      <c r="E445" s="247"/>
      <c r="H445" s="246"/>
      <c r="I445" s="246"/>
    </row>
    <row r="446">
      <c r="E446" s="247"/>
      <c r="H446" s="246"/>
      <c r="I446" s="246"/>
    </row>
    <row r="447">
      <c r="E447" s="247"/>
      <c r="H447" s="246"/>
      <c r="I447" s="246"/>
    </row>
    <row r="448">
      <c r="E448" s="247"/>
      <c r="H448" s="246"/>
      <c r="I448" s="246"/>
    </row>
    <row r="449">
      <c r="E449" s="247"/>
      <c r="H449" s="246"/>
      <c r="I449" s="246"/>
    </row>
    <row r="450">
      <c r="E450" s="247"/>
      <c r="H450" s="246"/>
      <c r="I450" s="246"/>
    </row>
    <row r="451">
      <c r="E451" s="247"/>
      <c r="H451" s="246"/>
      <c r="I451" s="246"/>
    </row>
    <row r="452">
      <c r="E452" s="247"/>
      <c r="H452" s="246"/>
      <c r="I452" s="246"/>
    </row>
    <row r="453">
      <c r="E453" s="247"/>
      <c r="H453" s="246"/>
      <c r="I453" s="246"/>
    </row>
    <row r="454">
      <c r="E454" s="247"/>
      <c r="H454" s="246"/>
      <c r="I454" s="246"/>
    </row>
    <row r="455">
      <c r="E455" s="247"/>
      <c r="H455" s="246"/>
      <c r="I455" s="246"/>
    </row>
    <row r="456">
      <c r="E456" s="247"/>
      <c r="H456" s="246"/>
      <c r="I456" s="246"/>
    </row>
    <row r="457">
      <c r="E457" s="247"/>
      <c r="H457" s="246"/>
      <c r="I457" s="246"/>
    </row>
    <row r="458">
      <c r="E458" s="247"/>
      <c r="H458" s="246"/>
      <c r="I458" s="246"/>
    </row>
    <row r="459">
      <c r="E459" s="247"/>
      <c r="H459" s="246"/>
      <c r="I459" s="246"/>
    </row>
    <row r="460">
      <c r="E460" s="247"/>
      <c r="H460" s="246"/>
      <c r="I460" s="246"/>
    </row>
    <row r="461">
      <c r="E461" s="247"/>
      <c r="H461" s="246"/>
      <c r="I461" s="246"/>
    </row>
    <row r="462">
      <c r="E462" s="247"/>
      <c r="H462" s="246"/>
      <c r="I462" s="246"/>
    </row>
    <row r="463">
      <c r="E463" s="247"/>
      <c r="H463" s="246"/>
      <c r="I463" s="246"/>
    </row>
    <row r="464">
      <c r="E464" s="247"/>
      <c r="H464" s="246"/>
      <c r="I464" s="246"/>
    </row>
    <row r="465">
      <c r="E465" s="247"/>
      <c r="H465" s="246"/>
      <c r="I465" s="246"/>
    </row>
    <row r="466">
      <c r="E466" s="247"/>
      <c r="H466" s="246"/>
      <c r="I466" s="246"/>
    </row>
    <row r="467">
      <c r="E467" s="247"/>
      <c r="H467" s="246"/>
      <c r="I467" s="246"/>
    </row>
    <row r="468">
      <c r="E468" s="247"/>
      <c r="H468" s="246"/>
      <c r="I468" s="246"/>
    </row>
    <row r="469">
      <c r="E469" s="247"/>
      <c r="H469" s="246"/>
      <c r="I469" s="246"/>
    </row>
    <row r="470">
      <c r="E470" s="247"/>
      <c r="H470" s="246"/>
      <c r="I470" s="246"/>
    </row>
    <row r="471">
      <c r="E471" s="247"/>
      <c r="H471" s="246"/>
      <c r="I471" s="246"/>
    </row>
    <row r="472">
      <c r="E472" s="247"/>
      <c r="H472" s="246"/>
      <c r="I472" s="246"/>
    </row>
    <row r="473">
      <c r="E473" s="247"/>
      <c r="H473" s="246"/>
      <c r="I473" s="246"/>
    </row>
  </sheetData>
  <mergeCells count="3">
    <mergeCell ref="A1:J1"/>
    <mergeCell ref="A3:J3"/>
    <mergeCell ref="A7:J7"/>
  </mergeCells>
  <hyperlinks>
    <hyperlink r:id="rId1" ref="H4"/>
    <hyperlink r:id="rId2" ref="H5"/>
    <hyperlink r:id="rId3" ref="H6"/>
    <hyperlink r:id="rId4" ref="H8"/>
  </hyperlinks>
  <printOptions gridLines="1" horizontalCentered="1"/>
  <pageMargins bottom="0.75" footer="0.0" header="0.0" left="0.25" right="0.25" top="0.75"/>
  <pageSetup fitToHeight="0" paperSize="9" cellComments="atEnd" orientation="landscape" pageOrder="overThenDown"/>
  <drawing r:id="rId5"/>
  <tableParts count="1">
    <tablePart r:id="rId7"/>
  </tableParts>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D9EEB"/>
    <outlinePr summaryBelow="0" summaryRight="0"/>
    <pageSetUpPr fitToPage="1"/>
  </sheetPr>
  <sheetViews>
    <sheetView workbookViewId="0"/>
  </sheetViews>
  <sheetFormatPr customHeight="1" defaultColWidth="12.63" defaultRowHeight="15.75"/>
  <cols>
    <col customWidth="1" min="1" max="1" width="46.75"/>
    <col customWidth="1" min="3" max="3" width="11.75"/>
    <col customWidth="1" min="5" max="5" width="14.0"/>
    <col customWidth="1" min="7" max="7" width="14.63"/>
    <col customWidth="1" min="8" max="8" width="43.75"/>
    <col customWidth="1" min="9" max="9" width="8.25"/>
    <col customWidth="1" min="10" max="11" width="13.13"/>
    <col customWidth="1" min="12" max="12" width="28.13"/>
    <col customWidth="1" min="13" max="13" width="22.13"/>
  </cols>
  <sheetData>
    <row r="1" ht="30.0" customHeight="1">
      <c r="A1" s="855" t="s">
        <v>2401</v>
      </c>
      <c r="B1" s="856"/>
      <c r="C1" s="856"/>
      <c r="D1" s="856"/>
      <c r="E1" s="856"/>
      <c r="F1" s="856"/>
      <c r="G1" s="856"/>
      <c r="H1" s="856"/>
      <c r="I1" s="856"/>
      <c r="J1" s="856"/>
      <c r="K1" s="856"/>
      <c r="L1" s="856"/>
      <c r="M1" s="857"/>
    </row>
    <row r="2" ht="14.25" customHeight="1">
      <c r="A2" s="858"/>
      <c r="G2" s="859"/>
      <c r="H2" s="859"/>
      <c r="I2" s="246"/>
      <c r="J2" s="246"/>
      <c r="K2" s="246"/>
      <c r="L2" s="246"/>
      <c r="M2" s="860"/>
    </row>
    <row r="3" ht="36.0" customHeight="1">
      <c r="A3" s="861" t="s">
        <v>2402</v>
      </c>
      <c r="B3" s="862" t="s">
        <v>2403</v>
      </c>
      <c r="C3" s="862" t="s">
        <v>2404</v>
      </c>
      <c r="D3" s="862" t="s">
        <v>2405</v>
      </c>
      <c r="E3" s="862" t="s">
        <v>2406</v>
      </c>
      <c r="F3" s="862" t="s">
        <v>573</v>
      </c>
      <c r="G3" s="862" t="s">
        <v>2407</v>
      </c>
      <c r="H3" s="862" t="s">
        <v>2408</v>
      </c>
      <c r="I3" s="862" t="s">
        <v>2409</v>
      </c>
      <c r="J3" s="862" t="s">
        <v>482</v>
      </c>
      <c r="K3" s="862" t="s">
        <v>2410</v>
      </c>
      <c r="L3" s="862" t="s">
        <v>2411</v>
      </c>
      <c r="M3" s="863" t="s">
        <v>161</v>
      </c>
    </row>
    <row r="4" ht="36.75" customHeight="1">
      <c r="A4" s="864" t="s">
        <v>2412</v>
      </c>
      <c r="B4" s="865"/>
      <c r="C4" s="865"/>
      <c r="D4" s="865"/>
      <c r="E4" s="865"/>
      <c r="F4" s="865"/>
      <c r="G4" s="865"/>
      <c r="H4" s="865"/>
      <c r="I4" s="865"/>
      <c r="J4" s="865"/>
      <c r="K4" s="865"/>
      <c r="L4" s="865"/>
      <c r="M4" s="866"/>
    </row>
    <row r="5">
      <c r="A5" s="867" t="s">
        <v>2413</v>
      </c>
      <c r="B5" s="868"/>
      <c r="C5" s="868"/>
      <c r="D5" s="868"/>
      <c r="E5" s="868"/>
      <c r="F5" s="868"/>
      <c r="G5" s="865"/>
      <c r="H5" s="865"/>
      <c r="I5" s="865"/>
      <c r="J5" s="865"/>
      <c r="K5" s="865"/>
      <c r="L5" s="865"/>
      <c r="M5" s="866"/>
    </row>
    <row r="6">
      <c r="A6" s="869" t="s">
        <v>2414</v>
      </c>
      <c r="B6" s="870">
        <v>45968.0</v>
      </c>
      <c r="C6" s="870">
        <v>45974.0</v>
      </c>
      <c r="D6" s="871">
        <v>1218413.0</v>
      </c>
      <c r="E6" s="872"/>
      <c r="F6" s="873">
        <v>1232229.0</v>
      </c>
      <c r="G6" s="872" t="s">
        <v>2415</v>
      </c>
      <c r="H6" s="872" t="s">
        <v>2416</v>
      </c>
      <c r="I6" s="874" t="s">
        <v>491</v>
      </c>
      <c r="J6" s="874">
        <v>599.99</v>
      </c>
      <c r="K6" s="875" t="s">
        <v>2417</v>
      </c>
      <c r="L6" s="876"/>
      <c r="M6" s="877" t="s">
        <v>130</v>
      </c>
    </row>
    <row r="7">
      <c r="A7" s="878"/>
      <c r="B7" s="879"/>
      <c r="C7" s="879"/>
      <c r="D7" s="879"/>
      <c r="E7" s="879"/>
      <c r="F7" s="879"/>
      <c r="G7" s="879"/>
      <c r="H7" s="879"/>
      <c r="I7" s="879"/>
      <c r="J7" s="879"/>
      <c r="K7" s="880"/>
      <c r="L7" s="881"/>
      <c r="M7" s="882"/>
    </row>
    <row r="8" ht="18.75" customHeight="1">
      <c r="A8" s="883" t="s">
        <v>2418</v>
      </c>
      <c r="B8" s="884">
        <v>45968.0</v>
      </c>
      <c r="C8" s="884">
        <v>45997.0</v>
      </c>
      <c r="D8" s="885">
        <v>1218416.0</v>
      </c>
      <c r="E8" s="886"/>
      <c r="F8" s="886"/>
      <c r="G8" s="887" t="s">
        <v>2415</v>
      </c>
      <c r="H8" s="888" t="s">
        <v>2419</v>
      </c>
      <c r="I8" s="888" t="s">
        <v>491</v>
      </c>
      <c r="J8" s="889">
        <v>899.99</v>
      </c>
      <c r="K8" s="889">
        <v>799.99</v>
      </c>
      <c r="L8" s="890">
        <v>-0.11</v>
      </c>
      <c r="M8" s="891"/>
    </row>
    <row r="9">
      <c r="A9" s="892"/>
      <c r="B9" s="893">
        <v>45975.0</v>
      </c>
      <c r="C9" s="893">
        <v>45997.0</v>
      </c>
      <c r="D9" s="894">
        <v>1218414.0</v>
      </c>
      <c r="E9" s="895"/>
      <c r="F9" s="895"/>
      <c r="G9" s="896" t="s">
        <v>2415</v>
      </c>
      <c r="H9" s="897" t="s">
        <v>2420</v>
      </c>
      <c r="I9" s="897" t="s">
        <v>543</v>
      </c>
      <c r="J9" s="898">
        <v>649.99</v>
      </c>
      <c r="K9" s="898">
        <v>579.99</v>
      </c>
      <c r="L9" s="899">
        <v>-0.11</v>
      </c>
      <c r="M9" s="900"/>
    </row>
    <row r="10">
      <c r="A10" s="901"/>
      <c r="B10" s="362"/>
      <c r="C10" s="362"/>
      <c r="D10" s="902">
        <v>1208595.0</v>
      </c>
      <c r="E10" s="362"/>
      <c r="F10" s="362"/>
      <c r="G10" s="903" t="s">
        <v>2415</v>
      </c>
      <c r="H10" s="904" t="s">
        <v>2421</v>
      </c>
      <c r="I10" s="904" t="s">
        <v>506</v>
      </c>
      <c r="J10" s="905">
        <v>299.99</v>
      </c>
      <c r="K10" s="905">
        <v>249.99</v>
      </c>
      <c r="L10" s="906">
        <v>-0.17</v>
      </c>
      <c r="M10" s="907"/>
    </row>
    <row r="11">
      <c r="A11" s="892"/>
      <c r="B11" s="908"/>
      <c r="C11" s="908"/>
      <c r="D11" s="909">
        <v>1189418.0</v>
      </c>
      <c r="E11" s="908"/>
      <c r="F11" s="908"/>
      <c r="G11" s="910" t="s">
        <v>2415</v>
      </c>
      <c r="H11" s="911" t="s">
        <v>2422</v>
      </c>
      <c r="I11" s="912" t="s">
        <v>543</v>
      </c>
      <c r="J11" s="913">
        <v>801.99</v>
      </c>
      <c r="K11" s="913">
        <v>499.99</v>
      </c>
      <c r="L11" s="914">
        <v>-0.38</v>
      </c>
      <c r="M11" s="915"/>
    </row>
    <row r="12">
      <c r="A12" s="892"/>
      <c r="B12" s="916">
        <v>45975.0</v>
      </c>
      <c r="C12" s="916">
        <v>46015.0</v>
      </c>
      <c r="D12" s="894">
        <v>1222814.0</v>
      </c>
      <c r="E12" s="351"/>
      <c r="F12" s="351"/>
      <c r="G12" s="896" t="s">
        <v>2415</v>
      </c>
      <c r="H12" s="897" t="s">
        <v>2423</v>
      </c>
      <c r="I12" s="896" t="s">
        <v>506</v>
      </c>
      <c r="J12" s="917">
        <v>379.99</v>
      </c>
      <c r="K12" s="917">
        <v>349.99</v>
      </c>
      <c r="L12" s="918">
        <v>-0.08</v>
      </c>
      <c r="M12" s="919"/>
    </row>
    <row r="13">
      <c r="A13" s="878"/>
      <c r="B13" s="879"/>
      <c r="C13" s="879"/>
      <c r="D13" s="920">
        <v>1210727.0</v>
      </c>
      <c r="E13" s="879"/>
      <c r="F13" s="879"/>
      <c r="G13" s="910" t="s">
        <v>2424</v>
      </c>
      <c r="H13" s="921" t="s">
        <v>2425</v>
      </c>
      <c r="I13" s="910" t="s">
        <v>543</v>
      </c>
      <c r="J13" s="922">
        <v>171.99</v>
      </c>
      <c r="K13" s="922">
        <v>149.99</v>
      </c>
      <c r="L13" s="923">
        <v>-0.13</v>
      </c>
      <c r="M13" s="924"/>
    </row>
    <row r="14">
      <c r="A14" s="925" t="s">
        <v>2426</v>
      </c>
      <c r="B14" s="926">
        <v>45975.0</v>
      </c>
      <c r="C14" s="926">
        <v>45992.0</v>
      </c>
      <c r="D14" s="894">
        <v>1218413.0</v>
      </c>
      <c r="E14" s="79"/>
      <c r="F14" s="79"/>
      <c r="G14" s="927" t="s">
        <v>2415</v>
      </c>
      <c r="H14" s="897" t="s">
        <v>2416</v>
      </c>
      <c r="I14" s="896" t="s">
        <v>491</v>
      </c>
      <c r="J14" s="917">
        <v>599.99</v>
      </c>
      <c r="K14" s="917">
        <v>499.99</v>
      </c>
      <c r="L14" s="918">
        <v>-0.17</v>
      </c>
      <c r="M14" s="919"/>
    </row>
    <row r="15" hidden="1">
      <c r="A15" s="928"/>
      <c r="B15" s="929"/>
      <c r="C15" s="929"/>
      <c r="D15" s="902"/>
      <c r="E15" s="930"/>
      <c r="F15" s="930"/>
      <c r="G15" s="902"/>
      <c r="H15" s="904"/>
      <c r="I15" s="903"/>
      <c r="J15" s="931"/>
      <c r="K15" s="931"/>
      <c r="L15" s="932"/>
      <c r="M15" s="933"/>
    </row>
    <row r="16" hidden="1">
      <c r="A16" s="934"/>
      <c r="B16" s="935"/>
      <c r="C16" s="935"/>
      <c r="D16" s="936"/>
      <c r="E16" s="937"/>
      <c r="F16" s="937"/>
      <c r="G16" s="936"/>
      <c r="H16" s="938"/>
      <c r="I16" s="939"/>
      <c r="J16" s="940"/>
      <c r="K16" s="940"/>
      <c r="L16" s="941"/>
      <c r="M16" s="942"/>
    </row>
    <row r="17" hidden="1">
      <c r="A17" s="928"/>
      <c r="B17" s="929"/>
      <c r="C17" s="929"/>
      <c r="D17" s="902"/>
      <c r="E17" s="930"/>
      <c r="F17" s="930"/>
      <c r="G17" s="902"/>
      <c r="H17" s="904"/>
      <c r="I17" s="903"/>
      <c r="J17" s="931"/>
      <c r="K17" s="931"/>
      <c r="L17" s="932"/>
      <c r="M17" s="933"/>
    </row>
    <row r="18" hidden="1">
      <c r="A18" s="943"/>
      <c r="B18" s="944"/>
      <c r="C18" s="944"/>
      <c r="D18" s="944"/>
      <c r="E18" s="944"/>
      <c r="F18" s="944"/>
      <c r="G18" s="944"/>
      <c r="H18" s="944"/>
      <c r="I18" s="944"/>
      <c r="J18" s="944"/>
      <c r="K18" s="944"/>
      <c r="L18" s="944"/>
      <c r="M18" s="945"/>
    </row>
    <row r="19">
      <c r="A19" s="867" t="s">
        <v>2427</v>
      </c>
      <c r="B19" s="868"/>
      <c r="C19" s="868"/>
      <c r="D19" s="868"/>
      <c r="E19" s="868"/>
      <c r="F19" s="868"/>
      <c r="G19" s="868"/>
      <c r="H19" s="868"/>
      <c r="I19" s="868"/>
      <c r="J19" s="868"/>
      <c r="K19" s="868"/>
      <c r="L19" s="868"/>
      <c r="M19" s="946"/>
    </row>
    <row r="20" hidden="1">
      <c r="A20" s="947" t="s">
        <v>2418</v>
      </c>
      <c r="B20" s="948"/>
      <c r="C20" s="948"/>
      <c r="D20" s="949"/>
      <c r="E20" s="950"/>
      <c r="F20" s="950"/>
      <c r="G20" s="951"/>
      <c r="H20" s="952"/>
      <c r="I20" s="952"/>
      <c r="J20" s="953"/>
      <c r="K20" s="953"/>
      <c r="L20" s="954"/>
      <c r="M20" s="955"/>
    </row>
    <row r="21">
      <c r="A21" s="901"/>
      <c r="B21" s="870">
        <v>45961.0</v>
      </c>
      <c r="C21" s="870">
        <v>45992.0</v>
      </c>
      <c r="D21" s="956">
        <v>1200078.0</v>
      </c>
      <c r="E21" s="957"/>
      <c r="F21" s="957"/>
      <c r="G21" s="958" t="s">
        <v>2415</v>
      </c>
      <c r="H21" s="959" t="s">
        <v>2428</v>
      </c>
      <c r="I21" s="959" t="s">
        <v>2429</v>
      </c>
      <c r="J21" s="960">
        <v>499.99</v>
      </c>
      <c r="K21" s="960">
        <v>499.99</v>
      </c>
      <c r="L21" s="961"/>
      <c r="M21" s="962"/>
    </row>
    <row r="22">
      <c r="A22" s="892"/>
      <c r="B22" s="351"/>
      <c r="C22" s="351"/>
      <c r="D22" s="936">
        <v>1206564.0</v>
      </c>
      <c r="E22" s="351"/>
      <c r="F22" s="351"/>
      <c r="G22" s="963" t="s">
        <v>2415</v>
      </c>
      <c r="H22" s="964" t="s">
        <v>2430</v>
      </c>
      <c r="I22" s="964" t="s">
        <v>543</v>
      </c>
      <c r="J22" s="939">
        <v>802.59</v>
      </c>
      <c r="K22" s="939">
        <v>599.99</v>
      </c>
      <c r="L22" s="941">
        <v>-0.25</v>
      </c>
      <c r="M22" s="965"/>
    </row>
    <row r="23">
      <c r="A23" s="878"/>
      <c r="B23" s="879"/>
      <c r="C23" s="879"/>
      <c r="D23" s="920">
        <v>1193476.0</v>
      </c>
      <c r="E23" s="362"/>
      <c r="F23" s="362"/>
      <c r="G23" s="963" t="s">
        <v>2415</v>
      </c>
      <c r="H23" s="966" t="s">
        <v>2431</v>
      </c>
      <c r="I23" s="966" t="s">
        <v>2429</v>
      </c>
      <c r="J23" s="967">
        <v>1490.0</v>
      </c>
      <c r="K23" s="967">
        <v>1199.99</v>
      </c>
      <c r="L23" s="968">
        <v>-0.19</v>
      </c>
      <c r="M23" s="969"/>
    </row>
    <row r="24" hidden="1">
      <c r="A24" s="970"/>
      <c r="B24" s="970"/>
      <c r="C24" s="970"/>
      <c r="D24" s="970"/>
      <c r="E24" s="970"/>
      <c r="F24" s="970"/>
      <c r="G24" s="970"/>
      <c r="H24" s="970"/>
      <c r="I24" s="970"/>
      <c r="J24" s="970"/>
      <c r="K24" s="970"/>
      <c r="L24" s="970"/>
      <c r="M24" s="970"/>
    </row>
    <row r="25" hidden="1">
      <c r="A25" s="970"/>
      <c r="B25" s="970"/>
      <c r="C25" s="970"/>
      <c r="D25" s="970"/>
      <c r="E25" s="970"/>
      <c r="F25" s="970"/>
      <c r="G25" s="970"/>
      <c r="H25" s="970"/>
      <c r="I25" s="970"/>
      <c r="J25" s="970"/>
      <c r="K25" s="970"/>
      <c r="L25" s="970"/>
      <c r="M25" s="970"/>
    </row>
    <row r="26" hidden="1">
      <c r="A26" s="867" t="s">
        <v>2432</v>
      </c>
      <c r="B26" s="868"/>
      <c r="C26" s="868"/>
      <c r="D26" s="868"/>
      <c r="E26" s="868"/>
      <c r="F26" s="868"/>
      <c r="G26" s="865"/>
      <c r="H26" s="865"/>
      <c r="I26" s="865"/>
      <c r="J26" s="865"/>
      <c r="K26" s="865"/>
      <c r="L26" s="865"/>
      <c r="M26" s="866"/>
    </row>
    <row r="27" hidden="1">
      <c r="A27" s="971"/>
      <c r="B27" s="972"/>
      <c r="C27" s="972"/>
      <c r="D27" s="871"/>
      <c r="E27" s="973"/>
      <c r="F27" s="871"/>
      <c r="G27" s="958"/>
      <c r="H27" s="974"/>
      <c r="I27" s="872"/>
      <c r="J27" s="975"/>
      <c r="K27" s="975"/>
      <c r="L27" s="976"/>
      <c r="M27" s="977"/>
    </row>
    <row r="28" hidden="1">
      <c r="A28" s="978"/>
      <c r="B28" s="979"/>
      <c r="C28" s="979"/>
      <c r="D28" s="980"/>
      <c r="E28" s="351"/>
      <c r="F28" s="351"/>
      <c r="G28" s="981"/>
      <c r="H28" s="982"/>
      <c r="I28" s="983"/>
      <c r="J28" s="984"/>
      <c r="K28" s="984"/>
      <c r="L28" s="985"/>
      <c r="M28" s="986"/>
    </row>
    <row r="29" hidden="1">
      <c r="A29" s="883"/>
      <c r="B29" s="987"/>
      <c r="C29" s="987"/>
      <c r="D29" s="988"/>
      <c r="E29" s="362"/>
      <c r="F29" s="362"/>
      <c r="G29" s="989"/>
      <c r="H29" s="990"/>
      <c r="I29" s="991"/>
      <c r="J29" s="992"/>
      <c r="K29" s="992"/>
      <c r="L29" s="993"/>
      <c r="M29" s="994"/>
    </row>
    <row r="30" hidden="1">
      <c r="A30" s="978"/>
      <c r="B30" s="979"/>
      <c r="C30" s="979"/>
      <c r="D30" s="980"/>
      <c r="E30" s="351"/>
      <c r="F30" s="351"/>
      <c r="G30" s="981"/>
      <c r="H30" s="982"/>
      <c r="I30" s="983"/>
      <c r="J30" s="984"/>
      <c r="K30" s="984"/>
      <c r="L30" s="985"/>
      <c r="M30" s="986"/>
    </row>
    <row r="31" hidden="1">
      <c r="A31" s="883"/>
      <c r="B31" s="987"/>
      <c r="C31" s="987"/>
      <c r="D31" s="988"/>
      <c r="E31" s="362"/>
      <c r="F31" s="362"/>
      <c r="G31" s="989"/>
      <c r="H31" s="990"/>
      <c r="I31" s="991"/>
      <c r="J31" s="992"/>
      <c r="K31" s="992"/>
      <c r="L31" s="993"/>
      <c r="M31" s="994"/>
    </row>
    <row r="32" hidden="1">
      <c r="A32" s="995"/>
      <c r="B32" s="996"/>
      <c r="C32" s="996"/>
      <c r="D32" s="997"/>
      <c r="E32" s="998"/>
      <c r="F32" s="998"/>
      <c r="G32" s="998"/>
      <c r="H32" s="998"/>
      <c r="I32" s="998"/>
      <c r="J32" s="998"/>
      <c r="K32" s="998"/>
      <c r="L32" s="999"/>
      <c r="M32" s="1000"/>
    </row>
    <row r="33" hidden="1">
      <c r="A33" s="1001"/>
      <c r="B33" s="1002"/>
      <c r="C33" s="1002"/>
      <c r="D33" s="988"/>
      <c r="E33" s="895"/>
      <c r="F33" s="895"/>
      <c r="G33" s="1003"/>
      <c r="H33" s="1003"/>
      <c r="I33" s="1004"/>
      <c r="J33" s="1005"/>
      <c r="K33" s="1005"/>
      <c r="L33" s="1006"/>
      <c r="M33" s="1007"/>
    </row>
    <row r="34" hidden="1">
      <c r="A34" s="1001"/>
      <c r="B34" s="1002"/>
      <c r="C34" s="1002"/>
      <c r="D34" s="988"/>
      <c r="E34" s="895"/>
      <c r="F34" s="895"/>
      <c r="G34" s="1003"/>
      <c r="H34" s="1003"/>
      <c r="I34" s="1004"/>
      <c r="J34" s="1005"/>
      <c r="K34" s="1005"/>
      <c r="L34" s="1006"/>
      <c r="M34" s="1007"/>
    </row>
    <row r="35" hidden="1">
      <c r="A35" s="1001"/>
      <c r="B35" s="1002"/>
      <c r="C35" s="1002"/>
      <c r="D35" s="988"/>
      <c r="E35" s="895"/>
      <c r="F35" s="895"/>
      <c r="G35" s="1003"/>
      <c r="H35" s="1003"/>
      <c r="I35" s="1004"/>
      <c r="J35" s="1005"/>
      <c r="K35" s="1005"/>
      <c r="L35" s="1006"/>
      <c r="M35" s="1007"/>
    </row>
    <row r="36" hidden="1">
      <c r="A36" s="1001"/>
      <c r="B36" s="1002"/>
      <c r="C36" s="1002"/>
      <c r="D36" s="988"/>
      <c r="E36" s="895"/>
      <c r="F36" s="895"/>
      <c r="G36" s="1003"/>
      <c r="H36" s="1003"/>
      <c r="I36" s="1004"/>
      <c r="J36" s="1005"/>
      <c r="K36" s="1005"/>
      <c r="L36" s="1006"/>
      <c r="M36" s="1007"/>
    </row>
    <row r="37" hidden="1">
      <c r="A37" s="1001"/>
      <c r="B37" s="1002"/>
      <c r="C37" s="1002"/>
      <c r="D37" s="988"/>
      <c r="E37" s="895"/>
      <c r="F37" s="895"/>
      <c r="G37" s="1003"/>
      <c r="H37" s="1003"/>
      <c r="I37" s="1004"/>
      <c r="J37" s="1005"/>
      <c r="K37" s="1005"/>
      <c r="L37" s="1006"/>
      <c r="M37" s="1007"/>
    </row>
    <row r="38" hidden="1">
      <c r="A38" s="1001"/>
      <c r="B38" s="1002"/>
      <c r="C38" s="1002"/>
      <c r="D38" s="988"/>
      <c r="E38" s="895"/>
      <c r="F38" s="895"/>
      <c r="G38" s="1003"/>
      <c r="H38" s="1003"/>
      <c r="I38" s="1004"/>
      <c r="J38" s="1005"/>
      <c r="K38" s="1005"/>
      <c r="L38" s="1006"/>
      <c r="M38" s="1007"/>
    </row>
    <row r="39" hidden="1">
      <c r="A39" s="1001"/>
      <c r="B39" s="1002"/>
      <c r="C39" s="1002"/>
      <c r="D39" s="988"/>
      <c r="E39" s="895"/>
      <c r="F39" s="895"/>
      <c r="G39" s="1003"/>
      <c r="H39" s="1003"/>
      <c r="I39" s="1004"/>
      <c r="J39" s="1005"/>
      <c r="K39" s="1005"/>
      <c r="L39" s="1006"/>
      <c r="M39" s="1007"/>
    </row>
    <row r="40" hidden="1">
      <c r="A40" s="1001"/>
      <c r="B40" s="1002"/>
      <c r="C40" s="1002"/>
      <c r="D40" s="988"/>
      <c r="E40" s="895"/>
      <c r="F40" s="895"/>
      <c r="G40" s="1003"/>
      <c r="H40" s="1003"/>
      <c r="I40" s="1004"/>
      <c r="J40" s="1005"/>
      <c r="K40" s="1005"/>
      <c r="L40" s="1006"/>
      <c r="M40" s="1007"/>
    </row>
    <row r="41" hidden="1">
      <c r="A41" s="1001"/>
      <c r="B41" s="1002"/>
      <c r="C41" s="1002"/>
      <c r="D41" s="988"/>
      <c r="E41" s="895"/>
      <c r="F41" s="895"/>
      <c r="G41" s="1003"/>
      <c r="H41" s="1003"/>
      <c r="I41" s="1004"/>
      <c r="J41" s="1005"/>
      <c r="K41" s="1005"/>
      <c r="L41" s="1006"/>
      <c r="M41" s="1007"/>
    </row>
    <row r="42" hidden="1">
      <c r="A42" s="1001"/>
      <c r="B42" s="1002"/>
      <c r="C42" s="1002"/>
      <c r="D42" s="988"/>
      <c r="E42" s="895"/>
      <c r="F42" s="895"/>
      <c r="G42" s="1003"/>
      <c r="H42" s="1003"/>
      <c r="I42" s="1004"/>
      <c r="J42" s="1005"/>
      <c r="K42" s="1005"/>
      <c r="L42" s="1006"/>
      <c r="M42" s="1007"/>
    </row>
    <row r="43">
      <c r="A43" s="867" t="s">
        <v>2433</v>
      </c>
      <c r="B43" s="868"/>
      <c r="C43" s="868"/>
      <c r="D43" s="868"/>
      <c r="E43" s="868"/>
      <c r="F43" s="868"/>
      <c r="G43" s="865"/>
      <c r="H43" s="865"/>
      <c r="I43" s="865"/>
      <c r="J43" s="865"/>
      <c r="K43" s="865"/>
      <c r="L43" s="865"/>
      <c r="M43" s="866"/>
    </row>
    <row r="44" ht="15.75" customHeight="1">
      <c r="A44" s="1008" t="s">
        <v>2418</v>
      </c>
      <c r="B44" s="1009">
        <v>45975.0</v>
      </c>
      <c r="C44" s="1009">
        <v>45992.0</v>
      </c>
      <c r="D44" s="956">
        <v>1222272.0</v>
      </c>
      <c r="E44" s="1010"/>
      <c r="F44" s="1010"/>
      <c r="G44" s="956" t="s">
        <v>2415</v>
      </c>
      <c r="H44" s="1011" t="s">
        <v>2434</v>
      </c>
      <c r="I44" s="1011" t="s">
        <v>2429</v>
      </c>
      <c r="J44" s="960">
        <v>499.99</v>
      </c>
      <c r="K44" s="960">
        <v>449.99</v>
      </c>
      <c r="L44" s="1012">
        <v>-0.1</v>
      </c>
      <c r="M44" s="1013"/>
    </row>
    <row r="45" hidden="1">
      <c r="A45" s="1014"/>
      <c r="B45" s="1015"/>
      <c r="C45" s="1015"/>
      <c r="D45" s="980"/>
      <c r="E45" s="895"/>
      <c r="F45" s="895"/>
      <c r="G45" s="894"/>
      <c r="H45" s="896"/>
      <c r="I45" s="896"/>
      <c r="J45" s="1016"/>
      <c r="K45" s="1016"/>
      <c r="L45" s="918"/>
      <c r="M45" s="919"/>
    </row>
    <row r="46" hidden="1">
      <c r="A46" s="1017"/>
      <c r="B46" s="879"/>
      <c r="C46" s="879"/>
      <c r="D46" s="902"/>
      <c r="E46" s="879"/>
      <c r="F46" s="879"/>
      <c r="G46" s="902"/>
      <c r="H46" s="903"/>
      <c r="I46" s="903"/>
      <c r="J46" s="1018"/>
      <c r="K46" s="1018"/>
      <c r="L46" s="932"/>
      <c r="M46" s="933"/>
    </row>
    <row r="47">
      <c r="A47" s="867" t="s">
        <v>404</v>
      </c>
      <c r="B47" s="868"/>
      <c r="C47" s="868"/>
      <c r="D47" s="868"/>
      <c r="E47" s="868"/>
      <c r="F47" s="868"/>
      <c r="G47" s="868"/>
      <c r="H47" s="868"/>
      <c r="I47" s="868"/>
      <c r="J47" s="868"/>
      <c r="K47" s="868"/>
      <c r="L47" s="868"/>
      <c r="M47" s="946"/>
    </row>
    <row r="48">
      <c r="A48" s="883" t="s">
        <v>2418</v>
      </c>
      <c r="B48" s="1019">
        <v>45950.0</v>
      </c>
      <c r="C48" s="1019">
        <v>46022.0</v>
      </c>
      <c r="D48" s="885">
        <v>1189791.0</v>
      </c>
      <c r="E48" s="1019"/>
      <c r="F48" s="1019"/>
      <c r="G48" s="885" t="s">
        <v>2415</v>
      </c>
      <c r="H48" s="1020" t="s">
        <v>2435</v>
      </c>
      <c r="I48" s="1020" t="s">
        <v>496</v>
      </c>
      <c r="J48" s="1021">
        <v>801.99</v>
      </c>
      <c r="K48" s="1021">
        <v>599.99</v>
      </c>
      <c r="L48" s="1022">
        <v>-0.25</v>
      </c>
      <c r="M48" s="1019"/>
    </row>
    <row r="49">
      <c r="A49" s="901"/>
      <c r="B49" s="1023">
        <v>45975.0</v>
      </c>
      <c r="C49" s="1023">
        <v>46019.0</v>
      </c>
      <c r="D49" s="1024">
        <v>1202597.0</v>
      </c>
      <c r="E49" s="1023"/>
      <c r="F49" s="1023"/>
      <c r="G49" s="1024" t="s">
        <v>2415</v>
      </c>
      <c r="H49" s="887" t="s">
        <v>2436</v>
      </c>
      <c r="I49" s="887" t="s">
        <v>488</v>
      </c>
      <c r="J49" s="1025">
        <v>309.99</v>
      </c>
      <c r="K49" s="1025">
        <v>249.99</v>
      </c>
      <c r="L49" s="1026">
        <v>-0.19</v>
      </c>
      <c r="M49" s="1023"/>
    </row>
    <row r="50">
      <c r="A50" s="892"/>
      <c r="B50" s="1027">
        <v>45976.0</v>
      </c>
      <c r="C50" s="1027">
        <v>46019.0</v>
      </c>
      <c r="D50" s="988">
        <v>1217433.0</v>
      </c>
      <c r="E50" s="1027"/>
      <c r="F50" s="1027"/>
      <c r="G50" s="988" t="s">
        <v>2415</v>
      </c>
      <c r="H50" s="991" t="s">
        <v>2437</v>
      </c>
      <c r="I50" s="991" t="s">
        <v>488</v>
      </c>
      <c r="J50" s="1028">
        <v>409.99</v>
      </c>
      <c r="K50" s="1028">
        <v>359.99</v>
      </c>
      <c r="L50" s="993">
        <v>-0.12</v>
      </c>
      <c r="M50" s="1027"/>
    </row>
    <row r="51">
      <c r="A51" s="901"/>
      <c r="B51" s="362"/>
      <c r="C51" s="362"/>
      <c r="D51" s="988">
        <v>1217439.0</v>
      </c>
      <c r="E51" s="1027"/>
      <c r="F51" s="1027"/>
      <c r="G51" s="988" t="s">
        <v>2415</v>
      </c>
      <c r="H51" s="991" t="s">
        <v>2438</v>
      </c>
      <c r="I51" s="991" t="s">
        <v>491</v>
      </c>
      <c r="J51" s="1028">
        <v>509.99</v>
      </c>
      <c r="K51" s="1028">
        <v>459.99</v>
      </c>
      <c r="L51" s="993">
        <v>-0.1</v>
      </c>
      <c r="M51" s="1027"/>
    </row>
    <row r="52">
      <c r="A52" s="892"/>
      <c r="B52" s="79"/>
      <c r="C52" s="79"/>
      <c r="D52" s="988">
        <v>1217452.0</v>
      </c>
      <c r="E52" s="1027"/>
      <c r="F52" s="1027"/>
      <c r="G52" s="988" t="s">
        <v>2415</v>
      </c>
      <c r="H52" s="991" t="s">
        <v>2439</v>
      </c>
      <c r="I52" s="991" t="s">
        <v>543</v>
      </c>
      <c r="J52" s="1028">
        <v>609.99</v>
      </c>
      <c r="K52" s="1028">
        <v>499.99</v>
      </c>
      <c r="L52" s="993">
        <v>-0.18</v>
      </c>
      <c r="M52" s="1027"/>
    </row>
    <row r="53">
      <c r="A53" s="869" t="s">
        <v>2414</v>
      </c>
      <c r="B53" s="870">
        <v>45961.0</v>
      </c>
      <c r="C53" s="870">
        <v>45974.0</v>
      </c>
      <c r="D53" s="871">
        <v>1202597.0</v>
      </c>
      <c r="E53" s="973"/>
      <c r="F53" s="956">
        <v>1231907.0</v>
      </c>
      <c r="G53" s="956" t="s">
        <v>2415</v>
      </c>
      <c r="H53" s="1011" t="s">
        <v>2436</v>
      </c>
      <c r="I53" s="1029" t="s">
        <v>488</v>
      </c>
      <c r="J53" s="960">
        <v>309.99</v>
      </c>
      <c r="K53" s="875" t="s">
        <v>2440</v>
      </c>
      <c r="L53" s="876"/>
      <c r="M53" s="877" t="s">
        <v>130</v>
      </c>
    </row>
    <row r="54">
      <c r="A54" s="892"/>
      <c r="B54" s="351"/>
      <c r="C54" s="351"/>
      <c r="D54" s="988">
        <v>1217433.0</v>
      </c>
      <c r="E54" s="351"/>
      <c r="F54" s="1030">
        <v>1231908.0</v>
      </c>
      <c r="G54" s="902" t="s">
        <v>2415</v>
      </c>
      <c r="H54" s="903" t="s">
        <v>2437</v>
      </c>
      <c r="I54" s="903" t="s">
        <v>488</v>
      </c>
      <c r="J54" s="1018">
        <v>409.99</v>
      </c>
      <c r="K54" s="354"/>
      <c r="L54" s="350"/>
      <c r="M54" s="986"/>
    </row>
    <row r="55">
      <c r="A55" s="878"/>
      <c r="B55" s="879"/>
      <c r="C55" s="879"/>
      <c r="D55" s="885">
        <v>1217439.0</v>
      </c>
      <c r="E55" s="879"/>
      <c r="F55" s="885">
        <v>1231909.0</v>
      </c>
      <c r="G55" s="920" t="s">
        <v>2415</v>
      </c>
      <c r="H55" s="910" t="s">
        <v>2438</v>
      </c>
      <c r="I55" s="1031" t="s">
        <v>491</v>
      </c>
      <c r="J55" s="1032">
        <v>509.99</v>
      </c>
      <c r="K55" s="880"/>
      <c r="L55" s="881"/>
      <c r="M55" s="882"/>
    </row>
    <row r="56" hidden="1">
      <c r="A56" s="883"/>
      <c r="B56" s="1027"/>
      <c r="C56" s="1027"/>
      <c r="D56" s="988"/>
      <c r="E56" s="958"/>
      <c r="F56" s="1030"/>
      <c r="G56" s="1030"/>
      <c r="H56" s="991"/>
      <c r="I56" s="1033"/>
      <c r="J56" s="1028"/>
      <c r="K56" s="1034"/>
      <c r="L56" s="1034"/>
      <c r="M56" s="1035"/>
    </row>
    <row r="57" hidden="1">
      <c r="A57" s="883"/>
      <c r="B57" s="1027"/>
      <c r="C57" s="1027"/>
      <c r="D57" s="988"/>
      <c r="E57" s="958"/>
      <c r="F57" s="1030"/>
      <c r="G57" s="1030"/>
      <c r="H57" s="991"/>
      <c r="I57" s="1033"/>
      <c r="J57" s="1028"/>
      <c r="K57" s="1034"/>
      <c r="L57" s="1034"/>
      <c r="M57" s="1035"/>
    </row>
    <row r="58" hidden="1">
      <c r="A58" s="883"/>
      <c r="B58" s="1027"/>
      <c r="C58" s="1027"/>
      <c r="D58" s="988"/>
      <c r="E58" s="958"/>
      <c r="F58" s="1030"/>
      <c r="G58" s="1030"/>
      <c r="H58" s="991"/>
      <c r="I58" s="1033"/>
      <c r="J58" s="1028"/>
      <c r="K58" s="1034"/>
      <c r="L58" s="1034"/>
      <c r="M58" s="1035"/>
    </row>
    <row r="59" hidden="1">
      <c r="A59" s="883"/>
      <c r="B59" s="1036"/>
      <c r="C59" s="1036"/>
      <c r="D59" s="1037"/>
      <c r="E59" s="1038"/>
      <c r="F59" s="1037"/>
      <c r="G59" s="1037"/>
      <c r="H59" s="967"/>
      <c r="I59" s="1039"/>
      <c r="J59" s="1040"/>
      <c r="K59" s="1041"/>
      <c r="L59" s="1042"/>
      <c r="M59" s="1043"/>
    </row>
    <row r="60" hidden="1">
      <c r="A60" s="883"/>
      <c r="B60" s="351"/>
      <c r="C60" s="351"/>
      <c r="D60" s="351"/>
      <c r="E60" s="79"/>
      <c r="F60" s="79"/>
      <c r="G60" s="79"/>
      <c r="H60" s="351"/>
      <c r="I60" s="79"/>
      <c r="J60" s="351"/>
      <c r="K60" s="354"/>
      <c r="L60" s="350"/>
      <c r="M60" s="986"/>
    </row>
    <row r="61">
      <c r="A61" s="867" t="s">
        <v>2441</v>
      </c>
      <c r="B61" s="868"/>
      <c r="C61" s="868"/>
      <c r="D61" s="868"/>
      <c r="E61" s="868"/>
      <c r="F61" s="868"/>
      <c r="G61" s="868"/>
      <c r="H61" s="868"/>
      <c r="I61" s="868"/>
      <c r="J61" s="868"/>
      <c r="K61" s="868"/>
      <c r="L61" s="868"/>
      <c r="M61" s="946"/>
    </row>
    <row r="62">
      <c r="A62" s="1044" t="s">
        <v>2442</v>
      </c>
      <c r="B62" s="1045">
        <v>45961.0</v>
      </c>
      <c r="C62" s="1045">
        <v>45974.0</v>
      </c>
      <c r="D62" s="1046">
        <v>1227207.0</v>
      </c>
      <c r="E62" s="1047"/>
      <c r="F62" s="1046"/>
      <c r="G62" s="1048" t="s">
        <v>2415</v>
      </c>
      <c r="H62" s="1049" t="s">
        <v>2443</v>
      </c>
      <c r="I62" s="1050" t="s">
        <v>488</v>
      </c>
      <c r="J62" s="1051">
        <v>349.99</v>
      </c>
      <c r="K62" s="1051">
        <v>299.99</v>
      </c>
      <c r="L62" s="1052">
        <v>-0.14</v>
      </c>
      <c r="M62" s="1053" t="s">
        <v>130</v>
      </c>
    </row>
    <row r="63">
      <c r="A63" s="971" t="s">
        <v>2418</v>
      </c>
      <c r="B63" s="870">
        <v>45982.0</v>
      </c>
      <c r="C63" s="870">
        <v>45992.0</v>
      </c>
      <c r="D63" s="956">
        <v>1211314.0</v>
      </c>
      <c r="E63" s="1054"/>
      <c r="F63" s="871"/>
      <c r="G63" s="871" t="s">
        <v>2444</v>
      </c>
      <c r="H63" s="1055" t="s">
        <v>2445</v>
      </c>
      <c r="I63" s="1011" t="s">
        <v>506</v>
      </c>
      <c r="J63" s="960">
        <v>249.99</v>
      </c>
      <c r="K63" s="960">
        <v>199.99</v>
      </c>
      <c r="L63" s="1012">
        <v>-0.2</v>
      </c>
      <c r="M63" s="1056"/>
    </row>
    <row r="64">
      <c r="A64" s="892"/>
      <c r="B64" s="351"/>
      <c r="C64" s="351"/>
      <c r="D64" s="936">
        <v>1211316.0</v>
      </c>
      <c r="E64" s="351"/>
      <c r="F64" s="351"/>
      <c r="G64" s="1037" t="s">
        <v>2444</v>
      </c>
      <c r="H64" s="939" t="s">
        <v>2446</v>
      </c>
      <c r="I64" s="939" t="s">
        <v>2429</v>
      </c>
      <c r="J64" s="1057">
        <v>249.99</v>
      </c>
      <c r="K64" s="1057">
        <v>199.99</v>
      </c>
      <c r="L64" s="941">
        <v>-0.2</v>
      </c>
      <c r="M64" s="942"/>
    </row>
    <row r="65">
      <c r="A65" s="901"/>
      <c r="B65" s="362"/>
      <c r="C65" s="362"/>
      <c r="D65" s="902">
        <v>1211317.0</v>
      </c>
      <c r="E65" s="362"/>
      <c r="F65" s="362"/>
      <c r="G65" s="1037" t="s">
        <v>2444</v>
      </c>
      <c r="H65" s="903" t="s">
        <v>2447</v>
      </c>
      <c r="I65" s="903" t="s">
        <v>2429</v>
      </c>
      <c r="J65" s="1018">
        <v>249.99</v>
      </c>
      <c r="K65" s="1018">
        <v>199.99</v>
      </c>
      <c r="L65" s="932">
        <v>-0.2</v>
      </c>
      <c r="M65" s="933"/>
    </row>
    <row r="66">
      <c r="A66" s="1058"/>
      <c r="B66" s="908"/>
      <c r="C66" s="908"/>
      <c r="D66" s="1059">
        <v>1204724.0</v>
      </c>
      <c r="E66" s="908"/>
      <c r="F66" s="908"/>
      <c r="G66" s="920" t="s">
        <v>2444</v>
      </c>
      <c r="H66" s="912" t="s">
        <v>2448</v>
      </c>
      <c r="I66" s="912" t="s">
        <v>543</v>
      </c>
      <c r="J66" s="1060">
        <v>989.99</v>
      </c>
      <c r="K66" s="1060">
        <v>889.99</v>
      </c>
      <c r="L66" s="914">
        <v>-0.1</v>
      </c>
      <c r="M66" s="915"/>
    </row>
    <row r="67" hidden="1">
      <c r="A67" s="883"/>
      <c r="B67" s="1027"/>
      <c r="C67" s="1027"/>
      <c r="D67" s="885"/>
      <c r="E67" s="1061"/>
      <c r="F67" s="885"/>
      <c r="G67" s="885"/>
      <c r="H67" s="1020"/>
      <c r="I67" s="1020"/>
      <c r="J67" s="1021"/>
      <c r="K67" s="1021"/>
      <c r="L67" s="1022"/>
      <c r="M67" s="1062"/>
    </row>
    <row r="68" hidden="1">
      <c r="A68" s="925"/>
      <c r="B68" s="948"/>
      <c r="C68" s="948"/>
      <c r="D68" s="949"/>
      <c r="E68" s="950"/>
      <c r="F68" s="1063"/>
      <c r="G68" s="1024"/>
      <c r="H68" s="1064"/>
      <c r="I68" s="1064"/>
      <c r="J68" s="953"/>
      <c r="K68" s="953"/>
      <c r="L68" s="954"/>
      <c r="M68" s="1065"/>
    </row>
    <row r="69" hidden="1">
      <c r="A69" s="1066"/>
      <c r="B69" s="1067"/>
      <c r="C69" s="1067"/>
      <c r="D69" s="1030"/>
      <c r="E69" s="1068"/>
      <c r="F69" s="1068"/>
      <c r="G69" s="902"/>
      <c r="H69" s="1069"/>
      <c r="I69" s="1069"/>
      <c r="J69" s="1069"/>
      <c r="K69" s="1069"/>
      <c r="L69" s="1069"/>
      <c r="M69" s="1069"/>
    </row>
    <row r="70" hidden="1">
      <c r="A70" s="1070"/>
      <c r="B70" s="1071"/>
      <c r="C70" s="1071"/>
      <c r="D70" s="1071"/>
      <c r="E70" s="1071"/>
      <c r="F70" s="1071"/>
      <c r="G70" s="1071"/>
      <c r="H70" s="1071"/>
      <c r="I70" s="1071"/>
      <c r="J70" s="1071"/>
      <c r="K70" s="1071"/>
      <c r="L70" s="1071"/>
      <c r="M70" s="1071"/>
    </row>
    <row r="71" ht="15.75" hidden="1" customHeight="1">
      <c r="A71" s="991"/>
      <c r="B71" s="1027"/>
      <c r="C71" s="1027"/>
      <c r="D71" s="1030"/>
      <c r="E71" s="895"/>
      <c r="F71" s="895"/>
      <c r="G71" s="1030"/>
      <c r="H71" s="1069"/>
      <c r="I71" s="1069"/>
      <c r="J71" s="1072"/>
      <c r="K71" s="1072"/>
      <c r="L71" s="1073"/>
      <c r="M71" s="958"/>
    </row>
    <row r="72" ht="15.75" hidden="1" customHeight="1">
      <c r="A72" s="1069"/>
      <c r="B72" s="1067"/>
      <c r="C72" s="1067"/>
      <c r="D72" s="902"/>
      <c r="E72" s="79"/>
      <c r="F72" s="79"/>
      <c r="G72" s="902"/>
      <c r="H72" s="902"/>
      <c r="I72" s="903"/>
      <c r="J72" s="1018"/>
      <c r="K72" s="1018"/>
      <c r="L72" s="932"/>
      <c r="M72" s="963"/>
    </row>
    <row r="73" ht="15.75" hidden="1" customHeight="1">
      <c r="A73" s="1037"/>
      <c r="B73" s="1074"/>
      <c r="C73" s="1042"/>
      <c r="D73" s="902"/>
      <c r="E73" s="963"/>
      <c r="F73" s="963"/>
      <c r="G73" s="902"/>
      <c r="H73" s="902"/>
      <c r="I73" s="902"/>
      <c r="J73" s="1075"/>
      <c r="K73" s="1075"/>
      <c r="L73" s="1076"/>
      <c r="M73" s="963"/>
    </row>
    <row r="74" ht="15.75" hidden="1" customHeight="1">
      <c r="A74" s="351"/>
      <c r="B74" s="354"/>
      <c r="C74" s="350"/>
      <c r="D74" s="902"/>
      <c r="E74" s="963"/>
      <c r="F74" s="963"/>
      <c r="G74" s="902"/>
      <c r="H74" s="902"/>
      <c r="I74" s="902"/>
      <c r="J74" s="1075"/>
      <c r="K74" s="1075"/>
      <c r="L74" s="1076"/>
      <c r="M74" s="963"/>
    </row>
    <row r="75" ht="15.75" hidden="1" customHeight="1">
      <c r="A75" s="386"/>
      <c r="B75" s="1077"/>
      <c r="C75" s="54"/>
      <c r="D75" s="1037"/>
      <c r="E75" s="1038"/>
      <c r="F75" s="1038"/>
      <c r="G75" s="1037"/>
      <c r="H75" s="1037"/>
      <c r="I75" s="1037"/>
      <c r="J75" s="1078"/>
      <c r="K75" s="1078"/>
      <c r="L75" s="1079"/>
      <c r="M75" s="1038"/>
    </row>
    <row r="76">
      <c r="A76" s="1080" t="s">
        <v>2449</v>
      </c>
      <c r="B76" s="1081"/>
      <c r="C76" s="1081"/>
      <c r="D76" s="1081"/>
      <c r="E76" s="1081"/>
      <c r="F76" s="1081"/>
      <c r="G76" s="1081"/>
      <c r="H76" s="1081"/>
      <c r="I76" s="1081"/>
      <c r="J76" s="1081"/>
      <c r="K76" s="1081"/>
      <c r="L76" s="1081"/>
      <c r="M76" s="1082"/>
    </row>
    <row r="77">
      <c r="A77" s="1083" t="s">
        <v>2418</v>
      </c>
      <c r="B77" s="1084">
        <v>45961.0</v>
      </c>
      <c r="C77" s="1023">
        <v>45992.0</v>
      </c>
      <c r="D77" s="1085">
        <v>1230173.0</v>
      </c>
      <c r="E77" s="1024"/>
      <c r="F77" s="1024"/>
      <c r="G77" s="956" t="s">
        <v>2415</v>
      </c>
      <c r="H77" s="1011" t="s">
        <v>2450</v>
      </c>
      <c r="I77" s="1011" t="s">
        <v>496</v>
      </c>
      <c r="J77" s="960">
        <v>899.99</v>
      </c>
      <c r="K77" s="960">
        <v>799.99</v>
      </c>
      <c r="L77" s="1012">
        <v>-0.11</v>
      </c>
      <c r="M77" s="1086" t="s">
        <v>130</v>
      </c>
    </row>
    <row r="78">
      <c r="A78" s="1080" t="s">
        <v>2451</v>
      </c>
      <c r="B78" s="1081"/>
      <c r="C78" s="1081"/>
      <c r="D78" s="1081"/>
      <c r="E78" s="1081"/>
      <c r="F78" s="1081"/>
      <c r="G78" s="1081"/>
      <c r="H78" s="1081"/>
      <c r="I78" s="1081"/>
      <c r="J78" s="1081"/>
      <c r="K78" s="1081"/>
      <c r="L78" s="1081"/>
      <c r="M78" s="1082"/>
    </row>
    <row r="79">
      <c r="A79" s="971" t="s">
        <v>2418</v>
      </c>
      <c r="B79" s="1087">
        <v>45978.0</v>
      </c>
      <c r="C79" s="1088">
        <v>45992.0</v>
      </c>
      <c r="D79" s="956">
        <v>1218831.0</v>
      </c>
      <c r="E79" s="871"/>
      <c r="F79" s="871"/>
      <c r="G79" s="956" t="s">
        <v>2415</v>
      </c>
      <c r="H79" s="1011" t="s">
        <v>2452</v>
      </c>
      <c r="I79" s="1011" t="s">
        <v>2429</v>
      </c>
      <c r="J79" s="960">
        <v>599.99</v>
      </c>
      <c r="K79" s="960">
        <v>479.99</v>
      </c>
      <c r="L79" s="1012">
        <v>-0.2</v>
      </c>
      <c r="M79" s="1056"/>
    </row>
    <row r="80">
      <c r="A80" s="878"/>
      <c r="B80" s="880"/>
      <c r="C80" s="881"/>
      <c r="D80" s="920">
        <v>1218770.0</v>
      </c>
      <c r="E80" s="879"/>
      <c r="F80" s="879"/>
      <c r="G80" s="920" t="s">
        <v>2415</v>
      </c>
      <c r="H80" s="910" t="s">
        <v>2453</v>
      </c>
      <c r="I80" s="910" t="s">
        <v>2429</v>
      </c>
      <c r="J80" s="1032">
        <v>349.99</v>
      </c>
      <c r="K80" s="1032">
        <v>299.99</v>
      </c>
      <c r="L80" s="923">
        <v>-0.14</v>
      </c>
      <c r="M80" s="1089"/>
    </row>
    <row r="81" hidden="1">
      <c r="A81" s="1090"/>
      <c r="B81" s="1091"/>
      <c r="C81" s="1092"/>
      <c r="D81" s="885"/>
      <c r="E81" s="885"/>
      <c r="F81" s="885"/>
      <c r="G81" s="1063"/>
      <c r="H81" s="1093"/>
      <c r="I81" s="1093"/>
      <c r="J81" s="1094"/>
      <c r="K81" s="1094"/>
      <c r="L81" s="1095"/>
      <c r="M81" s="1096"/>
    </row>
    <row r="82" hidden="1">
      <c r="A82" s="988"/>
      <c r="B82" s="1097"/>
      <c r="C82" s="1098"/>
      <c r="D82" s="988"/>
      <c r="E82" s="988"/>
      <c r="F82" s="988"/>
      <c r="G82" s="988"/>
      <c r="H82" s="988"/>
      <c r="I82" s="988"/>
      <c r="J82" s="1099"/>
      <c r="K82" s="1099"/>
      <c r="L82" s="1100"/>
      <c r="M82" s="1101"/>
    </row>
    <row r="83" hidden="1">
      <c r="A83" s="988"/>
      <c r="B83" s="1097"/>
      <c r="C83" s="1098"/>
      <c r="D83" s="1037"/>
      <c r="E83" s="1037"/>
      <c r="F83" s="1037"/>
      <c r="G83" s="1102"/>
      <c r="H83" s="1102"/>
      <c r="I83" s="1102"/>
      <c r="J83" s="1103"/>
      <c r="K83" s="1103"/>
      <c r="L83" s="1104"/>
      <c r="M83" s="1105"/>
    </row>
    <row r="84" hidden="1">
      <c r="A84" s="988"/>
      <c r="B84" s="1097"/>
      <c r="C84" s="1098"/>
      <c r="D84" s="1037"/>
      <c r="E84" s="1037"/>
      <c r="F84" s="1037"/>
      <c r="G84" s="1037"/>
      <c r="H84" s="1037"/>
      <c r="I84" s="1037"/>
      <c r="J84" s="1078"/>
      <c r="K84" s="1078"/>
      <c r="L84" s="1079"/>
      <c r="M84" s="1105"/>
    </row>
    <row r="85">
      <c r="A85" s="1080" t="s">
        <v>2454</v>
      </c>
      <c r="B85" s="1081"/>
      <c r="C85" s="1081"/>
      <c r="D85" s="1081"/>
      <c r="E85" s="1081"/>
      <c r="F85" s="1081"/>
      <c r="G85" s="1081"/>
      <c r="H85" s="1081"/>
      <c r="I85" s="1081"/>
      <c r="J85" s="1081"/>
      <c r="K85" s="1081"/>
      <c r="L85" s="1081"/>
      <c r="M85" s="1082"/>
    </row>
    <row r="86" ht="15.75" customHeight="1">
      <c r="A86" s="971" t="s">
        <v>2418</v>
      </c>
      <c r="B86" s="870">
        <v>45978.0</v>
      </c>
      <c r="C86" s="870">
        <v>46015.0</v>
      </c>
      <c r="D86" s="1106">
        <v>1195905.0</v>
      </c>
      <c r="E86" s="973"/>
      <c r="F86" s="973"/>
      <c r="G86" s="956" t="s">
        <v>197</v>
      </c>
      <c r="H86" s="1029" t="s">
        <v>2455</v>
      </c>
      <c r="I86" s="1011" t="s">
        <v>506</v>
      </c>
      <c r="J86" s="1107">
        <v>79.99</v>
      </c>
      <c r="K86" s="1107">
        <v>39.99</v>
      </c>
      <c r="L86" s="1012">
        <v>-0.5</v>
      </c>
      <c r="M86" s="1108"/>
    </row>
    <row r="87" ht="15.75" customHeight="1">
      <c r="A87" s="892"/>
      <c r="B87" s="351"/>
      <c r="C87" s="351"/>
      <c r="D87" s="1109">
        <v>1197981.0</v>
      </c>
      <c r="E87" s="351"/>
      <c r="F87" s="351"/>
      <c r="G87" s="902" t="s">
        <v>197</v>
      </c>
      <c r="H87" s="1110" t="s">
        <v>2456</v>
      </c>
      <c r="I87" s="903" t="s">
        <v>488</v>
      </c>
      <c r="J87" s="931">
        <v>79.99</v>
      </c>
      <c r="K87" s="931">
        <v>63.99</v>
      </c>
      <c r="L87" s="932">
        <v>-0.2</v>
      </c>
      <c r="M87" s="1111"/>
    </row>
    <row r="88" ht="15.75" customHeight="1">
      <c r="A88" s="901"/>
      <c r="B88" s="362"/>
      <c r="C88" s="362"/>
      <c r="D88" s="1109">
        <v>1205275.0</v>
      </c>
      <c r="E88" s="362"/>
      <c r="F88" s="362"/>
      <c r="G88" s="902" t="s">
        <v>197</v>
      </c>
      <c r="H88" s="1110" t="s">
        <v>2457</v>
      </c>
      <c r="I88" s="903" t="s">
        <v>543</v>
      </c>
      <c r="J88" s="931">
        <v>49.99</v>
      </c>
      <c r="K88" s="931">
        <v>39.99</v>
      </c>
      <c r="L88" s="932">
        <v>-0.2</v>
      </c>
      <c r="M88" s="1111"/>
    </row>
    <row r="89" ht="15.75" customHeight="1">
      <c r="A89" s="892"/>
      <c r="B89" s="351"/>
      <c r="C89" s="351"/>
      <c r="D89" s="1109">
        <v>1205271.0</v>
      </c>
      <c r="E89" s="351"/>
      <c r="F89" s="351"/>
      <c r="G89" s="902" t="s">
        <v>197</v>
      </c>
      <c r="H89" s="1110" t="s">
        <v>2458</v>
      </c>
      <c r="I89" s="903" t="s">
        <v>496</v>
      </c>
      <c r="J89" s="931">
        <v>24.99</v>
      </c>
      <c r="K89" s="931">
        <v>19.99</v>
      </c>
      <c r="L89" s="932">
        <v>-0.2</v>
      </c>
      <c r="M89" s="1111"/>
    </row>
    <row r="90" ht="15.75" customHeight="1">
      <c r="A90" s="901"/>
      <c r="B90" s="362"/>
      <c r="C90" s="362"/>
      <c r="D90" s="1109">
        <v>1180893.0</v>
      </c>
      <c r="E90" s="362"/>
      <c r="F90" s="362"/>
      <c r="G90" s="902" t="s">
        <v>2459</v>
      </c>
      <c r="H90" s="1110" t="s">
        <v>2460</v>
      </c>
      <c r="I90" s="903" t="s">
        <v>543</v>
      </c>
      <c r="J90" s="931">
        <v>39.99</v>
      </c>
      <c r="K90" s="931">
        <v>47.99</v>
      </c>
      <c r="L90" s="932">
        <v>0.2</v>
      </c>
      <c r="M90" s="1111"/>
    </row>
    <row r="91" ht="15.75" customHeight="1">
      <c r="A91" s="892"/>
      <c r="B91" s="351"/>
      <c r="C91" s="351"/>
      <c r="D91" s="1109">
        <v>1197984.0</v>
      </c>
      <c r="E91" s="351"/>
      <c r="F91" s="351"/>
      <c r="G91" s="902" t="s">
        <v>197</v>
      </c>
      <c r="H91" s="1110" t="s">
        <v>2461</v>
      </c>
      <c r="I91" s="903" t="s">
        <v>506</v>
      </c>
      <c r="J91" s="931">
        <v>24.99</v>
      </c>
      <c r="K91" s="931">
        <v>63.99</v>
      </c>
      <c r="L91" s="932">
        <v>1.56</v>
      </c>
      <c r="M91" s="1111"/>
    </row>
    <row r="92" ht="15.75" customHeight="1">
      <c r="A92" s="901"/>
      <c r="B92" s="362"/>
      <c r="C92" s="362"/>
      <c r="D92" s="1109">
        <v>1192746.0</v>
      </c>
      <c r="E92" s="362"/>
      <c r="F92" s="362"/>
      <c r="G92" s="902" t="s">
        <v>2462</v>
      </c>
      <c r="H92" s="1110" t="s">
        <v>2463</v>
      </c>
      <c r="I92" s="903" t="s">
        <v>543</v>
      </c>
      <c r="J92" s="931">
        <v>29.99</v>
      </c>
      <c r="K92" s="931">
        <v>15.99</v>
      </c>
      <c r="L92" s="932">
        <v>-0.47</v>
      </c>
      <c r="M92" s="1111"/>
    </row>
    <row r="93" ht="15.75" customHeight="1">
      <c r="A93" s="892"/>
      <c r="B93" s="351"/>
      <c r="C93" s="351"/>
      <c r="D93" s="1109">
        <v>1170862.0</v>
      </c>
      <c r="E93" s="351"/>
      <c r="F93" s="351"/>
      <c r="G93" s="902" t="s">
        <v>2464</v>
      </c>
      <c r="H93" s="1110" t="s">
        <v>2465</v>
      </c>
      <c r="I93" s="903" t="s">
        <v>491</v>
      </c>
      <c r="J93" s="931">
        <v>12.99</v>
      </c>
      <c r="K93" s="931">
        <v>9.99</v>
      </c>
      <c r="L93" s="932">
        <v>-0.23</v>
      </c>
      <c r="M93" s="1111"/>
    </row>
    <row r="94" ht="15.75" customHeight="1">
      <c r="A94" s="901"/>
      <c r="B94" s="362"/>
      <c r="C94" s="362"/>
      <c r="D94" s="1109">
        <v>1195904.0</v>
      </c>
      <c r="E94" s="362"/>
      <c r="F94" s="362"/>
      <c r="G94" s="902" t="s">
        <v>197</v>
      </c>
      <c r="H94" s="1110" t="s">
        <v>2466</v>
      </c>
      <c r="I94" s="903" t="s">
        <v>506</v>
      </c>
      <c r="J94" s="931">
        <v>49.99</v>
      </c>
      <c r="K94" s="931">
        <v>39.99</v>
      </c>
      <c r="L94" s="932">
        <v>-0.2</v>
      </c>
      <c r="M94" s="933"/>
    </row>
    <row r="95" ht="15.75" customHeight="1">
      <c r="A95" s="892"/>
      <c r="B95" s="351"/>
      <c r="C95" s="351"/>
      <c r="D95" s="1109">
        <v>1205276.0</v>
      </c>
      <c r="E95" s="351"/>
      <c r="F95" s="351"/>
      <c r="G95" s="902" t="s">
        <v>197</v>
      </c>
      <c r="H95" s="1110" t="s">
        <v>2467</v>
      </c>
      <c r="I95" s="1110" t="s">
        <v>543</v>
      </c>
      <c r="J95" s="931">
        <v>49.99</v>
      </c>
      <c r="K95" s="931">
        <v>39.99</v>
      </c>
      <c r="L95" s="932">
        <v>-0.2</v>
      </c>
      <c r="M95" s="933"/>
    </row>
    <row r="96" ht="15.75" customHeight="1">
      <c r="A96" s="901"/>
      <c r="B96" s="362"/>
      <c r="C96" s="362"/>
      <c r="D96" s="1109">
        <v>1184473.0</v>
      </c>
      <c r="E96" s="362"/>
      <c r="F96" s="362"/>
      <c r="G96" s="902" t="s">
        <v>2468</v>
      </c>
      <c r="H96" s="1110" t="s">
        <v>2469</v>
      </c>
      <c r="I96" s="1110" t="s">
        <v>543</v>
      </c>
      <c r="J96" s="931">
        <v>19.99</v>
      </c>
      <c r="K96" s="931">
        <v>31.99</v>
      </c>
      <c r="L96" s="932">
        <v>0.6</v>
      </c>
      <c r="M96" s="1111"/>
    </row>
    <row r="97" ht="15.75" customHeight="1">
      <c r="A97" s="892"/>
      <c r="B97" s="351"/>
      <c r="C97" s="351"/>
      <c r="D97" s="1109">
        <v>1197982.0</v>
      </c>
      <c r="E97" s="351"/>
      <c r="F97" s="351"/>
      <c r="G97" s="902" t="s">
        <v>197</v>
      </c>
      <c r="H97" s="1110" t="s">
        <v>2470</v>
      </c>
      <c r="I97" s="1110" t="s">
        <v>488</v>
      </c>
      <c r="J97" s="931">
        <v>79.99</v>
      </c>
      <c r="K97" s="931">
        <v>63.99</v>
      </c>
      <c r="L97" s="932">
        <v>-0.2</v>
      </c>
      <c r="M97" s="1111"/>
    </row>
    <row r="98" ht="15.75" customHeight="1">
      <c r="A98" s="901"/>
      <c r="B98" s="362"/>
      <c r="C98" s="362"/>
      <c r="D98" s="1109">
        <v>1217547.0</v>
      </c>
      <c r="E98" s="362"/>
      <c r="F98" s="362"/>
      <c r="G98" s="902" t="s">
        <v>197</v>
      </c>
      <c r="H98" s="1110" t="s">
        <v>2471</v>
      </c>
      <c r="I98" s="1110" t="s">
        <v>543</v>
      </c>
      <c r="J98" s="931">
        <v>79.99</v>
      </c>
      <c r="K98" s="931">
        <v>39.99</v>
      </c>
      <c r="L98" s="932">
        <v>-0.5</v>
      </c>
      <c r="M98" s="1111"/>
    </row>
    <row r="99" ht="15.75" customHeight="1">
      <c r="A99" s="892"/>
      <c r="B99" s="351"/>
      <c r="C99" s="351"/>
      <c r="D99" s="1109">
        <v>1195418.0</v>
      </c>
      <c r="E99" s="351"/>
      <c r="F99" s="351"/>
      <c r="G99" s="902" t="s">
        <v>197</v>
      </c>
      <c r="H99" s="1110" t="s">
        <v>2472</v>
      </c>
      <c r="I99" s="903" t="s">
        <v>491</v>
      </c>
      <c r="J99" s="931">
        <v>49.99</v>
      </c>
      <c r="K99" s="931">
        <v>19.99</v>
      </c>
      <c r="L99" s="932">
        <v>-0.6</v>
      </c>
      <c r="M99" s="1111"/>
    </row>
    <row r="100" ht="15.75" customHeight="1">
      <c r="A100" s="901"/>
      <c r="B100" s="362"/>
      <c r="C100" s="362"/>
      <c r="D100" s="1109">
        <v>1217544.0</v>
      </c>
      <c r="E100" s="362"/>
      <c r="F100" s="362"/>
      <c r="G100" s="902" t="s">
        <v>197</v>
      </c>
      <c r="H100" s="1110" t="s">
        <v>2473</v>
      </c>
      <c r="I100" s="903" t="s">
        <v>543</v>
      </c>
      <c r="J100" s="931">
        <v>49.99</v>
      </c>
      <c r="K100" s="931">
        <v>39.99</v>
      </c>
      <c r="L100" s="932">
        <v>-0.2</v>
      </c>
      <c r="M100" s="1111"/>
    </row>
    <row r="101" ht="15.75" customHeight="1">
      <c r="A101" s="892"/>
      <c r="B101" s="351"/>
      <c r="C101" s="351"/>
      <c r="D101" s="1109">
        <v>1192716.0</v>
      </c>
      <c r="E101" s="351"/>
      <c r="F101" s="351"/>
      <c r="G101" s="902" t="s">
        <v>2462</v>
      </c>
      <c r="H101" s="1110" t="s">
        <v>2474</v>
      </c>
      <c r="I101" s="903" t="s">
        <v>543</v>
      </c>
      <c r="J101" s="931">
        <v>19.9</v>
      </c>
      <c r="K101" s="931">
        <v>15.99</v>
      </c>
      <c r="L101" s="932">
        <v>-0.2</v>
      </c>
      <c r="M101" s="1111"/>
    </row>
    <row r="102" ht="15.75" customHeight="1">
      <c r="A102" s="901"/>
      <c r="B102" s="362"/>
      <c r="C102" s="362"/>
      <c r="D102" s="1109">
        <v>1197983.0</v>
      </c>
      <c r="E102" s="362"/>
      <c r="F102" s="362"/>
      <c r="G102" s="902" t="s">
        <v>197</v>
      </c>
      <c r="H102" s="1110" t="s">
        <v>2475</v>
      </c>
      <c r="I102" s="903" t="s">
        <v>506</v>
      </c>
      <c r="J102" s="931">
        <v>79.99</v>
      </c>
      <c r="K102" s="931">
        <v>63.99</v>
      </c>
      <c r="L102" s="932">
        <v>-0.2</v>
      </c>
      <c r="M102" s="1111"/>
    </row>
    <row r="103" ht="15.75" customHeight="1">
      <c r="A103" s="892"/>
      <c r="B103" s="351"/>
      <c r="C103" s="351"/>
      <c r="D103" s="1109">
        <v>1192749.0</v>
      </c>
      <c r="E103" s="351"/>
      <c r="F103" s="351"/>
      <c r="G103" s="902" t="s">
        <v>2476</v>
      </c>
      <c r="H103" s="1110" t="s">
        <v>2477</v>
      </c>
      <c r="I103" s="903" t="s">
        <v>491</v>
      </c>
      <c r="J103" s="931">
        <v>19.99</v>
      </c>
      <c r="K103" s="931">
        <v>23.99</v>
      </c>
      <c r="L103" s="932">
        <v>0.2</v>
      </c>
      <c r="M103" s="1111"/>
    </row>
    <row r="104" ht="15.75" customHeight="1">
      <c r="A104" s="901"/>
      <c r="B104" s="362"/>
      <c r="C104" s="362"/>
      <c r="D104" s="1109">
        <v>1217562.0</v>
      </c>
      <c r="E104" s="362"/>
      <c r="F104" s="362"/>
      <c r="G104" s="902" t="s">
        <v>197</v>
      </c>
      <c r="H104" s="1110" t="s">
        <v>2478</v>
      </c>
      <c r="I104" s="903" t="s">
        <v>543</v>
      </c>
      <c r="J104" s="931">
        <v>79.99</v>
      </c>
      <c r="K104" s="931">
        <v>63.99</v>
      </c>
      <c r="L104" s="932">
        <v>-0.2</v>
      </c>
      <c r="M104" s="1111"/>
    </row>
    <row r="105" ht="15.75" customHeight="1">
      <c r="A105" s="892"/>
      <c r="B105" s="351"/>
      <c r="C105" s="351"/>
      <c r="D105" s="1109">
        <v>1195415.0</v>
      </c>
      <c r="E105" s="351"/>
      <c r="F105" s="351"/>
      <c r="G105" s="902" t="s">
        <v>197</v>
      </c>
      <c r="H105" s="1110" t="s">
        <v>2479</v>
      </c>
      <c r="I105" s="903" t="s">
        <v>491</v>
      </c>
      <c r="J105" s="931">
        <v>24.99</v>
      </c>
      <c r="K105" s="931">
        <v>19.99</v>
      </c>
      <c r="L105" s="932">
        <v>-0.2</v>
      </c>
      <c r="M105" s="1111"/>
    </row>
    <row r="106" ht="15.75" customHeight="1">
      <c r="A106" s="901"/>
      <c r="B106" s="362"/>
      <c r="C106" s="362"/>
      <c r="D106" s="1109">
        <v>1192750.0</v>
      </c>
      <c r="E106" s="362"/>
      <c r="F106" s="362"/>
      <c r="G106" s="902" t="s">
        <v>2476</v>
      </c>
      <c r="H106" s="1110" t="s">
        <v>2477</v>
      </c>
      <c r="I106" s="903" t="s">
        <v>491</v>
      </c>
      <c r="J106" s="931">
        <v>24.99</v>
      </c>
      <c r="K106" s="931">
        <v>15.99</v>
      </c>
      <c r="L106" s="932">
        <v>-0.36</v>
      </c>
      <c r="M106" s="933"/>
    </row>
    <row r="107" ht="15.75" customHeight="1">
      <c r="A107" s="892"/>
      <c r="B107" s="351"/>
      <c r="C107" s="351"/>
      <c r="D107" s="1109">
        <v>1217561.0</v>
      </c>
      <c r="E107" s="351"/>
      <c r="F107" s="351"/>
      <c r="G107" s="902" t="s">
        <v>197</v>
      </c>
      <c r="H107" s="1110" t="s">
        <v>2480</v>
      </c>
      <c r="I107" s="1110" t="s">
        <v>543</v>
      </c>
      <c r="J107" s="931">
        <v>79.99</v>
      </c>
      <c r="K107" s="931">
        <v>63.99</v>
      </c>
      <c r="L107" s="932">
        <v>-0.2</v>
      </c>
      <c r="M107" s="933"/>
    </row>
    <row r="108" ht="15.75" customHeight="1">
      <c r="A108" s="878"/>
      <c r="B108" s="879"/>
      <c r="C108" s="879"/>
      <c r="D108" s="1109">
        <v>1205273.0</v>
      </c>
      <c r="E108" s="879"/>
      <c r="F108" s="879"/>
      <c r="G108" s="902" t="s">
        <v>197</v>
      </c>
      <c r="H108" s="1110" t="s">
        <v>2481</v>
      </c>
      <c r="I108" s="1110" t="s">
        <v>496</v>
      </c>
      <c r="J108" s="931">
        <v>49.99</v>
      </c>
      <c r="K108" s="931">
        <v>19.99</v>
      </c>
      <c r="L108" s="932">
        <v>-0.6</v>
      </c>
      <c r="M108" s="1111"/>
    </row>
    <row r="109" hidden="1">
      <c r="A109" s="1112" t="s">
        <v>2482</v>
      </c>
      <c r="B109" s="1113"/>
      <c r="C109" s="1113"/>
      <c r="D109" s="1113"/>
      <c r="E109" s="1113"/>
      <c r="F109" s="1113"/>
      <c r="G109" s="1113"/>
      <c r="H109" s="1113"/>
      <c r="I109" s="1113"/>
      <c r="J109" s="1113"/>
      <c r="K109" s="1113"/>
      <c r="L109" s="1113"/>
      <c r="M109" s="1114"/>
    </row>
    <row r="110" ht="15.75" hidden="1" customHeight="1">
      <c r="A110" s="971"/>
      <c r="B110" s="1115"/>
      <c r="C110" s="1116"/>
      <c r="D110" s="1117"/>
      <c r="E110" s="1118"/>
      <c r="F110" s="1118"/>
      <c r="G110" s="872"/>
      <c r="H110" s="1117"/>
      <c r="I110" s="1117"/>
      <c r="J110" s="975"/>
      <c r="K110" s="975"/>
      <c r="L110" s="976"/>
      <c r="M110" s="1119"/>
    </row>
    <row r="111" ht="15.75" hidden="1" customHeight="1">
      <c r="A111" s="1058"/>
      <c r="B111" s="908"/>
      <c r="C111" s="908"/>
      <c r="D111" s="1031"/>
      <c r="E111" s="908"/>
      <c r="F111" s="908"/>
      <c r="G111" s="910"/>
      <c r="H111" s="1031"/>
      <c r="I111" s="1031"/>
      <c r="J111" s="922"/>
      <c r="K111" s="922"/>
      <c r="L111" s="923"/>
      <c r="M111" s="1120"/>
    </row>
    <row r="112" hidden="1">
      <c r="A112" s="1080" t="s">
        <v>2483</v>
      </c>
      <c r="B112" s="1081"/>
      <c r="C112" s="1081"/>
      <c r="D112" s="1081"/>
      <c r="E112" s="1081"/>
      <c r="F112" s="1081"/>
      <c r="G112" s="1081"/>
      <c r="H112" s="1081"/>
      <c r="I112" s="1081"/>
      <c r="J112" s="1081"/>
      <c r="K112" s="1081"/>
      <c r="L112" s="1081"/>
      <c r="M112" s="1082"/>
    </row>
    <row r="113" ht="15.75" hidden="1" customHeight="1">
      <c r="A113" s="971"/>
      <c r="B113" s="870"/>
      <c r="C113" s="1088"/>
      <c r="D113" s="956"/>
      <c r="E113" s="973"/>
      <c r="F113" s="973"/>
      <c r="G113" s="1121"/>
      <c r="H113" s="1122"/>
      <c r="I113" s="1122"/>
      <c r="J113" s="1123"/>
      <c r="K113" s="1123"/>
      <c r="L113" s="1124"/>
      <c r="M113" s="1125"/>
    </row>
    <row r="114" ht="15.75" hidden="1" customHeight="1">
      <c r="A114" s="883"/>
      <c r="B114" s="1027"/>
      <c r="C114" s="1126"/>
      <c r="D114" s="902"/>
      <c r="E114" s="895"/>
      <c r="F114" s="895"/>
      <c r="G114" s="1127"/>
      <c r="H114" s="1128"/>
      <c r="I114" s="1128"/>
      <c r="J114" s="1129"/>
      <c r="K114" s="1129"/>
      <c r="L114" s="1130"/>
      <c r="M114" s="1131"/>
    </row>
    <row r="115" ht="15.75" hidden="1" customHeight="1">
      <c r="A115" s="883"/>
      <c r="B115" s="1027"/>
      <c r="C115" s="1126"/>
      <c r="D115" s="902"/>
      <c r="E115" s="895"/>
      <c r="F115" s="895"/>
      <c r="G115" s="1127"/>
      <c r="H115" s="1128"/>
      <c r="I115" s="1128"/>
      <c r="J115" s="1129"/>
      <c r="K115" s="1129"/>
      <c r="L115" s="1130"/>
      <c r="M115" s="1131"/>
    </row>
    <row r="116" ht="15.75" hidden="1" customHeight="1">
      <c r="A116" s="883"/>
      <c r="B116" s="1027"/>
      <c r="C116" s="1126"/>
      <c r="D116" s="902"/>
      <c r="E116" s="895"/>
      <c r="F116" s="895"/>
      <c r="G116" s="1127"/>
      <c r="H116" s="1128"/>
      <c r="I116" s="1128"/>
      <c r="J116" s="1129"/>
      <c r="K116" s="1129"/>
      <c r="L116" s="1130"/>
      <c r="M116" s="1131"/>
    </row>
    <row r="117" ht="15.75" hidden="1" customHeight="1">
      <c r="A117" s="883"/>
      <c r="B117" s="1027"/>
      <c r="C117" s="1126"/>
      <c r="D117" s="902"/>
      <c r="E117" s="895"/>
      <c r="F117" s="895"/>
      <c r="G117" s="1127"/>
      <c r="H117" s="1128"/>
      <c r="I117" s="1128"/>
      <c r="J117" s="1129"/>
      <c r="K117" s="1129"/>
      <c r="L117" s="1130"/>
      <c r="M117" s="1131"/>
    </row>
    <row r="118" ht="15.75" hidden="1" customHeight="1">
      <c r="A118" s="883"/>
      <c r="B118" s="1027"/>
      <c r="C118" s="1126"/>
      <c r="D118" s="902"/>
      <c r="E118" s="895"/>
      <c r="F118" s="895"/>
      <c r="G118" s="1127"/>
      <c r="H118" s="1128"/>
      <c r="I118" s="1128"/>
      <c r="J118" s="1129"/>
      <c r="K118" s="1129"/>
      <c r="L118" s="1130"/>
      <c r="M118" s="1131"/>
    </row>
    <row r="119" ht="15.75" hidden="1" customHeight="1">
      <c r="A119" s="883"/>
      <c r="B119" s="1027"/>
      <c r="C119" s="1126"/>
      <c r="D119" s="902"/>
      <c r="E119" s="895"/>
      <c r="F119" s="895"/>
      <c r="G119" s="1127"/>
      <c r="H119" s="1128"/>
      <c r="I119" s="1128"/>
      <c r="J119" s="1129"/>
      <c r="K119" s="1129"/>
      <c r="L119" s="1130"/>
      <c r="M119" s="1131"/>
    </row>
    <row r="120" ht="15.75" hidden="1" customHeight="1">
      <c r="A120" s="883"/>
      <c r="B120" s="1027"/>
      <c r="C120" s="1126"/>
      <c r="D120" s="902"/>
      <c r="E120" s="895"/>
      <c r="F120" s="895"/>
      <c r="G120" s="1127"/>
      <c r="H120" s="1128"/>
      <c r="I120" s="1128"/>
      <c r="J120" s="1129"/>
      <c r="K120" s="1129"/>
      <c r="L120" s="1130"/>
      <c r="M120" s="1131"/>
    </row>
    <row r="121" ht="15.75" hidden="1" customHeight="1">
      <c r="A121" s="883"/>
      <c r="B121" s="1027"/>
      <c r="C121" s="1126"/>
      <c r="D121" s="902"/>
      <c r="E121" s="895"/>
      <c r="F121" s="895"/>
      <c r="G121" s="1127"/>
      <c r="H121" s="1128"/>
      <c r="I121" s="1128"/>
      <c r="J121" s="1129"/>
      <c r="K121" s="1129"/>
      <c r="L121" s="1130"/>
      <c r="M121" s="1131"/>
    </row>
    <row r="122" ht="15.75" hidden="1" customHeight="1">
      <c r="A122" s="883"/>
      <c r="B122" s="1027"/>
      <c r="C122" s="1126"/>
      <c r="D122" s="902"/>
      <c r="E122" s="895"/>
      <c r="F122" s="895"/>
      <c r="G122" s="1127"/>
      <c r="H122" s="1128"/>
      <c r="I122" s="1128"/>
      <c r="J122" s="1129"/>
      <c r="K122" s="1129"/>
      <c r="L122" s="1130"/>
      <c r="M122" s="1131"/>
    </row>
    <row r="123" ht="15.75" hidden="1" customHeight="1">
      <c r="A123" s="883"/>
      <c r="B123" s="1027"/>
      <c r="C123" s="1126"/>
      <c r="D123" s="902"/>
      <c r="E123" s="895"/>
      <c r="F123" s="895"/>
      <c r="G123" s="1127"/>
      <c r="H123" s="1128"/>
      <c r="I123" s="1128"/>
      <c r="J123" s="1129"/>
      <c r="K123" s="1129"/>
      <c r="L123" s="1130"/>
      <c r="M123" s="1131"/>
    </row>
    <row r="124" ht="15.75" hidden="1" customHeight="1">
      <c r="A124" s="883"/>
      <c r="B124" s="1027"/>
      <c r="C124" s="1126"/>
      <c r="D124" s="902"/>
      <c r="E124" s="895"/>
      <c r="F124" s="895"/>
      <c r="G124" s="1127"/>
      <c r="H124" s="1128"/>
      <c r="I124" s="1128"/>
      <c r="J124" s="1129"/>
      <c r="K124" s="1129"/>
      <c r="L124" s="1130"/>
      <c r="M124" s="1131"/>
    </row>
    <row r="125" ht="15.75" hidden="1" customHeight="1">
      <c r="A125" s="883"/>
      <c r="B125" s="1019"/>
      <c r="C125" s="1092"/>
      <c r="D125" s="902"/>
      <c r="E125" s="886"/>
      <c r="F125" s="886"/>
      <c r="G125" s="1127"/>
      <c r="H125" s="1128"/>
      <c r="I125" s="1128"/>
      <c r="J125" s="1129"/>
      <c r="K125" s="1129"/>
      <c r="L125" s="1130"/>
      <c r="M125" s="1131"/>
    </row>
    <row r="126">
      <c r="A126" s="1080" t="s">
        <v>2484</v>
      </c>
      <c r="B126" s="1081"/>
      <c r="C126" s="1081"/>
      <c r="D126" s="1081"/>
      <c r="E126" s="1081"/>
      <c r="F126" s="1081"/>
      <c r="G126" s="1081"/>
      <c r="H126" s="1081"/>
      <c r="I126" s="1081"/>
      <c r="J126" s="1081"/>
      <c r="K126" s="1081"/>
      <c r="L126" s="1081"/>
      <c r="M126" s="1082"/>
    </row>
    <row r="127" ht="15.75" customHeight="1">
      <c r="A127" s="971" t="s">
        <v>2418</v>
      </c>
      <c r="B127" s="870"/>
      <c r="C127" s="1088"/>
      <c r="D127" s="956">
        <v>1151112.0</v>
      </c>
      <c r="E127" s="973"/>
      <c r="F127" s="973"/>
      <c r="G127" s="1121" t="s">
        <v>2485</v>
      </c>
      <c r="H127" s="1122" t="s">
        <v>2486</v>
      </c>
      <c r="I127" s="1122" t="s">
        <v>506</v>
      </c>
      <c r="J127" s="1123">
        <v>34.99</v>
      </c>
      <c r="K127" s="1123">
        <v>19.99</v>
      </c>
      <c r="L127" s="1124">
        <v>-0.43</v>
      </c>
      <c r="M127" s="1125"/>
    </row>
    <row r="128" ht="15.75" hidden="1" customHeight="1">
      <c r="A128" s="883"/>
      <c r="B128" s="1027"/>
      <c r="C128" s="1126"/>
      <c r="D128" s="902"/>
      <c r="E128" s="895"/>
      <c r="F128" s="895"/>
      <c r="G128" s="1127"/>
      <c r="H128" s="1128"/>
      <c r="I128" s="1128"/>
      <c r="J128" s="1129"/>
      <c r="K128" s="1129"/>
      <c r="L128" s="1130"/>
      <c r="M128" s="1131"/>
    </row>
    <row r="129" ht="15.75" hidden="1" customHeight="1">
      <c r="A129" s="883"/>
      <c r="B129" s="1027"/>
      <c r="C129" s="1126"/>
      <c r="D129" s="902"/>
      <c r="E129" s="895"/>
      <c r="F129" s="895"/>
      <c r="G129" s="1127"/>
      <c r="H129" s="1128"/>
      <c r="I129" s="1128"/>
      <c r="J129" s="1129"/>
      <c r="K129" s="1129"/>
      <c r="L129" s="1130"/>
      <c r="M129" s="1131"/>
    </row>
    <row r="130" ht="15.75" hidden="1" customHeight="1">
      <c r="A130" s="883"/>
      <c r="B130" s="1027"/>
      <c r="C130" s="1126"/>
      <c r="D130" s="902"/>
      <c r="E130" s="895"/>
      <c r="F130" s="895"/>
      <c r="G130" s="1127"/>
      <c r="H130" s="1128"/>
      <c r="I130" s="1128"/>
      <c r="J130" s="1129"/>
      <c r="K130" s="1129"/>
      <c r="L130" s="1130"/>
      <c r="M130" s="1131"/>
    </row>
    <row r="131" ht="15.75" hidden="1" customHeight="1">
      <c r="A131" s="883"/>
      <c r="B131" s="1027"/>
      <c r="C131" s="1126"/>
      <c r="D131" s="902"/>
      <c r="E131" s="895"/>
      <c r="F131" s="895"/>
      <c r="G131" s="1127"/>
      <c r="H131" s="1128"/>
      <c r="I131" s="1128"/>
      <c r="J131" s="1129"/>
      <c r="K131" s="1129"/>
      <c r="L131" s="1130"/>
      <c r="M131" s="1131"/>
    </row>
    <row r="132" ht="48.75" customHeight="1">
      <c r="A132" s="1132" t="s">
        <v>2487</v>
      </c>
      <c r="B132" s="868"/>
      <c r="C132" s="868"/>
      <c r="D132" s="868"/>
      <c r="E132" s="868"/>
      <c r="F132" s="868"/>
      <c r="G132" s="868"/>
      <c r="H132" s="868"/>
      <c r="I132" s="868"/>
      <c r="J132" s="868"/>
      <c r="K132" s="868"/>
      <c r="L132" s="868"/>
      <c r="M132" s="946"/>
    </row>
    <row r="133" ht="23.25" customHeight="1">
      <c r="A133" s="1133" t="s">
        <v>2488</v>
      </c>
      <c r="B133" s="1081"/>
      <c r="C133" s="1081"/>
      <c r="D133" s="1081"/>
      <c r="E133" s="1081"/>
      <c r="F133" s="1081"/>
      <c r="G133" s="1081"/>
      <c r="H133" s="1081"/>
      <c r="I133" s="1081"/>
      <c r="J133" s="1081"/>
      <c r="K133" s="1081"/>
      <c r="L133" s="1081"/>
      <c r="M133" s="1082"/>
    </row>
    <row r="134">
      <c r="A134" s="1134" t="s">
        <v>2418</v>
      </c>
      <c r="B134" s="870">
        <v>45981.0</v>
      </c>
      <c r="C134" s="870">
        <v>45991.0</v>
      </c>
      <c r="D134" s="1106">
        <v>1219822.0</v>
      </c>
      <c r="E134" s="870"/>
      <c r="F134" s="870"/>
      <c r="G134" s="1106" t="s">
        <v>2489</v>
      </c>
      <c r="H134" s="1029" t="s">
        <v>2490</v>
      </c>
      <c r="I134" s="1029" t="s">
        <v>543</v>
      </c>
      <c r="J134" s="960">
        <v>89.9</v>
      </c>
      <c r="K134" s="960">
        <v>74.9</v>
      </c>
      <c r="L134" s="1012">
        <v>-0.17</v>
      </c>
      <c r="M134" s="1056"/>
    </row>
    <row r="135">
      <c r="A135" s="892"/>
      <c r="B135" s="351"/>
      <c r="C135" s="351"/>
      <c r="D135" s="1135">
        <v>1219823.0</v>
      </c>
      <c r="E135" s="351"/>
      <c r="F135" s="351"/>
      <c r="G135" s="1136" t="s">
        <v>2489</v>
      </c>
      <c r="H135" s="1137" t="s">
        <v>2491</v>
      </c>
      <c r="I135" s="1137" t="s">
        <v>543</v>
      </c>
      <c r="J135" s="1138">
        <v>89.9</v>
      </c>
      <c r="K135" s="1138">
        <v>74.9</v>
      </c>
      <c r="L135" s="1139">
        <v>-0.17</v>
      </c>
      <c r="M135" s="1140"/>
    </row>
    <row r="136">
      <c r="A136" s="901"/>
      <c r="B136" s="362"/>
      <c r="C136" s="362"/>
      <c r="D136" s="1106">
        <v>1191252.0</v>
      </c>
      <c r="E136" s="871"/>
      <c r="F136" s="871">
        <v>1192916.0</v>
      </c>
      <c r="G136" s="1106" t="s">
        <v>2492</v>
      </c>
      <c r="H136" s="1029" t="s">
        <v>2493</v>
      </c>
      <c r="I136" s="1029" t="s">
        <v>543</v>
      </c>
      <c r="J136" s="960">
        <v>12.9</v>
      </c>
      <c r="K136" s="960">
        <v>12.9</v>
      </c>
      <c r="L136" s="1141" t="s">
        <v>2494</v>
      </c>
      <c r="M136" s="877" t="s">
        <v>130</v>
      </c>
    </row>
    <row r="137">
      <c r="A137" s="892"/>
      <c r="B137" s="351"/>
      <c r="C137" s="351"/>
      <c r="D137" s="1109">
        <v>1179100.0</v>
      </c>
      <c r="E137" s="351"/>
      <c r="F137" s="351"/>
      <c r="G137" s="1142" t="s">
        <v>2492</v>
      </c>
      <c r="H137" s="939" t="s">
        <v>2495</v>
      </c>
      <c r="I137" s="1143" t="s">
        <v>506</v>
      </c>
      <c r="J137" s="1057">
        <v>12.9</v>
      </c>
      <c r="K137" s="1138">
        <v>12.9</v>
      </c>
      <c r="L137" s="351"/>
      <c r="M137" s="986"/>
    </row>
    <row r="138">
      <c r="A138" s="878"/>
      <c r="B138" s="879"/>
      <c r="C138" s="879"/>
      <c r="D138" s="1144">
        <v>1179191.0</v>
      </c>
      <c r="E138" s="879"/>
      <c r="F138" s="879"/>
      <c r="G138" s="1144" t="s">
        <v>2492</v>
      </c>
      <c r="H138" s="1031" t="s">
        <v>2496</v>
      </c>
      <c r="I138" s="1031" t="s">
        <v>543</v>
      </c>
      <c r="J138" s="1032">
        <v>12.9</v>
      </c>
      <c r="K138" s="1032">
        <v>12.9</v>
      </c>
      <c r="L138" s="879"/>
      <c r="M138" s="882"/>
    </row>
    <row r="139" hidden="1">
      <c r="A139" s="1145"/>
      <c r="B139" s="1027"/>
      <c r="C139" s="1027"/>
      <c r="D139" s="1146"/>
      <c r="E139" s="1027"/>
      <c r="F139" s="1027"/>
      <c r="G139" s="1147"/>
      <c r="H139" s="1148"/>
      <c r="I139" s="1148"/>
      <c r="J139" s="1016"/>
      <c r="K139" s="1016"/>
      <c r="L139" s="918"/>
      <c r="M139" s="919"/>
    </row>
    <row r="140" hidden="1">
      <c r="A140" s="1145"/>
      <c r="B140" s="1027"/>
      <c r="C140" s="1027"/>
      <c r="D140" s="1109"/>
      <c r="E140" s="1027"/>
      <c r="F140" s="1027"/>
      <c r="G140" s="1109"/>
      <c r="H140" s="1110"/>
      <c r="I140" s="1110"/>
      <c r="J140" s="1018"/>
      <c r="K140" s="1018"/>
      <c r="L140" s="932"/>
      <c r="M140" s="933"/>
    </row>
    <row r="141" hidden="1">
      <c r="A141" s="1145"/>
      <c r="B141" s="1027"/>
      <c r="C141" s="1027"/>
      <c r="D141" s="1109"/>
      <c r="E141" s="1027"/>
      <c r="F141" s="1027"/>
      <c r="G141" s="1142"/>
      <c r="H141" s="1143"/>
      <c r="I141" s="1143"/>
      <c r="J141" s="1057"/>
      <c r="K141" s="1057"/>
      <c r="L141" s="941"/>
      <c r="M141" s="942"/>
    </row>
    <row r="142" hidden="1">
      <c r="A142" s="1145"/>
      <c r="B142" s="1027"/>
      <c r="C142" s="1027"/>
      <c r="D142" s="1109"/>
      <c r="E142" s="1027"/>
      <c r="F142" s="1027"/>
      <c r="G142" s="1109"/>
      <c r="H142" s="903"/>
      <c r="I142" s="1110"/>
      <c r="J142" s="1018"/>
      <c r="K142" s="1018"/>
      <c r="L142" s="932"/>
      <c r="M142" s="933"/>
    </row>
    <row r="143" hidden="1">
      <c r="A143" s="1145"/>
      <c r="B143" s="1027"/>
      <c r="C143" s="1027"/>
      <c r="D143" s="1109"/>
      <c r="E143" s="1027"/>
      <c r="F143" s="1027"/>
      <c r="G143" s="1142"/>
      <c r="H143" s="939"/>
      <c r="I143" s="1143"/>
      <c r="J143" s="1057"/>
      <c r="K143" s="1057"/>
      <c r="L143" s="941"/>
      <c r="M143" s="942"/>
    </row>
    <row r="144" hidden="1">
      <c r="A144" s="1145"/>
      <c r="B144" s="1027"/>
      <c r="C144" s="1027"/>
      <c r="D144" s="1109"/>
      <c r="E144" s="1027"/>
      <c r="F144" s="1027"/>
      <c r="G144" s="1109"/>
      <c r="H144" s="903"/>
      <c r="I144" s="1110"/>
      <c r="J144" s="1018"/>
      <c r="K144" s="1018"/>
      <c r="L144" s="932"/>
      <c r="M144" s="933"/>
    </row>
    <row r="145" hidden="1">
      <c r="A145" s="1145"/>
      <c r="B145" s="1027"/>
      <c r="C145" s="1027"/>
      <c r="D145" s="1109"/>
      <c r="E145" s="1027"/>
      <c r="F145" s="1027"/>
      <c r="G145" s="1142"/>
      <c r="H145" s="939"/>
      <c r="I145" s="1143"/>
      <c r="J145" s="1057"/>
      <c r="K145" s="1057"/>
      <c r="L145" s="941"/>
      <c r="M145" s="942"/>
    </row>
    <row r="146" hidden="1">
      <c r="A146" s="1145"/>
      <c r="B146" s="1027"/>
      <c r="C146" s="1027"/>
      <c r="D146" s="1109"/>
      <c r="E146" s="1027"/>
      <c r="F146" s="1027"/>
      <c r="G146" s="1109"/>
      <c r="H146" s="903"/>
      <c r="I146" s="1110"/>
      <c r="J146" s="1018"/>
      <c r="K146" s="1018"/>
      <c r="L146" s="932"/>
      <c r="M146" s="933"/>
    </row>
    <row r="147" hidden="1">
      <c r="A147" s="1145"/>
      <c r="B147" s="1027"/>
      <c r="C147" s="1027"/>
      <c r="D147" s="1109"/>
      <c r="E147" s="1027"/>
      <c r="F147" s="1027"/>
      <c r="G147" s="1142"/>
      <c r="H147" s="939"/>
      <c r="I147" s="1143"/>
      <c r="J147" s="1057"/>
      <c r="K147" s="1057"/>
      <c r="L147" s="941"/>
      <c r="M147" s="942"/>
    </row>
    <row r="148" hidden="1">
      <c r="A148" s="1145"/>
      <c r="B148" s="1027"/>
      <c r="C148" s="1027"/>
      <c r="D148" s="1109"/>
      <c r="E148" s="1027"/>
      <c r="F148" s="1027"/>
      <c r="G148" s="1109"/>
      <c r="H148" s="903"/>
      <c r="I148" s="1110"/>
      <c r="J148" s="1018"/>
      <c r="K148" s="1018"/>
      <c r="L148" s="932"/>
      <c r="M148" s="933"/>
    </row>
    <row r="149" hidden="1">
      <c r="A149" s="1145"/>
      <c r="B149" s="1027"/>
      <c r="C149" s="1027"/>
      <c r="D149" s="1109"/>
      <c r="E149" s="1027"/>
      <c r="F149" s="1027"/>
      <c r="G149" s="1142"/>
      <c r="H149" s="939"/>
      <c r="I149" s="1143"/>
      <c r="J149" s="1057"/>
      <c r="K149" s="1057"/>
      <c r="L149" s="941"/>
      <c r="M149" s="942"/>
    </row>
    <row r="150" hidden="1">
      <c r="A150" s="1145"/>
      <c r="B150" s="1027"/>
      <c r="C150" s="1027"/>
      <c r="D150" s="1109"/>
      <c r="E150" s="1027"/>
      <c r="F150" s="1027"/>
      <c r="G150" s="1109"/>
      <c r="H150" s="903"/>
      <c r="I150" s="1110"/>
      <c r="J150" s="1018"/>
      <c r="K150" s="1018"/>
      <c r="L150" s="932"/>
      <c r="M150" s="933"/>
    </row>
    <row r="151" hidden="1">
      <c r="A151" s="1149"/>
      <c r="B151" s="1019"/>
      <c r="C151" s="1019"/>
      <c r="D151" s="1144"/>
      <c r="E151" s="1019"/>
      <c r="F151" s="1019"/>
      <c r="G151" s="1150"/>
      <c r="H151" s="912"/>
      <c r="I151" s="1151"/>
      <c r="J151" s="1060"/>
      <c r="K151" s="1060"/>
      <c r="L151" s="914"/>
      <c r="M151" s="915"/>
    </row>
    <row r="152" ht="23.25" customHeight="1">
      <c r="A152" s="1132" t="s">
        <v>2497</v>
      </c>
      <c r="B152" s="868"/>
      <c r="C152" s="868"/>
      <c r="D152" s="868"/>
      <c r="E152" s="868"/>
      <c r="F152" s="868"/>
      <c r="G152" s="868"/>
      <c r="H152" s="868"/>
      <c r="I152" s="868"/>
      <c r="J152" s="868"/>
      <c r="K152" s="868"/>
      <c r="L152" s="868"/>
      <c r="M152" s="946"/>
    </row>
    <row r="153">
      <c r="A153" s="1152" t="s">
        <v>2498</v>
      </c>
      <c r="B153" s="1153">
        <v>45931.0</v>
      </c>
      <c r="C153" s="1154">
        <v>45991.0</v>
      </c>
      <c r="D153" s="1155" t="s">
        <v>2499</v>
      </c>
      <c r="E153" s="1156"/>
      <c r="F153" s="1156"/>
      <c r="G153" s="1156"/>
      <c r="H153" s="1156"/>
      <c r="I153" s="1156"/>
      <c r="J153" s="1156"/>
      <c r="K153" s="1156"/>
      <c r="L153" s="1157"/>
      <c r="M153" s="1158" t="s">
        <v>2500</v>
      </c>
    </row>
    <row r="154" hidden="1">
      <c r="A154" s="989"/>
      <c r="B154" s="1097"/>
      <c r="C154" s="1098"/>
      <c r="D154" s="1159"/>
      <c r="E154" s="1030"/>
      <c r="F154" s="1030"/>
      <c r="G154" s="1146"/>
      <c r="H154" s="1030"/>
      <c r="I154" s="1146"/>
      <c r="J154" s="1160"/>
      <c r="K154" s="1160"/>
      <c r="L154" s="1161"/>
      <c r="M154" s="1162"/>
    </row>
    <row r="155" hidden="1">
      <c r="A155" s="351"/>
      <c r="B155" s="1097"/>
      <c r="C155" s="1098"/>
      <c r="D155" s="1163"/>
      <c r="E155" s="902"/>
      <c r="F155" s="902"/>
      <c r="G155" s="1142"/>
      <c r="H155" s="936"/>
      <c r="I155" s="1142"/>
      <c r="J155" s="1164"/>
      <c r="K155" s="1164"/>
      <c r="L155" s="1165"/>
      <c r="M155" s="1166"/>
    </row>
    <row r="156" hidden="1">
      <c r="A156" s="386"/>
      <c r="B156" s="1167"/>
      <c r="C156" s="1168"/>
      <c r="D156" s="1163"/>
      <c r="E156" s="902"/>
      <c r="F156" s="902"/>
      <c r="G156" s="1109"/>
      <c r="H156" s="902"/>
      <c r="I156" s="1109"/>
      <c r="J156" s="1075"/>
      <c r="K156" s="1075"/>
      <c r="L156" s="1076"/>
      <c r="M156" s="1169"/>
    </row>
    <row r="157" hidden="1">
      <c r="A157" s="1170"/>
      <c r="B157" s="1074"/>
      <c r="C157" s="1171"/>
      <c r="D157" s="1109"/>
      <c r="E157" s="902"/>
      <c r="F157" s="902"/>
      <c r="G157" s="1142"/>
      <c r="H157" s="936"/>
      <c r="I157" s="1142"/>
      <c r="J157" s="1164"/>
      <c r="K157" s="1164"/>
      <c r="L157" s="1165"/>
      <c r="M157" s="1172"/>
    </row>
    <row r="158" hidden="1">
      <c r="A158" s="362"/>
      <c r="B158" s="365"/>
      <c r="C158" s="361"/>
      <c r="D158" s="1109"/>
      <c r="E158" s="902"/>
      <c r="F158" s="902"/>
      <c r="G158" s="1109"/>
      <c r="H158" s="902"/>
      <c r="I158" s="1109"/>
      <c r="J158" s="1075"/>
      <c r="K158" s="1075"/>
      <c r="L158" s="1076"/>
      <c r="M158" s="1173"/>
    </row>
    <row r="159" hidden="1">
      <c r="A159" s="351"/>
      <c r="B159" s="354"/>
      <c r="C159" s="350"/>
      <c r="D159" s="1109"/>
      <c r="E159" s="902"/>
      <c r="F159" s="902"/>
      <c r="G159" s="1142"/>
      <c r="H159" s="936"/>
      <c r="I159" s="1142"/>
      <c r="J159" s="1164"/>
      <c r="K159" s="1164"/>
      <c r="L159" s="1165"/>
      <c r="M159" s="1172"/>
    </row>
    <row r="160" hidden="1">
      <c r="A160" s="362"/>
      <c r="B160" s="365"/>
      <c r="C160" s="361"/>
      <c r="D160" s="1109"/>
      <c r="E160" s="902"/>
      <c r="F160" s="902"/>
      <c r="G160" s="1109"/>
      <c r="H160" s="902"/>
      <c r="I160" s="1109"/>
      <c r="J160" s="1075"/>
      <c r="K160" s="1075"/>
      <c r="L160" s="1076"/>
      <c r="M160" s="1173"/>
    </row>
    <row r="161" hidden="1">
      <c r="A161" s="351"/>
      <c r="B161" s="354"/>
      <c r="C161" s="350"/>
      <c r="D161" s="1109"/>
      <c r="E161" s="902"/>
      <c r="F161" s="902"/>
      <c r="G161" s="1142"/>
      <c r="H161" s="936"/>
      <c r="I161" s="1142"/>
      <c r="J161" s="1164"/>
      <c r="K161" s="1164"/>
      <c r="L161" s="1165"/>
      <c r="M161" s="1172"/>
    </row>
    <row r="162" hidden="1">
      <c r="A162" s="386"/>
      <c r="B162" s="1077"/>
      <c r="C162" s="54"/>
      <c r="D162" s="1135"/>
      <c r="E162" s="1037"/>
      <c r="F162" s="1037"/>
      <c r="G162" s="1135"/>
      <c r="H162" s="1037"/>
      <c r="I162" s="1135"/>
      <c r="J162" s="1078"/>
      <c r="K162" s="1078"/>
      <c r="L162" s="1079"/>
      <c r="M162" s="1174"/>
    </row>
    <row r="163" hidden="1">
      <c r="A163" s="1133" t="s">
        <v>2501</v>
      </c>
      <c r="B163" s="1175"/>
      <c r="C163" s="1175"/>
      <c r="D163" s="1175"/>
      <c r="E163" s="1175"/>
      <c r="F163" s="1175"/>
      <c r="G163" s="856"/>
      <c r="H163" s="856"/>
      <c r="I163" s="856"/>
      <c r="J163" s="856"/>
      <c r="K163" s="856"/>
      <c r="L163" s="856"/>
      <c r="M163" s="857"/>
    </row>
    <row r="164" hidden="1">
      <c r="A164" s="1134"/>
      <c r="B164" s="870"/>
      <c r="C164" s="870"/>
      <c r="D164" s="1106"/>
      <c r="E164" s="956"/>
      <c r="F164" s="956"/>
      <c r="G164" s="1106"/>
      <c r="H164" s="956"/>
      <c r="I164" s="1106"/>
      <c r="J164" s="1176"/>
      <c r="K164" s="1176"/>
      <c r="L164" s="1177"/>
      <c r="M164" s="977"/>
    </row>
    <row r="165" hidden="1">
      <c r="A165" s="892"/>
      <c r="B165" s="351"/>
      <c r="C165" s="351"/>
      <c r="D165" s="1109"/>
      <c r="E165" s="902"/>
      <c r="F165" s="902"/>
      <c r="G165" s="1142"/>
      <c r="H165" s="936"/>
      <c r="I165" s="1142"/>
      <c r="J165" s="1164"/>
      <c r="K165" s="1164"/>
      <c r="L165" s="1165"/>
      <c r="M165" s="1178"/>
    </row>
    <row r="166" hidden="1">
      <c r="A166" s="901"/>
      <c r="B166" s="362"/>
      <c r="C166" s="362"/>
      <c r="D166" s="1109"/>
      <c r="E166" s="902"/>
      <c r="F166" s="902"/>
      <c r="G166" s="1109"/>
      <c r="H166" s="902"/>
      <c r="I166" s="1109"/>
      <c r="J166" s="1075"/>
      <c r="K166" s="1075"/>
      <c r="L166" s="1076"/>
      <c r="M166" s="1179"/>
    </row>
    <row r="167" hidden="1">
      <c r="A167" s="1058"/>
      <c r="B167" s="908"/>
      <c r="C167" s="908"/>
      <c r="D167" s="1144"/>
      <c r="E167" s="920"/>
      <c r="F167" s="920"/>
      <c r="G167" s="1150"/>
      <c r="H167" s="1059"/>
      <c r="I167" s="1150"/>
      <c r="J167" s="1180"/>
      <c r="K167" s="1180"/>
      <c r="L167" s="1181"/>
      <c r="M167" s="1182"/>
    </row>
    <row r="168" hidden="1">
      <c r="A168" s="989"/>
      <c r="B168" s="1097"/>
      <c r="C168" s="1098"/>
      <c r="D168" s="1183"/>
      <c r="E168" s="1030"/>
      <c r="F168" s="1030"/>
      <c r="G168" s="1146"/>
      <c r="H168" s="1030"/>
      <c r="I168" s="1146"/>
      <c r="J168" s="1160"/>
      <c r="K168" s="1160"/>
      <c r="L168" s="1161"/>
      <c r="M168" s="1162"/>
    </row>
    <row r="169" hidden="1">
      <c r="A169" s="351"/>
      <c r="B169" s="1097"/>
      <c r="C169" s="1098"/>
      <c r="D169" s="1163"/>
      <c r="E169" s="902"/>
      <c r="F169" s="902"/>
      <c r="G169" s="1142"/>
      <c r="H169" s="936"/>
      <c r="I169" s="1142"/>
      <c r="J169" s="1164"/>
      <c r="K169" s="1164"/>
      <c r="L169" s="1165"/>
      <c r="M169" s="1166"/>
    </row>
    <row r="170" hidden="1">
      <c r="A170" s="362"/>
      <c r="B170" s="1097"/>
      <c r="C170" s="1098"/>
      <c r="D170" s="1163"/>
      <c r="E170" s="902"/>
      <c r="F170" s="902"/>
      <c r="G170" s="1109"/>
      <c r="H170" s="902"/>
      <c r="I170" s="1109"/>
      <c r="J170" s="1075"/>
      <c r="K170" s="1075"/>
      <c r="L170" s="1076"/>
      <c r="M170" s="1162"/>
    </row>
    <row r="171" hidden="1">
      <c r="A171" s="351"/>
      <c r="B171" s="1097"/>
      <c r="C171" s="1098"/>
      <c r="D171" s="1163"/>
      <c r="E171" s="902"/>
      <c r="F171" s="902"/>
      <c r="G171" s="1142"/>
      <c r="H171" s="936"/>
      <c r="I171" s="1142"/>
      <c r="J171" s="1164"/>
      <c r="K171" s="1164"/>
      <c r="L171" s="1165"/>
      <c r="M171" s="1166"/>
    </row>
    <row r="172" hidden="1">
      <c r="A172" s="386"/>
      <c r="B172" s="1097"/>
      <c r="C172" s="1098"/>
      <c r="D172" s="1163"/>
      <c r="E172" s="902"/>
      <c r="F172" s="902"/>
      <c r="G172" s="1109"/>
      <c r="H172" s="902"/>
      <c r="I172" s="1109"/>
      <c r="J172" s="1075"/>
      <c r="K172" s="1075"/>
      <c r="L172" s="1076"/>
      <c r="M172" s="1162"/>
    </row>
    <row r="173" hidden="1">
      <c r="A173" s="1170"/>
      <c r="B173" s="1097"/>
      <c r="C173" s="1098"/>
      <c r="D173" s="1163"/>
      <c r="E173" s="902"/>
      <c r="F173" s="902"/>
      <c r="G173" s="1142"/>
      <c r="H173" s="936"/>
      <c r="I173" s="1142"/>
      <c r="J173" s="1164"/>
      <c r="K173" s="1164"/>
      <c r="L173" s="1165"/>
      <c r="M173" s="1166"/>
    </row>
    <row r="174" hidden="1">
      <c r="A174" s="362"/>
      <c r="B174" s="1097"/>
      <c r="C174" s="1098"/>
      <c r="D174" s="1163"/>
      <c r="E174" s="902"/>
      <c r="F174" s="902"/>
      <c r="G174" s="1109"/>
      <c r="H174" s="902"/>
      <c r="I174" s="1109"/>
      <c r="J174" s="1075"/>
      <c r="K174" s="1075"/>
      <c r="L174" s="1076"/>
      <c r="M174" s="1162"/>
    </row>
    <row r="175" hidden="1">
      <c r="A175" s="79"/>
      <c r="B175" s="1167"/>
      <c r="C175" s="1168"/>
      <c r="D175" s="1163"/>
      <c r="E175" s="902"/>
      <c r="F175" s="902"/>
      <c r="G175" s="1142"/>
      <c r="H175" s="936"/>
      <c r="I175" s="1142"/>
      <c r="J175" s="1164"/>
      <c r="K175" s="1164"/>
      <c r="L175" s="1165"/>
      <c r="M175" s="1184"/>
    </row>
    <row r="176" hidden="1">
      <c r="A176" s="1170"/>
      <c r="B176" s="1074"/>
      <c r="C176" s="1042"/>
      <c r="D176" s="1109"/>
      <c r="E176" s="902"/>
      <c r="F176" s="902"/>
      <c r="G176" s="1109"/>
      <c r="H176" s="902"/>
      <c r="I176" s="1109"/>
      <c r="J176" s="1075"/>
      <c r="K176" s="1075"/>
      <c r="L176" s="1076"/>
      <c r="M176" s="1173"/>
    </row>
    <row r="177" hidden="1">
      <c r="A177" s="351"/>
      <c r="B177" s="354"/>
      <c r="C177" s="350"/>
      <c r="D177" s="1109"/>
      <c r="E177" s="902"/>
      <c r="F177" s="902"/>
      <c r="G177" s="1142"/>
      <c r="H177" s="936"/>
      <c r="I177" s="1142"/>
      <c r="J177" s="1164"/>
      <c r="K177" s="1164"/>
      <c r="L177" s="1165"/>
      <c r="M177" s="1172"/>
    </row>
    <row r="178" hidden="1">
      <c r="A178" s="362"/>
      <c r="B178" s="365"/>
      <c r="C178" s="361"/>
      <c r="D178" s="1109"/>
      <c r="E178" s="902"/>
      <c r="F178" s="902"/>
      <c r="G178" s="1109"/>
      <c r="H178" s="902"/>
      <c r="I178" s="1109"/>
      <c r="J178" s="1075"/>
      <c r="K178" s="1075"/>
      <c r="L178" s="1076"/>
      <c r="M178" s="1173"/>
    </row>
    <row r="179" hidden="1">
      <c r="A179" s="351"/>
      <c r="B179" s="354"/>
      <c r="C179" s="350"/>
      <c r="D179" s="1109"/>
      <c r="E179" s="902"/>
      <c r="F179" s="902"/>
      <c r="G179" s="1142"/>
      <c r="H179" s="936"/>
      <c r="I179" s="1142"/>
      <c r="J179" s="1164"/>
      <c r="K179" s="1164"/>
      <c r="L179" s="1165"/>
      <c r="M179" s="1172"/>
    </row>
    <row r="180" hidden="1">
      <c r="A180" s="362"/>
      <c r="B180" s="365"/>
      <c r="C180" s="361"/>
      <c r="D180" s="1109"/>
      <c r="E180" s="902"/>
      <c r="F180" s="902"/>
      <c r="G180" s="1109"/>
      <c r="H180" s="902"/>
      <c r="I180" s="1109"/>
      <c r="J180" s="1075"/>
      <c r="K180" s="1075"/>
      <c r="L180" s="1076"/>
      <c r="M180" s="1173"/>
    </row>
    <row r="181" hidden="1">
      <c r="A181" s="79"/>
      <c r="B181" s="367"/>
      <c r="C181" s="366"/>
      <c r="D181" s="1109"/>
      <c r="E181" s="902"/>
      <c r="F181" s="902"/>
      <c r="G181" s="1142"/>
      <c r="H181" s="936"/>
      <c r="I181" s="1142"/>
      <c r="J181" s="1164"/>
      <c r="K181" s="1164"/>
      <c r="L181" s="1165"/>
      <c r="M181" s="1172"/>
    </row>
    <row r="182">
      <c r="A182" s="1185"/>
      <c r="B182" s="1185"/>
      <c r="C182" s="1185"/>
      <c r="D182" s="1185"/>
      <c r="E182" s="1185"/>
      <c r="F182" s="1185"/>
      <c r="G182" s="1186"/>
      <c r="H182" s="1186"/>
      <c r="I182" s="195"/>
      <c r="J182" s="195"/>
      <c r="K182" s="195"/>
      <c r="L182" s="195"/>
      <c r="M182" s="1185"/>
    </row>
    <row r="183">
      <c r="A183" s="1185"/>
      <c r="B183" s="1185"/>
      <c r="C183" s="1185"/>
      <c r="D183" s="1185"/>
      <c r="E183" s="1185"/>
      <c r="F183" s="1185"/>
      <c r="G183" s="1186"/>
      <c r="H183" s="1186"/>
      <c r="I183" s="195"/>
      <c r="J183" s="195"/>
      <c r="K183" s="195"/>
      <c r="L183" s="195"/>
      <c r="M183" s="1185"/>
    </row>
    <row r="184">
      <c r="A184" s="1185"/>
      <c r="B184" s="1185"/>
      <c r="C184" s="1185"/>
      <c r="D184" s="1185"/>
      <c r="E184" s="1185"/>
      <c r="F184" s="1185"/>
      <c r="G184" s="1186"/>
      <c r="H184" s="1186"/>
      <c r="I184" s="195"/>
      <c r="J184" s="195"/>
      <c r="K184" s="195"/>
      <c r="L184" s="195"/>
      <c r="M184" s="1185"/>
    </row>
    <row r="185">
      <c r="A185" s="1185"/>
      <c r="B185" s="1185"/>
      <c r="C185" s="1185"/>
      <c r="D185" s="1185"/>
      <c r="E185" s="1185"/>
      <c r="F185" s="1185"/>
      <c r="G185" s="1186"/>
      <c r="H185" s="1186"/>
      <c r="I185" s="195"/>
      <c r="J185" s="195"/>
      <c r="K185" s="195"/>
      <c r="L185" s="195"/>
      <c r="M185" s="1185"/>
    </row>
    <row r="186">
      <c r="A186" s="1185"/>
      <c r="B186" s="1185"/>
      <c r="C186" s="1185"/>
      <c r="D186" s="1185"/>
      <c r="E186" s="1185"/>
      <c r="F186" s="1185"/>
      <c r="G186" s="1186"/>
      <c r="H186" s="1186"/>
      <c r="I186" s="195"/>
      <c r="J186" s="195"/>
      <c r="K186" s="195"/>
      <c r="L186" s="195"/>
      <c r="M186" s="1185"/>
    </row>
    <row r="187">
      <c r="A187" s="1185"/>
      <c r="B187" s="1185"/>
      <c r="C187" s="1185"/>
      <c r="D187" s="1185"/>
      <c r="E187" s="1185"/>
      <c r="F187" s="1185"/>
      <c r="G187" s="1186"/>
      <c r="H187" s="1186"/>
      <c r="I187" s="195"/>
      <c r="J187" s="195"/>
      <c r="K187" s="195"/>
      <c r="L187" s="195"/>
      <c r="M187" s="1185"/>
    </row>
    <row r="188">
      <c r="A188" s="1185"/>
      <c r="B188" s="1185"/>
      <c r="C188" s="1185"/>
      <c r="D188" s="1185"/>
      <c r="E188" s="1185"/>
      <c r="F188" s="1185"/>
      <c r="G188" s="1186"/>
      <c r="H188" s="1186"/>
      <c r="I188" s="195"/>
      <c r="J188" s="195"/>
      <c r="K188" s="195"/>
      <c r="L188" s="195"/>
      <c r="M188" s="1185"/>
    </row>
    <row r="189">
      <c r="A189" s="1185"/>
      <c r="B189" s="1185"/>
      <c r="C189" s="1185"/>
      <c r="D189" s="1185"/>
      <c r="E189" s="1185"/>
      <c r="F189" s="1185"/>
      <c r="G189" s="1186"/>
      <c r="H189" s="1186"/>
      <c r="I189" s="195"/>
      <c r="J189" s="195"/>
      <c r="K189" s="195"/>
      <c r="L189" s="195"/>
      <c r="M189" s="1185"/>
    </row>
    <row r="190">
      <c r="A190" s="1185"/>
      <c r="B190" s="1185"/>
      <c r="C190" s="1185"/>
      <c r="D190" s="1185"/>
      <c r="E190" s="1185"/>
      <c r="F190" s="1185"/>
      <c r="G190" s="1186"/>
      <c r="H190" s="1186"/>
      <c r="I190" s="195"/>
      <c r="J190" s="195"/>
      <c r="K190" s="195"/>
      <c r="L190" s="195"/>
      <c r="M190" s="1185"/>
    </row>
    <row r="191">
      <c r="A191" s="1185"/>
      <c r="B191" s="1185"/>
      <c r="C191" s="1185"/>
      <c r="D191" s="1185"/>
      <c r="E191" s="1185"/>
      <c r="F191" s="1185"/>
      <c r="G191" s="1186"/>
      <c r="H191" s="1186"/>
      <c r="I191" s="195"/>
      <c r="J191" s="195"/>
      <c r="K191" s="195"/>
      <c r="L191" s="195"/>
      <c r="M191" s="1185"/>
    </row>
    <row r="192">
      <c r="A192" s="1185"/>
      <c r="B192" s="1185"/>
      <c r="C192" s="1185"/>
      <c r="D192" s="1185"/>
      <c r="E192" s="1185"/>
      <c r="F192" s="1185"/>
      <c r="G192" s="1186"/>
      <c r="H192" s="1186"/>
      <c r="I192" s="195"/>
      <c r="J192" s="195"/>
      <c r="K192" s="195"/>
      <c r="L192" s="195"/>
      <c r="M192" s="1185"/>
    </row>
    <row r="193">
      <c r="A193" s="1185"/>
      <c r="B193" s="1185"/>
      <c r="C193" s="1185"/>
      <c r="D193" s="1185"/>
      <c r="E193" s="1185"/>
      <c r="F193" s="1185"/>
      <c r="G193" s="1186"/>
      <c r="H193" s="1186"/>
      <c r="I193" s="195"/>
      <c r="J193" s="195"/>
      <c r="K193" s="195"/>
      <c r="L193" s="195"/>
      <c r="M193" s="1185"/>
    </row>
    <row r="194">
      <c r="A194" s="1185"/>
      <c r="B194" s="1185"/>
      <c r="C194" s="1185"/>
      <c r="D194" s="1185"/>
      <c r="E194" s="1185"/>
      <c r="F194" s="1185"/>
      <c r="G194" s="1186"/>
      <c r="H194" s="1186"/>
      <c r="I194" s="195"/>
      <c r="J194" s="195"/>
      <c r="K194" s="195"/>
      <c r="L194" s="195"/>
      <c r="M194" s="1185"/>
    </row>
    <row r="195">
      <c r="A195" s="1185"/>
      <c r="B195" s="1185"/>
      <c r="C195" s="1185"/>
      <c r="D195" s="1185"/>
      <c r="E195" s="1185"/>
      <c r="F195" s="1185"/>
      <c r="G195" s="1186"/>
      <c r="H195" s="1186"/>
      <c r="I195" s="195"/>
      <c r="J195" s="195"/>
      <c r="K195" s="195"/>
      <c r="L195" s="195"/>
      <c r="M195" s="1185"/>
    </row>
    <row r="196">
      <c r="A196" s="1185"/>
      <c r="B196" s="1185"/>
      <c r="C196" s="1185"/>
      <c r="D196" s="1185"/>
      <c r="E196" s="1185"/>
      <c r="F196" s="1185"/>
      <c r="G196" s="1186"/>
      <c r="H196" s="1186"/>
      <c r="I196" s="195"/>
      <c r="J196" s="195"/>
      <c r="K196" s="195"/>
      <c r="L196" s="195"/>
      <c r="M196" s="1185"/>
    </row>
    <row r="197">
      <c r="A197" s="1185"/>
      <c r="B197" s="1185"/>
      <c r="C197" s="1185"/>
      <c r="D197" s="1185"/>
      <c r="E197" s="1185"/>
      <c r="F197" s="1185"/>
      <c r="G197" s="1186"/>
      <c r="H197" s="1186"/>
      <c r="I197" s="195"/>
      <c r="J197" s="195"/>
      <c r="K197" s="195"/>
      <c r="L197" s="195"/>
      <c r="M197" s="1185"/>
    </row>
    <row r="198">
      <c r="A198" s="1185"/>
      <c r="B198" s="1185"/>
      <c r="C198" s="1185"/>
      <c r="D198" s="1185"/>
      <c r="E198" s="1185"/>
      <c r="F198" s="1185"/>
      <c r="G198" s="1186"/>
      <c r="H198" s="1186"/>
      <c r="I198" s="195"/>
      <c r="J198" s="195"/>
      <c r="K198" s="195"/>
      <c r="L198" s="195"/>
      <c r="M198" s="1185"/>
    </row>
    <row r="199">
      <c r="A199" s="1185"/>
      <c r="B199" s="1185"/>
      <c r="C199" s="1185"/>
      <c r="D199" s="1185"/>
      <c r="E199" s="1185"/>
      <c r="F199" s="1185"/>
      <c r="G199" s="1186"/>
      <c r="H199" s="1186"/>
      <c r="I199" s="195"/>
      <c r="J199" s="195"/>
      <c r="K199" s="195"/>
      <c r="L199" s="195"/>
      <c r="M199" s="1185"/>
    </row>
    <row r="200">
      <c r="A200" s="1185"/>
      <c r="B200" s="1185"/>
      <c r="C200" s="1185"/>
      <c r="D200" s="1185"/>
      <c r="E200" s="1185"/>
      <c r="F200" s="1185"/>
      <c r="G200" s="1186"/>
      <c r="H200" s="1186"/>
      <c r="I200" s="195"/>
      <c r="J200" s="195"/>
      <c r="K200" s="195"/>
      <c r="L200" s="195"/>
      <c r="M200" s="1185"/>
    </row>
    <row r="201">
      <c r="A201" s="1185"/>
      <c r="B201" s="1185"/>
      <c r="C201" s="1185"/>
      <c r="D201" s="1185"/>
      <c r="E201" s="1185"/>
      <c r="F201" s="1185"/>
      <c r="G201" s="1186"/>
      <c r="H201" s="1186"/>
      <c r="I201" s="195"/>
      <c r="J201" s="195"/>
      <c r="K201" s="195"/>
      <c r="L201" s="195"/>
      <c r="M201" s="1185"/>
    </row>
    <row r="202">
      <c r="A202" s="1185"/>
      <c r="B202" s="1185"/>
      <c r="C202" s="1185"/>
      <c r="D202" s="1185"/>
      <c r="E202" s="1185"/>
      <c r="F202" s="1185"/>
      <c r="G202" s="1186"/>
      <c r="H202" s="1186"/>
      <c r="I202" s="195"/>
      <c r="J202" s="195"/>
      <c r="K202" s="195"/>
      <c r="L202" s="195"/>
      <c r="M202" s="1185"/>
    </row>
    <row r="203">
      <c r="A203" s="1185"/>
      <c r="B203" s="1185"/>
      <c r="C203" s="1185"/>
      <c r="D203" s="1185"/>
      <c r="E203" s="1185"/>
      <c r="F203" s="1185"/>
      <c r="G203" s="1186"/>
      <c r="H203" s="1186"/>
      <c r="I203" s="195"/>
      <c r="J203" s="195"/>
      <c r="K203" s="195"/>
      <c r="L203" s="195"/>
      <c r="M203" s="1185"/>
    </row>
    <row r="204">
      <c r="A204" s="1185"/>
      <c r="B204" s="1185"/>
      <c r="C204" s="1185"/>
      <c r="D204" s="1185"/>
      <c r="E204" s="1185"/>
      <c r="F204" s="1185"/>
      <c r="G204" s="1186"/>
      <c r="H204" s="1186"/>
      <c r="I204" s="195"/>
      <c r="J204" s="195"/>
      <c r="K204" s="195"/>
      <c r="L204" s="195"/>
      <c r="M204" s="1185"/>
    </row>
    <row r="205">
      <c r="A205" s="1185"/>
      <c r="B205" s="1185"/>
      <c r="C205" s="1185"/>
      <c r="D205" s="1185"/>
      <c r="E205" s="1185"/>
      <c r="F205" s="1185"/>
      <c r="G205" s="1186"/>
      <c r="H205" s="1186"/>
      <c r="I205" s="195"/>
      <c r="J205" s="195"/>
      <c r="K205" s="195"/>
      <c r="L205" s="195"/>
      <c r="M205" s="1185"/>
    </row>
    <row r="206">
      <c r="A206" s="1185"/>
      <c r="B206" s="1185"/>
      <c r="C206" s="1185"/>
      <c r="D206" s="1185"/>
      <c r="E206" s="1185"/>
      <c r="F206" s="1185"/>
      <c r="G206" s="1186"/>
      <c r="H206" s="1186"/>
      <c r="I206" s="195"/>
      <c r="J206" s="195"/>
      <c r="K206" s="195"/>
      <c r="L206" s="195"/>
      <c r="M206" s="1185"/>
    </row>
    <row r="207">
      <c r="A207" s="1185"/>
      <c r="B207" s="1185"/>
      <c r="C207" s="1185"/>
      <c r="D207" s="1185"/>
      <c r="E207" s="1185"/>
      <c r="F207" s="1185"/>
      <c r="G207" s="1186"/>
      <c r="H207" s="1186"/>
      <c r="I207" s="195"/>
      <c r="J207" s="195"/>
      <c r="K207" s="195"/>
      <c r="L207" s="195"/>
      <c r="M207" s="1185"/>
    </row>
    <row r="208">
      <c r="A208" s="1185"/>
      <c r="B208" s="1185"/>
      <c r="C208" s="1185"/>
      <c r="D208" s="1185"/>
      <c r="E208" s="1185"/>
      <c r="F208" s="1185"/>
      <c r="G208" s="1186"/>
      <c r="H208" s="1186"/>
      <c r="I208" s="195"/>
      <c r="J208" s="195"/>
      <c r="K208" s="195"/>
      <c r="L208" s="195"/>
      <c r="M208" s="1185"/>
    </row>
    <row r="209">
      <c r="A209" s="1185"/>
      <c r="B209" s="1185"/>
      <c r="C209" s="1185"/>
      <c r="D209" s="1185"/>
      <c r="E209" s="1185"/>
      <c r="F209" s="1185"/>
      <c r="G209" s="1186"/>
      <c r="H209" s="1186"/>
      <c r="I209" s="195"/>
      <c r="J209" s="195"/>
      <c r="K209" s="195"/>
      <c r="L209" s="195"/>
      <c r="M209" s="1185"/>
    </row>
    <row r="210">
      <c r="A210" s="1185"/>
      <c r="B210" s="1185"/>
      <c r="C210" s="1185"/>
      <c r="D210" s="1185"/>
      <c r="E210" s="1185"/>
      <c r="F210" s="1185"/>
      <c r="G210" s="1186"/>
      <c r="H210" s="1186"/>
      <c r="I210" s="195"/>
      <c r="J210" s="195"/>
      <c r="K210" s="195"/>
      <c r="L210" s="195"/>
      <c r="M210" s="1185"/>
    </row>
    <row r="211">
      <c r="A211" s="1185"/>
      <c r="B211" s="1185"/>
      <c r="C211" s="1185"/>
      <c r="D211" s="1185"/>
      <c r="E211" s="1185"/>
      <c r="F211" s="1185"/>
      <c r="G211" s="1186"/>
      <c r="H211" s="1186"/>
      <c r="I211" s="195"/>
      <c r="J211" s="195"/>
      <c r="K211" s="195"/>
      <c r="L211" s="195"/>
      <c r="M211" s="1185"/>
    </row>
    <row r="212">
      <c r="A212" s="1185"/>
      <c r="B212" s="1185"/>
      <c r="C212" s="1185"/>
      <c r="D212" s="1185"/>
      <c r="E212" s="1185"/>
      <c r="F212" s="1185"/>
      <c r="G212" s="1186"/>
      <c r="H212" s="1186"/>
      <c r="I212" s="195"/>
      <c r="J212" s="195"/>
      <c r="K212" s="195"/>
      <c r="L212" s="195"/>
      <c r="M212" s="1185"/>
    </row>
    <row r="213">
      <c r="A213" s="1185"/>
      <c r="B213" s="1185"/>
      <c r="C213" s="1185"/>
      <c r="D213" s="1185"/>
      <c r="E213" s="1185"/>
      <c r="F213" s="1185"/>
      <c r="G213" s="1186"/>
      <c r="H213" s="1186"/>
      <c r="I213" s="195"/>
      <c r="J213" s="195"/>
      <c r="K213" s="195"/>
      <c r="L213" s="195"/>
      <c r="M213" s="1185"/>
    </row>
    <row r="214">
      <c r="A214" s="1185"/>
      <c r="B214" s="1185"/>
      <c r="C214" s="1185"/>
      <c r="D214" s="1185"/>
      <c r="E214" s="1185"/>
      <c r="F214" s="1185"/>
      <c r="G214" s="1186"/>
      <c r="H214" s="1186"/>
      <c r="I214" s="195"/>
      <c r="J214" s="195"/>
      <c r="K214" s="195"/>
      <c r="L214" s="195"/>
      <c r="M214" s="1185"/>
    </row>
    <row r="215">
      <c r="A215" s="1185"/>
      <c r="B215" s="1185"/>
      <c r="C215" s="1185"/>
      <c r="D215" s="1185"/>
      <c r="E215" s="1185"/>
      <c r="F215" s="1185"/>
      <c r="G215" s="1186"/>
      <c r="H215" s="1186"/>
      <c r="I215" s="195"/>
      <c r="J215" s="195"/>
      <c r="K215" s="195"/>
      <c r="L215" s="195"/>
      <c r="M215" s="1185"/>
    </row>
    <row r="216">
      <c r="A216" s="1185"/>
      <c r="B216" s="1185"/>
      <c r="C216" s="1185"/>
      <c r="D216" s="1185"/>
      <c r="E216" s="1185"/>
      <c r="F216" s="1185"/>
      <c r="G216" s="1186"/>
      <c r="H216" s="1186"/>
      <c r="I216" s="195"/>
      <c r="J216" s="195"/>
      <c r="K216" s="195"/>
      <c r="L216" s="195"/>
      <c r="M216" s="1185"/>
    </row>
    <row r="217">
      <c r="A217" s="1185"/>
      <c r="B217" s="1185"/>
      <c r="C217" s="1185"/>
      <c r="D217" s="1185"/>
      <c r="E217" s="1185"/>
      <c r="F217" s="1185"/>
      <c r="G217" s="1186"/>
      <c r="H217" s="1186"/>
      <c r="I217" s="195"/>
      <c r="J217" s="195"/>
      <c r="K217" s="195"/>
      <c r="L217" s="195"/>
      <c r="M217" s="1185"/>
    </row>
    <row r="218">
      <c r="A218" s="1185"/>
      <c r="B218" s="1185"/>
      <c r="C218" s="1185"/>
      <c r="D218" s="1185"/>
      <c r="E218" s="1185"/>
      <c r="F218" s="1185"/>
      <c r="G218" s="1186"/>
      <c r="H218" s="1186"/>
      <c r="I218" s="195"/>
      <c r="J218" s="195"/>
      <c r="K218" s="195"/>
      <c r="L218" s="195"/>
      <c r="M218" s="1185"/>
    </row>
    <row r="219">
      <c r="A219" s="1185"/>
      <c r="B219" s="1185"/>
      <c r="C219" s="1185"/>
      <c r="D219" s="1185"/>
      <c r="E219" s="1185"/>
      <c r="F219" s="1185"/>
      <c r="G219" s="1186"/>
      <c r="H219" s="1186"/>
      <c r="I219" s="195"/>
      <c r="J219" s="195"/>
      <c r="K219" s="195"/>
      <c r="L219" s="195"/>
      <c r="M219" s="1185"/>
    </row>
    <row r="220">
      <c r="A220" s="1185"/>
      <c r="B220" s="1185"/>
      <c r="C220" s="1185"/>
      <c r="D220" s="1185"/>
      <c r="E220" s="1185"/>
      <c r="F220" s="1185"/>
      <c r="G220" s="1186"/>
      <c r="H220" s="1186"/>
      <c r="I220" s="195"/>
      <c r="J220" s="195"/>
      <c r="K220" s="195"/>
      <c r="L220" s="195"/>
      <c r="M220" s="1185"/>
    </row>
    <row r="221">
      <c r="A221" s="1185"/>
      <c r="B221" s="1185"/>
      <c r="C221" s="1185"/>
      <c r="D221" s="1185"/>
      <c r="E221" s="1185"/>
      <c r="F221" s="1185"/>
      <c r="G221" s="1186"/>
      <c r="H221" s="1186"/>
      <c r="I221" s="195"/>
      <c r="J221" s="195"/>
      <c r="K221" s="195"/>
      <c r="L221" s="195"/>
      <c r="M221" s="1185"/>
    </row>
    <row r="222">
      <c r="A222" s="1185"/>
      <c r="B222" s="1185"/>
      <c r="C222" s="1185"/>
      <c r="D222" s="1185"/>
      <c r="E222" s="1185"/>
      <c r="F222" s="1185"/>
      <c r="G222" s="1186"/>
      <c r="H222" s="1186"/>
      <c r="I222" s="195"/>
      <c r="J222" s="195"/>
      <c r="K222" s="195"/>
      <c r="L222" s="195"/>
      <c r="M222" s="1185"/>
    </row>
    <row r="223">
      <c r="A223" s="1185"/>
      <c r="B223" s="1185"/>
      <c r="C223" s="1185"/>
      <c r="D223" s="1185"/>
      <c r="E223" s="1185"/>
      <c r="F223" s="1185"/>
      <c r="G223" s="1186"/>
      <c r="H223" s="1186"/>
      <c r="I223" s="195"/>
      <c r="J223" s="195"/>
      <c r="K223" s="195"/>
      <c r="L223" s="195"/>
      <c r="M223" s="1185"/>
    </row>
    <row r="224">
      <c r="A224" s="1185"/>
      <c r="B224" s="1185"/>
      <c r="C224" s="1185"/>
      <c r="D224" s="1185"/>
      <c r="E224" s="1185"/>
      <c r="F224" s="1185"/>
      <c r="G224" s="1186"/>
      <c r="H224" s="1186"/>
      <c r="I224" s="195"/>
      <c r="J224" s="195"/>
      <c r="K224" s="195"/>
      <c r="L224" s="195"/>
      <c r="M224" s="1185"/>
    </row>
    <row r="225">
      <c r="A225" s="1185"/>
      <c r="B225" s="1185"/>
      <c r="C225" s="1185"/>
      <c r="D225" s="1185"/>
      <c r="E225" s="1185"/>
      <c r="F225" s="1185"/>
      <c r="G225" s="1186"/>
      <c r="H225" s="1186"/>
      <c r="I225" s="195"/>
      <c r="J225" s="195"/>
      <c r="K225" s="195"/>
      <c r="L225" s="195"/>
      <c r="M225" s="1185"/>
    </row>
    <row r="226">
      <c r="A226" s="1185"/>
      <c r="B226" s="1185"/>
      <c r="C226" s="1185"/>
      <c r="D226" s="1185"/>
      <c r="E226" s="1185"/>
      <c r="F226" s="1185"/>
      <c r="G226" s="1186"/>
      <c r="H226" s="1186"/>
      <c r="I226" s="195"/>
      <c r="J226" s="195"/>
      <c r="K226" s="195"/>
      <c r="L226" s="195"/>
      <c r="M226" s="1185"/>
    </row>
    <row r="227">
      <c r="A227" s="1185"/>
      <c r="B227" s="1185"/>
      <c r="C227" s="1185"/>
      <c r="D227" s="1185"/>
      <c r="E227" s="1185"/>
      <c r="F227" s="1185"/>
      <c r="G227" s="1186"/>
      <c r="H227" s="1186"/>
      <c r="I227" s="195"/>
      <c r="J227" s="195"/>
      <c r="K227" s="195"/>
      <c r="L227" s="195"/>
      <c r="M227" s="1185"/>
    </row>
    <row r="228">
      <c r="A228" s="1185"/>
      <c r="B228" s="1185"/>
      <c r="C228" s="1185"/>
      <c r="D228" s="1185"/>
      <c r="E228" s="1185"/>
      <c r="F228" s="1185"/>
      <c r="G228" s="1186"/>
      <c r="H228" s="1186"/>
      <c r="I228" s="195"/>
      <c r="J228" s="195"/>
      <c r="K228" s="195"/>
      <c r="L228" s="195"/>
      <c r="M228" s="1185"/>
    </row>
    <row r="229">
      <c r="A229" s="1185"/>
      <c r="B229" s="1185"/>
      <c r="C229" s="1185"/>
      <c r="D229" s="1185"/>
      <c r="E229" s="1185"/>
      <c r="F229" s="1185"/>
      <c r="G229" s="1186"/>
      <c r="H229" s="1186"/>
      <c r="I229" s="195"/>
      <c r="J229" s="195"/>
      <c r="K229" s="195"/>
      <c r="L229" s="195"/>
      <c r="M229" s="1185"/>
    </row>
    <row r="230">
      <c r="A230" s="1185"/>
      <c r="B230" s="1185"/>
      <c r="C230" s="1185"/>
      <c r="D230" s="1185"/>
      <c r="E230" s="1185"/>
      <c r="F230" s="1185"/>
      <c r="G230" s="1186"/>
      <c r="H230" s="1186"/>
      <c r="I230" s="195"/>
      <c r="J230" s="195"/>
      <c r="K230" s="195"/>
      <c r="L230" s="195"/>
      <c r="M230" s="1185"/>
    </row>
    <row r="231">
      <c r="A231" s="1185"/>
      <c r="B231" s="1185"/>
      <c r="C231" s="1185"/>
      <c r="D231" s="1185"/>
      <c r="E231" s="1185"/>
      <c r="F231" s="1185"/>
      <c r="G231" s="1186"/>
      <c r="H231" s="1186"/>
      <c r="I231" s="195"/>
      <c r="J231" s="195"/>
      <c r="K231" s="195"/>
      <c r="L231" s="195"/>
      <c r="M231" s="1185"/>
    </row>
    <row r="232">
      <c r="A232" s="1185"/>
      <c r="B232" s="1185"/>
      <c r="C232" s="1185"/>
      <c r="D232" s="1185"/>
      <c r="E232" s="1185"/>
      <c r="F232" s="1185"/>
      <c r="G232" s="1186"/>
      <c r="H232" s="1186"/>
      <c r="I232" s="195"/>
      <c r="J232" s="195"/>
      <c r="K232" s="195"/>
      <c r="L232" s="195"/>
      <c r="M232" s="1185"/>
    </row>
    <row r="233">
      <c r="A233" s="1185"/>
      <c r="B233" s="1185"/>
      <c r="C233" s="1185"/>
      <c r="D233" s="1185"/>
      <c r="E233" s="1185"/>
      <c r="F233" s="1185"/>
      <c r="G233" s="1186"/>
      <c r="H233" s="1186"/>
      <c r="I233" s="195"/>
      <c r="J233" s="195"/>
      <c r="K233" s="195"/>
      <c r="L233" s="195"/>
      <c r="M233" s="1185"/>
    </row>
    <row r="234">
      <c r="A234" s="1185"/>
      <c r="B234" s="1185"/>
      <c r="C234" s="1185"/>
      <c r="D234" s="1185"/>
      <c r="E234" s="1185"/>
      <c r="F234" s="1185"/>
      <c r="G234" s="1186"/>
      <c r="H234" s="1186"/>
      <c r="I234" s="195"/>
      <c r="J234" s="195"/>
      <c r="K234" s="195"/>
      <c r="L234" s="195"/>
      <c r="M234" s="1185"/>
    </row>
    <row r="235">
      <c r="A235" s="1185"/>
      <c r="B235" s="1185"/>
      <c r="C235" s="1185"/>
      <c r="D235" s="1185"/>
      <c r="E235" s="1185"/>
      <c r="F235" s="1185"/>
      <c r="G235" s="1186"/>
      <c r="H235" s="1186"/>
      <c r="I235" s="195"/>
      <c r="J235" s="195"/>
      <c r="K235" s="195"/>
      <c r="L235" s="195"/>
      <c r="M235" s="1185"/>
    </row>
    <row r="236">
      <c r="A236" s="1185"/>
      <c r="B236" s="1185"/>
      <c r="C236" s="1185"/>
      <c r="D236" s="1185"/>
      <c r="E236" s="1185"/>
      <c r="F236" s="1185"/>
      <c r="G236" s="1186"/>
      <c r="H236" s="1186"/>
      <c r="I236" s="195"/>
      <c r="J236" s="195"/>
      <c r="K236" s="195"/>
      <c r="L236" s="195"/>
      <c r="M236" s="1185"/>
    </row>
    <row r="237">
      <c r="A237" s="1185"/>
      <c r="B237" s="1185"/>
      <c r="C237" s="1185"/>
      <c r="D237" s="1185"/>
      <c r="E237" s="1185"/>
      <c r="F237" s="1185"/>
      <c r="G237" s="1186"/>
      <c r="H237" s="1186"/>
      <c r="I237" s="195"/>
      <c r="J237" s="195"/>
      <c r="K237" s="195"/>
      <c r="L237" s="195"/>
      <c r="M237" s="1185"/>
    </row>
    <row r="238">
      <c r="A238" s="1185"/>
      <c r="B238" s="1185"/>
      <c r="C238" s="1185"/>
      <c r="D238" s="1185"/>
      <c r="E238" s="1185"/>
      <c r="F238" s="1185"/>
      <c r="G238" s="1186"/>
      <c r="H238" s="1186"/>
      <c r="I238" s="195"/>
      <c r="J238" s="195"/>
      <c r="K238" s="195"/>
      <c r="L238" s="195"/>
      <c r="M238" s="1185"/>
    </row>
    <row r="239">
      <c r="A239" s="1185"/>
      <c r="B239" s="1185"/>
      <c r="C239" s="1185"/>
      <c r="D239" s="1185"/>
      <c r="E239" s="1185"/>
      <c r="F239" s="1185"/>
      <c r="G239" s="1186"/>
      <c r="H239" s="1186"/>
      <c r="I239" s="195"/>
      <c r="J239" s="195"/>
      <c r="K239" s="195"/>
      <c r="L239" s="195"/>
      <c r="M239" s="1185"/>
    </row>
    <row r="240">
      <c r="A240" s="1185"/>
      <c r="B240" s="1185"/>
      <c r="C240" s="1185"/>
      <c r="D240" s="1185"/>
      <c r="E240" s="1185"/>
      <c r="F240" s="1185"/>
      <c r="G240" s="1186"/>
      <c r="H240" s="1186"/>
      <c r="I240" s="195"/>
      <c r="J240" s="195"/>
      <c r="K240" s="195"/>
      <c r="L240" s="195"/>
      <c r="M240" s="1185"/>
    </row>
    <row r="241">
      <c r="A241" s="1185"/>
      <c r="B241" s="1185"/>
      <c r="C241" s="1185"/>
      <c r="D241" s="1185"/>
      <c r="E241" s="1185"/>
      <c r="F241" s="1185"/>
      <c r="G241" s="1186"/>
      <c r="H241" s="1186"/>
      <c r="I241" s="195"/>
      <c r="J241" s="195"/>
      <c r="K241" s="195"/>
      <c r="L241" s="195"/>
      <c r="M241" s="1185"/>
    </row>
    <row r="242">
      <c r="A242" s="1185"/>
      <c r="B242" s="1185"/>
      <c r="C242" s="1185"/>
      <c r="D242" s="1185"/>
      <c r="E242" s="1185"/>
      <c r="F242" s="1185"/>
      <c r="G242" s="1186"/>
      <c r="H242" s="1186"/>
      <c r="I242" s="195"/>
      <c r="J242" s="195"/>
      <c r="K242" s="195"/>
      <c r="L242" s="195"/>
      <c r="M242" s="1185"/>
    </row>
    <row r="243">
      <c r="A243" s="1185"/>
      <c r="B243" s="1185"/>
      <c r="C243" s="1185"/>
      <c r="D243" s="1185"/>
      <c r="E243" s="1185"/>
      <c r="F243" s="1185"/>
      <c r="G243" s="1186"/>
      <c r="H243" s="1186"/>
      <c r="I243" s="195"/>
      <c r="J243" s="195"/>
      <c r="K243" s="195"/>
      <c r="L243" s="195"/>
      <c r="M243" s="1185"/>
    </row>
    <row r="244">
      <c r="A244" s="1185"/>
      <c r="B244" s="1185"/>
      <c r="C244" s="1185"/>
      <c r="D244" s="1185"/>
      <c r="E244" s="1185"/>
      <c r="F244" s="1185"/>
      <c r="G244" s="1186"/>
      <c r="H244" s="1186"/>
      <c r="I244" s="195"/>
      <c r="J244" s="195"/>
      <c r="K244" s="195"/>
      <c r="L244" s="195"/>
      <c r="M244" s="1185"/>
    </row>
    <row r="245">
      <c r="A245" s="1185"/>
      <c r="B245" s="1185"/>
      <c r="C245" s="1185"/>
      <c r="D245" s="1185"/>
      <c r="E245" s="1185"/>
      <c r="F245" s="1185"/>
      <c r="G245" s="1186"/>
      <c r="H245" s="1186"/>
      <c r="I245" s="195"/>
      <c r="J245" s="195"/>
      <c r="K245" s="195"/>
      <c r="L245" s="195"/>
      <c r="M245" s="1185"/>
    </row>
    <row r="246">
      <c r="A246" s="1185"/>
      <c r="B246" s="1185"/>
      <c r="C246" s="1185"/>
      <c r="D246" s="1185"/>
      <c r="E246" s="1185"/>
      <c r="F246" s="1185"/>
      <c r="G246" s="1186"/>
      <c r="H246" s="1186"/>
      <c r="I246" s="195"/>
      <c r="J246" s="195"/>
      <c r="K246" s="195"/>
      <c r="L246" s="195"/>
      <c r="M246" s="1185"/>
    </row>
    <row r="247">
      <c r="A247" s="1185"/>
      <c r="B247" s="1185"/>
      <c r="C247" s="1185"/>
      <c r="D247" s="1185"/>
      <c r="E247" s="1185"/>
      <c r="F247" s="1185"/>
      <c r="G247" s="1186"/>
      <c r="H247" s="1186"/>
      <c r="I247" s="195"/>
      <c r="J247" s="195"/>
      <c r="K247" s="195"/>
      <c r="L247" s="195"/>
      <c r="M247" s="1185"/>
    </row>
    <row r="248">
      <c r="A248" s="1185"/>
      <c r="B248" s="1185"/>
      <c r="C248" s="1185"/>
      <c r="D248" s="1185"/>
      <c r="E248" s="1185"/>
      <c r="F248" s="1185"/>
      <c r="G248" s="1186"/>
      <c r="H248" s="1186"/>
      <c r="I248" s="195"/>
      <c r="J248" s="195"/>
      <c r="K248" s="195"/>
      <c r="L248" s="195"/>
      <c r="M248" s="1185"/>
    </row>
    <row r="249">
      <c r="A249" s="1185"/>
      <c r="B249" s="1185"/>
      <c r="C249" s="1185"/>
      <c r="D249" s="1185"/>
      <c r="E249" s="1185"/>
      <c r="F249" s="1185"/>
      <c r="G249" s="1186"/>
      <c r="H249" s="1186"/>
      <c r="I249" s="195"/>
      <c r="J249" s="195"/>
      <c r="K249" s="195"/>
      <c r="L249" s="195"/>
      <c r="M249" s="1185"/>
    </row>
    <row r="250">
      <c r="A250" s="1185"/>
      <c r="B250" s="1185"/>
      <c r="C250" s="1185"/>
      <c r="D250" s="1185"/>
      <c r="E250" s="1185"/>
      <c r="F250" s="1185"/>
      <c r="G250" s="1186"/>
      <c r="H250" s="1186"/>
      <c r="I250" s="195"/>
      <c r="J250" s="195"/>
      <c r="K250" s="195"/>
      <c r="L250" s="195"/>
      <c r="M250" s="1185"/>
    </row>
    <row r="251">
      <c r="A251" s="1185"/>
      <c r="B251" s="1185"/>
      <c r="C251" s="1185"/>
      <c r="D251" s="1185"/>
      <c r="E251" s="1185"/>
      <c r="F251" s="1185"/>
      <c r="G251" s="1186"/>
      <c r="H251" s="1186"/>
      <c r="I251" s="195"/>
      <c r="J251" s="195"/>
      <c r="K251" s="195"/>
      <c r="L251" s="195"/>
      <c r="M251" s="1185"/>
    </row>
    <row r="252">
      <c r="A252" s="1185"/>
      <c r="B252" s="1185"/>
      <c r="C252" s="1185"/>
      <c r="D252" s="1185"/>
      <c r="E252" s="1185"/>
      <c r="F252" s="1185"/>
      <c r="G252" s="1186"/>
      <c r="H252" s="1186"/>
      <c r="I252" s="195"/>
      <c r="J252" s="195"/>
      <c r="K252" s="195"/>
      <c r="L252" s="195"/>
      <c r="M252" s="1185"/>
    </row>
    <row r="253">
      <c r="A253" s="1185"/>
      <c r="B253" s="1185"/>
      <c r="C253" s="1185"/>
      <c r="D253" s="1185"/>
      <c r="E253" s="1185"/>
      <c r="F253" s="1185"/>
      <c r="G253" s="1186"/>
      <c r="H253" s="1186"/>
      <c r="I253" s="195"/>
      <c r="J253" s="195"/>
      <c r="K253" s="195"/>
      <c r="L253" s="195"/>
      <c r="M253" s="1185"/>
    </row>
    <row r="254">
      <c r="A254" s="1185"/>
      <c r="B254" s="1185"/>
      <c r="C254" s="1185"/>
      <c r="D254" s="1185"/>
      <c r="E254" s="1185"/>
      <c r="F254" s="1185"/>
      <c r="G254" s="1186"/>
      <c r="H254" s="1186"/>
      <c r="I254" s="195"/>
      <c r="J254" s="195"/>
      <c r="K254" s="195"/>
      <c r="L254" s="195"/>
      <c r="M254" s="1185"/>
    </row>
    <row r="255">
      <c r="A255" s="1185"/>
      <c r="B255" s="1185"/>
      <c r="C255" s="1185"/>
      <c r="D255" s="1185"/>
      <c r="E255" s="1185"/>
      <c r="F255" s="1185"/>
      <c r="G255" s="1186"/>
      <c r="H255" s="1186"/>
      <c r="I255" s="195"/>
      <c r="J255" s="195"/>
      <c r="K255" s="195"/>
      <c r="L255" s="195"/>
      <c r="M255" s="1185"/>
    </row>
    <row r="256">
      <c r="A256" s="1185"/>
      <c r="B256" s="1185"/>
      <c r="C256" s="1185"/>
      <c r="D256" s="1185"/>
      <c r="E256" s="1185"/>
      <c r="F256" s="1185"/>
      <c r="G256" s="1186"/>
      <c r="H256" s="1186"/>
      <c r="I256" s="195"/>
      <c r="J256" s="195"/>
      <c r="K256" s="195"/>
      <c r="L256" s="195"/>
      <c r="M256" s="1185"/>
    </row>
    <row r="257">
      <c r="A257" s="1185"/>
      <c r="B257" s="1185"/>
      <c r="C257" s="1185"/>
      <c r="D257" s="1185"/>
      <c r="E257" s="1185"/>
      <c r="F257" s="1185"/>
      <c r="G257" s="1186"/>
      <c r="H257" s="1186"/>
      <c r="I257" s="195"/>
      <c r="J257" s="195"/>
      <c r="K257" s="195"/>
      <c r="L257" s="195"/>
      <c r="M257" s="1185"/>
    </row>
    <row r="258">
      <c r="A258" s="1185"/>
      <c r="B258" s="1185"/>
      <c r="C258" s="1185"/>
      <c r="D258" s="1185"/>
      <c r="E258" s="1185"/>
      <c r="F258" s="1185"/>
      <c r="G258" s="1186"/>
      <c r="H258" s="1186"/>
      <c r="I258" s="195"/>
      <c r="J258" s="195"/>
      <c r="K258" s="195"/>
      <c r="L258" s="195"/>
      <c r="M258" s="1185"/>
    </row>
    <row r="259">
      <c r="A259" s="1185"/>
      <c r="B259" s="1185"/>
      <c r="C259" s="1185"/>
      <c r="D259" s="1185"/>
      <c r="E259" s="1185"/>
      <c r="F259" s="1185"/>
      <c r="G259" s="1186"/>
      <c r="H259" s="1186"/>
      <c r="I259" s="195"/>
      <c r="J259" s="195"/>
      <c r="K259" s="195"/>
      <c r="L259" s="195"/>
      <c r="M259" s="1185"/>
    </row>
    <row r="260">
      <c r="A260" s="1185"/>
      <c r="B260" s="1185"/>
      <c r="C260" s="1185"/>
      <c r="D260" s="1185"/>
      <c r="E260" s="1185"/>
      <c r="F260" s="1185"/>
      <c r="G260" s="1186"/>
      <c r="H260" s="1186"/>
      <c r="I260" s="195"/>
      <c r="J260" s="195"/>
      <c r="K260" s="195"/>
      <c r="L260" s="195"/>
      <c r="M260" s="1185"/>
    </row>
    <row r="261">
      <c r="A261" s="1185"/>
      <c r="B261" s="1185"/>
      <c r="C261" s="1185"/>
      <c r="D261" s="1185"/>
      <c r="E261" s="1185"/>
      <c r="F261" s="1185"/>
      <c r="G261" s="1186"/>
      <c r="H261" s="1186"/>
      <c r="I261" s="195"/>
      <c r="J261" s="195"/>
      <c r="K261" s="195"/>
      <c r="L261" s="195"/>
      <c r="M261" s="1185"/>
    </row>
    <row r="262">
      <c r="A262" s="1185"/>
      <c r="B262" s="1185"/>
      <c r="C262" s="1185"/>
      <c r="D262" s="1185"/>
      <c r="E262" s="1185"/>
      <c r="F262" s="1185"/>
      <c r="G262" s="1186"/>
      <c r="H262" s="1186"/>
      <c r="I262" s="195"/>
      <c r="J262" s="195"/>
      <c r="K262" s="195"/>
      <c r="L262" s="195"/>
      <c r="M262" s="1185"/>
    </row>
    <row r="263">
      <c r="A263" s="1185"/>
      <c r="B263" s="1185"/>
      <c r="C263" s="1185"/>
      <c r="D263" s="1185"/>
      <c r="E263" s="1185"/>
      <c r="F263" s="1185"/>
      <c r="G263" s="1186"/>
      <c r="H263" s="1186"/>
      <c r="I263" s="195"/>
      <c r="J263" s="195"/>
      <c r="K263" s="195"/>
      <c r="L263" s="195"/>
      <c r="M263" s="1185"/>
    </row>
    <row r="264">
      <c r="A264" s="1185"/>
      <c r="B264" s="1185"/>
      <c r="C264" s="1185"/>
      <c r="D264" s="1185"/>
      <c r="E264" s="1185"/>
      <c r="F264" s="1185"/>
      <c r="G264" s="1186"/>
      <c r="H264" s="1186"/>
      <c r="I264" s="195"/>
      <c r="J264" s="195"/>
      <c r="K264" s="195"/>
      <c r="L264" s="195"/>
      <c r="M264" s="1185"/>
    </row>
    <row r="265">
      <c r="A265" s="1185"/>
      <c r="B265" s="1185"/>
      <c r="C265" s="1185"/>
      <c r="D265" s="1185"/>
      <c r="E265" s="1185"/>
      <c r="F265" s="1185"/>
      <c r="G265" s="1186"/>
      <c r="H265" s="1186"/>
      <c r="I265" s="195"/>
      <c r="J265" s="195"/>
      <c r="K265" s="195"/>
      <c r="L265" s="195"/>
      <c r="M265" s="1185"/>
    </row>
    <row r="266">
      <c r="A266" s="1185"/>
      <c r="B266" s="1185"/>
      <c r="C266" s="1185"/>
      <c r="D266" s="1185"/>
      <c r="E266" s="1185"/>
      <c r="F266" s="1185"/>
      <c r="G266" s="1186"/>
      <c r="H266" s="1186"/>
      <c r="I266" s="195"/>
      <c r="J266" s="195"/>
      <c r="K266" s="195"/>
      <c r="L266" s="195"/>
      <c r="M266" s="1185"/>
    </row>
    <row r="267">
      <c r="A267" s="1185"/>
      <c r="B267" s="1185"/>
      <c r="C267" s="1185"/>
      <c r="D267" s="1185"/>
      <c r="E267" s="1185"/>
      <c r="F267" s="1185"/>
      <c r="G267" s="1186"/>
      <c r="H267" s="1186"/>
      <c r="I267" s="195"/>
      <c r="J267" s="195"/>
      <c r="K267" s="195"/>
      <c r="L267" s="195"/>
      <c r="M267" s="1185"/>
    </row>
    <row r="268">
      <c r="A268" s="1185"/>
      <c r="B268" s="1185"/>
      <c r="C268" s="1185"/>
      <c r="D268" s="1185"/>
      <c r="E268" s="1185"/>
      <c r="F268" s="1185"/>
      <c r="G268" s="1186"/>
      <c r="H268" s="1186"/>
      <c r="I268" s="195"/>
      <c r="J268" s="195"/>
      <c r="K268" s="195"/>
      <c r="L268" s="195"/>
      <c r="M268" s="1185"/>
    </row>
    <row r="269">
      <c r="A269" s="1185"/>
      <c r="B269" s="1185"/>
      <c r="C269" s="1185"/>
      <c r="D269" s="1185"/>
      <c r="E269" s="1185"/>
      <c r="F269" s="1185"/>
      <c r="G269" s="1186"/>
      <c r="H269" s="1186"/>
      <c r="I269" s="195"/>
      <c r="J269" s="195"/>
      <c r="K269" s="195"/>
      <c r="L269" s="195"/>
      <c r="M269" s="1185"/>
    </row>
    <row r="270">
      <c r="A270" s="1185"/>
      <c r="B270" s="1185"/>
      <c r="C270" s="1185"/>
      <c r="D270" s="1185"/>
      <c r="E270" s="1185"/>
      <c r="F270" s="1185"/>
      <c r="G270" s="1186"/>
      <c r="H270" s="1186"/>
      <c r="I270" s="195"/>
      <c r="J270" s="195"/>
      <c r="K270" s="195"/>
      <c r="L270" s="195"/>
      <c r="M270" s="1185"/>
    </row>
    <row r="271">
      <c r="A271" s="1185"/>
      <c r="B271" s="1185"/>
      <c r="C271" s="1185"/>
      <c r="D271" s="1185"/>
      <c r="E271" s="1185"/>
      <c r="F271" s="1185"/>
      <c r="G271" s="1186"/>
      <c r="H271" s="1186"/>
      <c r="I271" s="195"/>
      <c r="J271" s="195"/>
      <c r="K271" s="195"/>
      <c r="L271" s="195"/>
      <c r="M271" s="1185"/>
    </row>
    <row r="272">
      <c r="A272" s="1185"/>
      <c r="B272" s="1185"/>
      <c r="C272" s="1185"/>
      <c r="D272" s="1185"/>
      <c r="E272" s="1185"/>
      <c r="F272" s="1185"/>
      <c r="G272" s="1186"/>
      <c r="H272" s="1186"/>
      <c r="I272" s="195"/>
      <c r="J272" s="195"/>
      <c r="K272" s="195"/>
      <c r="L272" s="195"/>
      <c r="M272" s="1185"/>
    </row>
    <row r="273">
      <c r="A273" s="1185"/>
      <c r="B273" s="1185"/>
      <c r="C273" s="1185"/>
      <c r="D273" s="1185"/>
      <c r="E273" s="1185"/>
      <c r="F273" s="1185"/>
      <c r="G273" s="1186"/>
      <c r="H273" s="1186"/>
      <c r="I273" s="195"/>
      <c r="J273" s="195"/>
      <c r="K273" s="195"/>
      <c r="L273" s="195"/>
      <c r="M273" s="1185"/>
    </row>
    <row r="274">
      <c r="A274" s="1185"/>
      <c r="B274" s="1185"/>
      <c r="C274" s="1185"/>
      <c r="D274" s="1185"/>
      <c r="E274" s="1185"/>
      <c r="F274" s="1185"/>
      <c r="G274" s="1186"/>
      <c r="H274" s="1186"/>
      <c r="I274" s="195"/>
      <c r="J274" s="195"/>
      <c r="K274" s="195"/>
      <c r="L274" s="195"/>
      <c r="M274" s="1185"/>
    </row>
    <row r="275">
      <c r="A275" s="1185"/>
      <c r="B275" s="1185"/>
      <c r="C275" s="1185"/>
      <c r="D275" s="1185"/>
      <c r="E275" s="1185"/>
      <c r="F275" s="1185"/>
      <c r="G275" s="1186"/>
      <c r="H275" s="1186"/>
      <c r="I275" s="195"/>
      <c r="J275" s="195"/>
      <c r="K275" s="195"/>
      <c r="L275" s="195"/>
      <c r="M275" s="1185"/>
    </row>
    <row r="276">
      <c r="A276" s="1185"/>
      <c r="B276" s="1185"/>
      <c r="C276" s="1185"/>
      <c r="D276" s="1185"/>
      <c r="E276" s="1185"/>
      <c r="F276" s="1185"/>
      <c r="G276" s="1186"/>
      <c r="H276" s="1186"/>
      <c r="I276" s="195"/>
      <c r="J276" s="195"/>
      <c r="K276" s="195"/>
      <c r="L276" s="195"/>
      <c r="M276" s="1185"/>
    </row>
    <row r="277">
      <c r="A277" s="1185"/>
      <c r="B277" s="1185"/>
      <c r="C277" s="1185"/>
      <c r="D277" s="1185"/>
      <c r="E277" s="1185"/>
      <c r="F277" s="1185"/>
      <c r="G277" s="1186"/>
      <c r="H277" s="1186"/>
      <c r="I277" s="195"/>
      <c r="J277" s="195"/>
      <c r="K277" s="195"/>
      <c r="L277" s="195"/>
      <c r="M277" s="1185"/>
    </row>
    <row r="278">
      <c r="A278" s="1185"/>
      <c r="B278" s="1185"/>
      <c r="C278" s="1185"/>
      <c r="D278" s="1185"/>
      <c r="E278" s="1185"/>
      <c r="F278" s="1185"/>
      <c r="G278" s="1186"/>
      <c r="H278" s="1186"/>
      <c r="I278" s="195"/>
      <c r="J278" s="195"/>
      <c r="K278" s="195"/>
      <c r="L278" s="195"/>
      <c r="M278" s="1185"/>
    </row>
    <row r="279">
      <c r="A279" s="1185"/>
      <c r="B279" s="1185"/>
      <c r="C279" s="1185"/>
      <c r="D279" s="1185"/>
      <c r="E279" s="1185"/>
      <c r="F279" s="1185"/>
      <c r="G279" s="1186"/>
      <c r="H279" s="1186"/>
      <c r="I279" s="195"/>
      <c r="J279" s="195"/>
      <c r="K279" s="195"/>
      <c r="L279" s="195"/>
      <c r="M279" s="1185"/>
    </row>
    <row r="280">
      <c r="A280" s="1185"/>
      <c r="B280" s="1185"/>
      <c r="C280" s="1185"/>
      <c r="D280" s="1185"/>
      <c r="E280" s="1185"/>
      <c r="F280" s="1185"/>
      <c r="G280" s="1186"/>
      <c r="H280" s="1186"/>
      <c r="I280" s="195"/>
      <c r="J280" s="195"/>
      <c r="K280" s="195"/>
      <c r="L280" s="195"/>
      <c r="M280" s="1185"/>
    </row>
    <row r="281">
      <c r="A281" s="1185"/>
      <c r="B281" s="1185"/>
      <c r="C281" s="1185"/>
      <c r="D281" s="1185"/>
      <c r="E281" s="1185"/>
      <c r="F281" s="1185"/>
      <c r="G281" s="1186"/>
      <c r="H281" s="1186"/>
      <c r="I281" s="195"/>
      <c r="J281" s="195"/>
      <c r="K281" s="195"/>
      <c r="L281" s="195"/>
      <c r="M281" s="1185"/>
    </row>
    <row r="282">
      <c r="A282" s="1185"/>
      <c r="B282" s="1185"/>
      <c r="C282" s="1185"/>
      <c r="D282" s="1185"/>
      <c r="E282" s="1185"/>
      <c r="F282" s="1185"/>
      <c r="G282" s="1186"/>
      <c r="H282" s="1186"/>
      <c r="I282" s="195"/>
      <c r="J282" s="195"/>
      <c r="K282" s="195"/>
      <c r="L282" s="195"/>
      <c r="M282" s="1185"/>
    </row>
    <row r="283">
      <c r="A283" s="1185"/>
      <c r="B283" s="1185"/>
      <c r="C283" s="1185"/>
      <c r="D283" s="1185"/>
      <c r="E283" s="1185"/>
      <c r="F283" s="1185"/>
      <c r="G283" s="1186"/>
      <c r="H283" s="1186"/>
      <c r="I283" s="195"/>
      <c r="J283" s="195"/>
      <c r="K283" s="195"/>
      <c r="L283" s="195"/>
      <c r="M283" s="1185"/>
    </row>
    <row r="284">
      <c r="A284" s="1185"/>
      <c r="B284" s="1185"/>
      <c r="C284" s="1185"/>
      <c r="D284" s="1185"/>
      <c r="E284" s="1185"/>
      <c r="F284" s="1185"/>
      <c r="G284" s="1186"/>
      <c r="H284" s="1186"/>
      <c r="I284" s="195"/>
      <c r="J284" s="195"/>
      <c r="K284" s="195"/>
      <c r="L284" s="195"/>
      <c r="M284" s="1185"/>
    </row>
    <row r="285">
      <c r="A285" s="1185"/>
      <c r="B285" s="1185"/>
      <c r="C285" s="1185"/>
      <c r="D285" s="1185"/>
      <c r="E285" s="1185"/>
      <c r="F285" s="1185"/>
      <c r="G285" s="1186"/>
      <c r="H285" s="1186"/>
      <c r="I285" s="195"/>
      <c r="J285" s="195"/>
      <c r="K285" s="195"/>
      <c r="L285" s="195"/>
      <c r="M285" s="1185"/>
    </row>
    <row r="286">
      <c r="A286" s="1185"/>
      <c r="B286" s="1185"/>
      <c r="C286" s="1185"/>
      <c r="D286" s="1185"/>
      <c r="E286" s="1185"/>
      <c r="F286" s="1185"/>
      <c r="G286" s="1186"/>
      <c r="H286" s="1186"/>
      <c r="I286" s="195"/>
      <c r="J286" s="195"/>
      <c r="K286" s="195"/>
      <c r="L286" s="195"/>
      <c r="M286" s="1185"/>
    </row>
    <row r="287">
      <c r="A287" s="1185"/>
      <c r="B287" s="1185"/>
      <c r="C287" s="1185"/>
      <c r="D287" s="1185"/>
      <c r="E287" s="1185"/>
      <c r="F287" s="1185"/>
      <c r="G287" s="1186"/>
      <c r="H287" s="1186"/>
      <c r="I287" s="195"/>
      <c r="J287" s="195"/>
      <c r="K287" s="195"/>
      <c r="L287" s="195"/>
      <c r="M287" s="1185"/>
    </row>
    <row r="288">
      <c r="A288" s="1185"/>
      <c r="B288" s="1185"/>
      <c r="C288" s="1185"/>
      <c r="D288" s="1185"/>
      <c r="E288" s="1185"/>
      <c r="F288" s="1185"/>
      <c r="G288" s="1186"/>
      <c r="H288" s="1186"/>
      <c r="I288" s="195"/>
      <c r="J288" s="195"/>
      <c r="K288" s="195"/>
      <c r="L288" s="195"/>
      <c r="M288" s="1185"/>
    </row>
    <row r="289">
      <c r="A289" s="1185"/>
      <c r="B289" s="1185"/>
      <c r="C289" s="1185"/>
      <c r="D289" s="1185"/>
      <c r="E289" s="1185"/>
      <c r="F289" s="1185"/>
      <c r="G289" s="1186"/>
      <c r="H289" s="1186"/>
      <c r="I289" s="195"/>
      <c r="J289" s="195"/>
      <c r="K289" s="195"/>
      <c r="L289" s="195"/>
      <c r="M289" s="1185"/>
    </row>
    <row r="290">
      <c r="A290" s="1185"/>
      <c r="B290" s="1185"/>
      <c r="C290" s="1185"/>
      <c r="D290" s="1185"/>
      <c r="E290" s="1185"/>
      <c r="F290" s="1185"/>
      <c r="G290" s="1186"/>
      <c r="H290" s="1186"/>
      <c r="I290" s="195"/>
      <c r="J290" s="195"/>
      <c r="K290" s="195"/>
      <c r="L290" s="195"/>
      <c r="M290" s="1185"/>
    </row>
    <row r="291">
      <c r="A291" s="1185"/>
      <c r="B291" s="1185"/>
      <c r="C291" s="1185"/>
      <c r="D291" s="1185"/>
      <c r="E291" s="1185"/>
      <c r="F291" s="1185"/>
      <c r="G291" s="1186"/>
      <c r="H291" s="1186"/>
      <c r="I291" s="195"/>
      <c r="J291" s="195"/>
      <c r="K291" s="195"/>
      <c r="L291" s="195"/>
      <c r="M291" s="1185"/>
    </row>
    <row r="292">
      <c r="A292" s="1185"/>
      <c r="B292" s="1185"/>
      <c r="C292" s="1185"/>
      <c r="D292" s="1185"/>
      <c r="E292" s="1185"/>
      <c r="F292" s="1185"/>
      <c r="G292" s="1186"/>
      <c r="H292" s="1186"/>
      <c r="I292" s="195"/>
      <c r="J292" s="195"/>
      <c r="K292" s="195"/>
      <c r="L292" s="195"/>
      <c r="M292" s="1185"/>
    </row>
    <row r="293">
      <c r="A293" s="1185"/>
      <c r="B293" s="1185"/>
      <c r="C293" s="1185"/>
      <c r="D293" s="1185"/>
      <c r="E293" s="1185"/>
      <c r="F293" s="1185"/>
      <c r="G293" s="1186"/>
      <c r="H293" s="1186"/>
      <c r="I293" s="195"/>
      <c r="J293" s="195"/>
      <c r="K293" s="195"/>
      <c r="L293" s="195"/>
      <c r="M293" s="1185"/>
    </row>
    <row r="294">
      <c r="A294" s="1185"/>
      <c r="B294" s="1185"/>
      <c r="C294" s="1185"/>
      <c r="D294" s="1185"/>
      <c r="E294" s="1185"/>
      <c r="F294" s="1185"/>
      <c r="G294" s="1186"/>
      <c r="H294" s="1186"/>
      <c r="I294" s="195"/>
      <c r="J294" s="195"/>
      <c r="K294" s="195"/>
      <c r="L294" s="195"/>
      <c r="M294" s="1185"/>
    </row>
    <row r="295">
      <c r="A295" s="1185"/>
      <c r="B295" s="1185"/>
      <c r="C295" s="1185"/>
      <c r="D295" s="1185"/>
      <c r="E295" s="1185"/>
      <c r="F295" s="1185"/>
      <c r="G295" s="1186"/>
      <c r="H295" s="1186"/>
      <c r="I295" s="195"/>
      <c r="J295" s="195"/>
      <c r="K295" s="195"/>
      <c r="L295" s="195"/>
      <c r="M295" s="1185"/>
    </row>
    <row r="296">
      <c r="A296" s="1185"/>
      <c r="B296" s="1185"/>
      <c r="C296" s="1185"/>
      <c r="D296" s="1185"/>
      <c r="E296" s="1185"/>
      <c r="F296" s="1185"/>
      <c r="G296" s="1186"/>
      <c r="H296" s="1186"/>
      <c r="I296" s="195"/>
      <c r="J296" s="195"/>
      <c r="K296" s="195"/>
      <c r="L296" s="195"/>
      <c r="M296" s="1185"/>
    </row>
    <row r="297">
      <c r="A297" s="1185"/>
      <c r="B297" s="1185"/>
      <c r="C297" s="1185"/>
      <c r="D297" s="1185"/>
      <c r="E297" s="1185"/>
      <c r="F297" s="1185"/>
      <c r="G297" s="1186"/>
      <c r="H297" s="1186"/>
      <c r="I297" s="195"/>
      <c r="J297" s="195"/>
      <c r="K297" s="195"/>
      <c r="L297" s="195"/>
      <c r="M297" s="1185"/>
    </row>
    <row r="298">
      <c r="A298" s="1185"/>
      <c r="B298" s="1185"/>
      <c r="C298" s="1185"/>
      <c r="D298" s="1185"/>
      <c r="E298" s="1185"/>
      <c r="F298" s="1185"/>
      <c r="G298" s="1186"/>
      <c r="H298" s="1186"/>
      <c r="I298" s="195"/>
      <c r="J298" s="195"/>
      <c r="K298" s="195"/>
      <c r="L298" s="195"/>
      <c r="M298" s="1185"/>
    </row>
    <row r="299">
      <c r="A299" s="1185"/>
      <c r="B299" s="1185"/>
      <c r="C299" s="1185"/>
      <c r="D299" s="1185"/>
      <c r="E299" s="1185"/>
      <c r="F299" s="1185"/>
      <c r="G299" s="1186"/>
      <c r="H299" s="1186"/>
      <c r="I299" s="195"/>
      <c r="J299" s="195"/>
      <c r="K299" s="195"/>
      <c r="L299" s="195"/>
      <c r="M299" s="1185"/>
    </row>
    <row r="300">
      <c r="A300" s="1185"/>
      <c r="B300" s="1185"/>
      <c r="C300" s="1185"/>
      <c r="D300" s="1185"/>
      <c r="E300" s="1185"/>
      <c r="F300" s="1185"/>
      <c r="G300" s="1186"/>
      <c r="H300" s="1186"/>
      <c r="I300" s="195"/>
      <c r="J300" s="195"/>
      <c r="K300" s="195"/>
      <c r="L300" s="195"/>
      <c r="M300" s="1185"/>
    </row>
    <row r="301">
      <c r="A301" s="1185"/>
      <c r="B301" s="1185"/>
      <c r="C301" s="1185"/>
      <c r="D301" s="1185"/>
      <c r="E301" s="1185"/>
      <c r="F301" s="1185"/>
      <c r="G301" s="1186"/>
      <c r="H301" s="1186"/>
      <c r="I301" s="195"/>
      <c r="J301" s="195"/>
      <c r="K301" s="195"/>
      <c r="L301" s="195"/>
      <c r="M301" s="1185"/>
    </row>
    <row r="302">
      <c r="A302" s="1185"/>
      <c r="B302" s="1185"/>
      <c r="C302" s="1185"/>
      <c r="D302" s="1185"/>
      <c r="E302" s="1185"/>
      <c r="F302" s="1185"/>
      <c r="G302" s="1186"/>
      <c r="H302" s="1186"/>
      <c r="I302" s="195"/>
      <c r="J302" s="195"/>
      <c r="K302" s="195"/>
      <c r="L302" s="195"/>
      <c r="M302" s="1185"/>
    </row>
    <row r="303">
      <c r="A303" s="1185"/>
      <c r="B303" s="1185"/>
      <c r="C303" s="1185"/>
      <c r="D303" s="1185"/>
      <c r="E303" s="1185"/>
      <c r="F303" s="1185"/>
      <c r="G303" s="1186"/>
      <c r="H303" s="1186"/>
      <c r="I303" s="195"/>
      <c r="J303" s="195"/>
      <c r="K303" s="195"/>
      <c r="L303" s="195"/>
      <c r="M303" s="1185"/>
    </row>
    <row r="304">
      <c r="A304" s="1185"/>
      <c r="B304" s="1185"/>
      <c r="C304" s="1185"/>
      <c r="D304" s="1185"/>
      <c r="E304" s="1185"/>
      <c r="F304" s="1185"/>
      <c r="G304" s="1186"/>
      <c r="H304" s="1186"/>
      <c r="I304" s="195"/>
      <c r="J304" s="195"/>
      <c r="K304" s="195"/>
      <c r="L304" s="195"/>
      <c r="M304" s="1185"/>
    </row>
    <row r="305">
      <c r="A305" s="1185"/>
      <c r="B305" s="1185"/>
      <c r="C305" s="1185"/>
      <c r="D305" s="1185"/>
      <c r="E305" s="1185"/>
      <c r="F305" s="1185"/>
      <c r="G305" s="1186"/>
      <c r="H305" s="1186"/>
      <c r="I305" s="195"/>
      <c r="J305" s="195"/>
      <c r="K305" s="195"/>
      <c r="L305" s="195"/>
      <c r="M305" s="1185"/>
    </row>
    <row r="306">
      <c r="A306" s="1185"/>
      <c r="B306" s="1185"/>
      <c r="C306" s="1185"/>
      <c r="D306" s="1185"/>
      <c r="E306" s="1185"/>
      <c r="F306" s="1185"/>
      <c r="G306" s="1186"/>
      <c r="H306" s="1186"/>
      <c r="I306" s="195"/>
      <c r="J306" s="195"/>
      <c r="K306" s="195"/>
      <c r="L306" s="195"/>
      <c r="M306" s="1185"/>
    </row>
    <row r="307">
      <c r="A307" s="1185"/>
      <c r="B307" s="1185"/>
      <c r="C307" s="1185"/>
      <c r="D307" s="1185"/>
      <c r="E307" s="1185"/>
      <c r="F307" s="1185"/>
      <c r="G307" s="1186"/>
      <c r="H307" s="1186"/>
      <c r="I307" s="195"/>
      <c r="J307" s="195"/>
      <c r="K307" s="195"/>
      <c r="L307" s="195"/>
      <c r="M307" s="1185"/>
    </row>
    <row r="308">
      <c r="A308" s="1185"/>
      <c r="B308" s="1185"/>
      <c r="C308" s="1185"/>
      <c r="D308" s="1185"/>
      <c r="E308" s="1185"/>
      <c r="F308" s="1185"/>
      <c r="G308" s="1186"/>
      <c r="H308" s="1186"/>
      <c r="I308" s="195"/>
      <c r="J308" s="195"/>
      <c r="K308" s="195"/>
      <c r="L308" s="195"/>
      <c r="M308" s="1185"/>
    </row>
    <row r="309">
      <c r="A309" s="1185"/>
      <c r="B309" s="1185"/>
      <c r="C309" s="1185"/>
      <c r="D309" s="1185"/>
      <c r="E309" s="1185"/>
      <c r="F309" s="1185"/>
      <c r="G309" s="1186"/>
      <c r="H309" s="1186"/>
      <c r="I309" s="195"/>
      <c r="J309" s="195"/>
      <c r="K309" s="195"/>
      <c r="L309" s="195"/>
      <c r="M309" s="1185"/>
    </row>
    <row r="310">
      <c r="A310" s="1185"/>
      <c r="B310" s="1185"/>
      <c r="C310" s="1185"/>
      <c r="D310" s="1185"/>
      <c r="E310" s="1185"/>
      <c r="F310" s="1185"/>
      <c r="G310" s="1186"/>
      <c r="H310" s="1186"/>
      <c r="I310" s="195"/>
      <c r="J310" s="195"/>
      <c r="K310" s="195"/>
      <c r="L310" s="195"/>
      <c r="M310" s="1185"/>
    </row>
    <row r="311">
      <c r="A311" s="1185"/>
      <c r="B311" s="1185"/>
      <c r="C311" s="1185"/>
      <c r="D311" s="1185"/>
      <c r="E311" s="1185"/>
      <c r="F311" s="1185"/>
      <c r="G311" s="1186"/>
      <c r="H311" s="1186"/>
      <c r="I311" s="195"/>
      <c r="J311" s="195"/>
      <c r="K311" s="195"/>
      <c r="L311" s="195"/>
      <c r="M311" s="1185"/>
    </row>
    <row r="312">
      <c r="A312" s="1185"/>
      <c r="B312" s="1185"/>
      <c r="C312" s="1185"/>
      <c r="D312" s="1185"/>
      <c r="E312" s="1185"/>
      <c r="F312" s="1185"/>
      <c r="G312" s="1186"/>
      <c r="H312" s="1186"/>
      <c r="I312" s="195"/>
      <c r="J312" s="195"/>
      <c r="K312" s="195"/>
      <c r="L312" s="195"/>
      <c r="M312" s="1185"/>
    </row>
    <row r="313">
      <c r="A313" s="1185"/>
      <c r="B313" s="1185"/>
      <c r="C313" s="1185"/>
      <c r="D313" s="1185"/>
      <c r="E313" s="1185"/>
      <c r="F313" s="1185"/>
      <c r="G313" s="1186"/>
      <c r="H313" s="1186"/>
      <c r="I313" s="195"/>
      <c r="J313" s="195"/>
      <c r="K313" s="195"/>
      <c r="L313" s="195"/>
      <c r="M313" s="1185"/>
    </row>
    <row r="314">
      <c r="A314" s="1185"/>
      <c r="B314" s="1185"/>
      <c r="C314" s="1185"/>
      <c r="D314" s="1185"/>
      <c r="E314" s="1185"/>
      <c r="F314" s="1185"/>
      <c r="G314" s="1186"/>
      <c r="H314" s="1186"/>
      <c r="I314" s="195"/>
      <c r="J314" s="195"/>
      <c r="K314" s="195"/>
      <c r="L314" s="195"/>
      <c r="M314" s="1185"/>
    </row>
    <row r="315">
      <c r="A315" s="1185"/>
      <c r="B315" s="1185"/>
      <c r="C315" s="1185"/>
      <c r="D315" s="1185"/>
      <c r="E315" s="1185"/>
      <c r="F315" s="1185"/>
      <c r="G315" s="1186"/>
      <c r="H315" s="1186"/>
      <c r="I315" s="195"/>
      <c r="J315" s="195"/>
      <c r="K315" s="195"/>
      <c r="L315" s="195"/>
      <c r="M315" s="1185"/>
    </row>
    <row r="316">
      <c r="A316" s="1185"/>
      <c r="B316" s="1185"/>
      <c r="C316" s="1185"/>
      <c r="D316" s="1185"/>
      <c r="E316" s="1185"/>
      <c r="F316" s="1185"/>
      <c r="G316" s="1186"/>
      <c r="H316" s="1186"/>
      <c r="I316" s="195"/>
      <c r="J316" s="195"/>
      <c r="K316" s="195"/>
      <c r="L316" s="195"/>
      <c r="M316" s="1185"/>
    </row>
    <row r="317">
      <c r="A317" s="1185"/>
      <c r="B317" s="1185"/>
      <c r="C317" s="1185"/>
      <c r="D317" s="1185"/>
      <c r="E317" s="1185"/>
      <c r="F317" s="1185"/>
      <c r="G317" s="1186"/>
      <c r="H317" s="1186"/>
      <c r="I317" s="195"/>
      <c r="J317" s="195"/>
      <c r="K317" s="195"/>
      <c r="L317" s="195"/>
      <c r="M317" s="1185"/>
    </row>
    <row r="318">
      <c r="A318" s="1185"/>
      <c r="B318" s="1185"/>
      <c r="C318" s="1185"/>
      <c r="D318" s="1185"/>
      <c r="E318" s="1185"/>
      <c r="F318" s="1185"/>
      <c r="G318" s="1186"/>
      <c r="H318" s="1186"/>
      <c r="I318" s="195"/>
      <c r="J318" s="195"/>
      <c r="K318" s="195"/>
      <c r="L318" s="195"/>
      <c r="M318" s="1185"/>
    </row>
    <row r="319">
      <c r="A319" s="1185"/>
      <c r="B319" s="1185"/>
      <c r="C319" s="1185"/>
      <c r="D319" s="1185"/>
      <c r="E319" s="1185"/>
      <c r="F319" s="1185"/>
      <c r="G319" s="1186"/>
      <c r="H319" s="1186"/>
      <c r="I319" s="195"/>
      <c r="J319" s="195"/>
      <c r="K319" s="195"/>
      <c r="L319" s="195"/>
      <c r="M319" s="1185"/>
    </row>
    <row r="320">
      <c r="A320" s="1185"/>
      <c r="B320" s="1185"/>
      <c r="C320" s="1185"/>
      <c r="D320" s="1185"/>
      <c r="E320" s="1185"/>
      <c r="F320" s="1185"/>
      <c r="G320" s="1186"/>
      <c r="H320" s="1186"/>
      <c r="I320" s="195"/>
      <c r="J320" s="195"/>
      <c r="K320" s="195"/>
      <c r="L320" s="195"/>
      <c r="M320" s="1185"/>
    </row>
    <row r="321">
      <c r="A321" s="1185"/>
      <c r="B321" s="1185"/>
      <c r="C321" s="1185"/>
      <c r="D321" s="1185"/>
      <c r="E321" s="1185"/>
      <c r="F321" s="1185"/>
      <c r="G321" s="1186"/>
      <c r="H321" s="1186"/>
      <c r="I321" s="195"/>
      <c r="J321" s="195"/>
      <c r="K321" s="195"/>
      <c r="L321" s="195"/>
      <c r="M321" s="1185"/>
    </row>
    <row r="322">
      <c r="A322" s="1185"/>
      <c r="B322" s="1185"/>
      <c r="C322" s="1185"/>
      <c r="D322" s="1185"/>
      <c r="E322" s="1185"/>
      <c r="F322" s="1185"/>
      <c r="G322" s="1186"/>
      <c r="H322" s="1186"/>
      <c r="I322" s="195"/>
      <c r="J322" s="195"/>
      <c r="K322" s="195"/>
      <c r="L322" s="195"/>
      <c r="M322" s="1185"/>
    </row>
    <row r="323">
      <c r="A323" s="1185"/>
      <c r="B323" s="1185"/>
      <c r="C323" s="1185"/>
      <c r="D323" s="1185"/>
      <c r="E323" s="1185"/>
      <c r="F323" s="1185"/>
      <c r="G323" s="1186"/>
      <c r="H323" s="1186"/>
      <c r="I323" s="195"/>
      <c r="J323" s="195"/>
      <c r="K323" s="195"/>
      <c r="L323" s="195"/>
      <c r="M323" s="1185"/>
    </row>
    <row r="324">
      <c r="A324" s="1185"/>
      <c r="B324" s="1185"/>
      <c r="C324" s="1185"/>
      <c r="D324" s="1185"/>
      <c r="E324" s="1185"/>
      <c r="F324" s="1185"/>
      <c r="G324" s="1186"/>
      <c r="H324" s="1186"/>
      <c r="I324" s="195"/>
      <c r="J324" s="195"/>
      <c r="K324" s="195"/>
      <c r="L324" s="195"/>
      <c r="M324" s="1185"/>
    </row>
    <row r="325">
      <c r="A325" s="1185"/>
      <c r="B325" s="1185"/>
      <c r="C325" s="1185"/>
      <c r="D325" s="1185"/>
      <c r="E325" s="1185"/>
      <c r="F325" s="1185"/>
      <c r="G325" s="1186"/>
      <c r="H325" s="1186"/>
      <c r="I325" s="195"/>
      <c r="J325" s="195"/>
      <c r="K325" s="195"/>
      <c r="L325" s="195"/>
      <c r="M325" s="1185"/>
    </row>
    <row r="326">
      <c r="A326" s="1185"/>
      <c r="B326" s="1185"/>
      <c r="C326" s="1185"/>
      <c r="D326" s="1185"/>
      <c r="E326" s="1185"/>
      <c r="F326" s="1185"/>
      <c r="G326" s="1186"/>
      <c r="H326" s="1186"/>
      <c r="I326" s="195"/>
      <c r="J326" s="195"/>
      <c r="K326" s="195"/>
      <c r="L326" s="195"/>
      <c r="M326" s="1185"/>
    </row>
    <row r="327">
      <c r="A327" s="1185"/>
      <c r="B327" s="1185"/>
      <c r="C327" s="1185"/>
      <c r="D327" s="1185"/>
      <c r="E327" s="1185"/>
      <c r="F327" s="1185"/>
      <c r="G327" s="1186"/>
      <c r="H327" s="1186"/>
      <c r="I327" s="195"/>
      <c r="J327" s="195"/>
      <c r="K327" s="195"/>
      <c r="L327" s="195"/>
      <c r="M327" s="1185"/>
    </row>
    <row r="328">
      <c r="A328" s="1185"/>
      <c r="B328" s="1185"/>
      <c r="C328" s="1185"/>
      <c r="D328" s="1185"/>
      <c r="E328" s="1185"/>
      <c r="F328" s="1185"/>
      <c r="G328" s="1186"/>
      <c r="H328" s="1186"/>
      <c r="I328" s="195"/>
      <c r="J328" s="195"/>
      <c r="K328" s="195"/>
      <c r="L328" s="195"/>
      <c r="M328" s="1185"/>
    </row>
    <row r="329">
      <c r="A329" s="1185"/>
      <c r="B329" s="1185"/>
      <c r="C329" s="1185"/>
      <c r="D329" s="1185"/>
      <c r="E329" s="1185"/>
      <c r="F329" s="1185"/>
      <c r="G329" s="1186"/>
      <c r="H329" s="1186"/>
      <c r="I329" s="195"/>
      <c r="J329" s="195"/>
      <c r="K329" s="195"/>
      <c r="L329" s="195"/>
      <c r="M329" s="1185"/>
    </row>
    <row r="330">
      <c r="A330" s="1185"/>
      <c r="B330" s="1185"/>
      <c r="C330" s="1185"/>
      <c r="D330" s="1185"/>
      <c r="E330" s="1185"/>
      <c r="F330" s="1185"/>
      <c r="G330" s="1186"/>
      <c r="H330" s="1186"/>
      <c r="I330" s="195"/>
      <c r="J330" s="195"/>
      <c r="K330" s="195"/>
      <c r="L330" s="195"/>
      <c r="M330" s="1185"/>
    </row>
    <row r="331">
      <c r="A331" s="1185"/>
      <c r="B331" s="1185"/>
      <c r="C331" s="1185"/>
      <c r="D331" s="1185"/>
      <c r="E331" s="1185"/>
      <c r="F331" s="1185"/>
      <c r="G331" s="1186"/>
      <c r="H331" s="1186"/>
      <c r="I331" s="195"/>
      <c r="J331" s="195"/>
      <c r="K331" s="195"/>
      <c r="L331" s="195"/>
      <c r="M331" s="1185"/>
    </row>
    <row r="332">
      <c r="A332" s="1185"/>
      <c r="B332" s="1185"/>
      <c r="C332" s="1185"/>
      <c r="D332" s="1185"/>
      <c r="E332" s="1185"/>
      <c r="F332" s="1185"/>
      <c r="G332" s="1186"/>
      <c r="H332" s="1186"/>
      <c r="I332" s="195"/>
      <c r="J332" s="195"/>
      <c r="K332" s="195"/>
      <c r="L332" s="195"/>
      <c r="M332" s="1185"/>
    </row>
    <row r="333">
      <c r="A333" s="1185"/>
      <c r="B333" s="1185"/>
      <c r="C333" s="1185"/>
      <c r="D333" s="1185"/>
      <c r="E333" s="1185"/>
      <c r="F333" s="1185"/>
      <c r="G333" s="1186"/>
      <c r="H333" s="1186"/>
      <c r="I333" s="195"/>
      <c r="J333" s="195"/>
      <c r="K333" s="195"/>
      <c r="L333" s="195"/>
      <c r="M333" s="1185"/>
    </row>
    <row r="334">
      <c r="A334" s="1185"/>
      <c r="B334" s="1185"/>
      <c r="C334" s="1185"/>
      <c r="D334" s="1185"/>
      <c r="E334" s="1185"/>
      <c r="F334" s="1185"/>
      <c r="G334" s="1186"/>
      <c r="H334" s="1186"/>
      <c r="I334" s="195"/>
      <c r="J334" s="195"/>
      <c r="K334" s="195"/>
      <c r="L334" s="195"/>
      <c r="M334" s="1185"/>
    </row>
    <row r="335">
      <c r="A335" s="1185"/>
      <c r="B335" s="1185"/>
      <c r="C335" s="1185"/>
      <c r="D335" s="1185"/>
      <c r="E335" s="1185"/>
      <c r="F335" s="1185"/>
      <c r="G335" s="1186"/>
      <c r="H335" s="1186"/>
      <c r="I335" s="195"/>
      <c r="J335" s="195"/>
      <c r="K335" s="195"/>
      <c r="L335" s="195"/>
      <c r="M335" s="1185"/>
    </row>
    <row r="336">
      <c r="A336" s="1185"/>
      <c r="B336" s="1185"/>
      <c r="C336" s="1185"/>
      <c r="D336" s="1185"/>
      <c r="E336" s="1185"/>
      <c r="F336" s="1185"/>
      <c r="G336" s="1186"/>
      <c r="H336" s="1186"/>
      <c r="I336" s="195"/>
      <c r="J336" s="195"/>
      <c r="K336" s="195"/>
      <c r="L336" s="195"/>
      <c r="M336" s="1185"/>
    </row>
    <row r="337">
      <c r="A337" s="1185"/>
      <c r="B337" s="1185"/>
      <c r="C337" s="1185"/>
      <c r="D337" s="1185"/>
      <c r="E337" s="1185"/>
      <c r="F337" s="1185"/>
      <c r="G337" s="1186"/>
      <c r="H337" s="1186"/>
      <c r="I337" s="195"/>
      <c r="J337" s="195"/>
      <c r="K337" s="195"/>
      <c r="L337" s="195"/>
      <c r="M337" s="1185"/>
    </row>
    <row r="338">
      <c r="A338" s="1185"/>
      <c r="B338" s="1185"/>
      <c r="C338" s="1185"/>
      <c r="D338" s="1185"/>
      <c r="E338" s="1185"/>
      <c r="F338" s="1185"/>
      <c r="G338" s="1186"/>
      <c r="H338" s="1186"/>
      <c r="I338" s="195"/>
      <c r="J338" s="195"/>
      <c r="K338" s="195"/>
      <c r="L338" s="195"/>
      <c r="M338" s="1185"/>
    </row>
    <row r="339">
      <c r="A339" s="1185"/>
      <c r="B339" s="1185"/>
      <c r="C339" s="1185"/>
      <c r="D339" s="1185"/>
      <c r="E339" s="1185"/>
      <c r="F339" s="1185"/>
      <c r="G339" s="1186"/>
      <c r="H339" s="1186"/>
      <c r="I339" s="195"/>
      <c r="J339" s="195"/>
      <c r="K339" s="195"/>
      <c r="L339" s="195"/>
      <c r="M339" s="1185"/>
    </row>
    <row r="340">
      <c r="A340" s="1185"/>
      <c r="B340" s="1185"/>
      <c r="C340" s="1185"/>
      <c r="D340" s="1185"/>
      <c r="E340" s="1185"/>
      <c r="F340" s="1185"/>
      <c r="G340" s="1186"/>
      <c r="H340" s="1186"/>
      <c r="I340" s="195"/>
      <c r="J340" s="195"/>
      <c r="K340" s="195"/>
      <c r="L340" s="195"/>
      <c r="M340" s="1185"/>
    </row>
    <row r="341">
      <c r="A341" s="1185"/>
      <c r="B341" s="1185"/>
      <c r="C341" s="1185"/>
      <c r="D341" s="1185"/>
      <c r="E341" s="1185"/>
      <c r="F341" s="1185"/>
      <c r="G341" s="1186"/>
      <c r="H341" s="1186"/>
      <c r="I341" s="195"/>
      <c r="J341" s="195"/>
      <c r="K341" s="195"/>
      <c r="L341" s="195"/>
      <c r="M341" s="1185"/>
    </row>
    <row r="342">
      <c r="A342" s="1185"/>
      <c r="B342" s="1185"/>
      <c r="C342" s="1185"/>
      <c r="D342" s="1185"/>
      <c r="E342" s="1185"/>
      <c r="F342" s="1185"/>
      <c r="G342" s="1186"/>
      <c r="H342" s="1186"/>
      <c r="I342" s="195"/>
      <c r="J342" s="195"/>
      <c r="K342" s="195"/>
      <c r="L342" s="195"/>
      <c r="M342" s="1185"/>
    </row>
    <row r="343">
      <c r="A343" s="1185"/>
      <c r="B343" s="1185"/>
      <c r="C343" s="1185"/>
      <c r="D343" s="1185"/>
      <c r="E343" s="1185"/>
      <c r="F343" s="1185"/>
      <c r="G343" s="1186"/>
      <c r="H343" s="1186"/>
      <c r="I343" s="195"/>
      <c r="J343" s="195"/>
      <c r="K343" s="195"/>
      <c r="L343" s="195"/>
      <c r="M343" s="1185"/>
    </row>
    <row r="344">
      <c r="A344" s="1185"/>
      <c r="B344" s="1185"/>
      <c r="C344" s="1185"/>
      <c r="D344" s="1185"/>
      <c r="E344" s="1185"/>
      <c r="F344" s="1185"/>
      <c r="G344" s="1186"/>
      <c r="H344" s="1186"/>
      <c r="I344" s="195"/>
      <c r="J344" s="195"/>
      <c r="K344" s="195"/>
      <c r="L344" s="195"/>
      <c r="M344" s="1185"/>
    </row>
    <row r="345">
      <c r="A345" s="1185"/>
      <c r="B345" s="1185"/>
      <c r="C345" s="1185"/>
      <c r="D345" s="1185"/>
      <c r="E345" s="1185"/>
      <c r="F345" s="1185"/>
      <c r="G345" s="1186"/>
      <c r="H345" s="1186"/>
      <c r="I345" s="195"/>
      <c r="J345" s="195"/>
      <c r="K345" s="195"/>
      <c r="L345" s="195"/>
      <c r="M345" s="1185"/>
    </row>
    <row r="346">
      <c r="A346" s="1185"/>
      <c r="B346" s="1185"/>
      <c r="C346" s="1185"/>
      <c r="D346" s="1185"/>
      <c r="E346" s="1185"/>
      <c r="F346" s="1185"/>
      <c r="G346" s="1186"/>
      <c r="H346" s="1186"/>
      <c r="I346" s="195"/>
      <c r="J346" s="195"/>
      <c r="K346" s="195"/>
      <c r="L346" s="195"/>
      <c r="M346" s="1185"/>
    </row>
    <row r="347">
      <c r="A347" s="1185"/>
      <c r="B347" s="1185"/>
      <c r="C347" s="1185"/>
      <c r="D347" s="1185"/>
      <c r="E347" s="1185"/>
      <c r="F347" s="1185"/>
      <c r="G347" s="1186"/>
      <c r="H347" s="1186"/>
      <c r="I347" s="195"/>
      <c r="J347" s="195"/>
      <c r="K347" s="195"/>
      <c r="L347" s="195"/>
      <c r="M347" s="1185"/>
    </row>
    <row r="348">
      <c r="A348" s="1185"/>
      <c r="B348" s="1185"/>
      <c r="C348" s="1185"/>
      <c r="D348" s="1185"/>
      <c r="E348" s="1185"/>
      <c r="F348" s="1185"/>
      <c r="G348" s="1186"/>
      <c r="H348" s="1186"/>
      <c r="I348" s="195"/>
      <c r="J348" s="195"/>
      <c r="K348" s="195"/>
      <c r="L348" s="195"/>
      <c r="M348" s="1185"/>
    </row>
    <row r="349">
      <c r="A349" s="1185"/>
      <c r="B349" s="1185"/>
      <c r="C349" s="1185"/>
      <c r="D349" s="1185"/>
      <c r="E349" s="1185"/>
      <c r="F349" s="1185"/>
      <c r="G349" s="1186"/>
      <c r="H349" s="1186"/>
      <c r="I349" s="195"/>
      <c r="J349" s="195"/>
      <c r="K349" s="195"/>
      <c r="L349" s="195"/>
      <c r="M349" s="1185"/>
    </row>
    <row r="350">
      <c r="A350" s="1185"/>
      <c r="B350" s="1185"/>
      <c r="C350" s="1185"/>
      <c r="D350" s="1185"/>
      <c r="E350" s="1185"/>
      <c r="F350" s="1185"/>
      <c r="G350" s="1186"/>
      <c r="H350" s="1186"/>
      <c r="I350" s="195"/>
      <c r="J350" s="195"/>
      <c r="K350" s="195"/>
      <c r="L350" s="195"/>
      <c r="M350" s="1185"/>
    </row>
    <row r="351">
      <c r="A351" s="1185"/>
      <c r="B351" s="1185"/>
      <c r="C351" s="1185"/>
      <c r="D351" s="1185"/>
      <c r="E351" s="1185"/>
      <c r="F351" s="1185"/>
      <c r="G351" s="1186"/>
      <c r="H351" s="1186"/>
      <c r="I351" s="195"/>
      <c r="J351" s="195"/>
      <c r="K351" s="195"/>
      <c r="L351" s="195"/>
      <c r="M351" s="1185"/>
    </row>
    <row r="352">
      <c r="A352" s="1185"/>
      <c r="B352" s="1185"/>
      <c r="C352" s="1185"/>
      <c r="D352" s="1185"/>
      <c r="E352" s="1185"/>
      <c r="F352" s="1185"/>
      <c r="G352" s="1186"/>
      <c r="H352" s="1186"/>
      <c r="I352" s="195"/>
      <c r="J352" s="195"/>
      <c r="K352" s="195"/>
      <c r="L352" s="195"/>
      <c r="M352" s="1185"/>
    </row>
    <row r="353">
      <c r="A353" s="1185"/>
      <c r="B353" s="1185"/>
      <c r="C353" s="1185"/>
      <c r="D353" s="1185"/>
      <c r="E353" s="1185"/>
      <c r="F353" s="1185"/>
      <c r="G353" s="1186"/>
      <c r="H353" s="1186"/>
      <c r="I353" s="195"/>
      <c r="J353" s="195"/>
      <c r="K353" s="195"/>
      <c r="L353" s="195"/>
      <c r="M353" s="1185"/>
    </row>
    <row r="354">
      <c r="A354" s="1185"/>
      <c r="B354" s="1185"/>
      <c r="C354" s="1185"/>
      <c r="D354" s="1185"/>
      <c r="E354" s="1185"/>
      <c r="F354" s="1185"/>
      <c r="G354" s="1186"/>
      <c r="H354" s="1186"/>
      <c r="I354" s="195"/>
      <c r="J354" s="195"/>
      <c r="K354" s="195"/>
      <c r="L354" s="195"/>
      <c r="M354" s="1185"/>
    </row>
    <row r="355">
      <c r="A355" s="1185"/>
      <c r="B355" s="1185"/>
      <c r="C355" s="1185"/>
      <c r="D355" s="1185"/>
      <c r="E355" s="1185"/>
      <c r="F355" s="1185"/>
      <c r="G355" s="1186"/>
      <c r="H355" s="1186"/>
      <c r="I355" s="195"/>
      <c r="J355" s="195"/>
      <c r="K355" s="195"/>
      <c r="L355" s="195"/>
      <c r="M355" s="1185"/>
    </row>
    <row r="356">
      <c r="A356" s="1185"/>
      <c r="B356" s="1185"/>
      <c r="C356" s="1185"/>
      <c r="D356" s="1185"/>
      <c r="E356" s="1185"/>
      <c r="F356" s="1185"/>
      <c r="G356" s="1186"/>
      <c r="H356" s="1186"/>
      <c r="I356" s="195"/>
      <c r="J356" s="195"/>
      <c r="K356" s="195"/>
      <c r="L356" s="195"/>
      <c r="M356" s="1185"/>
    </row>
    <row r="357">
      <c r="A357" s="1185"/>
      <c r="B357" s="1185"/>
      <c r="C357" s="1185"/>
      <c r="D357" s="1185"/>
      <c r="E357" s="1185"/>
      <c r="F357" s="1185"/>
      <c r="G357" s="1186"/>
      <c r="H357" s="1186"/>
      <c r="I357" s="195"/>
      <c r="J357" s="195"/>
      <c r="K357" s="195"/>
      <c r="L357" s="195"/>
      <c r="M357" s="1185"/>
    </row>
    <row r="358">
      <c r="A358" s="1185"/>
      <c r="B358" s="1185"/>
      <c r="C358" s="1185"/>
      <c r="D358" s="1185"/>
      <c r="E358" s="1185"/>
      <c r="F358" s="1185"/>
      <c r="G358" s="1186"/>
      <c r="H358" s="1186"/>
      <c r="I358" s="195"/>
      <c r="J358" s="195"/>
      <c r="K358" s="195"/>
      <c r="L358" s="195"/>
      <c r="M358" s="1185"/>
    </row>
    <row r="359">
      <c r="A359" s="1185"/>
      <c r="B359" s="1185"/>
      <c r="C359" s="1185"/>
      <c r="D359" s="1185"/>
      <c r="E359" s="1185"/>
      <c r="F359" s="1185"/>
      <c r="G359" s="1186"/>
      <c r="H359" s="1186"/>
      <c r="I359" s="195"/>
      <c r="J359" s="195"/>
      <c r="K359" s="195"/>
      <c r="L359" s="195"/>
      <c r="M359" s="1185"/>
    </row>
    <row r="360">
      <c r="A360" s="1185"/>
      <c r="B360" s="1185"/>
      <c r="C360" s="1185"/>
      <c r="D360" s="1185"/>
      <c r="E360" s="1185"/>
      <c r="F360" s="1185"/>
      <c r="G360" s="1186"/>
      <c r="H360" s="1186"/>
      <c r="I360" s="195"/>
      <c r="J360" s="195"/>
      <c r="K360" s="195"/>
      <c r="L360" s="195"/>
      <c r="M360" s="1185"/>
    </row>
    <row r="361">
      <c r="A361" s="1185"/>
      <c r="B361" s="1185"/>
      <c r="C361" s="1185"/>
      <c r="D361" s="1185"/>
      <c r="E361" s="1185"/>
      <c r="F361" s="1185"/>
      <c r="G361" s="1186"/>
      <c r="H361" s="1186"/>
      <c r="I361" s="195"/>
      <c r="J361" s="195"/>
      <c r="K361" s="195"/>
      <c r="L361" s="195"/>
      <c r="M361" s="1185"/>
    </row>
    <row r="362">
      <c r="A362" s="1185"/>
      <c r="B362" s="1185"/>
      <c r="C362" s="1185"/>
      <c r="D362" s="1185"/>
      <c r="E362" s="1185"/>
      <c r="F362" s="1185"/>
      <c r="G362" s="1186"/>
      <c r="H362" s="1186"/>
      <c r="I362" s="195"/>
      <c r="J362" s="195"/>
      <c r="K362" s="195"/>
      <c r="L362" s="195"/>
      <c r="M362" s="1185"/>
    </row>
    <row r="363">
      <c r="A363" s="1185"/>
      <c r="B363" s="1185"/>
      <c r="C363" s="1185"/>
      <c r="D363" s="1185"/>
      <c r="E363" s="1185"/>
      <c r="F363" s="1185"/>
      <c r="G363" s="1186"/>
      <c r="H363" s="1186"/>
      <c r="I363" s="195"/>
      <c r="J363" s="195"/>
      <c r="K363" s="195"/>
      <c r="L363" s="195"/>
      <c r="M363" s="1185"/>
    </row>
    <row r="364">
      <c r="A364" s="1185"/>
      <c r="B364" s="1185"/>
      <c r="C364" s="1185"/>
      <c r="D364" s="1185"/>
      <c r="E364" s="1185"/>
      <c r="F364" s="1185"/>
      <c r="G364" s="1186"/>
      <c r="H364" s="1186"/>
      <c r="I364" s="195"/>
      <c r="J364" s="195"/>
      <c r="K364" s="195"/>
      <c r="L364" s="195"/>
      <c r="M364" s="1185"/>
    </row>
    <row r="365">
      <c r="A365" s="1185"/>
      <c r="B365" s="1185"/>
      <c r="C365" s="1185"/>
      <c r="D365" s="1185"/>
      <c r="E365" s="1185"/>
      <c r="F365" s="1185"/>
      <c r="G365" s="1186"/>
      <c r="H365" s="1186"/>
      <c r="I365" s="195"/>
      <c r="J365" s="195"/>
      <c r="K365" s="195"/>
      <c r="L365" s="195"/>
      <c r="M365" s="1185"/>
    </row>
    <row r="366">
      <c r="A366" s="1185"/>
      <c r="B366" s="1185"/>
      <c r="C366" s="1185"/>
      <c r="D366" s="1185"/>
      <c r="E366" s="1185"/>
      <c r="F366" s="1185"/>
      <c r="G366" s="1186"/>
      <c r="H366" s="1186"/>
      <c r="I366" s="195"/>
      <c r="J366" s="195"/>
      <c r="K366" s="195"/>
      <c r="L366" s="195"/>
      <c r="M366" s="1185"/>
    </row>
    <row r="367">
      <c r="A367" s="1185"/>
      <c r="B367" s="1185"/>
      <c r="C367" s="1185"/>
      <c r="D367" s="1185"/>
      <c r="E367" s="1185"/>
      <c r="F367" s="1185"/>
      <c r="G367" s="1186"/>
      <c r="H367" s="1186"/>
      <c r="I367" s="195"/>
      <c r="J367" s="195"/>
      <c r="K367" s="195"/>
      <c r="L367" s="195"/>
      <c r="M367" s="1185"/>
    </row>
    <row r="368">
      <c r="A368" s="1185"/>
      <c r="B368" s="1185"/>
      <c r="C368" s="1185"/>
      <c r="D368" s="1185"/>
      <c r="E368" s="1185"/>
      <c r="F368" s="1185"/>
      <c r="G368" s="1186"/>
      <c r="H368" s="1186"/>
      <c r="I368" s="195"/>
      <c r="J368" s="195"/>
      <c r="K368" s="195"/>
      <c r="L368" s="195"/>
      <c r="M368" s="1185"/>
    </row>
    <row r="369">
      <c r="A369" s="1185"/>
      <c r="B369" s="1185"/>
      <c r="C369" s="1185"/>
      <c r="D369" s="1185"/>
      <c r="E369" s="1185"/>
      <c r="F369" s="1185"/>
      <c r="G369" s="1186"/>
      <c r="H369" s="1186"/>
      <c r="I369" s="195"/>
      <c r="J369" s="195"/>
      <c r="K369" s="195"/>
      <c r="L369" s="195"/>
      <c r="M369" s="1185"/>
    </row>
    <row r="370">
      <c r="A370" s="1185"/>
      <c r="B370" s="1185"/>
      <c r="C370" s="1185"/>
      <c r="D370" s="1185"/>
      <c r="E370" s="1185"/>
      <c r="F370" s="1185"/>
      <c r="G370" s="1186"/>
      <c r="H370" s="1186"/>
      <c r="I370" s="195"/>
      <c r="J370" s="195"/>
      <c r="K370" s="195"/>
      <c r="L370" s="195"/>
      <c r="M370" s="1185"/>
    </row>
    <row r="371">
      <c r="A371" s="1185"/>
      <c r="B371" s="1185"/>
      <c r="C371" s="1185"/>
      <c r="D371" s="1185"/>
      <c r="E371" s="1185"/>
      <c r="F371" s="1185"/>
      <c r="G371" s="1186"/>
      <c r="H371" s="1186"/>
      <c r="I371" s="195"/>
      <c r="J371" s="195"/>
      <c r="K371" s="195"/>
      <c r="L371" s="195"/>
      <c r="M371" s="1185"/>
    </row>
    <row r="372">
      <c r="A372" s="1185"/>
      <c r="B372" s="1185"/>
      <c r="C372" s="1185"/>
      <c r="D372" s="1185"/>
      <c r="E372" s="1185"/>
      <c r="F372" s="1185"/>
      <c r="G372" s="1186"/>
      <c r="H372" s="1186"/>
      <c r="I372" s="195"/>
      <c r="J372" s="195"/>
      <c r="K372" s="195"/>
      <c r="L372" s="195"/>
      <c r="M372" s="1185"/>
    </row>
    <row r="373">
      <c r="A373" s="1185"/>
      <c r="B373" s="1185"/>
      <c r="C373" s="1185"/>
      <c r="D373" s="1185"/>
      <c r="E373" s="1185"/>
      <c r="F373" s="1185"/>
      <c r="G373" s="1186"/>
      <c r="H373" s="1186"/>
      <c r="I373" s="195"/>
      <c r="J373" s="195"/>
      <c r="K373" s="195"/>
      <c r="L373" s="195"/>
      <c r="M373" s="1185"/>
    </row>
    <row r="374">
      <c r="A374" s="1185"/>
      <c r="B374" s="1185"/>
      <c r="C374" s="1185"/>
      <c r="D374" s="1185"/>
      <c r="E374" s="1185"/>
      <c r="F374" s="1185"/>
      <c r="G374" s="1186"/>
      <c r="H374" s="1186"/>
      <c r="I374" s="195"/>
      <c r="J374" s="195"/>
      <c r="K374" s="195"/>
      <c r="L374" s="195"/>
      <c r="M374" s="1185"/>
    </row>
    <row r="375">
      <c r="A375" s="1185"/>
      <c r="B375" s="1185"/>
      <c r="C375" s="1185"/>
      <c r="D375" s="1185"/>
      <c r="E375" s="1185"/>
      <c r="F375" s="1185"/>
      <c r="G375" s="1186"/>
      <c r="H375" s="1186"/>
      <c r="I375" s="195"/>
      <c r="J375" s="195"/>
      <c r="K375" s="195"/>
      <c r="L375" s="195"/>
      <c r="M375" s="1185"/>
    </row>
    <row r="376">
      <c r="A376" s="1185"/>
      <c r="B376" s="1185"/>
      <c r="C376" s="1185"/>
      <c r="D376" s="1185"/>
      <c r="E376" s="1185"/>
      <c r="F376" s="1185"/>
      <c r="G376" s="1186"/>
      <c r="H376" s="1186"/>
      <c r="I376" s="195"/>
      <c r="J376" s="195"/>
      <c r="K376" s="195"/>
      <c r="L376" s="195"/>
      <c r="M376" s="1185"/>
    </row>
    <row r="377">
      <c r="A377" s="1185"/>
      <c r="B377" s="1185"/>
      <c r="C377" s="1185"/>
      <c r="D377" s="1185"/>
      <c r="E377" s="1185"/>
      <c r="F377" s="1185"/>
      <c r="G377" s="1186"/>
      <c r="H377" s="1186"/>
      <c r="I377" s="195"/>
      <c r="J377" s="195"/>
      <c r="K377" s="195"/>
      <c r="L377" s="195"/>
      <c r="M377" s="1185"/>
    </row>
    <row r="378">
      <c r="A378" s="1185"/>
      <c r="B378" s="1185"/>
      <c r="C378" s="1185"/>
      <c r="D378" s="1185"/>
      <c r="E378" s="1185"/>
      <c r="F378" s="1185"/>
      <c r="G378" s="1186"/>
      <c r="H378" s="1186"/>
      <c r="I378" s="195"/>
      <c r="J378" s="195"/>
      <c r="K378" s="195"/>
      <c r="L378" s="195"/>
      <c r="M378" s="1185"/>
    </row>
    <row r="379">
      <c r="A379" s="1185"/>
      <c r="B379" s="1185"/>
      <c r="C379" s="1185"/>
      <c r="D379" s="1185"/>
      <c r="E379" s="1185"/>
      <c r="F379" s="1185"/>
      <c r="G379" s="1186"/>
      <c r="H379" s="1186"/>
      <c r="I379" s="195"/>
      <c r="J379" s="195"/>
      <c r="K379" s="195"/>
      <c r="L379" s="195"/>
      <c r="M379" s="1185"/>
    </row>
    <row r="380">
      <c r="A380" s="1185"/>
      <c r="B380" s="1185"/>
      <c r="C380" s="1185"/>
      <c r="D380" s="1185"/>
      <c r="E380" s="1185"/>
      <c r="F380" s="1185"/>
      <c r="G380" s="1186"/>
      <c r="H380" s="1186"/>
      <c r="I380" s="195"/>
      <c r="J380" s="195"/>
      <c r="K380" s="195"/>
      <c r="L380" s="195"/>
      <c r="M380" s="1185"/>
    </row>
    <row r="381">
      <c r="A381" s="1185"/>
      <c r="B381" s="1185"/>
      <c r="C381" s="1185"/>
      <c r="D381" s="1185"/>
      <c r="E381" s="1185"/>
      <c r="F381" s="1185"/>
      <c r="G381" s="1186"/>
      <c r="H381" s="1186"/>
      <c r="I381" s="195"/>
      <c r="J381" s="195"/>
      <c r="K381" s="195"/>
      <c r="L381" s="195"/>
      <c r="M381" s="1185"/>
    </row>
    <row r="382">
      <c r="A382" s="1185"/>
      <c r="B382" s="1185"/>
      <c r="C382" s="1185"/>
      <c r="D382" s="1185"/>
      <c r="E382" s="1185"/>
      <c r="F382" s="1185"/>
      <c r="G382" s="1186"/>
      <c r="H382" s="1186"/>
      <c r="I382" s="195"/>
      <c r="J382" s="195"/>
      <c r="K382" s="195"/>
      <c r="L382" s="195"/>
      <c r="M382" s="1185"/>
    </row>
    <row r="383">
      <c r="A383" s="1185"/>
      <c r="B383" s="1185"/>
      <c r="C383" s="1185"/>
      <c r="D383" s="1185"/>
      <c r="E383" s="1185"/>
      <c r="F383" s="1185"/>
      <c r="G383" s="1186"/>
      <c r="H383" s="1186"/>
      <c r="I383" s="195"/>
      <c r="J383" s="195"/>
      <c r="K383" s="195"/>
      <c r="L383" s="195"/>
      <c r="M383" s="1185"/>
    </row>
    <row r="384">
      <c r="A384" s="1185"/>
      <c r="B384" s="1185"/>
      <c r="C384" s="1185"/>
      <c r="D384" s="1185"/>
      <c r="E384" s="1185"/>
      <c r="F384" s="1185"/>
      <c r="G384" s="1186"/>
      <c r="H384" s="1186"/>
      <c r="I384" s="195"/>
      <c r="J384" s="195"/>
      <c r="K384" s="195"/>
      <c r="L384" s="195"/>
      <c r="M384" s="1185"/>
    </row>
    <row r="385">
      <c r="A385" s="1185"/>
      <c r="B385" s="1185"/>
      <c r="C385" s="1185"/>
      <c r="D385" s="1185"/>
      <c r="E385" s="1185"/>
      <c r="F385" s="1185"/>
      <c r="G385" s="1186"/>
      <c r="H385" s="1186"/>
      <c r="I385" s="195"/>
      <c r="J385" s="195"/>
      <c r="K385" s="195"/>
      <c r="L385" s="195"/>
      <c r="M385" s="1185"/>
    </row>
    <row r="386">
      <c r="A386" s="1185"/>
      <c r="B386" s="1185"/>
      <c r="C386" s="1185"/>
      <c r="D386" s="1185"/>
      <c r="E386" s="1185"/>
      <c r="F386" s="1185"/>
      <c r="G386" s="1186"/>
      <c r="H386" s="1186"/>
      <c r="I386" s="195"/>
      <c r="J386" s="195"/>
      <c r="K386" s="195"/>
      <c r="L386" s="195"/>
      <c r="M386" s="1185"/>
    </row>
    <row r="387">
      <c r="A387" s="1185"/>
      <c r="B387" s="1185"/>
      <c r="C387" s="1185"/>
      <c r="D387" s="1185"/>
      <c r="E387" s="1185"/>
      <c r="F387" s="1185"/>
      <c r="G387" s="1186"/>
      <c r="H387" s="1186"/>
      <c r="I387" s="195"/>
      <c r="J387" s="195"/>
      <c r="K387" s="195"/>
      <c r="L387" s="195"/>
      <c r="M387" s="1185"/>
    </row>
    <row r="388">
      <c r="A388" s="1185"/>
      <c r="B388" s="1185"/>
      <c r="C388" s="1185"/>
      <c r="D388" s="1185"/>
      <c r="E388" s="1185"/>
      <c r="F388" s="1185"/>
      <c r="G388" s="1186"/>
      <c r="H388" s="1186"/>
      <c r="I388" s="195"/>
      <c r="J388" s="195"/>
      <c r="K388" s="195"/>
      <c r="L388" s="195"/>
      <c r="M388" s="1185"/>
    </row>
    <row r="389">
      <c r="A389" s="1185"/>
      <c r="B389" s="1185"/>
      <c r="C389" s="1185"/>
      <c r="D389" s="1185"/>
      <c r="E389" s="1185"/>
      <c r="F389" s="1185"/>
      <c r="G389" s="1186"/>
      <c r="H389" s="1186"/>
      <c r="I389" s="195"/>
      <c r="J389" s="195"/>
      <c r="K389" s="195"/>
      <c r="L389" s="195"/>
      <c r="M389" s="1185"/>
    </row>
    <row r="390">
      <c r="A390" s="1185"/>
      <c r="B390" s="1185"/>
      <c r="C390" s="1185"/>
      <c r="D390" s="1185"/>
      <c r="E390" s="1185"/>
      <c r="F390" s="1185"/>
      <c r="G390" s="1186"/>
      <c r="H390" s="1186"/>
      <c r="I390" s="195"/>
      <c r="J390" s="195"/>
      <c r="K390" s="195"/>
      <c r="L390" s="195"/>
      <c r="M390" s="1185"/>
    </row>
    <row r="391">
      <c r="A391" s="1185"/>
      <c r="B391" s="1185"/>
      <c r="C391" s="1185"/>
      <c r="D391" s="1185"/>
      <c r="E391" s="1185"/>
      <c r="F391" s="1185"/>
      <c r="G391" s="1186"/>
      <c r="H391" s="1186"/>
      <c r="I391" s="195"/>
      <c r="J391" s="195"/>
      <c r="K391" s="195"/>
      <c r="L391" s="195"/>
      <c r="M391" s="1185"/>
    </row>
    <row r="392">
      <c r="A392" s="1185"/>
      <c r="B392" s="1185"/>
      <c r="C392" s="1185"/>
      <c r="D392" s="1185"/>
      <c r="E392" s="1185"/>
      <c r="F392" s="1185"/>
      <c r="G392" s="1186"/>
      <c r="H392" s="1186"/>
      <c r="I392" s="195"/>
      <c r="J392" s="195"/>
      <c r="K392" s="195"/>
      <c r="L392" s="195"/>
      <c r="M392" s="1185"/>
    </row>
    <row r="393">
      <c r="A393" s="1185"/>
      <c r="B393" s="1185"/>
      <c r="C393" s="1185"/>
      <c r="D393" s="1185"/>
      <c r="E393" s="1185"/>
      <c r="F393" s="1185"/>
      <c r="G393" s="1186"/>
      <c r="H393" s="1186"/>
      <c r="I393" s="195"/>
      <c r="J393" s="195"/>
      <c r="K393" s="195"/>
      <c r="L393" s="195"/>
      <c r="M393" s="1185"/>
    </row>
    <row r="394">
      <c r="A394" s="1185"/>
      <c r="B394" s="1185"/>
      <c r="C394" s="1185"/>
      <c r="D394" s="1185"/>
      <c r="E394" s="1185"/>
      <c r="F394" s="1185"/>
      <c r="G394" s="1186"/>
      <c r="H394" s="1186"/>
      <c r="I394" s="195"/>
      <c r="J394" s="195"/>
      <c r="K394" s="195"/>
      <c r="L394" s="195"/>
      <c r="M394" s="1185"/>
    </row>
    <row r="395">
      <c r="A395" s="1185"/>
      <c r="B395" s="1185"/>
      <c r="C395" s="1185"/>
      <c r="D395" s="1185"/>
      <c r="E395" s="1185"/>
      <c r="F395" s="1185"/>
      <c r="G395" s="1186"/>
      <c r="H395" s="1186"/>
      <c r="I395" s="195"/>
      <c r="J395" s="195"/>
      <c r="K395" s="195"/>
      <c r="L395" s="195"/>
      <c r="M395" s="1185"/>
    </row>
    <row r="396">
      <c r="A396" s="1185"/>
      <c r="B396" s="1185"/>
      <c r="C396" s="1185"/>
      <c r="D396" s="1185"/>
      <c r="E396" s="1185"/>
      <c r="F396" s="1185"/>
      <c r="G396" s="1186"/>
      <c r="H396" s="1186"/>
      <c r="I396" s="195"/>
      <c r="J396" s="195"/>
      <c r="K396" s="195"/>
      <c r="L396" s="195"/>
      <c r="M396" s="1185"/>
    </row>
    <row r="397">
      <c r="A397" s="1185"/>
      <c r="B397" s="1185"/>
      <c r="C397" s="1185"/>
      <c r="D397" s="1185"/>
      <c r="E397" s="1185"/>
      <c r="F397" s="1185"/>
      <c r="G397" s="1186"/>
      <c r="H397" s="1186"/>
      <c r="I397" s="195"/>
      <c r="J397" s="195"/>
      <c r="K397" s="195"/>
      <c r="L397" s="195"/>
      <c r="M397" s="1185"/>
    </row>
    <row r="398">
      <c r="A398" s="1185"/>
      <c r="B398" s="1185"/>
      <c r="C398" s="1185"/>
      <c r="D398" s="1185"/>
      <c r="E398" s="1185"/>
      <c r="F398" s="1185"/>
      <c r="G398" s="1186"/>
      <c r="H398" s="1186"/>
      <c r="I398" s="195"/>
      <c r="J398" s="195"/>
      <c r="K398" s="195"/>
      <c r="L398" s="195"/>
      <c r="M398" s="1185"/>
    </row>
    <row r="399">
      <c r="A399" s="1185"/>
      <c r="B399" s="1185"/>
      <c r="C399" s="1185"/>
      <c r="D399" s="1185"/>
      <c r="E399" s="1185"/>
      <c r="F399" s="1185"/>
      <c r="G399" s="1186"/>
      <c r="H399" s="1186"/>
      <c r="I399" s="195"/>
      <c r="J399" s="195"/>
      <c r="K399" s="195"/>
      <c r="L399" s="195"/>
      <c r="M399" s="1185"/>
    </row>
    <row r="400">
      <c r="A400" s="1185"/>
      <c r="B400" s="1185"/>
      <c r="C400" s="1185"/>
      <c r="D400" s="1185"/>
      <c r="E400" s="1185"/>
      <c r="F400" s="1185"/>
      <c r="G400" s="1186"/>
      <c r="H400" s="1186"/>
      <c r="I400" s="195"/>
      <c r="J400" s="195"/>
      <c r="K400" s="195"/>
      <c r="L400" s="195"/>
      <c r="M400" s="1185"/>
    </row>
    <row r="401">
      <c r="A401" s="1185"/>
      <c r="B401" s="1185"/>
      <c r="C401" s="1185"/>
      <c r="D401" s="1185"/>
      <c r="E401" s="1185"/>
      <c r="F401" s="1185"/>
      <c r="G401" s="1186"/>
      <c r="H401" s="1186"/>
      <c r="I401" s="195"/>
      <c r="J401" s="195"/>
      <c r="K401" s="195"/>
      <c r="L401" s="195"/>
      <c r="M401" s="1185"/>
    </row>
    <row r="402">
      <c r="A402" s="1185"/>
      <c r="B402" s="1185"/>
      <c r="C402" s="1185"/>
      <c r="D402" s="1185"/>
      <c r="E402" s="1185"/>
      <c r="F402" s="1185"/>
      <c r="G402" s="1186"/>
      <c r="H402" s="1186"/>
      <c r="I402" s="195"/>
      <c r="J402" s="195"/>
      <c r="K402" s="195"/>
      <c r="L402" s="195"/>
      <c r="M402" s="1185"/>
    </row>
    <row r="403">
      <c r="A403" s="1185"/>
      <c r="B403" s="1185"/>
      <c r="C403" s="1185"/>
      <c r="D403" s="1185"/>
      <c r="E403" s="1185"/>
      <c r="F403" s="1185"/>
      <c r="G403" s="1186"/>
      <c r="H403" s="1186"/>
      <c r="I403" s="195"/>
      <c r="J403" s="195"/>
      <c r="K403" s="195"/>
      <c r="L403" s="195"/>
      <c r="M403" s="1185"/>
    </row>
    <row r="404">
      <c r="A404" s="1185"/>
      <c r="B404" s="1185"/>
      <c r="C404" s="1185"/>
      <c r="D404" s="1185"/>
      <c r="E404" s="1185"/>
      <c r="F404" s="1185"/>
      <c r="G404" s="1186"/>
      <c r="H404" s="1186"/>
      <c r="I404" s="195"/>
      <c r="J404" s="195"/>
      <c r="K404" s="195"/>
      <c r="L404" s="195"/>
      <c r="M404" s="1185"/>
    </row>
    <row r="405">
      <c r="A405" s="1185"/>
      <c r="B405" s="1185"/>
      <c r="C405" s="1185"/>
      <c r="D405" s="1185"/>
      <c r="E405" s="1185"/>
      <c r="F405" s="1185"/>
      <c r="G405" s="1186"/>
      <c r="H405" s="1186"/>
      <c r="I405" s="195"/>
      <c r="J405" s="195"/>
      <c r="K405" s="195"/>
      <c r="L405" s="195"/>
      <c r="M405" s="1185"/>
    </row>
    <row r="406">
      <c r="A406" s="1185"/>
      <c r="B406" s="1185"/>
      <c r="C406" s="1185"/>
      <c r="D406" s="1185"/>
      <c r="E406" s="1185"/>
      <c r="F406" s="1185"/>
      <c r="G406" s="1186"/>
      <c r="H406" s="1186"/>
      <c r="I406" s="195"/>
      <c r="J406" s="195"/>
      <c r="K406" s="195"/>
      <c r="L406" s="195"/>
      <c r="M406" s="1185"/>
    </row>
    <row r="407">
      <c r="A407" s="1185"/>
      <c r="B407" s="1185"/>
      <c r="C407" s="1185"/>
      <c r="D407" s="1185"/>
      <c r="E407" s="1185"/>
      <c r="F407" s="1185"/>
      <c r="G407" s="1186"/>
      <c r="H407" s="1186"/>
      <c r="I407" s="195"/>
      <c r="J407" s="195"/>
      <c r="K407" s="195"/>
      <c r="L407" s="195"/>
      <c r="M407" s="1185"/>
    </row>
    <row r="408">
      <c r="A408" s="1185"/>
      <c r="B408" s="1185"/>
      <c r="C408" s="1185"/>
      <c r="D408" s="1185"/>
      <c r="E408" s="1185"/>
      <c r="F408" s="1185"/>
      <c r="G408" s="1186"/>
      <c r="H408" s="1186"/>
      <c r="I408" s="195"/>
      <c r="J408" s="195"/>
      <c r="K408" s="195"/>
      <c r="L408" s="195"/>
      <c r="M408" s="1185"/>
    </row>
    <row r="409">
      <c r="A409" s="1185"/>
      <c r="B409" s="1185"/>
      <c r="C409" s="1185"/>
      <c r="D409" s="1185"/>
      <c r="E409" s="1185"/>
      <c r="F409" s="1185"/>
      <c r="G409" s="1186"/>
      <c r="H409" s="1186"/>
      <c r="I409" s="195"/>
      <c r="J409" s="195"/>
      <c r="K409" s="195"/>
      <c r="L409" s="195"/>
      <c r="M409" s="1185"/>
    </row>
    <row r="410">
      <c r="A410" s="1185"/>
      <c r="B410" s="1185"/>
      <c r="C410" s="1185"/>
      <c r="D410" s="1185"/>
      <c r="E410" s="1185"/>
      <c r="F410" s="1185"/>
      <c r="G410" s="1186"/>
      <c r="H410" s="1186"/>
      <c r="I410" s="195"/>
      <c r="J410" s="195"/>
      <c r="K410" s="195"/>
      <c r="L410" s="195"/>
      <c r="M410" s="1185"/>
    </row>
    <row r="411">
      <c r="A411" s="1185"/>
      <c r="B411" s="1185"/>
      <c r="C411" s="1185"/>
      <c r="D411" s="1185"/>
      <c r="E411" s="1185"/>
      <c r="F411" s="1185"/>
      <c r="G411" s="1186"/>
      <c r="H411" s="1186"/>
      <c r="I411" s="195"/>
      <c r="J411" s="195"/>
      <c r="K411" s="195"/>
      <c r="L411" s="195"/>
      <c r="M411" s="1185"/>
    </row>
    <row r="412">
      <c r="A412" s="1185"/>
      <c r="B412" s="1185"/>
      <c r="C412" s="1185"/>
      <c r="D412" s="1185"/>
      <c r="E412" s="1185"/>
      <c r="F412" s="1185"/>
      <c r="G412" s="1186"/>
      <c r="H412" s="1186"/>
      <c r="I412" s="195"/>
      <c r="J412" s="195"/>
      <c r="K412" s="195"/>
      <c r="L412" s="195"/>
      <c r="M412" s="1185"/>
    </row>
    <row r="413">
      <c r="A413" s="1185"/>
      <c r="B413" s="1185"/>
      <c r="C413" s="1185"/>
      <c r="D413" s="1185"/>
      <c r="E413" s="1185"/>
      <c r="F413" s="1185"/>
      <c r="G413" s="1186"/>
      <c r="H413" s="1186"/>
      <c r="I413" s="195"/>
      <c r="J413" s="195"/>
      <c r="K413" s="195"/>
      <c r="L413" s="195"/>
      <c r="M413" s="1185"/>
    </row>
    <row r="414">
      <c r="A414" s="1185"/>
      <c r="B414" s="1185"/>
      <c r="C414" s="1185"/>
      <c r="D414" s="1185"/>
      <c r="E414" s="1185"/>
      <c r="F414" s="1185"/>
      <c r="G414" s="1186"/>
      <c r="H414" s="1186"/>
      <c r="I414" s="195"/>
      <c r="J414" s="195"/>
      <c r="K414" s="195"/>
      <c r="L414" s="195"/>
      <c r="M414" s="1185"/>
    </row>
    <row r="415">
      <c r="A415" s="1185"/>
      <c r="B415" s="1185"/>
      <c r="C415" s="1185"/>
      <c r="D415" s="1185"/>
      <c r="E415" s="1185"/>
      <c r="F415" s="1185"/>
      <c r="G415" s="1186"/>
      <c r="H415" s="1186"/>
      <c r="I415" s="195"/>
      <c r="J415" s="195"/>
      <c r="K415" s="195"/>
      <c r="L415" s="195"/>
      <c r="M415" s="1185"/>
    </row>
    <row r="416">
      <c r="A416" s="1185"/>
      <c r="B416" s="1185"/>
      <c r="C416" s="1185"/>
      <c r="D416" s="1185"/>
      <c r="E416" s="1185"/>
      <c r="F416" s="1185"/>
      <c r="G416" s="1186"/>
      <c r="H416" s="1186"/>
      <c r="I416" s="195"/>
      <c r="J416" s="195"/>
      <c r="K416" s="195"/>
      <c r="L416" s="195"/>
      <c r="M416" s="1185"/>
    </row>
    <row r="417">
      <c r="A417" s="1185"/>
      <c r="B417" s="1185"/>
      <c r="C417" s="1185"/>
      <c r="D417" s="1185"/>
      <c r="E417" s="1185"/>
      <c r="F417" s="1185"/>
      <c r="G417" s="1186"/>
      <c r="H417" s="1186"/>
      <c r="I417" s="195"/>
      <c r="J417" s="195"/>
      <c r="K417" s="195"/>
      <c r="L417" s="195"/>
      <c r="M417" s="1185"/>
    </row>
    <row r="418">
      <c r="A418" s="1185"/>
      <c r="B418" s="1185"/>
      <c r="C418" s="1185"/>
      <c r="D418" s="1185"/>
      <c r="E418" s="1185"/>
      <c r="F418" s="1185"/>
      <c r="G418" s="1186"/>
      <c r="H418" s="1186"/>
      <c r="I418" s="195"/>
      <c r="J418" s="195"/>
      <c r="K418" s="195"/>
      <c r="L418" s="195"/>
      <c r="M418" s="1185"/>
    </row>
    <row r="419">
      <c r="A419" s="1185"/>
      <c r="B419" s="1185"/>
      <c r="C419" s="1185"/>
      <c r="D419" s="1185"/>
      <c r="E419" s="1185"/>
      <c r="F419" s="1185"/>
      <c r="G419" s="1186"/>
      <c r="H419" s="1186"/>
      <c r="I419" s="195"/>
      <c r="J419" s="195"/>
      <c r="K419" s="195"/>
      <c r="L419" s="195"/>
      <c r="M419" s="1185"/>
    </row>
    <row r="420">
      <c r="A420" s="1185"/>
      <c r="B420" s="1185"/>
      <c r="C420" s="1185"/>
      <c r="D420" s="1185"/>
      <c r="E420" s="1185"/>
      <c r="F420" s="1185"/>
      <c r="G420" s="1186"/>
      <c r="H420" s="1186"/>
      <c r="I420" s="195"/>
      <c r="J420" s="195"/>
      <c r="K420" s="195"/>
      <c r="L420" s="195"/>
      <c r="M420" s="1185"/>
    </row>
    <row r="421">
      <c r="A421" s="1185"/>
      <c r="B421" s="1185"/>
      <c r="C421" s="1185"/>
      <c r="D421" s="1185"/>
      <c r="E421" s="1185"/>
      <c r="F421" s="1185"/>
      <c r="G421" s="1186"/>
      <c r="H421" s="1186"/>
      <c r="I421" s="195"/>
      <c r="J421" s="195"/>
      <c r="K421" s="195"/>
      <c r="L421" s="195"/>
      <c r="M421" s="1185"/>
    </row>
    <row r="422">
      <c r="A422" s="1185"/>
      <c r="B422" s="1185"/>
      <c r="C422" s="1185"/>
      <c r="D422" s="1185"/>
      <c r="E422" s="1185"/>
      <c r="F422" s="1185"/>
      <c r="G422" s="1186"/>
      <c r="H422" s="1186"/>
      <c r="I422" s="195"/>
      <c r="J422" s="195"/>
      <c r="K422" s="195"/>
      <c r="L422" s="195"/>
      <c r="M422" s="1185"/>
    </row>
    <row r="423">
      <c r="A423" s="1185"/>
      <c r="B423" s="1185"/>
      <c r="C423" s="1185"/>
      <c r="D423" s="1185"/>
      <c r="E423" s="1185"/>
      <c r="F423" s="1185"/>
      <c r="G423" s="1186"/>
      <c r="H423" s="1186"/>
      <c r="I423" s="195"/>
      <c r="J423" s="195"/>
      <c r="K423" s="195"/>
      <c r="L423" s="195"/>
      <c r="M423" s="1185"/>
    </row>
    <row r="424">
      <c r="A424" s="1185"/>
      <c r="B424" s="1185"/>
      <c r="C424" s="1185"/>
      <c r="D424" s="1185"/>
      <c r="E424" s="1185"/>
      <c r="F424" s="1185"/>
      <c r="G424" s="1186"/>
      <c r="H424" s="1186"/>
      <c r="I424" s="195"/>
      <c r="J424" s="195"/>
      <c r="K424" s="195"/>
      <c r="L424" s="195"/>
      <c r="M424" s="1185"/>
    </row>
    <row r="425">
      <c r="A425" s="1185"/>
      <c r="B425" s="1185"/>
      <c r="C425" s="1185"/>
      <c r="D425" s="1185"/>
      <c r="E425" s="1185"/>
      <c r="F425" s="1185"/>
      <c r="G425" s="1186"/>
      <c r="H425" s="1186"/>
      <c r="I425" s="195"/>
      <c r="J425" s="195"/>
      <c r="K425" s="195"/>
      <c r="L425" s="195"/>
      <c r="M425" s="1185"/>
    </row>
    <row r="426">
      <c r="A426" s="1185"/>
      <c r="B426" s="1185"/>
      <c r="C426" s="1185"/>
      <c r="D426" s="1185"/>
      <c r="E426" s="1185"/>
      <c r="F426" s="1185"/>
      <c r="G426" s="1186"/>
      <c r="H426" s="1186"/>
      <c r="I426" s="195"/>
      <c r="J426" s="195"/>
      <c r="K426" s="195"/>
      <c r="L426" s="195"/>
      <c r="M426" s="1185"/>
    </row>
    <row r="427">
      <c r="A427" s="1185"/>
      <c r="B427" s="1185"/>
      <c r="C427" s="1185"/>
      <c r="D427" s="1185"/>
      <c r="E427" s="1185"/>
      <c r="F427" s="1185"/>
      <c r="G427" s="1186"/>
      <c r="H427" s="1186"/>
      <c r="I427" s="195"/>
      <c r="J427" s="195"/>
      <c r="K427" s="195"/>
      <c r="L427" s="195"/>
      <c r="M427" s="1185"/>
    </row>
    <row r="428">
      <c r="A428" s="1185"/>
      <c r="B428" s="1185"/>
      <c r="C428" s="1185"/>
      <c r="D428" s="1185"/>
      <c r="E428" s="1185"/>
      <c r="F428" s="1185"/>
      <c r="G428" s="1186"/>
      <c r="H428" s="1186"/>
      <c r="I428" s="195"/>
      <c r="J428" s="195"/>
      <c r="K428" s="195"/>
      <c r="L428" s="195"/>
      <c r="M428" s="1185"/>
    </row>
    <row r="429">
      <c r="A429" s="1185"/>
      <c r="B429" s="1185"/>
      <c r="C429" s="1185"/>
      <c r="D429" s="1185"/>
      <c r="E429" s="1185"/>
      <c r="F429" s="1185"/>
      <c r="G429" s="1186"/>
      <c r="H429" s="1186"/>
      <c r="I429" s="195"/>
      <c r="J429" s="195"/>
      <c r="K429" s="195"/>
      <c r="L429" s="195"/>
      <c r="M429" s="1185"/>
    </row>
    <row r="430">
      <c r="A430" s="1185"/>
      <c r="B430" s="1185"/>
      <c r="C430" s="1185"/>
      <c r="D430" s="1185"/>
      <c r="E430" s="1185"/>
      <c r="F430" s="1185"/>
      <c r="G430" s="1186"/>
      <c r="H430" s="1186"/>
      <c r="I430" s="195"/>
      <c r="J430" s="195"/>
      <c r="K430" s="195"/>
      <c r="L430" s="195"/>
      <c r="M430" s="1185"/>
    </row>
    <row r="431">
      <c r="A431" s="1185"/>
      <c r="B431" s="1185"/>
      <c r="C431" s="1185"/>
      <c r="D431" s="1185"/>
      <c r="E431" s="1185"/>
      <c r="F431" s="1185"/>
      <c r="G431" s="1186"/>
      <c r="H431" s="1186"/>
      <c r="I431" s="195"/>
      <c r="J431" s="195"/>
      <c r="K431" s="195"/>
      <c r="L431" s="195"/>
      <c r="M431" s="1185"/>
    </row>
    <row r="432">
      <c r="A432" s="1185"/>
      <c r="B432" s="1185"/>
      <c r="C432" s="1185"/>
      <c r="D432" s="1185"/>
      <c r="E432" s="1185"/>
      <c r="F432" s="1185"/>
      <c r="G432" s="1186"/>
      <c r="H432" s="1186"/>
      <c r="I432" s="195"/>
      <c r="J432" s="195"/>
      <c r="K432" s="195"/>
      <c r="L432" s="195"/>
      <c r="M432" s="1185"/>
    </row>
    <row r="433">
      <c r="A433" s="1185"/>
      <c r="B433" s="1185"/>
      <c r="C433" s="1185"/>
      <c r="D433" s="1185"/>
      <c r="E433" s="1185"/>
      <c r="F433" s="1185"/>
      <c r="G433" s="1186"/>
      <c r="H433" s="1186"/>
      <c r="I433" s="195"/>
      <c r="J433" s="195"/>
      <c r="K433" s="195"/>
      <c r="L433" s="195"/>
      <c r="M433" s="1185"/>
    </row>
    <row r="434">
      <c r="A434" s="1185"/>
      <c r="B434" s="1185"/>
      <c r="C434" s="1185"/>
      <c r="D434" s="1185"/>
      <c r="E434" s="1185"/>
      <c r="F434" s="1185"/>
      <c r="G434" s="1186"/>
      <c r="H434" s="1186"/>
      <c r="I434" s="195"/>
      <c r="J434" s="195"/>
      <c r="K434" s="195"/>
      <c r="L434" s="195"/>
      <c r="M434" s="1185"/>
    </row>
    <row r="435">
      <c r="A435" s="1185"/>
      <c r="B435" s="1185"/>
      <c r="C435" s="1185"/>
      <c r="D435" s="1185"/>
      <c r="E435" s="1185"/>
      <c r="F435" s="1185"/>
      <c r="G435" s="1186"/>
      <c r="H435" s="1186"/>
      <c r="I435" s="195"/>
      <c r="J435" s="195"/>
      <c r="K435" s="195"/>
      <c r="L435" s="195"/>
      <c r="M435" s="1185"/>
    </row>
    <row r="436">
      <c r="A436" s="1185"/>
      <c r="B436" s="1185"/>
      <c r="C436" s="1185"/>
      <c r="D436" s="1185"/>
      <c r="E436" s="1185"/>
      <c r="F436" s="1185"/>
      <c r="G436" s="1186"/>
      <c r="H436" s="1186"/>
      <c r="I436" s="195"/>
      <c r="J436" s="195"/>
      <c r="K436" s="195"/>
      <c r="L436" s="195"/>
      <c r="M436" s="1185"/>
    </row>
    <row r="437">
      <c r="A437" s="1185"/>
      <c r="B437" s="1185"/>
      <c r="C437" s="1185"/>
      <c r="D437" s="1185"/>
      <c r="E437" s="1185"/>
      <c r="F437" s="1185"/>
      <c r="G437" s="1186"/>
      <c r="H437" s="1186"/>
      <c r="I437" s="195"/>
      <c r="J437" s="195"/>
      <c r="K437" s="195"/>
      <c r="L437" s="195"/>
      <c r="M437" s="1185"/>
    </row>
    <row r="438">
      <c r="A438" s="1185"/>
      <c r="B438" s="1185"/>
      <c r="C438" s="1185"/>
      <c r="D438" s="1185"/>
      <c r="E438" s="1185"/>
      <c r="F438" s="1185"/>
      <c r="G438" s="1186"/>
      <c r="H438" s="1186"/>
      <c r="I438" s="195"/>
      <c r="J438" s="195"/>
      <c r="K438" s="195"/>
      <c r="L438" s="195"/>
      <c r="M438" s="1185"/>
    </row>
    <row r="439">
      <c r="A439" s="1185"/>
      <c r="B439" s="1185"/>
      <c r="C439" s="1185"/>
      <c r="D439" s="1185"/>
      <c r="E439" s="1185"/>
      <c r="F439" s="1185"/>
      <c r="G439" s="1186"/>
      <c r="H439" s="1186"/>
      <c r="I439" s="195"/>
      <c r="J439" s="195"/>
      <c r="K439" s="195"/>
      <c r="L439" s="195"/>
      <c r="M439" s="1185"/>
    </row>
    <row r="440">
      <c r="A440" s="1185"/>
      <c r="B440" s="1185"/>
      <c r="C440" s="1185"/>
      <c r="D440" s="1185"/>
      <c r="E440" s="1185"/>
      <c r="F440" s="1185"/>
      <c r="G440" s="1186"/>
      <c r="H440" s="1186"/>
      <c r="I440" s="195"/>
      <c r="J440" s="195"/>
      <c r="K440" s="195"/>
      <c r="L440" s="195"/>
      <c r="M440" s="1185"/>
    </row>
    <row r="441">
      <c r="A441" s="1185"/>
      <c r="B441" s="1185"/>
      <c r="C441" s="1185"/>
      <c r="D441" s="1185"/>
      <c r="E441" s="1185"/>
      <c r="F441" s="1185"/>
      <c r="G441" s="1186"/>
      <c r="H441" s="1186"/>
      <c r="I441" s="195"/>
      <c r="J441" s="195"/>
      <c r="K441" s="195"/>
      <c r="L441" s="195"/>
      <c r="M441" s="1185"/>
    </row>
    <row r="442">
      <c r="A442" s="1185"/>
      <c r="B442" s="1185"/>
      <c r="C442" s="1185"/>
      <c r="D442" s="1185"/>
      <c r="E442" s="1185"/>
      <c r="F442" s="1185"/>
      <c r="G442" s="1186"/>
      <c r="H442" s="1186"/>
      <c r="I442" s="195"/>
      <c r="J442" s="195"/>
      <c r="K442" s="195"/>
      <c r="L442" s="195"/>
      <c r="M442" s="1185"/>
    </row>
    <row r="443">
      <c r="A443" s="1185"/>
      <c r="B443" s="1185"/>
      <c r="C443" s="1185"/>
      <c r="D443" s="1185"/>
      <c r="E443" s="1185"/>
      <c r="F443" s="1185"/>
      <c r="G443" s="1186"/>
      <c r="H443" s="1186"/>
      <c r="I443" s="195"/>
      <c r="J443" s="195"/>
      <c r="K443" s="195"/>
      <c r="L443" s="195"/>
      <c r="M443" s="1185"/>
    </row>
    <row r="444">
      <c r="A444" s="1185"/>
      <c r="B444" s="1185"/>
      <c r="C444" s="1185"/>
      <c r="D444" s="1185"/>
      <c r="E444" s="1185"/>
      <c r="F444" s="1185"/>
      <c r="G444" s="1186"/>
      <c r="H444" s="1186"/>
      <c r="I444" s="195"/>
      <c r="J444" s="195"/>
      <c r="K444" s="195"/>
      <c r="L444" s="195"/>
      <c r="M444" s="1185"/>
    </row>
    <row r="445">
      <c r="A445" s="1185"/>
      <c r="B445" s="1185"/>
      <c r="C445" s="1185"/>
      <c r="D445" s="1185"/>
      <c r="E445" s="1185"/>
      <c r="F445" s="1185"/>
      <c r="G445" s="1186"/>
      <c r="H445" s="1186"/>
      <c r="I445" s="195"/>
      <c r="J445" s="195"/>
      <c r="K445" s="195"/>
      <c r="L445" s="195"/>
      <c r="M445" s="1185"/>
    </row>
    <row r="446">
      <c r="A446" s="1185"/>
      <c r="B446" s="1185"/>
      <c r="C446" s="1185"/>
      <c r="D446" s="1185"/>
      <c r="E446" s="1185"/>
      <c r="F446" s="1185"/>
      <c r="G446" s="1186"/>
      <c r="H446" s="1186"/>
      <c r="I446" s="195"/>
      <c r="J446" s="195"/>
      <c r="K446" s="195"/>
      <c r="L446" s="195"/>
      <c r="M446" s="1185"/>
    </row>
    <row r="447">
      <c r="A447" s="1185"/>
      <c r="B447" s="1185"/>
      <c r="C447" s="1185"/>
      <c r="D447" s="1185"/>
      <c r="E447" s="1185"/>
      <c r="F447" s="1185"/>
      <c r="G447" s="1186"/>
      <c r="H447" s="1186"/>
      <c r="I447" s="195"/>
      <c r="J447" s="195"/>
      <c r="K447" s="195"/>
      <c r="L447" s="195"/>
      <c r="M447" s="1185"/>
    </row>
    <row r="448">
      <c r="A448" s="1185"/>
      <c r="B448" s="1185"/>
      <c r="C448" s="1185"/>
      <c r="D448" s="1185"/>
      <c r="E448" s="1185"/>
      <c r="F448" s="1185"/>
      <c r="G448" s="1186"/>
      <c r="H448" s="1186"/>
      <c r="I448" s="195"/>
      <c r="J448" s="195"/>
      <c r="K448" s="195"/>
      <c r="L448" s="195"/>
      <c r="M448" s="1185"/>
    </row>
    <row r="449">
      <c r="A449" s="1185"/>
      <c r="B449" s="1185"/>
      <c r="C449" s="1185"/>
      <c r="D449" s="1185"/>
      <c r="E449" s="1185"/>
      <c r="F449" s="1185"/>
      <c r="G449" s="1186"/>
      <c r="H449" s="1186"/>
      <c r="I449" s="195"/>
      <c r="J449" s="195"/>
      <c r="K449" s="195"/>
      <c r="L449" s="195"/>
      <c r="M449" s="1185"/>
    </row>
    <row r="450">
      <c r="A450" s="1185"/>
      <c r="B450" s="1185"/>
      <c r="C450" s="1185"/>
      <c r="D450" s="1185"/>
      <c r="E450" s="1185"/>
      <c r="F450" s="1185"/>
      <c r="G450" s="1186"/>
      <c r="H450" s="1186"/>
      <c r="I450" s="195"/>
      <c r="J450" s="195"/>
      <c r="K450" s="195"/>
      <c r="L450" s="195"/>
      <c r="M450" s="1185"/>
    </row>
    <row r="451">
      <c r="A451" s="1185"/>
      <c r="B451" s="1185"/>
      <c r="C451" s="1185"/>
      <c r="D451" s="1185"/>
      <c r="E451" s="1185"/>
      <c r="F451" s="1185"/>
      <c r="G451" s="1186"/>
      <c r="H451" s="1186"/>
      <c r="I451" s="195"/>
      <c r="J451" s="195"/>
      <c r="K451" s="195"/>
      <c r="L451" s="195"/>
      <c r="M451" s="1185"/>
    </row>
    <row r="452">
      <c r="A452" s="1185"/>
      <c r="B452" s="1185"/>
      <c r="C452" s="1185"/>
      <c r="D452" s="1185"/>
      <c r="E452" s="1185"/>
      <c r="F452" s="1185"/>
      <c r="G452" s="1186"/>
      <c r="H452" s="1186"/>
      <c r="I452" s="195"/>
      <c r="J452" s="195"/>
      <c r="K452" s="195"/>
      <c r="L452" s="195"/>
      <c r="M452" s="1185"/>
    </row>
    <row r="453">
      <c r="A453" s="1185"/>
      <c r="B453" s="1185"/>
      <c r="C453" s="1185"/>
      <c r="D453" s="1185"/>
      <c r="E453" s="1185"/>
      <c r="F453" s="1185"/>
      <c r="G453" s="1186"/>
      <c r="H453" s="1186"/>
      <c r="I453" s="195"/>
      <c r="J453" s="195"/>
      <c r="K453" s="195"/>
      <c r="L453" s="195"/>
      <c r="M453" s="1185"/>
    </row>
    <row r="454">
      <c r="A454" s="1185"/>
      <c r="B454" s="1185"/>
      <c r="C454" s="1185"/>
      <c r="D454" s="1185"/>
      <c r="E454" s="1185"/>
      <c r="F454" s="1185"/>
      <c r="G454" s="1186"/>
      <c r="H454" s="1186"/>
      <c r="I454" s="195"/>
      <c r="J454" s="195"/>
      <c r="K454" s="195"/>
      <c r="L454" s="195"/>
      <c r="M454" s="1185"/>
    </row>
    <row r="455">
      <c r="A455" s="1185"/>
      <c r="B455" s="1185"/>
      <c r="C455" s="1185"/>
      <c r="D455" s="1185"/>
      <c r="E455" s="1185"/>
      <c r="F455" s="1185"/>
      <c r="G455" s="1186"/>
      <c r="H455" s="1186"/>
      <c r="I455" s="195"/>
      <c r="J455" s="195"/>
      <c r="K455" s="195"/>
      <c r="L455" s="195"/>
      <c r="M455" s="1185"/>
    </row>
    <row r="456">
      <c r="A456" s="1185"/>
      <c r="B456" s="1185"/>
      <c r="C456" s="1185"/>
      <c r="D456" s="1185"/>
      <c r="E456" s="1185"/>
      <c r="F456" s="1185"/>
      <c r="G456" s="1186"/>
      <c r="H456" s="1186"/>
      <c r="I456" s="195"/>
      <c r="J456" s="195"/>
      <c r="K456" s="195"/>
      <c r="L456" s="195"/>
      <c r="M456" s="1185"/>
    </row>
    <row r="457">
      <c r="A457" s="1185"/>
      <c r="B457" s="1185"/>
      <c r="C457" s="1185"/>
      <c r="D457" s="1185"/>
      <c r="E457" s="1185"/>
      <c r="F457" s="1185"/>
      <c r="G457" s="1186"/>
      <c r="H457" s="1186"/>
      <c r="I457" s="195"/>
      <c r="J457" s="195"/>
      <c r="K457" s="195"/>
      <c r="L457" s="195"/>
      <c r="M457" s="1185"/>
    </row>
    <row r="458">
      <c r="A458" s="1185"/>
      <c r="B458" s="1185"/>
      <c r="C458" s="1185"/>
      <c r="D458" s="1185"/>
      <c r="E458" s="1185"/>
      <c r="F458" s="1185"/>
      <c r="G458" s="1186"/>
      <c r="H458" s="1186"/>
      <c r="I458" s="195"/>
      <c r="J458" s="195"/>
      <c r="K458" s="195"/>
      <c r="L458" s="195"/>
      <c r="M458" s="1185"/>
    </row>
    <row r="459">
      <c r="A459" s="1185"/>
      <c r="B459" s="1185"/>
      <c r="C459" s="1185"/>
      <c r="D459" s="1185"/>
      <c r="E459" s="1185"/>
      <c r="F459" s="1185"/>
      <c r="G459" s="1186"/>
      <c r="H459" s="1186"/>
      <c r="I459" s="195"/>
      <c r="J459" s="195"/>
      <c r="K459" s="195"/>
      <c r="L459" s="195"/>
      <c r="M459" s="1185"/>
    </row>
    <row r="460">
      <c r="A460" s="1185"/>
      <c r="B460" s="1185"/>
      <c r="C460" s="1185"/>
      <c r="D460" s="1185"/>
      <c r="E460" s="1185"/>
      <c r="F460" s="1185"/>
      <c r="G460" s="1186"/>
      <c r="H460" s="1186"/>
      <c r="I460" s="195"/>
      <c r="J460" s="195"/>
      <c r="K460" s="195"/>
      <c r="L460" s="195"/>
      <c r="M460" s="1185"/>
    </row>
    <row r="461">
      <c r="A461" s="1185"/>
      <c r="B461" s="1185"/>
      <c r="C461" s="1185"/>
      <c r="D461" s="1185"/>
      <c r="E461" s="1185"/>
      <c r="F461" s="1185"/>
      <c r="G461" s="1186"/>
      <c r="H461" s="1186"/>
      <c r="I461" s="195"/>
      <c r="J461" s="195"/>
      <c r="K461" s="195"/>
      <c r="L461" s="195"/>
      <c r="M461" s="1185"/>
    </row>
    <row r="462">
      <c r="A462" s="1185"/>
      <c r="B462" s="1185"/>
      <c r="C462" s="1185"/>
      <c r="D462" s="1185"/>
      <c r="E462" s="1185"/>
      <c r="F462" s="1185"/>
      <c r="G462" s="1186"/>
      <c r="H462" s="1186"/>
      <c r="I462" s="195"/>
      <c r="J462" s="195"/>
      <c r="K462" s="195"/>
      <c r="L462" s="195"/>
      <c r="M462" s="1185"/>
    </row>
    <row r="463">
      <c r="A463" s="1185"/>
      <c r="B463" s="1185"/>
      <c r="C463" s="1185"/>
      <c r="D463" s="1185"/>
      <c r="E463" s="1185"/>
      <c r="F463" s="1185"/>
      <c r="G463" s="1186"/>
      <c r="H463" s="1186"/>
      <c r="I463" s="195"/>
      <c r="J463" s="195"/>
      <c r="K463" s="195"/>
      <c r="L463" s="195"/>
      <c r="M463" s="1185"/>
    </row>
    <row r="464">
      <c r="A464" s="1185"/>
      <c r="B464" s="1185"/>
      <c r="C464" s="1185"/>
      <c r="D464" s="1185"/>
      <c r="E464" s="1185"/>
      <c r="F464" s="1185"/>
      <c r="G464" s="1186"/>
      <c r="H464" s="1186"/>
      <c r="I464" s="195"/>
      <c r="J464" s="195"/>
      <c r="K464" s="195"/>
      <c r="L464" s="195"/>
      <c r="M464" s="1185"/>
    </row>
    <row r="465">
      <c r="A465" s="1185"/>
      <c r="B465" s="1185"/>
      <c r="C465" s="1185"/>
      <c r="D465" s="1185"/>
      <c r="E465" s="1185"/>
      <c r="F465" s="1185"/>
      <c r="G465" s="1186"/>
      <c r="H465" s="1186"/>
      <c r="I465" s="195"/>
      <c r="J465" s="195"/>
      <c r="K465" s="195"/>
      <c r="L465" s="195"/>
      <c r="M465" s="1185"/>
    </row>
    <row r="466">
      <c r="A466" s="1185"/>
      <c r="B466" s="1185"/>
      <c r="C466" s="1185"/>
      <c r="D466" s="1185"/>
      <c r="E466" s="1185"/>
      <c r="F466" s="1185"/>
      <c r="G466" s="1186"/>
      <c r="H466" s="1186"/>
      <c r="I466" s="195"/>
      <c r="J466" s="195"/>
      <c r="K466" s="195"/>
      <c r="L466" s="195"/>
      <c r="M466" s="1185"/>
    </row>
    <row r="467">
      <c r="A467" s="1185"/>
      <c r="B467" s="1185"/>
      <c r="C467" s="1185"/>
      <c r="D467" s="1185"/>
      <c r="E467" s="1185"/>
      <c r="F467" s="1185"/>
      <c r="G467" s="1186"/>
      <c r="H467" s="1186"/>
      <c r="I467" s="195"/>
      <c r="J467" s="195"/>
      <c r="K467" s="195"/>
      <c r="L467" s="195"/>
      <c r="M467" s="1185"/>
    </row>
    <row r="468">
      <c r="A468" s="1185"/>
      <c r="B468" s="1185"/>
      <c r="C468" s="1185"/>
      <c r="D468" s="1185"/>
      <c r="E468" s="1185"/>
      <c r="F468" s="1185"/>
      <c r="G468" s="1186"/>
      <c r="H468" s="1186"/>
      <c r="I468" s="195"/>
      <c r="J468" s="195"/>
      <c r="K468" s="195"/>
      <c r="L468" s="195"/>
      <c r="M468" s="1185"/>
    </row>
    <row r="469">
      <c r="A469" s="1185"/>
      <c r="B469" s="1185"/>
      <c r="C469" s="1185"/>
      <c r="D469" s="1185"/>
      <c r="E469" s="1185"/>
      <c r="F469" s="1185"/>
      <c r="G469" s="1186"/>
      <c r="H469" s="1186"/>
      <c r="I469" s="195"/>
      <c r="J469" s="195"/>
      <c r="K469" s="195"/>
      <c r="L469" s="195"/>
      <c r="M469" s="1185"/>
    </row>
    <row r="470">
      <c r="A470" s="1185"/>
      <c r="B470" s="1185"/>
      <c r="C470" s="1185"/>
      <c r="D470" s="1185"/>
      <c r="E470" s="1185"/>
      <c r="F470" s="1185"/>
      <c r="G470" s="1186"/>
      <c r="H470" s="1186"/>
      <c r="I470" s="195"/>
      <c r="J470" s="195"/>
      <c r="K470" s="195"/>
      <c r="L470" s="195"/>
      <c r="M470" s="1185"/>
    </row>
    <row r="471">
      <c r="A471" s="1185"/>
      <c r="B471" s="1185"/>
      <c r="C471" s="1185"/>
      <c r="D471" s="1185"/>
      <c r="E471" s="1185"/>
      <c r="F471" s="1185"/>
      <c r="G471" s="1186"/>
      <c r="H471" s="1186"/>
      <c r="I471" s="195"/>
      <c r="J471" s="195"/>
      <c r="K471" s="195"/>
      <c r="L471" s="195"/>
      <c r="M471" s="1185"/>
    </row>
    <row r="472">
      <c r="A472" s="1185"/>
      <c r="B472" s="1185"/>
      <c r="C472" s="1185"/>
      <c r="D472" s="1185"/>
      <c r="E472" s="1185"/>
      <c r="F472" s="1185"/>
      <c r="G472" s="1186"/>
      <c r="H472" s="1186"/>
      <c r="I472" s="195"/>
      <c r="J472" s="195"/>
      <c r="K472" s="195"/>
      <c r="L472" s="195"/>
      <c r="M472" s="1185"/>
    </row>
    <row r="473">
      <c r="A473" s="1185"/>
      <c r="B473" s="1185"/>
      <c r="C473" s="1185"/>
      <c r="D473" s="1185"/>
      <c r="E473" s="1185"/>
      <c r="F473" s="1185"/>
      <c r="G473" s="1186"/>
      <c r="H473" s="1186"/>
      <c r="I473" s="195"/>
      <c r="J473" s="195"/>
      <c r="K473" s="195"/>
      <c r="L473" s="195"/>
      <c r="M473" s="1185"/>
    </row>
    <row r="474">
      <c r="A474" s="1185"/>
      <c r="B474" s="1185"/>
      <c r="C474" s="1185"/>
      <c r="D474" s="1185"/>
      <c r="E474" s="1185"/>
      <c r="F474" s="1185"/>
      <c r="G474" s="1186"/>
      <c r="H474" s="1186"/>
      <c r="I474" s="195"/>
      <c r="J474" s="195"/>
      <c r="K474" s="195"/>
      <c r="L474" s="195"/>
      <c r="M474" s="1185"/>
    </row>
    <row r="475">
      <c r="A475" s="1185"/>
      <c r="B475" s="1185"/>
      <c r="C475" s="1185"/>
      <c r="D475" s="1185"/>
      <c r="E475" s="1185"/>
      <c r="F475" s="1185"/>
      <c r="G475" s="1186"/>
      <c r="H475" s="1186"/>
      <c r="I475" s="195"/>
      <c r="J475" s="195"/>
      <c r="K475" s="195"/>
      <c r="L475" s="195"/>
      <c r="M475" s="1185"/>
    </row>
    <row r="476">
      <c r="A476" s="1185"/>
      <c r="B476" s="1185"/>
      <c r="C476" s="1185"/>
      <c r="D476" s="1185"/>
      <c r="E476" s="1185"/>
      <c r="F476" s="1185"/>
      <c r="G476" s="1186"/>
      <c r="H476" s="1186"/>
      <c r="I476" s="195"/>
      <c r="J476" s="195"/>
      <c r="K476" s="195"/>
      <c r="L476" s="195"/>
      <c r="M476" s="1185"/>
    </row>
    <row r="477">
      <c r="A477" s="1185"/>
      <c r="B477" s="1185"/>
      <c r="C477" s="1185"/>
      <c r="D477" s="1185"/>
      <c r="E477" s="1185"/>
      <c r="F477" s="1185"/>
      <c r="G477" s="1186"/>
      <c r="H477" s="1186"/>
      <c r="I477" s="195"/>
      <c r="J477" s="195"/>
      <c r="K477" s="195"/>
      <c r="L477" s="195"/>
      <c r="M477" s="1185"/>
    </row>
    <row r="478">
      <c r="A478" s="1185"/>
      <c r="B478" s="1185"/>
      <c r="C478" s="1185"/>
      <c r="D478" s="1185"/>
      <c r="E478" s="1185"/>
      <c r="F478" s="1185"/>
      <c r="G478" s="1186"/>
      <c r="H478" s="1186"/>
      <c r="I478" s="195"/>
      <c r="J478" s="195"/>
      <c r="K478" s="195"/>
      <c r="L478" s="195"/>
      <c r="M478" s="1185"/>
    </row>
    <row r="479">
      <c r="A479" s="1185"/>
      <c r="B479" s="1185"/>
      <c r="C479" s="1185"/>
      <c r="D479" s="1185"/>
      <c r="E479" s="1185"/>
      <c r="F479" s="1185"/>
      <c r="G479" s="1186"/>
      <c r="H479" s="1186"/>
      <c r="I479" s="195"/>
      <c r="J479" s="195"/>
      <c r="K479" s="195"/>
      <c r="L479" s="195"/>
      <c r="M479" s="1185"/>
    </row>
    <row r="480">
      <c r="A480" s="1185"/>
      <c r="B480" s="1185"/>
      <c r="C480" s="1185"/>
      <c r="D480" s="1185"/>
      <c r="E480" s="1185"/>
      <c r="F480" s="1185"/>
      <c r="G480" s="1186"/>
      <c r="H480" s="1186"/>
      <c r="I480" s="195"/>
      <c r="J480" s="195"/>
      <c r="K480" s="195"/>
      <c r="L480" s="195"/>
      <c r="M480" s="1185"/>
    </row>
    <row r="481">
      <c r="A481" s="1185"/>
      <c r="B481" s="1185"/>
      <c r="C481" s="1185"/>
      <c r="D481" s="1185"/>
      <c r="E481" s="1185"/>
      <c r="F481" s="1185"/>
      <c r="G481" s="1186"/>
      <c r="H481" s="1186"/>
      <c r="I481" s="195"/>
      <c r="J481" s="195"/>
      <c r="K481" s="195"/>
      <c r="L481" s="195"/>
      <c r="M481" s="1185"/>
    </row>
    <row r="482">
      <c r="A482" s="1185"/>
      <c r="B482" s="1185"/>
      <c r="C482" s="1185"/>
      <c r="D482" s="1185"/>
      <c r="E482" s="1185"/>
      <c r="F482" s="1185"/>
      <c r="G482" s="1186"/>
      <c r="H482" s="1186"/>
      <c r="I482" s="195"/>
      <c r="J482" s="195"/>
      <c r="K482" s="195"/>
      <c r="L482" s="195"/>
      <c r="M482" s="1185"/>
    </row>
    <row r="483">
      <c r="A483" s="1185"/>
      <c r="B483" s="1185"/>
      <c r="C483" s="1185"/>
      <c r="D483" s="1185"/>
      <c r="E483" s="1185"/>
      <c r="F483" s="1185"/>
      <c r="G483" s="1186"/>
      <c r="H483" s="1186"/>
      <c r="I483" s="195"/>
      <c r="J483" s="195"/>
      <c r="K483" s="195"/>
      <c r="L483" s="195"/>
      <c r="M483" s="1185"/>
    </row>
    <row r="484">
      <c r="A484" s="1185"/>
      <c r="B484" s="1185"/>
      <c r="C484" s="1185"/>
      <c r="D484" s="1185"/>
      <c r="E484" s="1185"/>
      <c r="F484" s="1185"/>
      <c r="G484" s="1186"/>
      <c r="H484" s="1186"/>
      <c r="I484" s="195"/>
      <c r="J484" s="195"/>
      <c r="K484" s="195"/>
      <c r="L484" s="195"/>
      <c r="M484" s="1185"/>
    </row>
    <row r="485">
      <c r="A485" s="1185"/>
      <c r="B485" s="1185"/>
      <c r="C485" s="1185"/>
      <c r="D485" s="1185"/>
      <c r="E485" s="1185"/>
      <c r="F485" s="1185"/>
      <c r="G485" s="1186"/>
      <c r="H485" s="1186"/>
      <c r="I485" s="195"/>
      <c r="J485" s="195"/>
      <c r="K485" s="195"/>
      <c r="L485" s="195"/>
      <c r="M485" s="1185"/>
    </row>
    <row r="486">
      <c r="A486" s="1185"/>
      <c r="B486" s="1185"/>
      <c r="C486" s="1185"/>
      <c r="D486" s="1185"/>
      <c r="E486" s="1185"/>
      <c r="F486" s="1185"/>
      <c r="G486" s="1186"/>
      <c r="H486" s="1186"/>
      <c r="I486" s="195"/>
      <c r="J486" s="195"/>
      <c r="K486" s="195"/>
      <c r="L486" s="195"/>
      <c r="M486" s="1185"/>
    </row>
    <row r="487">
      <c r="A487" s="1185"/>
      <c r="B487" s="1185"/>
      <c r="C487" s="1185"/>
      <c r="D487" s="1185"/>
      <c r="E487" s="1185"/>
      <c r="F487" s="1185"/>
      <c r="G487" s="1186"/>
      <c r="H487" s="1186"/>
      <c r="I487" s="195"/>
      <c r="J487" s="195"/>
      <c r="K487" s="195"/>
      <c r="L487" s="195"/>
      <c r="M487" s="1185"/>
    </row>
    <row r="488">
      <c r="A488" s="1185"/>
      <c r="B488" s="1185"/>
      <c r="C488" s="1185"/>
      <c r="D488" s="1185"/>
      <c r="E488" s="1185"/>
      <c r="F488" s="1185"/>
      <c r="G488" s="1186"/>
      <c r="H488" s="1186"/>
      <c r="I488" s="195"/>
      <c r="J488" s="195"/>
      <c r="K488" s="195"/>
      <c r="L488" s="195"/>
      <c r="M488" s="1185"/>
    </row>
    <row r="489">
      <c r="A489" s="1185"/>
      <c r="B489" s="1185"/>
      <c r="C489" s="1185"/>
      <c r="D489" s="1185"/>
      <c r="E489" s="1185"/>
      <c r="F489" s="1185"/>
      <c r="G489" s="1186"/>
      <c r="H489" s="1186"/>
      <c r="I489" s="195"/>
      <c r="J489" s="195"/>
      <c r="K489" s="195"/>
      <c r="L489" s="195"/>
      <c r="M489" s="1185"/>
    </row>
    <row r="490">
      <c r="A490" s="1185"/>
      <c r="B490" s="1185"/>
      <c r="C490" s="1185"/>
      <c r="D490" s="1185"/>
      <c r="E490" s="1185"/>
      <c r="F490" s="1185"/>
      <c r="G490" s="1186"/>
      <c r="H490" s="1186"/>
      <c r="I490" s="195"/>
      <c r="J490" s="195"/>
      <c r="K490" s="195"/>
      <c r="L490" s="195"/>
      <c r="M490" s="1185"/>
    </row>
    <row r="491">
      <c r="A491" s="1185"/>
      <c r="B491" s="1185"/>
      <c r="C491" s="1185"/>
      <c r="D491" s="1185"/>
      <c r="E491" s="1185"/>
      <c r="F491" s="1185"/>
      <c r="G491" s="1186"/>
      <c r="H491" s="1186"/>
      <c r="I491" s="195"/>
      <c r="J491" s="195"/>
      <c r="K491" s="195"/>
      <c r="L491" s="195"/>
      <c r="M491" s="1185"/>
    </row>
    <row r="492">
      <c r="A492" s="1185"/>
      <c r="B492" s="1185"/>
      <c r="C492" s="1185"/>
      <c r="D492" s="1185"/>
      <c r="E492" s="1185"/>
      <c r="F492" s="1185"/>
      <c r="G492" s="1186"/>
      <c r="H492" s="1186"/>
      <c r="I492" s="195"/>
      <c r="J492" s="195"/>
      <c r="K492" s="195"/>
      <c r="L492" s="195"/>
      <c r="M492" s="1185"/>
    </row>
    <row r="493">
      <c r="A493" s="1185"/>
      <c r="B493" s="1185"/>
      <c r="C493" s="1185"/>
      <c r="D493" s="1185"/>
      <c r="E493" s="1185"/>
      <c r="F493" s="1185"/>
      <c r="G493" s="1186"/>
      <c r="H493" s="1186"/>
      <c r="I493" s="195"/>
      <c r="J493" s="195"/>
      <c r="K493" s="195"/>
      <c r="L493" s="195"/>
      <c r="M493" s="1185"/>
    </row>
    <row r="494">
      <c r="A494" s="1185"/>
      <c r="B494" s="1185"/>
      <c r="C494" s="1185"/>
      <c r="D494" s="1185"/>
      <c r="E494" s="1185"/>
      <c r="F494" s="1185"/>
      <c r="G494" s="1186"/>
      <c r="H494" s="1186"/>
      <c r="I494" s="195"/>
      <c r="J494" s="195"/>
      <c r="K494" s="195"/>
      <c r="L494" s="195"/>
      <c r="M494" s="1185"/>
    </row>
    <row r="495">
      <c r="A495" s="1185"/>
      <c r="B495" s="1185"/>
      <c r="C495" s="1185"/>
      <c r="D495" s="1185"/>
      <c r="E495" s="1185"/>
      <c r="F495" s="1185"/>
      <c r="G495" s="1186"/>
      <c r="H495" s="1186"/>
      <c r="I495" s="195"/>
      <c r="J495" s="195"/>
      <c r="K495" s="195"/>
      <c r="L495" s="195"/>
      <c r="M495" s="1185"/>
    </row>
    <row r="496">
      <c r="A496" s="1185"/>
      <c r="B496" s="1185"/>
      <c r="C496" s="1185"/>
      <c r="D496" s="1185"/>
      <c r="E496" s="1185"/>
      <c r="F496" s="1185"/>
      <c r="G496" s="1186"/>
      <c r="H496" s="1186"/>
      <c r="I496" s="195"/>
      <c r="J496" s="195"/>
      <c r="K496" s="195"/>
      <c r="L496" s="195"/>
      <c r="M496" s="1185"/>
    </row>
    <row r="497">
      <c r="A497" s="1185"/>
      <c r="B497" s="1185"/>
      <c r="C497" s="1185"/>
      <c r="D497" s="1185"/>
      <c r="E497" s="1185"/>
      <c r="F497" s="1185"/>
      <c r="G497" s="1186"/>
      <c r="H497" s="1186"/>
      <c r="I497" s="195"/>
      <c r="J497" s="195"/>
      <c r="K497" s="195"/>
      <c r="L497" s="195"/>
      <c r="M497" s="1185"/>
    </row>
    <row r="498">
      <c r="A498" s="1185"/>
      <c r="B498" s="1185"/>
      <c r="C498" s="1185"/>
      <c r="D498" s="1185"/>
      <c r="E498" s="1185"/>
      <c r="F498" s="1185"/>
      <c r="G498" s="1186"/>
      <c r="H498" s="1186"/>
      <c r="I498" s="195"/>
      <c r="J498" s="195"/>
      <c r="K498" s="195"/>
      <c r="L498" s="195"/>
      <c r="M498" s="1185"/>
    </row>
    <row r="499">
      <c r="A499" s="1185"/>
      <c r="B499" s="1185"/>
      <c r="C499" s="1185"/>
      <c r="D499" s="1185"/>
      <c r="E499" s="1185"/>
      <c r="F499" s="1185"/>
      <c r="G499" s="1186"/>
      <c r="H499" s="1186"/>
      <c r="I499" s="195"/>
      <c r="J499" s="195"/>
      <c r="K499" s="195"/>
      <c r="L499" s="195"/>
      <c r="M499" s="1185"/>
    </row>
    <row r="500">
      <c r="A500" s="1185"/>
      <c r="B500" s="1185"/>
      <c r="C500" s="1185"/>
      <c r="D500" s="1185"/>
      <c r="E500" s="1185"/>
      <c r="F500" s="1185"/>
      <c r="G500" s="1186"/>
      <c r="H500" s="1186"/>
      <c r="I500" s="195"/>
      <c r="J500" s="195"/>
      <c r="K500" s="195"/>
      <c r="L500" s="195"/>
      <c r="M500" s="1185"/>
    </row>
    <row r="501">
      <c r="A501" s="1185"/>
      <c r="B501" s="1185"/>
      <c r="C501" s="1185"/>
      <c r="D501" s="1185"/>
      <c r="E501" s="1185"/>
      <c r="F501" s="1185"/>
      <c r="G501" s="1186"/>
      <c r="H501" s="1186"/>
      <c r="I501" s="195"/>
      <c r="J501" s="195"/>
      <c r="K501" s="195"/>
      <c r="L501" s="195"/>
      <c r="M501" s="1185"/>
    </row>
    <row r="502">
      <c r="A502" s="1185"/>
      <c r="B502" s="1185"/>
      <c r="C502" s="1185"/>
      <c r="D502" s="1185"/>
      <c r="E502" s="1185"/>
      <c r="F502" s="1185"/>
      <c r="G502" s="1186"/>
      <c r="H502" s="1186"/>
      <c r="I502" s="195"/>
      <c r="J502" s="195"/>
      <c r="K502" s="195"/>
      <c r="L502" s="195"/>
      <c r="M502" s="1185"/>
    </row>
    <row r="503">
      <c r="A503" s="1185"/>
      <c r="B503" s="1185"/>
      <c r="C503" s="1185"/>
      <c r="D503" s="1185"/>
      <c r="E503" s="1185"/>
      <c r="F503" s="1185"/>
      <c r="G503" s="1186"/>
      <c r="H503" s="1186"/>
      <c r="I503" s="195"/>
      <c r="J503" s="195"/>
      <c r="K503" s="195"/>
      <c r="L503" s="195"/>
      <c r="M503" s="1185"/>
    </row>
    <row r="504">
      <c r="A504" s="1185"/>
      <c r="B504" s="1185"/>
      <c r="C504" s="1185"/>
      <c r="D504" s="1185"/>
      <c r="E504" s="1185"/>
      <c r="F504" s="1185"/>
      <c r="G504" s="1186"/>
      <c r="H504" s="1186"/>
      <c r="I504" s="195"/>
      <c r="J504" s="195"/>
      <c r="K504" s="195"/>
      <c r="L504" s="195"/>
      <c r="M504" s="1185"/>
    </row>
    <row r="505">
      <c r="A505" s="1185"/>
      <c r="B505" s="1185"/>
      <c r="C505" s="1185"/>
      <c r="D505" s="1185"/>
      <c r="E505" s="1185"/>
      <c r="F505" s="1185"/>
      <c r="G505" s="1186"/>
      <c r="H505" s="1186"/>
      <c r="I505" s="195"/>
      <c r="J505" s="195"/>
      <c r="K505" s="195"/>
      <c r="L505" s="195"/>
      <c r="M505" s="1185"/>
    </row>
    <row r="506">
      <c r="A506" s="1185"/>
      <c r="B506" s="1185"/>
      <c r="C506" s="1185"/>
      <c r="D506" s="1185"/>
      <c r="E506" s="1185"/>
      <c r="F506" s="1185"/>
      <c r="G506" s="1186"/>
      <c r="H506" s="1186"/>
      <c r="I506" s="195"/>
      <c r="J506" s="195"/>
      <c r="K506" s="195"/>
      <c r="L506" s="195"/>
      <c r="M506" s="1185"/>
    </row>
    <row r="507">
      <c r="A507" s="1185"/>
      <c r="B507" s="1185"/>
      <c r="C507" s="1185"/>
      <c r="D507" s="1185"/>
      <c r="E507" s="1185"/>
      <c r="F507" s="1185"/>
      <c r="G507" s="1186"/>
      <c r="H507" s="1186"/>
      <c r="I507" s="195"/>
      <c r="J507" s="195"/>
      <c r="K507" s="195"/>
      <c r="L507" s="195"/>
      <c r="M507" s="1185"/>
    </row>
    <row r="508">
      <c r="A508" s="1185"/>
      <c r="B508" s="1185"/>
      <c r="C508" s="1185"/>
      <c r="D508" s="1185"/>
      <c r="E508" s="1185"/>
      <c r="F508" s="1185"/>
      <c r="G508" s="1186"/>
      <c r="H508" s="1186"/>
      <c r="I508" s="195"/>
      <c r="J508" s="195"/>
      <c r="K508" s="195"/>
      <c r="L508" s="195"/>
      <c r="M508" s="1185"/>
    </row>
    <row r="509">
      <c r="A509" s="1185"/>
      <c r="B509" s="1185"/>
      <c r="C509" s="1185"/>
      <c r="D509" s="1185"/>
      <c r="E509" s="1185"/>
      <c r="F509" s="1185"/>
      <c r="G509" s="1186"/>
      <c r="H509" s="1186"/>
      <c r="I509" s="195"/>
      <c r="J509" s="195"/>
      <c r="K509" s="195"/>
      <c r="L509" s="195"/>
      <c r="M509" s="1185"/>
    </row>
    <row r="510">
      <c r="A510" s="1185"/>
      <c r="B510" s="1185"/>
      <c r="C510" s="1185"/>
      <c r="D510" s="1185"/>
      <c r="E510" s="1185"/>
      <c r="F510" s="1185"/>
      <c r="G510" s="1186"/>
      <c r="H510" s="1186"/>
      <c r="I510" s="195"/>
      <c r="J510" s="195"/>
      <c r="K510" s="195"/>
      <c r="L510" s="195"/>
      <c r="M510" s="1185"/>
    </row>
    <row r="511">
      <c r="A511" s="1185"/>
      <c r="B511" s="1185"/>
      <c r="C511" s="1185"/>
      <c r="D511" s="1185"/>
      <c r="E511" s="1185"/>
      <c r="F511" s="1185"/>
      <c r="G511" s="1186"/>
      <c r="H511" s="1186"/>
      <c r="I511" s="195"/>
      <c r="J511" s="195"/>
      <c r="K511" s="195"/>
      <c r="L511" s="195"/>
      <c r="M511" s="1185"/>
    </row>
    <row r="512">
      <c r="A512" s="1185"/>
      <c r="B512" s="1185"/>
      <c r="C512" s="1185"/>
      <c r="D512" s="1185"/>
      <c r="E512" s="1185"/>
      <c r="F512" s="1185"/>
      <c r="G512" s="1186"/>
      <c r="H512" s="1186"/>
      <c r="I512" s="195"/>
      <c r="J512" s="195"/>
      <c r="K512" s="195"/>
      <c r="L512" s="195"/>
      <c r="M512" s="1185"/>
    </row>
    <row r="513">
      <c r="A513" s="1185"/>
      <c r="B513" s="1185"/>
      <c r="C513" s="1185"/>
      <c r="D513" s="1185"/>
      <c r="E513" s="1185"/>
      <c r="F513" s="1185"/>
      <c r="G513" s="1186"/>
      <c r="H513" s="1186"/>
      <c r="I513" s="195"/>
      <c r="J513" s="195"/>
      <c r="K513" s="195"/>
      <c r="L513" s="195"/>
      <c r="M513" s="1185"/>
    </row>
    <row r="514">
      <c r="A514" s="1185"/>
      <c r="B514" s="1185"/>
      <c r="C514" s="1185"/>
      <c r="D514" s="1185"/>
      <c r="E514" s="1185"/>
      <c r="F514" s="1185"/>
      <c r="G514" s="1186"/>
      <c r="H514" s="1186"/>
      <c r="I514" s="195"/>
      <c r="J514" s="195"/>
      <c r="K514" s="195"/>
      <c r="L514" s="195"/>
      <c r="M514" s="1185"/>
    </row>
    <row r="515">
      <c r="A515" s="1185"/>
      <c r="B515" s="1185"/>
      <c r="C515" s="1185"/>
      <c r="D515" s="1185"/>
      <c r="E515" s="1185"/>
      <c r="F515" s="1185"/>
      <c r="G515" s="1186"/>
      <c r="H515" s="1186"/>
      <c r="I515" s="195"/>
      <c r="J515" s="195"/>
      <c r="K515" s="195"/>
      <c r="L515" s="195"/>
      <c r="M515" s="1185"/>
    </row>
    <row r="516">
      <c r="A516" s="1185"/>
      <c r="B516" s="1185"/>
      <c r="C516" s="1185"/>
      <c r="D516" s="1185"/>
      <c r="E516" s="1185"/>
      <c r="F516" s="1185"/>
      <c r="G516" s="1186"/>
      <c r="H516" s="1186"/>
      <c r="I516" s="195"/>
      <c r="J516" s="195"/>
      <c r="K516" s="195"/>
      <c r="L516" s="195"/>
      <c r="M516" s="1185"/>
    </row>
    <row r="517">
      <c r="A517" s="1185"/>
      <c r="B517" s="1185"/>
      <c r="C517" s="1185"/>
      <c r="D517" s="1185"/>
      <c r="E517" s="1185"/>
      <c r="F517" s="1185"/>
      <c r="G517" s="1186"/>
      <c r="H517" s="1186"/>
      <c r="I517" s="195"/>
      <c r="J517" s="195"/>
      <c r="K517" s="195"/>
      <c r="L517" s="195"/>
      <c r="M517" s="1185"/>
    </row>
    <row r="518">
      <c r="A518" s="1185"/>
      <c r="B518" s="1185"/>
      <c r="C518" s="1185"/>
      <c r="D518" s="1185"/>
      <c r="E518" s="1185"/>
      <c r="F518" s="1185"/>
      <c r="G518" s="1186"/>
      <c r="H518" s="1186"/>
      <c r="I518" s="195"/>
      <c r="J518" s="195"/>
      <c r="K518" s="195"/>
      <c r="L518" s="195"/>
      <c r="M518" s="1185"/>
    </row>
    <row r="519">
      <c r="A519" s="1185"/>
      <c r="B519" s="1185"/>
      <c r="C519" s="1185"/>
      <c r="D519" s="1185"/>
      <c r="E519" s="1185"/>
      <c r="F519" s="1185"/>
      <c r="G519" s="1186"/>
      <c r="H519" s="1186"/>
      <c r="I519" s="195"/>
      <c r="J519" s="195"/>
      <c r="K519" s="195"/>
      <c r="L519" s="195"/>
      <c r="M519" s="1185"/>
    </row>
    <row r="520">
      <c r="A520" s="1185"/>
      <c r="B520" s="1185"/>
      <c r="C520" s="1185"/>
      <c r="D520" s="1185"/>
      <c r="E520" s="1185"/>
      <c r="F520" s="1185"/>
      <c r="G520" s="1186"/>
      <c r="H520" s="1186"/>
      <c r="I520" s="195"/>
      <c r="J520" s="195"/>
      <c r="K520" s="195"/>
      <c r="L520" s="195"/>
      <c r="M520" s="1185"/>
    </row>
    <row r="521">
      <c r="A521" s="1185"/>
      <c r="B521" s="1185"/>
      <c r="C521" s="1185"/>
      <c r="D521" s="1185"/>
      <c r="E521" s="1185"/>
      <c r="F521" s="1185"/>
      <c r="G521" s="1186"/>
      <c r="H521" s="1186"/>
      <c r="I521" s="195"/>
      <c r="J521" s="195"/>
      <c r="K521" s="195"/>
      <c r="L521" s="195"/>
      <c r="M521" s="1185"/>
    </row>
    <row r="522">
      <c r="A522" s="1185"/>
      <c r="B522" s="1185"/>
      <c r="C522" s="1185"/>
      <c r="D522" s="1185"/>
      <c r="E522" s="1185"/>
      <c r="F522" s="1185"/>
      <c r="G522" s="1186"/>
      <c r="H522" s="1186"/>
      <c r="I522" s="195"/>
      <c r="J522" s="195"/>
      <c r="K522" s="195"/>
      <c r="L522" s="195"/>
      <c r="M522" s="1185"/>
    </row>
    <row r="523">
      <c r="A523" s="1185"/>
      <c r="B523" s="1185"/>
      <c r="C523" s="1185"/>
      <c r="D523" s="1185"/>
      <c r="E523" s="1185"/>
      <c r="F523" s="1185"/>
      <c r="G523" s="1186"/>
      <c r="H523" s="1186"/>
      <c r="I523" s="195"/>
      <c r="J523" s="195"/>
      <c r="K523" s="195"/>
      <c r="L523" s="195"/>
      <c r="M523" s="1185"/>
    </row>
    <row r="524">
      <c r="A524" s="1185"/>
      <c r="B524" s="1185"/>
      <c r="C524" s="1185"/>
      <c r="D524" s="1185"/>
      <c r="E524" s="1185"/>
      <c r="F524" s="1185"/>
      <c r="G524" s="1186"/>
      <c r="H524" s="1186"/>
      <c r="I524" s="195"/>
      <c r="J524" s="195"/>
      <c r="K524" s="195"/>
      <c r="L524" s="195"/>
      <c r="M524" s="1185"/>
    </row>
    <row r="525">
      <c r="A525" s="1185"/>
      <c r="B525" s="1185"/>
      <c r="C525" s="1185"/>
      <c r="D525" s="1185"/>
      <c r="E525" s="1185"/>
      <c r="F525" s="1185"/>
      <c r="G525" s="1186"/>
      <c r="H525" s="1186"/>
      <c r="I525" s="195"/>
      <c r="J525" s="195"/>
      <c r="K525" s="195"/>
      <c r="L525" s="195"/>
      <c r="M525" s="1185"/>
    </row>
    <row r="526">
      <c r="A526" s="1185"/>
      <c r="B526" s="1185"/>
      <c r="C526" s="1185"/>
      <c r="D526" s="1185"/>
      <c r="E526" s="1185"/>
      <c r="F526" s="1185"/>
      <c r="G526" s="1186"/>
      <c r="H526" s="1186"/>
      <c r="I526" s="195"/>
      <c r="J526" s="195"/>
      <c r="K526" s="195"/>
      <c r="L526" s="195"/>
      <c r="M526" s="1185"/>
    </row>
    <row r="527">
      <c r="A527" s="1185"/>
      <c r="B527" s="1185"/>
      <c r="C527" s="1185"/>
      <c r="D527" s="1185"/>
      <c r="E527" s="1185"/>
      <c r="F527" s="1185"/>
      <c r="G527" s="1186"/>
      <c r="H527" s="1186"/>
      <c r="I527" s="195"/>
      <c r="J527" s="195"/>
      <c r="K527" s="195"/>
      <c r="L527" s="195"/>
      <c r="M527" s="1185"/>
    </row>
    <row r="528">
      <c r="A528" s="1185"/>
      <c r="B528" s="1185"/>
      <c r="C528" s="1185"/>
      <c r="D528" s="1185"/>
      <c r="E528" s="1185"/>
      <c r="F528" s="1185"/>
      <c r="G528" s="1186"/>
      <c r="H528" s="1186"/>
      <c r="I528" s="195"/>
      <c r="J528" s="195"/>
      <c r="K528" s="195"/>
      <c r="L528" s="195"/>
      <c r="M528" s="1185"/>
    </row>
    <row r="529">
      <c r="A529" s="1185"/>
      <c r="B529" s="1185"/>
      <c r="C529" s="1185"/>
      <c r="D529" s="1185"/>
      <c r="E529" s="1185"/>
      <c r="F529" s="1185"/>
      <c r="G529" s="1186"/>
      <c r="H529" s="1186"/>
      <c r="I529" s="195"/>
      <c r="J529" s="195"/>
      <c r="K529" s="195"/>
      <c r="L529" s="195"/>
      <c r="M529" s="1185"/>
    </row>
    <row r="530">
      <c r="A530" s="1185"/>
      <c r="B530" s="1185"/>
      <c r="C530" s="1185"/>
      <c r="D530" s="1185"/>
      <c r="E530" s="1185"/>
      <c r="F530" s="1185"/>
      <c r="G530" s="1186"/>
      <c r="H530" s="1186"/>
      <c r="I530" s="195"/>
      <c r="J530" s="195"/>
      <c r="K530" s="195"/>
      <c r="L530" s="195"/>
      <c r="M530" s="1185"/>
    </row>
    <row r="531">
      <c r="A531" s="1185"/>
      <c r="B531" s="1185"/>
      <c r="C531" s="1185"/>
      <c r="D531" s="1185"/>
      <c r="E531" s="1185"/>
      <c r="F531" s="1185"/>
      <c r="G531" s="1186"/>
      <c r="H531" s="1186"/>
      <c r="I531" s="195"/>
      <c r="J531" s="195"/>
      <c r="K531" s="195"/>
      <c r="L531" s="195"/>
      <c r="M531" s="1185"/>
    </row>
    <row r="532">
      <c r="A532" s="1185"/>
      <c r="B532" s="1185"/>
      <c r="C532" s="1185"/>
      <c r="D532" s="1185"/>
      <c r="E532" s="1185"/>
      <c r="F532" s="1185"/>
      <c r="G532" s="1186"/>
      <c r="H532" s="1186"/>
      <c r="I532" s="195"/>
      <c r="J532" s="195"/>
      <c r="K532" s="195"/>
      <c r="L532" s="195"/>
      <c r="M532" s="1185"/>
    </row>
    <row r="533">
      <c r="A533" s="1185"/>
      <c r="B533" s="1185"/>
      <c r="C533" s="1185"/>
      <c r="D533" s="1185"/>
      <c r="E533" s="1185"/>
      <c r="F533" s="1185"/>
      <c r="G533" s="1186"/>
      <c r="H533" s="1186"/>
      <c r="I533" s="195"/>
      <c r="J533" s="195"/>
      <c r="K533" s="195"/>
      <c r="L533" s="195"/>
      <c r="M533" s="1185"/>
    </row>
    <row r="534">
      <c r="A534" s="1185"/>
      <c r="B534" s="1185"/>
      <c r="C534" s="1185"/>
      <c r="D534" s="1185"/>
      <c r="E534" s="1185"/>
      <c r="F534" s="1185"/>
      <c r="G534" s="1186"/>
      <c r="H534" s="1186"/>
      <c r="I534" s="195"/>
      <c r="J534" s="195"/>
      <c r="K534" s="195"/>
      <c r="L534" s="195"/>
      <c r="M534" s="1185"/>
    </row>
    <row r="535">
      <c r="A535" s="1185"/>
      <c r="B535" s="1185"/>
      <c r="C535" s="1185"/>
      <c r="D535" s="1185"/>
      <c r="E535" s="1185"/>
      <c r="F535" s="1185"/>
      <c r="G535" s="1186"/>
      <c r="H535" s="1186"/>
      <c r="I535" s="195"/>
      <c r="J535" s="195"/>
      <c r="K535" s="195"/>
      <c r="L535" s="195"/>
      <c r="M535" s="1185"/>
    </row>
    <row r="536">
      <c r="A536" s="1185"/>
      <c r="B536" s="1185"/>
      <c r="C536" s="1185"/>
      <c r="D536" s="1185"/>
      <c r="E536" s="1185"/>
      <c r="F536" s="1185"/>
      <c r="G536" s="1186"/>
      <c r="H536" s="1186"/>
      <c r="I536" s="195"/>
      <c r="J536" s="195"/>
      <c r="K536" s="195"/>
      <c r="L536" s="195"/>
      <c r="M536" s="1185"/>
    </row>
    <row r="537">
      <c r="A537" s="1185"/>
      <c r="B537" s="1185"/>
      <c r="C537" s="1185"/>
      <c r="D537" s="1185"/>
      <c r="E537" s="1185"/>
      <c r="F537" s="1185"/>
      <c r="G537" s="1186"/>
      <c r="H537" s="1186"/>
      <c r="I537" s="195"/>
      <c r="J537" s="195"/>
      <c r="K537" s="195"/>
      <c r="L537" s="195"/>
      <c r="M537" s="1185"/>
    </row>
    <row r="538">
      <c r="A538" s="1185"/>
      <c r="B538" s="1185"/>
      <c r="C538" s="1185"/>
      <c r="D538" s="1185"/>
      <c r="E538" s="1185"/>
      <c r="F538" s="1185"/>
      <c r="G538" s="1186"/>
      <c r="H538" s="1186"/>
      <c r="I538" s="195"/>
      <c r="J538" s="195"/>
      <c r="K538" s="195"/>
      <c r="L538" s="195"/>
      <c r="M538" s="1185"/>
    </row>
    <row r="539">
      <c r="A539" s="1185"/>
      <c r="B539" s="1185"/>
      <c r="C539" s="1185"/>
      <c r="D539" s="1185"/>
      <c r="E539" s="1185"/>
      <c r="F539" s="1185"/>
      <c r="G539" s="1186"/>
      <c r="H539" s="1186"/>
      <c r="I539" s="195"/>
      <c r="J539" s="195"/>
      <c r="K539" s="195"/>
      <c r="L539" s="195"/>
      <c r="M539" s="1185"/>
    </row>
    <row r="540">
      <c r="A540" s="1185"/>
      <c r="B540" s="1185"/>
      <c r="C540" s="1185"/>
      <c r="D540" s="1185"/>
      <c r="E540" s="1185"/>
      <c r="F540" s="1185"/>
      <c r="G540" s="1186"/>
      <c r="H540" s="1186"/>
      <c r="I540" s="195"/>
      <c r="J540" s="195"/>
      <c r="K540" s="195"/>
      <c r="L540" s="195"/>
      <c r="M540" s="1185"/>
    </row>
    <row r="541">
      <c r="A541" s="1185"/>
      <c r="B541" s="1185"/>
      <c r="C541" s="1185"/>
      <c r="D541" s="1185"/>
      <c r="E541" s="1185"/>
      <c r="F541" s="1185"/>
      <c r="G541" s="1186"/>
      <c r="H541" s="1186"/>
      <c r="I541" s="195"/>
      <c r="J541" s="195"/>
      <c r="K541" s="195"/>
      <c r="L541" s="195"/>
      <c r="M541" s="1185"/>
    </row>
    <row r="542">
      <c r="A542" s="1185"/>
      <c r="B542" s="1185"/>
      <c r="C542" s="1185"/>
      <c r="D542" s="1185"/>
      <c r="E542" s="1185"/>
      <c r="F542" s="1185"/>
      <c r="G542" s="1186"/>
      <c r="H542" s="1186"/>
      <c r="I542" s="195"/>
      <c r="J542" s="195"/>
      <c r="K542" s="195"/>
      <c r="L542" s="195"/>
      <c r="M542" s="1185"/>
    </row>
    <row r="543">
      <c r="A543" s="1185"/>
      <c r="B543" s="1185"/>
      <c r="C543" s="1185"/>
      <c r="D543" s="1185"/>
      <c r="E543" s="1185"/>
      <c r="F543" s="1185"/>
      <c r="G543" s="1186"/>
      <c r="H543" s="1186"/>
      <c r="I543" s="195"/>
      <c r="J543" s="195"/>
      <c r="K543" s="195"/>
      <c r="L543" s="195"/>
      <c r="M543" s="1185"/>
    </row>
    <row r="544">
      <c r="A544" s="1185"/>
      <c r="B544" s="1185"/>
      <c r="C544" s="1185"/>
      <c r="D544" s="1185"/>
      <c r="E544" s="1185"/>
      <c r="F544" s="1185"/>
      <c r="G544" s="1186"/>
      <c r="H544" s="1186"/>
      <c r="I544" s="195"/>
      <c r="J544" s="195"/>
      <c r="K544" s="195"/>
      <c r="L544" s="195"/>
      <c r="M544" s="1185"/>
    </row>
    <row r="545">
      <c r="A545" s="1185"/>
      <c r="B545" s="1185"/>
      <c r="C545" s="1185"/>
      <c r="D545" s="1185"/>
      <c r="E545" s="1185"/>
      <c r="F545" s="1185"/>
      <c r="G545" s="1186"/>
      <c r="H545" s="1186"/>
      <c r="I545" s="195"/>
      <c r="J545" s="195"/>
      <c r="K545" s="195"/>
      <c r="L545" s="195"/>
      <c r="M545" s="1185"/>
    </row>
    <row r="546">
      <c r="A546" s="1185"/>
      <c r="B546" s="1185"/>
      <c r="C546" s="1185"/>
      <c r="D546" s="1185"/>
      <c r="E546" s="1185"/>
      <c r="F546" s="1185"/>
      <c r="G546" s="1186"/>
      <c r="H546" s="1186"/>
      <c r="I546" s="195"/>
      <c r="J546" s="195"/>
      <c r="K546" s="195"/>
      <c r="L546" s="195"/>
      <c r="M546" s="1185"/>
    </row>
    <row r="547">
      <c r="A547" s="1185"/>
      <c r="B547" s="1185"/>
      <c r="C547" s="1185"/>
      <c r="D547" s="1185"/>
      <c r="E547" s="1185"/>
      <c r="F547" s="1185"/>
      <c r="G547" s="1186"/>
      <c r="H547" s="1186"/>
      <c r="I547" s="195"/>
      <c r="J547" s="195"/>
      <c r="K547" s="195"/>
      <c r="L547" s="195"/>
      <c r="M547" s="1185"/>
    </row>
    <row r="548">
      <c r="A548" s="1185"/>
      <c r="B548" s="1185"/>
      <c r="C548" s="1185"/>
      <c r="D548" s="1185"/>
      <c r="E548" s="1185"/>
      <c r="F548" s="1185"/>
      <c r="G548" s="1186"/>
      <c r="H548" s="1186"/>
      <c r="I548" s="195"/>
      <c r="J548" s="195"/>
      <c r="K548" s="195"/>
      <c r="L548" s="195"/>
      <c r="M548" s="1185"/>
    </row>
    <row r="549">
      <c r="A549" s="1185"/>
      <c r="B549" s="1185"/>
      <c r="C549" s="1185"/>
      <c r="D549" s="1185"/>
      <c r="E549" s="1185"/>
      <c r="F549" s="1185"/>
      <c r="G549" s="1186"/>
      <c r="H549" s="1186"/>
      <c r="I549" s="195"/>
      <c r="J549" s="195"/>
      <c r="K549" s="195"/>
      <c r="L549" s="195"/>
      <c r="M549" s="1185"/>
    </row>
    <row r="550">
      <c r="A550" s="1185"/>
      <c r="B550" s="1185"/>
      <c r="C550" s="1185"/>
      <c r="D550" s="1185"/>
      <c r="E550" s="1185"/>
      <c r="F550" s="1185"/>
      <c r="G550" s="1186"/>
      <c r="H550" s="1186"/>
      <c r="I550" s="195"/>
      <c r="J550" s="195"/>
      <c r="K550" s="195"/>
      <c r="L550" s="195"/>
      <c r="M550" s="1185"/>
    </row>
    <row r="551">
      <c r="A551" s="1185"/>
      <c r="B551" s="1185"/>
      <c r="C551" s="1185"/>
      <c r="D551" s="1185"/>
      <c r="E551" s="1185"/>
      <c r="F551" s="1185"/>
      <c r="G551" s="1186"/>
      <c r="H551" s="1186"/>
      <c r="I551" s="195"/>
      <c r="J551" s="195"/>
      <c r="K551" s="195"/>
      <c r="L551" s="195"/>
      <c r="M551" s="1185"/>
    </row>
    <row r="552">
      <c r="A552" s="1185"/>
      <c r="B552" s="1185"/>
      <c r="C552" s="1185"/>
      <c r="D552" s="1185"/>
      <c r="E552" s="1185"/>
      <c r="F552" s="1185"/>
      <c r="G552" s="1186"/>
      <c r="H552" s="1186"/>
      <c r="I552" s="195"/>
      <c r="J552" s="195"/>
      <c r="K552" s="195"/>
      <c r="L552" s="195"/>
      <c r="M552" s="1185"/>
    </row>
    <row r="553">
      <c r="A553" s="1185"/>
      <c r="B553" s="1185"/>
      <c r="C553" s="1185"/>
      <c r="D553" s="1185"/>
      <c r="E553" s="1185"/>
      <c r="F553" s="1185"/>
      <c r="G553" s="1186"/>
      <c r="H553" s="1186"/>
      <c r="I553" s="195"/>
      <c r="J553" s="195"/>
      <c r="K553" s="195"/>
      <c r="L553" s="195"/>
      <c r="M553" s="1185"/>
    </row>
    <row r="554">
      <c r="A554" s="1185"/>
      <c r="B554" s="1185"/>
      <c r="C554" s="1185"/>
      <c r="D554" s="1185"/>
      <c r="E554" s="1185"/>
      <c r="F554" s="1185"/>
      <c r="G554" s="1186"/>
      <c r="H554" s="1186"/>
      <c r="I554" s="195"/>
      <c r="J554" s="195"/>
      <c r="K554" s="195"/>
      <c r="L554" s="195"/>
      <c r="M554" s="1185"/>
    </row>
    <row r="555">
      <c r="A555" s="1185"/>
      <c r="B555" s="1185"/>
      <c r="C555" s="1185"/>
      <c r="D555" s="1185"/>
      <c r="E555" s="1185"/>
      <c r="F555" s="1185"/>
      <c r="G555" s="1186"/>
      <c r="H555" s="1186"/>
      <c r="I555" s="195"/>
      <c r="J555" s="195"/>
      <c r="K555" s="195"/>
      <c r="L555" s="195"/>
      <c r="M555" s="1185"/>
    </row>
    <row r="556">
      <c r="A556" s="1185"/>
      <c r="B556" s="1185"/>
      <c r="C556" s="1185"/>
      <c r="D556" s="1185"/>
      <c r="E556" s="1185"/>
      <c r="F556" s="1185"/>
      <c r="G556" s="1186"/>
      <c r="H556" s="1186"/>
      <c r="I556" s="195"/>
      <c r="J556" s="195"/>
      <c r="K556" s="195"/>
      <c r="L556" s="195"/>
      <c r="M556" s="1185"/>
    </row>
    <row r="557">
      <c r="A557" s="1185"/>
      <c r="B557" s="1185"/>
      <c r="C557" s="1185"/>
      <c r="D557" s="1185"/>
      <c r="E557" s="1185"/>
      <c r="F557" s="1185"/>
      <c r="G557" s="1186"/>
      <c r="H557" s="1186"/>
      <c r="I557" s="195"/>
      <c r="J557" s="195"/>
      <c r="K557" s="195"/>
      <c r="L557" s="195"/>
      <c r="M557" s="1185"/>
    </row>
    <row r="558">
      <c r="A558" s="1185"/>
      <c r="B558" s="1185"/>
      <c r="C558" s="1185"/>
      <c r="D558" s="1185"/>
      <c r="E558" s="1185"/>
      <c r="F558" s="1185"/>
      <c r="G558" s="1186"/>
      <c r="H558" s="1186"/>
      <c r="I558" s="195"/>
      <c r="J558" s="195"/>
      <c r="K558" s="195"/>
      <c r="L558" s="195"/>
      <c r="M558" s="1185"/>
    </row>
    <row r="559">
      <c r="A559" s="1185"/>
      <c r="B559" s="1185"/>
      <c r="C559" s="1185"/>
      <c r="D559" s="1185"/>
      <c r="E559" s="1185"/>
      <c r="F559" s="1185"/>
      <c r="G559" s="1186"/>
      <c r="H559" s="1186"/>
      <c r="I559" s="195"/>
      <c r="J559" s="195"/>
      <c r="K559" s="195"/>
      <c r="L559" s="195"/>
      <c r="M559" s="1185"/>
    </row>
    <row r="560">
      <c r="A560" s="1185"/>
      <c r="B560" s="1185"/>
      <c r="C560" s="1185"/>
      <c r="D560" s="1185"/>
      <c r="E560" s="1185"/>
      <c r="F560" s="1185"/>
      <c r="G560" s="1186"/>
      <c r="H560" s="1186"/>
      <c r="I560" s="195"/>
      <c r="J560" s="195"/>
      <c r="K560" s="195"/>
      <c r="L560" s="195"/>
      <c r="M560" s="1185"/>
    </row>
    <row r="561">
      <c r="A561" s="1185"/>
      <c r="B561" s="1185"/>
      <c r="C561" s="1185"/>
      <c r="D561" s="1185"/>
      <c r="E561" s="1185"/>
      <c r="F561" s="1185"/>
      <c r="G561" s="1186"/>
      <c r="H561" s="1186"/>
      <c r="I561" s="195"/>
      <c r="J561" s="195"/>
      <c r="K561" s="195"/>
      <c r="L561" s="195"/>
      <c r="M561" s="1185"/>
    </row>
    <row r="562">
      <c r="A562" s="1185"/>
      <c r="B562" s="1185"/>
      <c r="C562" s="1185"/>
      <c r="D562" s="1185"/>
      <c r="E562" s="1185"/>
      <c r="F562" s="1185"/>
      <c r="G562" s="1186"/>
      <c r="H562" s="1186"/>
      <c r="I562" s="195"/>
      <c r="J562" s="195"/>
      <c r="K562" s="195"/>
      <c r="L562" s="195"/>
      <c r="M562" s="1185"/>
    </row>
    <row r="563">
      <c r="A563" s="1185"/>
      <c r="B563" s="1185"/>
      <c r="C563" s="1185"/>
      <c r="D563" s="1185"/>
      <c r="E563" s="1185"/>
      <c r="F563" s="1185"/>
      <c r="G563" s="1186"/>
      <c r="H563" s="1186"/>
      <c r="I563" s="195"/>
      <c r="J563" s="195"/>
      <c r="K563" s="195"/>
      <c r="L563" s="195"/>
      <c r="M563" s="1185"/>
    </row>
    <row r="564">
      <c r="A564" s="1185"/>
      <c r="B564" s="1185"/>
      <c r="C564" s="1185"/>
      <c r="D564" s="1185"/>
      <c r="E564" s="1185"/>
      <c r="F564" s="1185"/>
      <c r="G564" s="1186"/>
      <c r="H564" s="1186"/>
      <c r="I564" s="195"/>
      <c r="J564" s="195"/>
      <c r="K564" s="195"/>
      <c r="L564" s="195"/>
      <c r="M564" s="1185"/>
    </row>
    <row r="565">
      <c r="A565" s="1185"/>
      <c r="B565" s="1185"/>
      <c r="C565" s="1185"/>
      <c r="D565" s="1185"/>
      <c r="E565" s="1185"/>
      <c r="F565" s="1185"/>
      <c r="G565" s="1186"/>
      <c r="H565" s="1186"/>
      <c r="I565" s="195"/>
      <c r="J565" s="195"/>
      <c r="K565" s="195"/>
      <c r="L565" s="195"/>
      <c r="M565" s="1185"/>
    </row>
    <row r="566">
      <c r="A566" s="1185"/>
      <c r="B566" s="1185"/>
      <c r="C566" s="1185"/>
      <c r="D566" s="1185"/>
      <c r="E566" s="1185"/>
      <c r="F566" s="1185"/>
      <c r="G566" s="1186"/>
      <c r="H566" s="1186"/>
      <c r="I566" s="195"/>
      <c r="J566" s="195"/>
      <c r="K566" s="195"/>
      <c r="L566" s="195"/>
      <c r="M566" s="1185"/>
    </row>
    <row r="567">
      <c r="A567" s="1185"/>
      <c r="B567" s="1185"/>
      <c r="C567" s="1185"/>
      <c r="D567" s="1185"/>
      <c r="E567" s="1185"/>
      <c r="F567" s="1185"/>
      <c r="G567" s="1186"/>
      <c r="H567" s="1186"/>
      <c r="I567" s="195"/>
      <c r="J567" s="195"/>
      <c r="K567" s="195"/>
      <c r="L567" s="195"/>
      <c r="M567" s="1185"/>
    </row>
    <row r="568">
      <c r="A568" s="1185"/>
      <c r="B568" s="1185"/>
      <c r="C568" s="1185"/>
      <c r="D568" s="1185"/>
      <c r="E568" s="1185"/>
      <c r="F568" s="1185"/>
      <c r="G568" s="1186"/>
      <c r="H568" s="1186"/>
      <c r="I568" s="195"/>
      <c r="J568" s="195"/>
      <c r="K568" s="195"/>
      <c r="L568" s="195"/>
      <c r="M568" s="1185"/>
    </row>
    <row r="569">
      <c r="A569" s="1185"/>
      <c r="B569" s="1185"/>
      <c r="C569" s="1185"/>
      <c r="D569" s="1185"/>
      <c r="E569" s="1185"/>
      <c r="F569" s="1185"/>
      <c r="G569" s="1186"/>
      <c r="H569" s="1186"/>
      <c r="I569" s="195"/>
      <c r="J569" s="195"/>
      <c r="K569" s="195"/>
      <c r="L569" s="195"/>
      <c r="M569" s="1185"/>
    </row>
    <row r="570">
      <c r="A570" s="1185"/>
      <c r="B570" s="1185"/>
      <c r="C570" s="1185"/>
      <c r="D570" s="1185"/>
      <c r="E570" s="1185"/>
      <c r="F570" s="1185"/>
      <c r="G570" s="1186"/>
      <c r="H570" s="1186"/>
      <c r="I570" s="195"/>
      <c r="J570" s="195"/>
      <c r="K570" s="195"/>
      <c r="L570" s="195"/>
      <c r="M570" s="1185"/>
    </row>
    <row r="571">
      <c r="A571" s="1185"/>
      <c r="B571" s="1185"/>
      <c r="C571" s="1185"/>
      <c r="D571" s="1185"/>
      <c r="E571" s="1185"/>
      <c r="F571" s="1185"/>
      <c r="G571" s="1186"/>
      <c r="H571" s="1186"/>
      <c r="I571" s="195"/>
      <c r="J571" s="195"/>
      <c r="K571" s="195"/>
      <c r="L571" s="195"/>
      <c r="M571" s="1185"/>
    </row>
    <row r="572">
      <c r="A572" s="1185"/>
      <c r="B572" s="1185"/>
      <c r="C572" s="1185"/>
      <c r="D572" s="1185"/>
      <c r="E572" s="1185"/>
      <c r="F572" s="1185"/>
      <c r="G572" s="1186"/>
      <c r="H572" s="1186"/>
      <c r="I572" s="195"/>
      <c r="J572" s="195"/>
      <c r="K572" s="195"/>
      <c r="L572" s="195"/>
      <c r="M572" s="1185"/>
    </row>
    <row r="573">
      <c r="A573" s="1185"/>
      <c r="B573" s="1185"/>
      <c r="C573" s="1185"/>
      <c r="D573" s="1185"/>
      <c r="E573" s="1185"/>
      <c r="F573" s="1185"/>
      <c r="G573" s="1186"/>
      <c r="H573" s="1186"/>
      <c r="I573" s="195"/>
      <c r="J573" s="195"/>
      <c r="K573" s="195"/>
      <c r="L573" s="195"/>
      <c r="M573" s="1185"/>
    </row>
    <row r="574">
      <c r="A574" s="1185"/>
      <c r="B574" s="1185"/>
      <c r="C574" s="1185"/>
      <c r="D574" s="1185"/>
      <c r="E574" s="1185"/>
      <c r="F574" s="1185"/>
      <c r="G574" s="1186"/>
      <c r="H574" s="1186"/>
      <c r="I574" s="195"/>
      <c r="J574" s="195"/>
      <c r="K574" s="195"/>
      <c r="L574" s="195"/>
      <c r="M574" s="1185"/>
    </row>
    <row r="575">
      <c r="A575" s="1185"/>
      <c r="B575" s="1185"/>
      <c r="C575" s="1185"/>
      <c r="D575" s="1185"/>
      <c r="E575" s="1185"/>
      <c r="F575" s="1185"/>
      <c r="G575" s="1186"/>
      <c r="H575" s="1186"/>
      <c r="I575" s="195"/>
      <c r="J575" s="195"/>
      <c r="K575" s="195"/>
      <c r="L575" s="195"/>
      <c r="M575" s="1185"/>
    </row>
    <row r="576">
      <c r="A576" s="1185"/>
      <c r="B576" s="1185"/>
      <c r="C576" s="1185"/>
      <c r="D576" s="1185"/>
      <c r="E576" s="1185"/>
      <c r="F576" s="1185"/>
      <c r="G576" s="1186"/>
      <c r="H576" s="1186"/>
      <c r="I576" s="195"/>
      <c r="J576" s="195"/>
      <c r="K576" s="195"/>
      <c r="L576" s="195"/>
      <c r="M576" s="1185"/>
    </row>
    <row r="577">
      <c r="A577" s="1185"/>
      <c r="B577" s="1185"/>
      <c r="C577" s="1185"/>
      <c r="D577" s="1185"/>
      <c r="E577" s="1185"/>
      <c r="F577" s="1185"/>
      <c r="G577" s="1186"/>
      <c r="H577" s="1186"/>
      <c r="I577" s="195"/>
      <c r="J577" s="195"/>
      <c r="K577" s="195"/>
      <c r="L577" s="195"/>
      <c r="M577" s="1185"/>
    </row>
    <row r="578">
      <c r="A578" s="1185"/>
      <c r="B578" s="1185"/>
      <c r="C578" s="1185"/>
      <c r="D578" s="1185"/>
      <c r="E578" s="1185"/>
      <c r="F578" s="1185"/>
      <c r="G578" s="1186"/>
      <c r="H578" s="1186"/>
      <c r="I578" s="195"/>
      <c r="J578" s="195"/>
      <c r="K578" s="195"/>
      <c r="L578" s="195"/>
      <c r="M578" s="1185"/>
    </row>
    <row r="579">
      <c r="A579" s="1185"/>
      <c r="B579" s="1185"/>
      <c r="C579" s="1185"/>
      <c r="D579" s="1185"/>
      <c r="E579" s="1185"/>
      <c r="F579" s="1185"/>
      <c r="G579" s="1186"/>
      <c r="H579" s="1186"/>
      <c r="I579" s="195"/>
      <c r="J579" s="195"/>
      <c r="K579" s="195"/>
      <c r="L579" s="195"/>
      <c r="M579" s="1185"/>
    </row>
    <row r="580">
      <c r="A580" s="1185"/>
      <c r="B580" s="1185"/>
      <c r="C580" s="1185"/>
      <c r="D580" s="1185"/>
      <c r="E580" s="1185"/>
      <c r="F580" s="1185"/>
      <c r="G580" s="1186"/>
      <c r="H580" s="1186"/>
      <c r="I580" s="195"/>
      <c r="J580" s="195"/>
      <c r="K580" s="195"/>
      <c r="L580" s="195"/>
      <c r="M580" s="1185"/>
    </row>
    <row r="581">
      <c r="A581" s="1185"/>
      <c r="B581" s="1185"/>
      <c r="C581" s="1185"/>
      <c r="D581" s="1185"/>
      <c r="E581" s="1185"/>
      <c r="F581" s="1185"/>
      <c r="G581" s="1186"/>
      <c r="H581" s="1186"/>
      <c r="I581" s="195"/>
      <c r="J581" s="195"/>
      <c r="K581" s="195"/>
      <c r="L581" s="195"/>
      <c r="M581" s="1185"/>
    </row>
    <row r="582">
      <c r="A582" s="1185"/>
      <c r="B582" s="1185"/>
      <c r="C582" s="1185"/>
      <c r="D582" s="1185"/>
      <c r="E582" s="1185"/>
      <c r="F582" s="1185"/>
      <c r="G582" s="1186"/>
      <c r="H582" s="1186"/>
      <c r="I582" s="195"/>
      <c r="J582" s="195"/>
      <c r="K582" s="195"/>
      <c r="L582" s="195"/>
      <c r="M582" s="1185"/>
    </row>
    <row r="583">
      <c r="A583" s="1185"/>
      <c r="B583" s="1185"/>
      <c r="C583" s="1185"/>
      <c r="D583" s="1185"/>
      <c r="E583" s="1185"/>
      <c r="F583" s="1185"/>
      <c r="G583" s="1186"/>
      <c r="H583" s="1186"/>
      <c r="I583" s="195"/>
      <c r="J583" s="195"/>
      <c r="K583" s="195"/>
      <c r="L583" s="195"/>
      <c r="M583" s="1185"/>
    </row>
    <row r="584">
      <c r="A584" s="1185"/>
      <c r="B584" s="1185"/>
      <c r="C584" s="1185"/>
      <c r="D584" s="1185"/>
      <c r="E584" s="1185"/>
      <c r="F584" s="1185"/>
      <c r="G584" s="1186"/>
      <c r="H584" s="1186"/>
      <c r="I584" s="195"/>
      <c r="J584" s="195"/>
      <c r="K584" s="195"/>
      <c r="L584" s="195"/>
      <c r="M584" s="1185"/>
    </row>
    <row r="585">
      <c r="A585" s="1185"/>
      <c r="B585" s="1185"/>
      <c r="C585" s="1185"/>
      <c r="D585" s="1185"/>
      <c r="E585" s="1185"/>
      <c r="F585" s="1185"/>
      <c r="G585" s="1186"/>
      <c r="H585" s="1186"/>
      <c r="I585" s="195"/>
      <c r="J585" s="195"/>
      <c r="K585" s="195"/>
      <c r="L585" s="195"/>
      <c r="M585" s="1185"/>
    </row>
    <row r="586">
      <c r="A586" s="1185"/>
      <c r="B586" s="1185"/>
      <c r="C586" s="1185"/>
      <c r="D586" s="1185"/>
      <c r="E586" s="1185"/>
      <c r="F586" s="1185"/>
      <c r="G586" s="1186"/>
      <c r="H586" s="1186"/>
      <c r="I586" s="195"/>
      <c r="J586" s="195"/>
      <c r="K586" s="195"/>
      <c r="L586" s="195"/>
      <c r="M586" s="1185"/>
    </row>
    <row r="587">
      <c r="A587" s="1185"/>
      <c r="B587" s="1185"/>
      <c r="C587" s="1185"/>
      <c r="D587" s="1185"/>
      <c r="E587" s="1185"/>
      <c r="F587" s="1185"/>
      <c r="G587" s="1186"/>
      <c r="H587" s="1186"/>
      <c r="I587" s="195"/>
      <c r="J587" s="195"/>
      <c r="K587" s="195"/>
      <c r="L587" s="195"/>
      <c r="M587" s="1185"/>
    </row>
    <row r="588">
      <c r="A588" s="1185"/>
      <c r="B588" s="1185"/>
      <c r="C588" s="1185"/>
      <c r="D588" s="1185"/>
      <c r="E588" s="1185"/>
      <c r="F588" s="1185"/>
      <c r="G588" s="1186"/>
      <c r="H588" s="1186"/>
      <c r="I588" s="195"/>
      <c r="J588" s="195"/>
      <c r="K588" s="195"/>
      <c r="L588" s="195"/>
      <c r="M588" s="1185"/>
    </row>
    <row r="589">
      <c r="A589" s="1185"/>
      <c r="B589" s="1185"/>
      <c r="C589" s="1185"/>
      <c r="D589" s="1185"/>
      <c r="E589" s="1185"/>
      <c r="F589" s="1185"/>
      <c r="G589" s="1186"/>
      <c r="H589" s="1186"/>
      <c r="I589" s="195"/>
      <c r="J589" s="195"/>
      <c r="K589" s="195"/>
      <c r="L589" s="195"/>
      <c r="M589" s="1185"/>
    </row>
    <row r="590">
      <c r="A590" s="1185"/>
      <c r="B590" s="1185"/>
      <c r="C590" s="1185"/>
      <c r="D590" s="1185"/>
      <c r="E590" s="1185"/>
      <c r="F590" s="1185"/>
      <c r="G590" s="1186"/>
      <c r="H590" s="1186"/>
      <c r="I590" s="195"/>
      <c r="J590" s="195"/>
      <c r="K590" s="195"/>
      <c r="L590" s="195"/>
      <c r="M590" s="1185"/>
    </row>
    <row r="591">
      <c r="A591" s="1185"/>
      <c r="B591" s="1185"/>
      <c r="C591" s="1185"/>
      <c r="D591" s="1185"/>
      <c r="E591" s="1185"/>
      <c r="F591" s="1185"/>
      <c r="G591" s="1186"/>
      <c r="H591" s="1186"/>
      <c r="I591" s="195"/>
      <c r="J591" s="195"/>
      <c r="K591" s="195"/>
      <c r="L591" s="195"/>
      <c r="M591" s="1185"/>
    </row>
    <row r="592">
      <c r="A592" s="1185"/>
      <c r="B592" s="1185"/>
      <c r="C592" s="1185"/>
      <c r="D592" s="1185"/>
      <c r="E592" s="1185"/>
      <c r="F592" s="1185"/>
      <c r="G592" s="1186"/>
      <c r="H592" s="1186"/>
      <c r="I592" s="195"/>
      <c r="J592" s="195"/>
      <c r="K592" s="195"/>
      <c r="L592" s="195"/>
      <c r="M592" s="1185"/>
    </row>
    <row r="593">
      <c r="A593" s="1185"/>
      <c r="B593" s="1185"/>
      <c r="C593" s="1185"/>
      <c r="D593" s="1185"/>
      <c r="E593" s="1185"/>
      <c r="F593" s="1185"/>
      <c r="G593" s="1186"/>
      <c r="H593" s="1186"/>
      <c r="I593" s="195"/>
      <c r="J593" s="195"/>
      <c r="K593" s="195"/>
      <c r="L593" s="195"/>
      <c r="M593" s="1185"/>
    </row>
    <row r="594">
      <c r="A594" s="1185"/>
      <c r="B594" s="1185"/>
      <c r="C594" s="1185"/>
      <c r="D594" s="1185"/>
      <c r="E594" s="1185"/>
      <c r="F594" s="1185"/>
      <c r="G594" s="1186"/>
      <c r="H594" s="1186"/>
      <c r="I594" s="195"/>
      <c r="J594" s="195"/>
      <c r="K594" s="195"/>
      <c r="L594" s="195"/>
      <c r="M594" s="1185"/>
    </row>
    <row r="595">
      <c r="A595" s="1185"/>
      <c r="B595" s="1185"/>
      <c r="C595" s="1185"/>
      <c r="D595" s="1185"/>
      <c r="E595" s="1185"/>
      <c r="F595" s="1185"/>
      <c r="G595" s="1186"/>
      <c r="H595" s="1186"/>
      <c r="I595" s="195"/>
      <c r="J595" s="195"/>
      <c r="K595" s="195"/>
      <c r="L595" s="195"/>
      <c r="M595" s="1185"/>
    </row>
    <row r="596">
      <c r="A596" s="1185"/>
      <c r="B596" s="1185"/>
      <c r="C596" s="1185"/>
      <c r="D596" s="1185"/>
      <c r="E596" s="1185"/>
      <c r="F596" s="1185"/>
      <c r="G596" s="1186"/>
      <c r="H596" s="1186"/>
      <c r="I596" s="195"/>
      <c r="J596" s="195"/>
      <c r="K596" s="195"/>
      <c r="L596" s="195"/>
      <c r="M596" s="1185"/>
    </row>
    <row r="597">
      <c r="A597" s="1185"/>
      <c r="B597" s="1185"/>
      <c r="C597" s="1185"/>
      <c r="D597" s="1185"/>
      <c r="E597" s="1185"/>
      <c r="F597" s="1185"/>
      <c r="G597" s="1186"/>
      <c r="H597" s="1186"/>
      <c r="I597" s="195"/>
      <c r="J597" s="195"/>
      <c r="K597" s="195"/>
      <c r="L597" s="195"/>
      <c r="M597" s="1185"/>
    </row>
    <row r="598">
      <c r="A598" s="1185"/>
      <c r="B598" s="1185"/>
      <c r="C598" s="1185"/>
      <c r="D598" s="1185"/>
      <c r="E598" s="1185"/>
      <c r="F598" s="1185"/>
      <c r="G598" s="1186"/>
      <c r="H598" s="1186"/>
      <c r="I598" s="195"/>
      <c r="J598" s="195"/>
      <c r="K598" s="195"/>
      <c r="L598" s="195"/>
      <c r="M598" s="1185"/>
    </row>
    <row r="599">
      <c r="A599" s="1185"/>
      <c r="B599" s="1185"/>
      <c r="C599" s="1185"/>
      <c r="D599" s="1185"/>
      <c r="E599" s="1185"/>
      <c r="F599" s="1185"/>
      <c r="G599" s="1186"/>
      <c r="H599" s="1186"/>
      <c r="I599" s="195"/>
      <c r="J599" s="195"/>
      <c r="K599" s="195"/>
      <c r="L599" s="195"/>
      <c r="M599" s="1185"/>
    </row>
    <row r="600">
      <c r="A600" s="1185"/>
      <c r="B600" s="1185"/>
      <c r="C600" s="1185"/>
      <c r="D600" s="1185"/>
      <c r="E600" s="1185"/>
      <c r="F600" s="1185"/>
      <c r="G600" s="1186"/>
      <c r="H600" s="1186"/>
      <c r="I600" s="195"/>
      <c r="J600" s="195"/>
      <c r="K600" s="195"/>
      <c r="L600" s="195"/>
      <c r="M600" s="1185"/>
    </row>
    <row r="601">
      <c r="A601" s="1185"/>
      <c r="B601" s="1185"/>
      <c r="C601" s="1185"/>
      <c r="D601" s="1185"/>
      <c r="E601" s="1185"/>
      <c r="F601" s="1185"/>
      <c r="G601" s="1186"/>
      <c r="H601" s="1186"/>
      <c r="I601" s="195"/>
      <c r="J601" s="195"/>
      <c r="K601" s="195"/>
      <c r="L601" s="195"/>
      <c r="M601" s="1185"/>
    </row>
    <row r="602">
      <c r="A602" s="1185"/>
      <c r="B602" s="1185"/>
      <c r="C602" s="1185"/>
      <c r="D602" s="1185"/>
      <c r="E602" s="1185"/>
      <c r="F602" s="1185"/>
      <c r="G602" s="1186"/>
      <c r="H602" s="1186"/>
      <c r="I602" s="195"/>
      <c r="J602" s="195"/>
      <c r="K602" s="195"/>
      <c r="L602" s="195"/>
      <c r="M602" s="1185"/>
    </row>
    <row r="603">
      <c r="A603" s="1185"/>
      <c r="B603" s="1185"/>
      <c r="C603" s="1185"/>
      <c r="D603" s="1185"/>
      <c r="E603" s="1185"/>
      <c r="F603" s="1185"/>
      <c r="G603" s="1186"/>
      <c r="H603" s="1186"/>
      <c r="I603" s="195"/>
      <c r="J603" s="195"/>
      <c r="K603" s="195"/>
      <c r="L603" s="195"/>
      <c r="M603" s="1185"/>
    </row>
    <row r="604">
      <c r="A604" s="1185"/>
      <c r="B604" s="1185"/>
      <c r="C604" s="1185"/>
      <c r="D604" s="1185"/>
      <c r="E604" s="1185"/>
      <c r="F604" s="1185"/>
      <c r="G604" s="1186"/>
      <c r="H604" s="1186"/>
      <c r="I604" s="195"/>
      <c r="J604" s="195"/>
      <c r="K604" s="195"/>
      <c r="L604" s="195"/>
      <c r="M604" s="1185"/>
    </row>
    <row r="605">
      <c r="A605" s="1185"/>
      <c r="B605" s="1185"/>
      <c r="C605" s="1185"/>
      <c r="D605" s="1185"/>
      <c r="E605" s="1185"/>
      <c r="F605" s="1185"/>
      <c r="G605" s="1186"/>
      <c r="H605" s="1186"/>
      <c r="I605" s="195"/>
      <c r="J605" s="195"/>
      <c r="K605" s="195"/>
      <c r="L605" s="195"/>
      <c r="M605" s="1185"/>
    </row>
    <row r="606">
      <c r="A606" s="1185"/>
      <c r="B606" s="1185"/>
      <c r="C606" s="1185"/>
      <c r="D606" s="1185"/>
      <c r="E606" s="1185"/>
      <c r="F606" s="1185"/>
      <c r="G606" s="1186"/>
      <c r="H606" s="1186"/>
      <c r="I606" s="195"/>
      <c r="J606" s="195"/>
      <c r="K606" s="195"/>
      <c r="L606" s="195"/>
      <c r="M606" s="1185"/>
    </row>
    <row r="607">
      <c r="A607" s="1185"/>
      <c r="B607" s="1185"/>
      <c r="C607" s="1185"/>
      <c r="D607" s="1185"/>
      <c r="E607" s="1185"/>
      <c r="F607" s="1185"/>
      <c r="G607" s="1186"/>
      <c r="H607" s="1186"/>
      <c r="I607" s="195"/>
      <c r="J607" s="195"/>
      <c r="K607" s="195"/>
      <c r="L607" s="195"/>
      <c r="M607" s="1185"/>
    </row>
    <row r="608">
      <c r="A608" s="1185"/>
      <c r="B608" s="1185"/>
      <c r="C608" s="1185"/>
      <c r="D608" s="1185"/>
      <c r="E608" s="1185"/>
      <c r="F608" s="1185"/>
      <c r="G608" s="1186"/>
      <c r="H608" s="1186"/>
      <c r="I608" s="195"/>
      <c r="J608" s="195"/>
      <c r="K608" s="195"/>
      <c r="L608" s="195"/>
      <c r="M608" s="1185"/>
    </row>
    <row r="609">
      <c r="A609" s="1185"/>
      <c r="B609" s="1185"/>
      <c r="C609" s="1185"/>
      <c r="D609" s="1185"/>
      <c r="E609" s="1185"/>
      <c r="F609" s="1185"/>
      <c r="G609" s="1186"/>
      <c r="H609" s="1186"/>
      <c r="I609" s="195"/>
      <c r="J609" s="195"/>
      <c r="K609" s="195"/>
      <c r="L609" s="195"/>
      <c r="M609" s="1185"/>
    </row>
    <row r="610">
      <c r="A610" s="1185"/>
      <c r="B610" s="1185"/>
      <c r="C610" s="1185"/>
      <c r="D610" s="1185"/>
      <c r="E610" s="1185"/>
      <c r="F610" s="1185"/>
      <c r="G610" s="1186"/>
      <c r="H610" s="1186"/>
      <c r="I610" s="195"/>
      <c r="J610" s="195"/>
      <c r="K610" s="195"/>
      <c r="L610" s="195"/>
      <c r="M610" s="1185"/>
    </row>
    <row r="611">
      <c r="A611" s="1185"/>
      <c r="B611" s="1185"/>
      <c r="C611" s="1185"/>
      <c r="D611" s="1185"/>
      <c r="E611" s="1185"/>
      <c r="F611" s="1185"/>
      <c r="G611" s="1186"/>
      <c r="H611" s="1186"/>
      <c r="I611" s="195"/>
      <c r="J611" s="195"/>
      <c r="K611" s="195"/>
      <c r="L611" s="195"/>
      <c r="M611" s="1185"/>
    </row>
    <row r="612">
      <c r="A612" s="1185"/>
      <c r="B612" s="1185"/>
      <c r="C612" s="1185"/>
      <c r="D612" s="1185"/>
      <c r="E612" s="1185"/>
      <c r="F612" s="1185"/>
      <c r="G612" s="1186"/>
      <c r="H612" s="1186"/>
      <c r="I612" s="195"/>
      <c r="J612" s="195"/>
      <c r="K612" s="195"/>
      <c r="L612" s="195"/>
      <c r="M612" s="1185"/>
    </row>
    <row r="613">
      <c r="A613" s="1185"/>
      <c r="B613" s="1185"/>
      <c r="C613" s="1185"/>
      <c r="D613" s="1185"/>
      <c r="E613" s="1185"/>
      <c r="F613" s="1185"/>
      <c r="G613" s="1186"/>
      <c r="H613" s="1186"/>
      <c r="I613" s="195"/>
      <c r="J613" s="195"/>
      <c r="K613" s="195"/>
      <c r="L613" s="195"/>
      <c r="M613" s="1185"/>
    </row>
    <row r="614">
      <c r="A614" s="1185"/>
      <c r="B614" s="1185"/>
      <c r="C614" s="1185"/>
      <c r="D614" s="1185"/>
      <c r="E614" s="1185"/>
      <c r="F614" s="1185"/>
      <c r="G614" s="1186"/>
      <c r="H614" s="1186"/>
      <c r="I614" s="195"/>
      <c r="J614" s="195"/>
      <c r="K614" s="195"/>
      <c r="L614" s="195"/>
      <c r="M614" s="1185"/>
    </row>
    <row r="615">
      <c r="A615" s="1185"/>
      <c r="B615" s="1185"/>
      <c r="C615" s="1185"/>
      <c r="D615" s="1185"/>
      <c r="E615" s="1185"/>
      <c r="F615" s="1185"/>
      <c r="G615" s="1186"/>
      <c r="H615" s="1186"/>
      <c r="I615" s="195"/>
      <c r="J615" s="195"/>
      <c r="K615" s="195"/>
      <c r="L615" s="195"/>
      <c r="M615" s="1185"/>
    </row>
    <row r="616">
      <c r="A616" s="1185"/>
      <c r="B616" s="1185"/>
      <c r="C616" s="1185"/>
      <c r="D616" s="1185"/>
      <c r="E616" s="1185"/>
      <c r="F616" s="1185"/>
      <c r="G616" s="1186"/>
      <c r="H616" s="1186"/>
      <c r="I616" s="195"/>
      <c r="J616" s="195"/>
      <c r="K616" s="195"/>
      <c r="L616" s="195"/>
      <c r="M616" s="1185"/>
    </row>
    <row r="617">
      <c r="A617" s="1185"/>
      <c r="B617" s="1185"/>
      <c r="C617" s="1185"/>
      <c r="D617" s="1185"/>
      <c r="E617" s="1185"/>
      <c r="F617" s="1185"/>
      <c r="G617" s="1186"/>
      <c r="H617" s="1186"/>
      <c r="I617" s="195"/>
      <c r="J617" s="195"/>
      <c r="K617" s="195"/>
      <c r="L617" s="195"/>
      <c r="M617" s="1185"/>
    </row>
    <row r="618">
      <c r="A618" s="1185"/>
      <c r="B618" s="1185"/>
      <c r="C618" s="1185"/>
      <c r="D618" s="1185"/>
      <c r="E618" s="1185"/>
      <c r="F618" s="1185"/>
      <c r="G618" s="1186"/>
      <c r="H618" s="1186"/>
      <c r="I618" s="195"/>
      <c r="J618" s="195"/>
      <c r="K618" s="195"/>
      <c r="L618" s="195"/>
      <c r="M618" s="1185"/>
    </row>
    <row r="619">
      <c r="A619" s="1185"/>
      <c r="B619" s="1185"/>
      <c r="C619" s="1185"/>
      <c r="D619" s="1185"/>
      <c r="E619" s="1185"/>
      <c r="F619" s="1185"/>
      <c r="G619" s="1186"/>
      <c r="H619" s="1186"/>
      <c r="I619" s="195"/>
      <c r="J619" s="195"/>
      <c r="K619" s="195"/>
      <c r="L619" s="195"/>
      <c r="M619" s="1185"/>
    </row>
    <row r="620">
      <c r="A620" s="1185"/>
      <c r="B620" s="1185"/>
      <c r="C620" s="1185"/>
      <c r="D620" s="1185"/>
      <c r="E620" s="1185"/>
      <c r="F620" s="1185"/>
      <c r="G620" s="1186"/>
      <c r="H620" s="1186"/>
      <c r="I620" s="195"/>
      <c r="J620" s="195"/>
      <c r="K620" s="195"/>
      <c r="L620" s="195"/>
      <c r="M620" s="1185"/>
    </row>
    <row r="621">
      <c r="A621" s="1185"/>
      <c r="B621" s="1185"/>
      <c r="C621" s="1185"/>
      <c r="D621" s="1185"/>
      <c r="E621" s="1185"/>
      <c r="F621" s="1185"/>
      <c r="G621" s="1186"/>
      <c r="H621" s="1186"/>
      <c r="I621" s="195"/>
      <c r="J621" s="195"/>
      <c r="K621" s="195"/>
      <c r="L621" s="195"/>
      <c r="M621" s="1185"/>
    </row>
    <row r="622">
      <c r="A622" s="1185"/>
      <c r="B622" s="1185"/>
      <c r="C622" s="1185"/>
      <c r="D622" s="1185"/>
      <c r="E622" s="1185"/>
      <c r="F622" s="1185"/>
      <c r="G622" s="1186"/>
      <c r="H622" s="1186"/>
      <c r="I622" s="195"/>
      <c r="J622" s="195"/>
      <c r="K622" s="195"/>
      <c r="L622" s="195"/>
      <c r="M622" s="1185"/>
    </row>
    <row r="623">
      <c r="A623" s="1185"/>
      <c r="B623" s="1185"/>
      <c r="C623" s="1185"/>
      <c r="D623" s="1185"/>
      <c r="E623" s="1185"/>
      <c r="F623" s="1185"/>
      <c r="G623" s="1186"/>
      <c r="H623" s="1186"/>
      <c r="I623" s="195"/>
      <c r="J623" s="195"/>
      <c r="K623" s="195"/>
      <c r="L623" s="195"/>
      <c r="M623" s="1185"/>
    </row>
    <row r="624">
      <c r="A624" s="1185"/>
      <c r="B624" s="1185"/>
      <c r="C624" s="1185"/>
      <c r="D624" s="1185"/>
      <c r="E624" s="1185"/>
      <c r="F624" s="1185"/>
      <c r="G624" s="1186"/>
      <c r="H624" s="1186"/>
      <c r="I624" s="195"/>
      <c r="J624" s="195"/>
      <c r="K624" s="195"/>
      <c r="L624" s="195"/>
      <c r="M624" s="1185"/>
    </row>
    <row r="625">
      <c r="A625" s="1185"/>
      <c r="B625" s="1185"/>
      <c r="C625" s="1185"/>
      <c r="D625" s="1185"/>
      <c r="E625" s="1185"/>
      <c r="F625" s="1185"/>
      <c r="G625" s="1186"/>
      <c r="H625" s="1186"/>
      <c r="I625" s="195"/>
      <c r="J625" s="195"/>
      <c r="K625" s="195"/>
      <c r="L625" s="195"/>
      <c r="M625" s="1185"/>
    </row>
    <row r="626">
      <c r="A626" s="1185"/>
      <c r="B626" s="1185"/>
      <c r="C626" s="1185"/>
      <c r="D626" s="1185"/>
      <c r="E626" s="1185"/>
      <c r="F626" s="1185"/>
      <c r="G626" s="1186"/>
      <c r="H626" s="1186"/>
      <c r="I626" s="195"/>
      <c r="J626" s="195"/>
      <c r="K626" s="195"/>
      <c r="L626" s="195"/>
      <c r="M626" s="1185"/>
    </row>
    <row r="627">
      <c r="A627" s="1185"/>
      <c r="B627" s="1185"/>
      <c r="C627" s="1185"/>
      <c r="D627" s="1185"/>
      <c r="E627" s="1185"/>
      <c r="F627" s="1185"/>
      <c r="G627" s="1186"/>
      <c r="H627" s="1186"/>
      <c r="I627" s="195"/>
      <c r="J627" s="195"/>
      <c r="K627" s="195"/>
      <c r="L627" s="195"/>
      <c r="M627" s="1185"/>
    </row>
    <row r="628">
      <c r="A628" s="1185"/>
      <c r="B628" s="1185"/>
      <c r="C628" s="1185"/>
      <c r="D628" s="1185"/>
      <c r="E628" s="1185"/>
      <c r="F628" s="1185"/>
      <c r="G628" s="1186"/>
      <c r="H628" s="1186"/>
      <c r="I628" s="195"/>
      <c r="J628" s="195"/>
      <c r="K628" s="195"/>
      <c r="L628" s="195"/>
      <c r="M628" s="1185"/>
    </row>
    <row r="629">
      <c r="A629" s="1185"/>
      <c r="B629" s="1185"/>
      <c r="C629" s="1185"/>
      <c r="D629" s="1185"/>
      <c r="E629" s="1185"/>
      <c r="F629" s="1185"/>
      <c r="G629" s="1186"/>
      <c r="H629" s="1186"/>
      <c r="I629" s="195"/>
      <c r="J629" s="195"/>
      <c r="K629" s="195"/>
      <c r="L629" s="195"/>
      <c r="M629" s="1185"/>
    </row>
    <row r="630">
      <c r="A630" s="1185"/>
      <c r="B630" s="1185"/>
      <c r="C630" s="1185"/>
      <c r="D630" s="1185"/>
      <c r="E630" s="1185"/>
      <c r="F630" s="1185"/>
      <c r="G630" s="1186"/>
      <c r="H630" s="1186"/>
      <c r="I630" s="195"/>
      <c r="J630" s="195"/>
      <c r="K630" s="195"/>
      <c r="L630" s="195"/>
      <c r="M630" s="1185"/>
    </row>
    <row r="631">
      <c r="A631" s="1185"/>
      <c r="B631" s="1185"/>
      <c r="C631" s="1185"/>
      <c r="D631" s="1185"/>
      <c r="E631" s="1185"/>
      <c r="F631" s="1185"/>
      <c r="G631" s="1186"/>
      <c r="H631" s="1186"/>
      <c r="I631" s="195"/>
      <c r="J631" s="195"/>
      <c r="K631" s="195"/>
      <c r="L631" s="195"/>
      <c r="M631" s="1185"/>
    </row>
    <row r="632">
      <c r="A632" s="1185"/>
      <c r="B632" s="1185"/>
      <c r="C632" s="1185"/>
      <c r="D632" s="1185"/>
      <c r="E632" s="1185"/>
      <c r="F632" s="1185"/>
      <c r="G632" s="1186"/>
      <c r="H632" s="1186"/>
      <c r="I632" s="195"/>
      <c r="J632" s="195"/>
      <c r="K632" s="195"/>
      <c r="L632" s="195"/>
      <c r="M632" s="1185"/>
    </row>
    <row r="633">
      <c r="A633" s="1185"/>
      <c r="B633" s="1185"/>
      <c r="C633" s="1185"/>
      <c r="D633" s="1185"/>
      <c r="E633" s="1185"/>
      <c r="F633" s="1185"/>
      <c r="G633" s="1186"/>
      <c r="H633" s="1186"/>
      <c r="I633" s="195"/>
      <c r="J633" s="195"/>
      <c r="K633" s="195"/>
      <c r="L633" s="195"/>
      <c r="M633" s="1185"/>
    </row>
    <row r="634">
      <c r="A634" s="1185"/>
      <c r="B634" s="1185"/>
      <c r="C634" s="1185"/>
      <c r="D634" s="1185"/>
      <c r="E634" s="1185"/>
      <c r="F634" s="1185"/>
      <c r="G634" s="1186"/>
      <c r="H634" s="1186"/>
      <c r="I634" s="195"/>
      <c r="J634" s="195"/>
      <c r="K634" s="195"/>
      <c r="L634" s="195"/>
      <c r="M634" s="1185"/>
    </row>
    <row r="635">
      <c r="A635" s="1185"/>
      <c r="B635" s="1185"/>
      <c r="C635" s="1185"/>
      <c r="D635" s="1185"/>
      <c r="E635" s="1185"/>
      <c r="F635" s="1185"/>
      <c r="G635" s="1186"/>
      <c r="H635" s="1186"/>
      <c r="I635" s="195"/>
      <c r="J635" s="195"/>
      <c r="K635" s="195"/>
      <c r="L635" s="195"/>
      <c r="M635" s="1185"/>
    </row>
    <row r="636">
      <c r="A636" s="1185"/>
      <c r="B636" s="1185"/>
      <c r="C636" s="1185"/>
      <c r="D636" s="1185"/>
      <c r="E636" s="1185"/>
      <c r="F636" s="1185"/>
      <c r="G636" s="1186"/>
      <c r="H636" s="1186"/>
      <c r="I636" s="195"/>
      <c r="J636" s="195"/>
      <c r="K636" s="195"/>
      <c r="L636" s="195"/>
      <c r="M636" s="1185"/>
    </row>
    <row r="637">
      <c r="A637" s="1185"/>
      <c r="B637" s="1185"/>
      <c r="C637" s="1185"/>
      <c r="D637" s="1185"/>
      <c r="E637" s="1185"/>
      <c r="F637" s="1185"/>
      <c r="G637" s="1186"/>
      <c r="H637" s="1186"/>
      <c r="I637" s="195"/>
      <c r="J637" s="195"/>
      <c r="K637" s="195"/>
      <c r="L637" s="195"/>
      <c r="M637" s="1185"/>
    </row>
    <row r="638">
      <c r="A638" s="1185"/>
      <c r="B638" s="1185"/>
      <c r="C638" s="1185"/>
      <c r="D638" s="1185"/>
      <c r="E638" s="1185"/>
      <c r="F638" s="1185"/>
      <c r="G638" s="1186"/>
      <c r="H638" s="1186"/>
      <c r="I638" s="195"/>
      <c r="J638" s="195"/>
      <c r="K638" s="195"/>
      <c r="L638" s="195"/>
      <c r="M638" s="1185"/>
    </row>
    <row r="639">
      <c r="A639" s="1185"/>
      <c r="B639" s="1185"/>
      <c r="C639" s="1185"/>
      <c r="D639" s="1185"/>
      <c r="E639" s="1185"/>
      <c r="F639" s="1185"/>
      <c r="G639" s="1186"/>
      <c r="H639" s="1186"/>
      <c r="I639" s="195"/>
      <c r="J639" s="195"/>
      <c r="K639" s="195"/>
      <c r="L639" s="195"/>
      <c r="M639" s="1185"/>
    </row>
    <row r="640">
      <c r="A640" s="1185"/>
      <c r="B640" s="1185"/>
      <c r="C640" s="1185"/>
      <c r="D640" s="1185"/>
      <c r="E640" s="1185"/>
      <c r="F640" s="1185"/>
      <c r="G640" s="1186"/>
      <c r="H640" s="1186"/>
      <c r="I640" s="195"/>
      <c r="J640" s="195"/>
      <c r="K640" s="195"/>
      <c r="L640" s="195"/>
      <c r="M640" s="1185"/>
    </row>
    <row r="641">
      <c r="A641" s="1185"/>
      <c r="B641" s="1185"/>
      <c r="C641" s="1185"/>
      <c r="D641" s="1185"/>
      <c r="E641" s="1185"/>
      <c r="F641" s="1185"/>
      <c r="G641" s="1186"/>
      <c r="H641" s="1186"/>
      <c r="I641" s="195"/>
      <c r="J641" s="195"/>
      <c r="K641" s="195"/>
      <c r="L641" s="195"/>
      <c r="M641" s="1185"/>
    </row>
    <row r="642">
      <c r="A642" s="1185"/>
      <c r="B642" s="1185"/>
      <c r="C642" s="1185"/>
      <c r="D642" s="1185"/>
      <c r="E642" s="1185"/>
      <c r="F642" s="1185"/>
      <c r="G642" s="1186"/>
      <c r="H642" s="1186"/>
      <c r="I642" s="195"/>
      <c r="J642" s="195"/>
      <c r="K642" s="195"/>
      <c r="L642" s="195"/>
      <c r="M642" s="1185"/>
    </row>
    <row r="643">
      <c r="A643" s="1185"/>
      <c r="B643" s="1185"/>
      <c r="C643" s="1185"/>
      <c r="D643" s="1185"/>
      <c r="E643" s="1185"/>
      <c r="F643" s="1185"/>
      <c r="G643" s="1186"/>
      <c r="H643" s="1186"/>
      <c r="I643" s="195"/>
      <c r="J643" s="195"/>
      <c r="K643" s="195"/>
      <c r="L643" s="195"/>
      <c r="M643" s="1185"/>
    </row>
    <row r="644">
      <c r="A644" s="1185"/>
      <c r="B644" s="1185"/>
      <c r="C644" s="1185"/>
      <c r="D644" s="1185"/>
      <c r="E644" s="1185"/>
      <c r="F644" s="1185"/>
      <c r="G644" s="1186"/>
      <c r="H644" s="1186"/>
      <c r="I644" s="195"/>
      <c r="J644" s="195"/>
      <c r="K644" s="195"/>
      <c r="L644" s="195"/>
      <c r="M644" s="1185"/>
    </row>
    <row r="645">
      <c r="A645" s="1185"/>
      <c r="B645" s="1185"/>
      <c r="C645" s="1185"/>
      <c r="D645" s="1185"/>
      <c r="E645" s="1185"/>
      <c r="F645" s="1185"/>
      <c r="G645" s="1186"/>
      <c r="H645" s="1186"/>
      <c r="I645" s="195"/>
      <c r="J645" s="195"/>
      <c r="K645" s="195"/>
      <c r="L645" s="195"/>
      <c r="M645" s="1185"/>
    </row>
    <row r="646">
      <c r="A646" s="1185"/>
      <c r="B646" s="1185"/>
      <c r="C646" s="1185"/>
      <c r="D646" s="1185"/>
      <c r="E646" s="1185"/>
      <c r="F646" s="1185"/>
      <c r="G646" s="1186"/>
      <c r="H646" s="1186"/>
      <c r="I646" s="195"/>
      <c r="J646" s="195"/>
      <c r="K646" s="195"/>
      <c r="L646" s="195"/>
      <c r="M646" s="1185"/>
    </row>
    <row r="647">
      <c r="A647" s="1185"/>
      <c r="B647" s="1185"/>
      <c r="C647" s="1185"/>
      <c r="D647" s="1185"/>
      <c r="E647" s="1185"/>
      <c r="F647" s="1185"/>
      <c r="G647" s="1186"/>
      <c r="H647" s="1186"/>
      <c r="I647" s="195"/>
      <c r="J647" s="195"/>
      <c r="K647" s="195"/>
      <c r="L647" s="195"/>
      <c r="M647" s="1185"/>
    </row>
    <row r="648">
      <c r="A648" s="1185"/>
      <c r="B648" s="1185"/>
      <c r="C648" s="1185"/>
      <c r="D648" s="1185"/>
      <c r="E648" s="1185"/>
      <c r="F648" s="1185"/>
      <c r="G648" s="1186"/>
      <c r="H648" s="1186"/>
      <c r="I648" s="195"/>
      <c r="J648" s="195"/>
      <c r="K648" s="195"/>
      <c r="L648" s="195"/>
      <c r="M648" s="1185"/>
    </row>
    <row r="649">
      <c r="A649" s="1185"/>
      <c r="B649" s="1185"/>
      <c r="C649" s="1185"/>
      <c r="D649" s="1185"/>
      <c r="E649" s="1185"/>
      <c r="F649" s="1185"/>
      <c r="G649" s="1186"/>
      <c r="H649" s="1186"/>
      <c r="I649" s="195"/>
      <c r="J649" s="195"/>
      <c r="K649" s="195"/>
      <c r="L649" s="195"/>
      <c r="M649" s="1185"/>
    </row>
    <row r="650">
      <c r="A650" s="1185"/>
      <c r="B650" s="1185"/>
      <c r="C650" s="1185"/>
      <c r="D650" s="1185"/>
      <c r="E650" s="1185"/>
      <c r="F650" s="1185"/>
      <c r="G650" s="1186"/>
      <c r="H650" s="1186"/>
      <c r="I650" s="195"/>
      <c r="J650" s="195"/>
      <c r="K650" s="195"/>
      <c r="L650" s="195"/>
      <c r="M650" s="1185"/>
    </row>
    <row r="651">
      <c r="A651" s="1185"/>
      <c r="B651" s="1185"/>
      <c r="C651" s="1185"/>
      <c r="D651" s="1185"/>
      <c r="E651" s="1185"/>
      <c r="F651" s="1185"/>
      <c r="G651" s="1186"/>
      <c r="H651" s="1186"/>
      <c r="I651" s="195"/>
      <c r="J651" s="195"/>
      <c r="K651" s="195"/>
      <c r="L651" s="195"/>
      <c r="M651" s="1185"/>
    </row>
    <row r="652">
      <c r="A652" s="1185"/>
      <c r="B652" s="1185"/>
      <c r="C652" s="1185"/>
      <c r="D652" s="1185"/>
      <c r="E652" s="1185"/>
      <c r="F652" s="1185"/>
      <c r="G652" s="1186"/>
      <c r="H652" s="1186"/>
      <c r="I652" s="195"/>
      <c r="J652" s="195"/>
      <c r="K652" s="195"/>
      <c r="L652" s="195"/>
      <c r="M652" s="1185"/>
    </row>
    <row r="653">
      <c r="A653" s="1185"/>
      <c r="B653" s="1185"/>
      <c r="C653" s="1185"/>
      <c r="D653" s="1185"/>
      <c r="E653" s="1185"/>
      <c r="F653" s="1185"/>
      <c r="G653" s="1186"/>
      <c r="H653" s="1186"/>
      <c r="I653" s="195"/>
      <c r="J653" s="195"/>
      <c r="K653" s="195"/>
      <c r="L653" s="195"/>
      <c r="M653" s="1185"/>
    </row>
    <row r="654">
      <c r="A654" s="1185"/>
      <c r="B654" s="1185"/>
      <c r="C654" s="1185"/>
      <c r="D654" s="1185"/>
      <c r="E654" s="1185"/>
      <c r="F654" s="1185"/>
      <c r="G654" s="1186"/>
      <c r="H654" s="1186"/>
      <c r="I654" s="195"/>
      <c r="J654" s="195"/>
      <c r="K654" s="195"/>
      <c r="L654" s="195"/>
      <c r="M654" s="1185"/>
    </row>
    <row r="655">
      <c r="A655" s="1185"/>
      <c r="B655" s="1185"/>
      <c r="C655" s="1185"/>
      <c r="D655" s="1185"/>
      <c r="E655" s="1185"/>
      <c r="F655" s="1185"/>
      <c r="G655" s="1186"/>
      <c r="H655" s="1186"/>
      <c r="I655" s="195"/>
      <c r="J655" s="195"/>
      <c r="K655" s="195"/>
      <c r="L655" s="195"/>
      <c r="M655" s="1185"/>
    </row>
    <row r="656">
      <c r="A656" s="1185"/>
      <c r="B656" s="1185"/>
      <c r="C656" s="1185"/>
      <c r="D656" s="1185"/>
      <c r="E656" s="1185"/>
      <c r="F656" s="1185"/>
      <c r="G656" s="1186"/>
      <c r="H656" s="1186"/>
      <c r="I656" s="195"/>
      <c r="J656" s="195"/>
      <c r="K656" s="195"/>
      <c r="L656" s="195"/>
      <c r="M656" s="1185"/>
    </row>
    <row r="657">
      <c r="A657" s="1185"/>
      <c r="B657" s="1185"/>
      <c r="C657" s="1185"/>
      <c r="D657" s="1185"/>
      <c r="E657" s="1185"/>
      <c r="F657" s="1185"/>
      <c r="G657" s="1186"/>
      <c r="H657" s="1186"/>
      <c r="I657" s="195"/>
      <c r="J657" s="195"/>
      <c r="K657" s="195"/>
      <c r="L657" s="195"/>
      <c r="M657" s="1185"/>
    </row>
    <row r="658">
      <c r="A658" s="1185"/>
      <c r="B658" s="1185"/>
      <c r="C658" s="1185"/>
      <c r="D658" s="1185"/>
      <c r="E658" s="1185"/>
      <c r="F658" s="1185"/>
      <c r="G658" s="1186"/>
      <c r="H658" s="1186"/>
      <c r="I658" s="195"/>
      <c r="J658" s="195"/>
      <c r="K658" s="195"/>
      <c r="L658" s="195"/>
      <c r="M658" s="1185"/>
    </row>
    <row r="659">
      <c r="A659" s="1185"/>
      <c r="B659" s="1185"/>
      <c r="C659" s="1185"/>
      <c r="D659" s="1185"/>
      <c r="E659" s="1185"/>
      <c r="F659" s="1185"/>
      <c r="G659" s="1186"/>
      <c r="H659" s="1186"/>
      <c r="I659" s="195"/>
      <c r="J659" s="195"/>
      <c r="K659" s="195"/>
      <c r="L659" s="195"/>
      <c r="M659" s="1185"/>
    </row>
    <row r="660">
      <c r="A660" s="1185"/>
      <c r="B660" s="1185"/>
      <c r="C660" s="1185"/>
      <c r="D660" s="1185"/>
      <c r="E660" s="1185"/>
      <c r="F660" s="1185"/>
      <c r="G660" s="1186"/>
      <c r="H660" s="1186"/>
      <c r="I660" s="195"/>
      <c r="J660" s="195"/>
      <c r="K660" s="195"/>
      <c r="L660" s="195"/>
      <c r="M660" s="1185"/>
    </row>
    <row r="661">
      <c r="A661" s="1185"/>
      <c r="B661" s="1185"/>
      <c r="C661" s="1185"/>
      <c r="D661" s="1185"/>
      <c r="E661" s="1185"/>
      <c r="F661" s="1185"/>
      <c r="G661" s="1186"/>
      <c r="H661" s="1186"/>
      <c r="I661" s="195"/>
      <c r="J661" s="195"/>
      <c r="K661" s="195"/>
      <c r="L661" s="195"/>
      <c r="M661" s="1185"/>
    </row>
    <row r="662">
      <c r="A662" s="1185"/>
      <c r="B662" s="1185"/>
      <c r="C662" s="1185"/>
      <c r="D662" s="1185"/>
      <c r="E662" s="1185"/>
      <c r="F662" s="1185"/>
      <c r="G662" s="1186"/>
      <c r="H662" s="1186"/>
      <c r="I662" s="195"/>
      <c r="J662" s="195"/>
      <c r="K662" s="195"/>
      <c r="L662" s="195"/>
      <c r="M662" s="1185"/>
    </row>
    <row r="663">
      <c r="A663" s="1185"/>
      <c r="B663" s="1185"/>
      <c r="C663" s="1185"/>
      <c r="D663" s="1185"/>
      <c r="E663" s="1185"/>
      <c r="F663" s="1185"/>
      <c r="G663" s="1186"/>
      <c r="H663" s="1186"/>
      <c r="I663" s="195"/>
      <c r="J663" s="195"/>
      <c r="K663" s="195"/>
      <c r="L663" s="195"/>
      <c r="M663" s="1185"/>
    </row>
    <row r="664">
      <c r="A664" s="1185"/>
      <c r="B664" s="1185"/>
      <c r="C664" s="1185"/>
      <c r="D664" s="1185"/>
      <c r="E664" s="1185"/>
      <c r="F664" s="1185"/>
      <c r="G664" s="1186"/>
      <c r="H664" s="1186"/>
      <c r="I664" s="195"/>
      <c r="J664" s="195"/>
      <c r="K664" s="195"/>
      <c r="L664" s="195"/>
      <c r="M664" s="1185"/>
    </row>
    <row r="665">
      <c r="A665" s="1185"/>
      <c r="B665" s="1185"/>
      <c r="C665" s="1185"/>
      <c r="D665" s="1185"/>
      <c r="E665" s="1185"/>
      <c r="F665" s="1185"/>
      <c r="G665" s="1186"/>
      <c r="H665" s="1186"/>
      <c r="I665" s="195"/>
      <c r="J665" s="195"/>
      <c r="K665" s="195"/>
      <c r="L665" s="195"/>
      <c r="M665" s="1185"/>
    </row>
    <row r="666">
      <c r="A666" s="1185"/>
      <c r="B666" s="1185"/>
      <c r="C666" s="1185"/>
      <c r="D666" s="1185"/>
      <c r="E666" s="1185"/>
      <c r="F666" s="1185"/>
      <c r="G666" s="1186"/>
      <c r="H666" s="1186"/>
      <c r="I666" s="195"/>
      <c r="J666" s="195"/>
      <c r="K666" s="195"/>
      <c r="L666" s="195"/>
      <c r="M666" s="1185"/>
    </row>
    <row r="667">
      <c r="A667" s="1185"/>
      <c r="B667" s="1185"/>
      <c r="C667" s="1185"/>
      <c r="D667" s="1185"/>
      <c r="E667" s="1185"/>
      <c r="F667" s="1185"/>
      <c r="G667" s="1186"/>
      <c r="H667" s="1186"/>
      <c r="I667" s="195"/>
      <c r="J667" s="195"/>
      <c r="K667" s="195"/>
      <c r="L667" s="195"/>
      <c r="M667" s="1185"/>
    </row>
    <row r="668">
      <c r="A668" s="1185"/>
      <c r="B668" s="1185"/>
      <c r="C668" s="1185"/>
      <c r="D668" s="1185"/>
      <c r="E668" s="1185"/>
      <c r="F668" s="1185"/>
      <c r="G668" s="1186"/>
      <c r="H668" s="1186"/>
      <c r="I668" s="195"/>
      <c r="J668" s="195"/>
      <c r="K668" s="195"/>
      <c r="L668" s="195"/>
      <c r="M668" s="1185"/>
    </row>
    <row r="669">
      <c r="A669" s="1185"/>
      <c r="B669" s="1185"/>
      <c r="C669" s="1185"/>
      <c r="D669" s="1185"/>
      <c r="E669" s="1185"/>
      <c r="F669" s="1185"/>
      <c r="G669" s="1186"/>
      <c r="H669" s="1186"/>
      <c r="I669" s="195"/>
      <c r="J669" s="195"/>
      <c r="K669" s="195"/>
      <c r="L669" s="195"/>
      <c r="M669" s="1185"/>
    </row>
    <row r="670">
      <c r="A670" s="1185"/>
      <c r="B670" s="1185"/>
      <c r="C670" s="1185"/>
      <c r="D670" s="1185"/>
      <c r="E670" s="1185"/>
      <c r="F670" s="1185"/>
      <c r="G670" s="1186"/>
      <c r="H670" s="1186"/>
      <c r="I670" s="195"/>
      <c r="J670" s="195"/>
      <c r="K670" s="195"/>
      <c r="L670" s="195"/>
      <c r="M670" s="1185"/>
    </row>
    <row r="671">
      <c r="A671" s="1185"/>
      <c r="B671" s="1185"/>
      <c r="C671" s="1185"/>
      <c r="D671" s="1185"/>
      <c r="E671" s="1185"/>
      <c r="F671" s="1185"/>
      <c r="G671" s="1186"/>
      <c r="H671" s="1186"/>
      <c r="I671" s="195"/>
      <c r="J671" s="195"/>
      <c r="K671" s="195"/>
      <c r="L671" s="195"/>
      <c r="M671" s="1185"/>
    </row>
    <row r="672">
      <c r="A672" s="1185"/>
      <c r="B672" s="1185"/>
      <c r="C672" s="1185"/>
      <c r="D672" s="1185"/>
      <c r="E672" s="1185"/>
      <c r="F672" s="1185"/>
      <c r="G672" s="1186"/>
      <c r="H672" s="1186"/>
      <c r="I672" s="195"/>
      <c r="J672" s="195"/>
      <c r="K672" s="195"/>
      <c r="L672" s="195"/>
      <c r="M672" s="1185"/>
    </row>
    <row r="673">
      <c r="A673" s="1185"/>
      <c r="B673" s="1185"/>
      <c r="C673" s="1185"/>
      <c r="D673" s="1185"/>
      <c r="E673" s="1185"/>
      <c r="F673" s="1185"/>
      <c r="G673" s="1186"/>
      <c r="H673" s="1186"/>
      <c r="I673" s="195"/>
      <c r="J673" s="195"/>
      <c r="K673" s="195"/>
      <c r="L673" s="195"/>
      <c r="M673" s="1185"/>
    </row>
    <row r="674">
      <c r="A674" s="1185"/>
      <c r="B674" s="1185"/>
      <c r="C674" s="1185"/>
      <c r="D674" s="1185"/>
      <c r="E674" s="1185"/>
      <c r="F674" s="1185"/>
      <c r="G674" s="1186"/>
      <c r="H674" s="1186"/>
      <c r="I674" s="195"/>
      <c r="J674" s="195"/>
      <c r="K674" s="195"/>
      <c r="L674" s="195"/>
      <c r="M674" s="1185"/>
    </row>
    <row r="675">
      <c r="A675" s="1185"/>
      <c r="B675" s="1185"/>
      <c r="C675" s="1185"/>
      <c r="D675" s="1185"/>
      <c r="E675" s="1185"/>
      <c r="F675" s="1185"/>
      <c r="G675" s="1186"/>
      <c r="H675" s="1186"/>
      <c r="I675" s="195"/>
      <c r="J675" s="195"/>
      <c r="K675" s="195"/>
      <c r="L675" s="195"/>
      <c r="M675" s="1185"/>
    </row>
    <row r="676">
      <c r="A676" s="1185"/>
      <c r="B676" s="1185"/>
      <c r="C676" s="1185"/>
      <c r="D676" s="1185"/>
      <c r="E676" s="1185"/>
      <c r="F676" s="1185"/>
      <c r="G676" s="1186"/>
      <c r="H676" s="1186"/>
      <c r="I676" s="195"/>
      <c r="J676" s="195"/>
      <c r="K676" s="195"/>
      <c r="L676" s="195"/>
      <c r="M676" s="1185"/>
    </row>
    <row r="677">
      <c r="A677" s="1185"/>
      <c r="B677" s="1185"/>
      <c r="C677" s="1185"/>
      <c r="D677" s="1185"/>
      <c r="E677" s="1185"/>
      <c r="F677" s="1185"/>
      <c r="G677" s="1186"/>
      <c r="H677" s="1186"/>
      <c r="I677" s="195"/>
      <c r="J677" s="195"/>
      <c r="K677" s="195"/>
      <c r="L677" s="195"/>
      <c r="M677" s="1185"/>
    </row>
    <row r="678">
      <c r="A678" s="1185"/>
      <c r="B678" s="1185"/>
      <c r="C678" s="1185"/>
      <c r="D678" s="1185"/>
      <c r="E678" s="1185"/>
      <c r="F678" s="1185"/>
      <c r="G678" s="1186"/>
      <c r="H678" s="1186"/>
      <c r="I678" s="195"/>
      <c r="J678" s="195"/>
      <c r="K678" s="195"/>
      <c r="L678" s="195"/>
      <c r="M678" s="1185"/>
    </row>
    <row r="679">
      <c r="A679" s="1185"/>
      <c r="B679" s="1185"/>
      <c r="C679" s="1185"/>
      <c r="D679" s="1185"/>
      <c r="E679" s="1185"/>
      <c r="F679" s="1185"/>
      <c r="G679" s="1186"/>
      <c r="H679" s="1186"/>
      <c r="I679" s="195"/>
      <c r="J679" s="195"/>
      <c r="K679" s="195"/>
      <c r="L679" s="195"/>
      <c r="M679" s="1185"/>
    </row>
    <row r="680">
      <c r="A680" s="1185"/>
      <c r="B680" s="1185"/>
      <c r="C680" s="1185"/>
      <c r="D680" s="1185"/>
      <c r="E680" s="1185"/>
      <c r="F680" s="1185"/>
      <c r="G680" s="1186"/>
      <c r="H680" s="1186"/>
      <c r="I680" s="195"/>
      <c r="J680" s="195"/>
      <c r="K680" s="195"/>
      <c r="L680" s="195"/>
      <c r="M680" s="1185"/>
    </row>
    <row r="681">
      <c r="A681" s="1185"/>
      <c r="B681" s="1185"/>
      <c r="C681" s="1185"/>
      <c r="D681" s="1185"/>
      <c r="E681" s="1185"/>
      <c r="F681" s="1185"/>
      <c r="G681" s="1186"/>
      <c r="H681" s="1186"/>
      <c r="I681" s="195"/>
      <c r="J681" s="195"/>
      <c r="K681" s="195"/>
      <c r="L681" s="195"/>
      <c r="M681" s="1185"/>
    </row>
    <row r="682">
      <c r="A682" s="1185"/>
      <c r="B682" s="1185"/>
      <c r="C682" s="1185"/>
      <c r="D682" s="1185"/>
      <c r="E682" s="1185"/>
      <c r="F682" s="1185"/>
      <c r="G682" s="1186"/>
      <c r="H682" s="1186"/>
      <c r="I682" s="195"/>
      <c r="J682" s="195"/>
      <c r="K682" s="195"/>
      <c r="L682" s="195"/>
      <c r="M682" s="1185"/>
    </row>
    <row r="683">
      <c r="A683" s="1185"/>
      <c r="B683" s="1185"/>
      <c r="C683" s="1185"/>
      <c r="D683" s="1185"/>
      <c r="E683" s="1185"/>
      <c r="F683" s="1185"/>
      <c r="G683" s="1186"/>
      <c r="H683" s="1186"/>
      <c r="I683" s="195"/>
      <c r="J683" s="195"/>
      <c r="K683" s="195"/>
      <c r="L683" s="195"/>
      <c r="M683" s="1185"/>
    </row>
    <row r="684">
      <c r="A684" s="1185"/>
      <c r="B684" s="1185"/>
      <c r="C684" s="1185"/>
      <c r="D684" s="1185"/>
      <c r="E684" s="1185"/>
      <c r="F684" s="1185"/>
      <c r="G684" s="1186"/>
      <c r="H684" s="1186"/>
      <c r="I684" s="195"/>
      <c r="J684" s="195"/>
      <c r="K684" s="195"/>
      <c r="L684" s="195"/>
      <c r="M684" s="1185"/>
    </row>
    <row r="685">
      <c r="A685" s="1185"/>
      <c r="B685" s="1185"/>
      <c r="C685" s="1185"/>
      <c r="D685" s="1185"/>
      <c r="E685" s="1185"/>
      <c r="F685" s="1185"/>
      <c r="G685" s="1186"/>
      <c r="H685" s="1186"/>
      <c r="I685" s="195"/>
      <c r="J685" s="195"/>
      <c r="K685" s="195"/>
      <c r="L685" s="195"/>
      <c r="M685" s="1185"/>
    </row>
    <row r="686">
      <c r="A686" s="1185"/>
      <c r="B686" s="1185"/>
      <c r="C686" s="1185"/>
      <c r="D686" s="1185"/>
      <c r="E686" s="1185"/>
      <c r="F686" s="1185"/>
      <c r="G686" s="1186"/>
      <c r="H686" s="1186"/>
      <c r="I686" s="195"/>
      <c r="J686" s="195"/>
      <c r="K686" s="195"/>
      <c r="L686" s="195"/>
      <c r="M686" s="1185"/>
    </row>
    <row r="687">
      <c r="A687" s="1185"/>
      <c r="B687" s="1185"/>
      <c r="C687" s="1185"/>
      <c r="D687" s="1185"/>
      <c r="E687" s="1185"/>
      <c r="F687" s="1185"/>
      <c r="G687" s="1186"/>
      <c r="H687" s="1186"/>
      <c r="I687" s="195"/>
      <c r="J687" s="195"/>
      <c r="K687" s="195"/>
      <c r="L687" s="195"/>
      <c r="M687" s="1185"/>
    </row>
    <row r="688">
      <c r="A688" s="1185"/>
      <c r="B688" s="1185"/>
      <c r="C688" s="1185"/>
      <c r="D688" s="1185"/>
      <c r="E688" s="1185"/>
      <c r="F688" s="1185"/>
      <c r="G688" s="1186"/>
      <c r="H688" s="1186"/>
      <c r="I688" s="195"/>
      <c r="J688" s="195"/>
      <c r="K688" s="195"/>
      <c r="L688" s="195"/>
      <c r="M688" s="1185"/>
    </row>
    <row r="689">
      <c r="A689" s="1185"/>
      <c r="B689" s="1185"/>
      <c r="C689" s="1185"/>
      <c r="D689" s="1185"/>
      <c r="E689" s="1185"/>
      <c r="F689" s="1185"/>
      <c r="G689" s="1186"/>
      <c r="H689" s="1186"/>
      <c r="I689" s="195"/>
      <c r="J689" s="195"/>
      <c r="K689" s="195"/>
      <c r="L689" s="195"/>
      <c r="M689" s="1185"/>
    </row>
    <row r="690">
      <c r="A690" s="1185"/>
      <c r="B690" s="1185"/>
      <c r="C690" s="1185"/>
      <c r="D690" s="1185"/>
      <c r="E690" s="1185"/>
      <c r="F690" s="1185"/>
      <c r="G690" s="1186"/>
      <c r="H690" s="1186"/>
      <c r="I690" s="195"/>
      <c r="J690" s="195"/>
      <c r="K690" s="195"/>
      <c r="L690" s="195"/>
      <c r="M690" s="1185"/>
    </row>
    <row r="691">
      <c r="A691" s="1185"/>
      <c r="B691" s="1185"/>
      <c r="C691" s="1185"/>
      <c r="D691" s="1185"/>
      <c r="E691" s="1185"/>
      <c r="F691" s="1185"/>
      <c r="G691" s="1186"/>
      <c r="H691" s="1186"/>
      <c r="I691" s="195"/>
      <c r="J691" s="195"/>
      <c r="K691" s="195"/>
      <c r="L691" s="195"/>
      <c r="M691" s="1185"/>
    </row>
    <row r="692">
      <c r="A692" s="1185"/>
      <c r="B692" s="1185"/>
      <c r="C692" s="1185"/>
      <c r="D692" s="1185"/>
      <c r="E692" s="1185"/>
      <c r="F692" s="1185"/>
      <c r="G692" s="1186"/>
      <c r="H692" s="1186"/>
      <c r="I692" s="195"/>
      <c r="J692" s="195"/>
      <c r="K692" s="195"/>
      <c r="L692" s="195"/>
      <c r="M692" s="1185"/>
    </row>
    <row r="693">
      <c r="A693" s="1185"/>
      <c r="B693" s="1185"/>
      <c r="C693" s="1185"/>
      <c r="D693" s="1185"/>
      <c r="E693" s="1185"/>
      <c r="F693" s="1185"/>
      <c r="G693" s="1186"/>
      <c r="H693" s="1186"/>
      <c r="I693" s="195"/>
      <c r="J693" s="195"/>
      <c r="K693" s="195"/>
      <c r="L693" s="195"/>
      <c r="M693" s="1185"/>
    </row>
    <row r="694">
      <c r="A694" s="1185"/>
      <c r="B694" s="1185"/>
      <c r="C694" s="1185"/>
      <c r="D694" s="1185"/>
      <c r="E694" s="1185"/>
      <c r="F694" s="1185"/>
      <c r="G694" s="1186"/>
      <c r="H694" s="1186"/>
      <c r="I694" s="195"/>
      <c r="J694" s="195"/>
      <c r="K694" s="195"/>
      <c r="L694" s="195"/>
      <c r="M694" s="1185"/>
    </row>
    <row r="695">
      <c r="A695" s="1185"/>
      <c r="B695" s="1185"/>
      <c r="C695" s="1185"/>
      <c r="D695" s="1185"/>
      <c r="E695" s="1185"/>
      <c r="F695" s="1185"/>
      <c r="G695" s="1186"/>
      <c r="H695" s="1186"/>
      <c r="I695" s="195"/>
      <c r="J695" s="195"/>
      <c r="K695" s="195"/>
      <c r="L695" s="195"/>
      <c r="M695" s="1185"/>
    </row>
    <row r="696">
      <c r="A696" s="1185"/>
      <c r="B696" s="1185"/>
      <c r="C696" s="1185"/>
      <c r="D696" s="1185"/>
      <c r="E696" s="1185"/>
      <c r="F696" s="1185"/>
      <c r="G696" s="1186"/>
      <c r="H696" s="1186"/>
      <c r="I696" s="195"/>
      <c r="J696" s="195"/>
      <c r="K696" s="195"/>
      <c r="L696" s="195"/>
      <c r="M696" s="1185"/>
    </row>
    <row r="697">
      <c r="A697" s="1185"/>
      <c r="B697" s="1185"/>
      <c r="C697" s="1185"/>
      <c r="D697" s="1185"/>
      <c r="E697" s="1185"/>
      <c r="F697" s="1185"/>
      <c r="G697" s="1186"/>
      <c r="H697" s="1186"/>
      <c r="I697" s="195"/>
      <c r="J697" s="195"/>
      <c r="K697" s="195"/>
      <c r="L697" s="195"/>
      <c r="M697" s="1185"/>
    </row>
    <row r="698">
      <c r="A698" s="1185"/>
      <c r="B698" s="1185"/>
      <c r="C698" s="1185"/>
      <c r="D698" s="1185"/>
      <c r="E698" s="1185"/>
      <c r="F698" s="1185"/>
      <c r="G698" s="1186"/>
      <c r="H698" s="1186"/>
      <c r="I698" s="195"/>
      <c r="J698" s="195"/>
      <c r="K698" s="195"/>
      <c r="L698" s="195"/>
      <c r="M698" s="1185"/>
    </row>
    <row r="699">
      <c r="A699" s="1185"/>
      <c r="B699" s="1185"/>
      <c r="C699" s="1185"/>
      <c r="D699" s="1185"/>
      <c r="E699" s="1185"/>
      <c r="F699" s="1185"/>
      <c r="G699" s="1186"/>
      <c r="H699" s="1186"/>
      <c r="I699" s="195"/>
      <c r="J699" s="195"/>
      <c r="K699" s="195"/>
      <c r="L699" s="195"/>
      <c r="M699" s="1185"/>
    </row>
    <row r="700">
      <c r="A700" s="1185"/>
      <c r="B700" s="1185"/>
      <c r="C700" s="1185"/>
      <c r="D700" s="1185"/>
      <c r="E700" s="1185"/>
      <c r="F700" s="1185"/>
      <c r="G700" s="1186"/>
      <c r="H700" s="1186"/>
      <c r="I700" s="195"/>
      <c r="J700" s="195"/>
      <c r="K700" s="195"/>
      <c r="L700" s="195"/>
      <c r="M700" s="1185"/>
    </row>
    <row r="701">
      <c r="A701" s="1185"/>
      <c r="B701" s="1185"/>
      <c r="C701" s="1185"/>
      <c r="D701" s="1185"/>
      <c r="E701" s="1185"/>
      <c r="F701" s="1185"/>
      <c r="G701" s="1186"/>
      <c r="H701" s="1186"/>
      <c r="I701" s="195"/>
      <c r="J701" s="195"/>
      <c r="K701" s="195"/>
      <c r="L701" s="195"/>
      <c r="M701" s="1185"/>
    </row>
    <row r="702">
      <c r="A702" s="1185"/>
      <c r="B702" s="1185"/>
      <c r="C702" s="1185"/>
      <c r="D702" s="1185"/>
      <c r="E702" s="1185"/>
      <c r="F702" s="1185"/>
      <c r="G702" s="1186"/>
      <c r="H702" s="1186"/>
      <c r="I702" s="195"/>
      <c r="J702" s="195"/>
      <c r="K702" s="195"/>
      <c r="L702" s="195"/>
      <c r="M702" s="1185"/>
    </row>
    <row r="703">
      <c r="A703" s="1185"/>
      <c r="B703" s="1185"/>
      <c r="C703" s="1185"/>
      <c r="D703" s="1185"/>
      <c r="E703" s="1185"/>
      <c r="F703" s="1185"/>
      <c r="G703" s="1186"/>
      <c r="H703" s="1186"/>
      <c r="I703" s="195"/>
      <c r="J703" s="195"/>
      <c r="K703" s="195"/>
      <c r="L703" s="195"/>
      <c r="M703" s="1185"/>
    </row>
    <row r="704">
      <c r="A704" s="1185"/>
      <c r="B704" s="1185"/>
      <c r="C704" s="1185"/>
      <c r="D704" s="1185"/>
      <c r="E704" s="1185"/>
      <c r="F704" s="1185"/>
      <c r="G704" s="1186"/>
      <c r="H704" s="1186"/>
      <c r="I704" s="195"/>
      <c r="J704" s="195"/>
      <c r="K704" s="195"/>
      <c r="L704" s="195"/>
      <c r="M704" s="1185"/>
    </row>
    <row r="705">
      <c r="A705" s="1185"/>
      <c r="B705" s="1185"/>
      <c r="C705" s="1185"/>
      <c r="D705" s="1185"/>
      <c r="E705" s="1185"/>
      <c r="F705" s="1185"/>
      <c r="G705" s="1186"/>
      <c r="H705" s="1186"/>
      <c r="I705" s="195"/>
      <c r="J705" s="195"/>
      <c r="K705" s="195"/>
      <c r="L705" s="195"/>
      <c r="M705" s="1185"/>
    </row>
    <row r="706">
      <c r="A706" s="1185"/>
      <c r="B706" s="1185"/>
      <c r="C706" s="1185"/>
      <c r="D706" s="1185"/>
      <c r="E706" s="1185"/>
      <c r="F706" s="1185"/>
      <c r="G706" s="1186"/>
      <c r="H706" s="1186"/>
      <c r="I706" s="195"/>
      <c r="J706" s="195"/>
      <c r="K706" s="195"/>
      <c r="L706" s="195"/>
      <c r="M706" s="1185"/>
    </row>
    <row r="707">
      <c r="A707" s="1185"/>
      <c r="B707" s="1185"/>
      <c r="C707" s="1185"/>
      <c r="D707" s="1185"/>
      <c r="E707" s="1185"/>
      <c r="F707" s="1185"/>
      <c r="G707" s="1186"/>
      <c r="H707" s="1186"/>
      <c r="I707" s="195"/>
      <c r="J707" s="195"/>
      <c r="K707" s="195"/>
      <c r="L707" s="195"/>
      <c r="M707" s="1185"/>
    </row>
    <row r="708">
      <c r="A708" s="1185"/>
      <c r="B708" s="1185"/>
      <c r="C708" s="1185"/>
      <c r="D708" s="1185"/>
      <c r="E708" s="1185"/>
      <c r="F708" s="1185"/>
      <c r="G708" s="1186"/>
      <c r="H708" s="1186"/>
      <c r="I708" s="195"/>
      <c r="J708" s="195"/>
      <c r="K708" s="195"/>
      <c r="L708" s="195"/>
      <c r="M708" s="1185"/>
    </row>
    <row r="709">
      <c r="A709" s="1185"/>
      <c r="B709" s="1185"/>
      <c r="C709" s="1185"/>
      <c r="D709" s="1185"/>
      <c r="E709" s="1185"/>
      <c r="F709" s="1185"/>
      <c r="G709" s="1186"/>
      <c r="H709" s="1186"/>
      <c r="I709" s="195"/>
      <c r="J709" s="195"/>
      <c r="K709" s="195"/>
      <c r="L709" s="195"/>
      <c r="M709" s="1185"/>
    </row>
    <row r="710">
      <c r="A710" s="1185"/>
      <c r="B710" s="1185"/>
      <c r="C710" s="1185"/>
      <c r="D710" s="1185"/>
      <c r="E710" s="1185"/>
      <c r="F710" s="1185"/>
      <c r="G710" s="1186"/>
      <c r="H710" s="1186"/>
      <c r="I710" s="195"/>
      <c r="J710" s="195"/>
      <c r="K710" s="195"/>
      <c r="L710" s="195"/>
      <c r="M710" s="1185"/>
    </row>
    <row r="711">
      <c r="A711" s="1185"/>
      <c r="B711" s="1185"/>
      <c r="C711" s="1185"/>
      <c r="D711" s="1185"/>
      <c r="E711" s="1185"/>
      <c r="F711" s="1185"/>
      <c r="G711" s="1186"/>
      <c r="H711" s="1186"/>
      <c r="I711" s="195"/>
      <c r="J711" s="195"/>
      <c r="K711" s="195"/>
      <c r="L711" s="195"/>
      <c r="M711" s="1185"/>
    </row>
    <row r="712">
      <c r="A712" s="1185"/>
      <c r="B712" s="1185"/>
      <c r="C712" s="1185"/>
      <c r="D712" s="1185"/>
      <c r="E712" s="1185"/>
      <c r="F712" s="1185"/>
      <c r="G712" s="1186"/>
      <c r="H712" s="1186"/>
      <c r="I712" s="195"/>
      <c r="J712" s="195"/>
      <c r="K712" s="195"/>
      <c r="L712" s="195"/>
      <c r="M712" s="1185"/>
    </row>
    <row r="713">
      <c r="A713" s="1185"/>
      <c r="B713" s="1185"/>
      <c r="C713" s="1185"/>
      <c r="D713" s="1185"/>
      <c r="E713" s="1185"/>
      <c r="F713" s="1185"/>
      <c r="G713" s="1186"/>
      <c r="H713" s="1186"/>
      <c r="I713" s="195"/>
      <c r="J713" s="195"/>
      <c r="K713" s="195"/>
      <c r="L713" s="195"/>
      <c r="M713" s="1185"/>
    </row>
    <row r="714">
      <c r="A714" s="1185"/>
      <c r="B714" s="1185"/>
      <c r="C714" s="1185"/>
      <c r="D714" s="1185"/>
      <c r="E714" s="1185"/>
      <c r="F714" s="1185"/>
      <c r="G714" s="1186"/>
      <c r="H714" s="1186"/>
      <c r="I714" s="195"/>
      <c r="J714" s="195"/>
      <c r="K714" s="195"/>
      <c r="L714" s="195"/>
      <c r="M714" s="1185"/>
    </row>
    <row r="715">
      <c r="A715" s="1185"/>
      <c r="B715" s="1185"/>
      <c r="C715" s="1185"/>
      <c r="D715" s="1185"/>
      <c r="E715" s="1185"/>
      <c r="F715" s="1185"/>
      <c r="G715" s="1186"/>
      <c r="H715" s="1186"/>
      <c r="I715" s="195"/>
      <c r="J715" s="195"/>
      <c r="K715" s="195"/>
      <c r="L715" s="195"/>
      <c r="M715" s="1185"/>
    </row>
    <row r="716">
      <c r="A716" s="1185"/>
      <c r="B716" s="1185"/>
      <c r="C716" s="1185"/>
      <c r="D716" s="1185"/>
      <c r="E716" s="1185"/>
      <c r="F716" s="1185"/>
      <c r="G716" s="1186"/>
      <c r="H716" s="1186"/>
      <c r="I716" s="195"/>
      <c r="J716" s="195"/>
      <c r="K716" s="195"/>
      <c r="L716" s="195"/>
      <c r="M716" s="1185"/>
    </row>
    <row r="717">
      <c r="A717" s="1185"/>
      <c r="B717" s="1185"/>
      <c r="C717" s="1185"/>
      <c r="D717" s="1185"/>
      <c r="E717" s="1185"/>
      <c r="F717" s="1185"/>
      <c r="G717" s="1186"/>
      <c r="H717" s="1186"/>
      <c r="I717" s="195"/>
      <c r="J717" s="195"/>
      <c r="K717" s="195"/>
      <c r="L717" s="195"/>
      <c r="M717" s="1185"/>
    </row>
    <row r="718">
      <c r="A718" s="1185"/>
      <c r="B718" s="1185"/>
      <c r="C718" s="1185"/>
      <c r="D718" s="1185"/>
      <c r="E718" s="1185"/>
      <c r="F718" s="1185"/>
      <c r="G718" s="1186"/>
      <c r="H718" s="1186"/>
      <c r="I718" s="195"/>
      <c r="J718" s="195"/>
      <c r="K718" s="195"/>
      <c r="L718" s="195"/>
      <c r="M718" s="1185"/>
    </row>
    <row r="719">
      <c r="A719" s="1185"/>
      <c r="B719" s="1185"/>
      <c r="C719" s="1185"/>
      <c r="D719" s="1185"/>
      <c r="E719" s="1185"/>
      <c r="F719" s="1185"/>
      <c r="G719" s="1186"/>
      <c r="H719" s="1186"/>
      <c r="I719" s="195"/>
      <c r="J719" s="195"/>
      <c r="K719" s="195"/>
      <c r="L719" s="195"/>
      <c r="M719" s="1185"/>
    </row>
    <row r="720">
      <c r="A720" s="1185"/>
      <c r="B720" s="1185"/>
      <c r="C720" s="1185"/>
      <c r="D720" s="1185"/>
      <c r="E720" s="1185"/>
      <c r="F720" s="1185"/>
      <c r="G720" s="1186"/>
      <c r="H720" s="1186"/>
      <c r="I720" s="195"/>
      <c r="J720" s="195"/>
      <c r="K720" s="195"/>
      <c r="L720" s="195"/>
      <c r="M720" s="1185"/>
    </row>
    <row r="721">
      <c r="A721" s="1185"/>
      <c r="B721" s="1185"/>
      <c r="C721" s="1185"/>
      <c r="D721" s="1185"/>
      <c r="E721" s="1185"/>
      <c r="F721" s="1185"/>
      <c r="G721" s="1186"/>
      <c r="H721" s="1186"/>
      <c r="I721" s="195"/>
      <c r="J721" s="195"/>
      <c r="K721" s="195"/>
      <c r="L721" s="195"/>
      <c r="M721" s="1185"/>
    </row>
    <row r="722">
      <c r="A722" s="1185"/>
      <c r="B722" s="1185"/>
      <c r="C722" s="1185"/>
      <c r="D722" s="1185"/>
      <c r="E722" s="1185"/>
      <c r="F722" s="1185"/>
      <c r="G722" s="1186"/>
      <c r="H722" s="1186"/>
      <c r="I722" s="195"/>
      <c r="J722" s="195"/>
      <c r="K722" s="195"/>
      <c r="L722" s="195"/>
      <c r="M722" s="1185"/>
    </row>
    <row r="723">
      <c r="A723" s="1185"/>
      <c r="B723" s="1185"/>
      <c r="C723" s="1185"/>
      <c r="D723" s="1185"/>
      <c r="E723" s="1185"/>
      <c r="F723" s="1185"/>
      <c r="G723" s="1186"/>
      <c r="H723" s="1186"/>
      <c r="I723" s="195"/>
      <c r="J723" s="195"/>
      <c r="K723" s="195"/>
      <c r="L723" s="195"/>
      <c r="M723" s="1185"/>
    </row>
    <row r="724">
      <c r="A724" s="1185"/>
      <c r="B724" s="1185"/>
      <c r="C724" s="1185"/>
      <c r="D724" s="1185"/>
      <c r="E724" s="1185"/>
      <c r="F724" s="1185"/>
      <c r="G724" s="1186"/>
      <c r="H724" s="1186"/>
      <c r="I724" s="195"/>
      <c r="J724" s="195"/>
      <c r="K724" s="195"/>
      <c r="L724" s="195"/>
      <c r="M724" s="1185"/>
    </row>
    <row r="725">
      <c r="A725" s="1185"/>
      <c r="B725" s="1185"/>
      <c r="C725" s="1185"/>
      <c r="D725" s="1185"/>
      <c r="E725" s="1185"/>
      <c r="F725" s="1185"/>
      <c r="G725" s="1186"/>
      <c r="H725" s="1186"/>
      <c r="I725" s="195"/>
      <c r="J725" s="195"/>
      <c r="K725" s="195"/>
      <c r="L725" s="195"/>
      <c r="M725" s="1185"/>
    </row>
    <row r="726">
      <c r="A726" s="1185"/>
      <c r="B726" s="1185"/>
      <c r="C726" s="1185"/>
      <c r="D726" s="1185"/>
      <c r="E726" s="1185"/>
      <c r="F726" s="1185"/>
      <c r="G726" s="1186"/>
      <c r="H726" s="1186"/>
      <c r="I726" s="195"/>
      <c r="J726" s="195"/>
      <c r="K726" s="195"/>
      <c r="L726" s="195"/>
      <c r="M726" s="1185"/>
    </row>
    <row r="727">
      <c r="A727" s="1185"/>
      <c r="B727" s="1185"/>
      <c r="C727" s="1185"/>
      <c r="D727" s="1185"/>
      <c r="E727" s="1185"/>
      <c r="F727" s="1185"/>
      <c r="G727" s="1186"/>
      <c r="H727" s="1186"/>
      <c r="I727" s="195"/>
      <c r="J727" s="195"/>
      <c r="K727" s="195"/>
      <c r="L727" s="195"/>
      <c r="M727" s="1185"/>
    </row>
    <row r="728">
      <c r="A728" s="1185"/>
      <c r="B728" s="1185"/>
      <c r="C728" s="1185"/>
      <c r="D728" s="1185"/>
      <c r="E728" s="1185"/>
      <c r="F728" s="1185"/>
      <c r="G728" s="1186"/>
      <c r="H728" s="1186"/>
      <c r="I728" s="195"/>
      <c r="J728" s="195"/>
      <c r="K728" s="195"/>
      <c r="L728" s="195"/>
      <c r="M728" s="1185"/>
    </row>
    <row r="729">
      <c r="A729" s="1185"/>
      <c r="B729" s="1185"/>
      <c r="C729" s="1185"/>
      <c r="D729" s="1185"/>
      <c r="E729" s="1185"/>
      <c r="F729" s="1185"/>
      <c r="G729" s="1186"/>
      <c r="H729" s="1186"/>
      <c r="I729" s="195"/>
      <c r="J729" s="195"/>
      <c r="K729" s="195"/>
      <c r="L729" s="195"/>
      <c r="M729" s="1185"/>
    </row>
    <row r="730">
      <c r="A730" s="1185"/>
      <c r="B730" s="1185"/>
      <c r="C730" s="1185"/>
      <c r="D730" s="1185"/>
      <c r="E730" s="1185"/>
      <c r="F730" s="1185"/>
      <c r="G730" s="1186"/>
      <c r="H730" s="1186"/>
      <c r="I730" s="195"/>
      <c r="J730" s="195"/>
      <c r="K730" s="195"/>
      <c r="L730" s="195"/>
      <c r="M730" s="1185"/>
    </row>
    <row r="731">
      <c r="A731" s="1185"/>
      <c r="B731" s="1185"/>
      <c r="C731" s="1185"/>
      <c r="D731" s="1185"/>
      <c r="E731" s="1185"/>
      <c r="F731" s="1185"/>
      <c r="G731" s="1186"/>
      <c r="H731" s="1186"/>
      <c r="I731" s="195"/>
      <c r="J731" s="195"/>
      <c r="K731" s="195"/>
      <c r="L731" s="195"/>
      <c r="M731" s="1185"/>
    </row>
    <row r="732">
      <c r="A732" s="1185"/>
      <c r="B732" s="1185"/>
      <c r="C732" s="1185"/>
      <c r="D732" s="1185"/>
      <c r="E732" s="1185"/>
      <c r="F732" s="1185"/>
      <c r="G732" s="1186"/>
      <c r="H732" s="1186"/>
      <c r="I732" s="195"/>
      <c r="J732" s="195"/>
      <c r="K732" s="195"/>
      <c r="L732" s="195"/>
      <c r="M732" s="1185"/>
    </row>
    <row r="733">
      <c r="A733" s="1185"/>
      <c r="B733" s="1185"/>
      <c r="C733" s="1185"/>
      <c r="D733" s="1185"/>
      <c r="E733" s="1185"/>
      <c r="F733" s="1185"/>
      <c r="G733" s="1186"/>
      <c r="H733" s="1186"/>
      <c r="I733" s="195"/>
      <c r="J733" s="195"/>
      <c r="K733" s="195"/>
      <c r="L733" s="195"/>
      <c r="M733" s="1185"/>
    </row>
    <row r="734">
      <c r="A734" s="1185"/>
      <c r="B734" s="1185"/>
      <c r="C734" s="1185"/>
      <c r="D734" s="1185"/>
      <c r="E734" s="1185"/>
      <c r="F734" s="1185"/>
      <c r="G734" s="1186"/>
      <c r="H734" s="1186"/>
      <c r="I734" s="195"/>
      <c r="J734" s="195"/>
      <c r="K734" s="195"/>
      <c r="L734" s="195"/>
      <c r="M734" s="1185"/>
    </row>
    <row r="735">
      <c r="A735" s="1185"/>
      <c r="B735" s="1185"/>
      <c r="C735" s="1185"/>
      <c r="D735" s="1185"/>
      <c r="E735" s="1185"/>
      <c r="F735" s="1185"/>
      <c r="G735" s="1186"/>
      <c r="H735" s="1186"/>
      <c r="I735" s="195"/>
      <c r="J735" s="195"/>
      <c r="K735" s="195"/>
      <c r="L735" s="195"/>
      <c r="M735" s="1185"/>
    </row>
    <row r="736">
      <c r="A736" s="1185"/>
      <c r="B736" s="1185"/>
      <c r="C736" s="1185"/>
      <c r="D736" s="1185"/>
      <c r="E736" s="1185"/>
      <c r="F736" s="1185"/>
      <c r="G736" s="1186"/>
      <c r="H736" s="1186"/>
      <c r="I736" s="195"/>
      <c r="J736" s="195"/>
      <c r="K736" s="195"/>
      <c r="L736" s="195"/>
      <c r="M736" s="1185"/>
    </row>
    <row r="737">
      <c r="A737" s="1185"/>
      <c r="B737" s="1185"/>
      <c r="C737" s="1185"/>
      <c r="D737" s="1185"/>
      <c r="E737" s="1185"/>
      <c r="F737" s="1185"/>
      <c r="G737" s="1186"/>
      <c r="H737" s="1186"/>
      <c r="I737" s="195"/>
      <c r="J737" s="195"/>
      <c r="K737" s="195"/>
      <c r="L737" s="195"/>
      <c r="M737" s="1185"/>
    </row>
    <row r="738">
      <c r="A738" s="1185"/>
      <c r="B738" s="1185"/>
      <c r="C738" s="1185"/>
      <c r="D738" s="1185"/>
      <c r="E738" s="1185"/>
      <c r="F738" s="1185"/>
      <c r="G738" s="1186"/>
      <c r="H738" s="1186"/>
      <c r="I738" s="195"/>
      <c r="J738" s="195"/>
      <c r="K738" s="195"/>
      <c r="L738" s="195"/>
      <c r="M738" s="1185"/>
    </row>
    <row r="739">
      <c r="A739" s="1185"/>
      <c r="B739" s="1185"/>
      <c r="C739" s="1185"/>
      <c r="D739" s="1185"/>
      <c r="E739" s="1185"/>
      <c r="F739" s="1185"/>
      <c r="G739" s="1186"/>
      <c r="H739" s="1186"/>
      <c r="I739" s="195"/>
      <c r="J739" s="195"/>
      <c r="K739" s="195"/>
      <c r="L739" s="195"/>
      <c r="M739" s="1185"/>
    </row>
    <row r="740">
      <c r="A740" s="1185"/>
      <c r="B740" s="1185"/>
      <c r="C740" s="1185"/>
      <c r="D740" s="1185"/>
      <c r="E740" s="1185"/>
      <c r="F740" s="1185"/>
      <c r="G740" s="1186"/>
      <c r="H740" s="1186"/>
      <c r="I740" s="195"/>
      <c r="J740" s="195"/>
      <c r="K740" s="195"/>
      <c r="L740" s="195"/>
      <c r="M740" s="1185"/>
    </row>
    <row r="741">
      <c r="A741" s="1185"/>
      <c r="B741" s="1185"/>
      <c r="C741" s="1185"/>
      <c r="D741" s="1185"/>
      <c r="E741" s="1185"/>
      <c r="F741" s="1185"/>
      <c r="G741" s="1186"/>
      <c r="H741" s="1186"/>
      <c r="I741" s="195"/>
      <c r="J741" s="195"/>
      <c r="K741" s="195"/>
      <c r="L741" s="195"/>
      <c r="M741" s="1185"/>
    </row>
    <row r="742">
      <c r="A742" s="1185"/>
      <c r="B742" s="1185"/>
      <c r="C742" s="1185"/>
      <c r="D742" s="1185"/>
      <c r="E742" s="1185"/>
      <c r="F742" s="1185"/>
      <c r="G742" s="1186"/>
      <c r="H742" s="1186"/>
      <c r="I742" s="195"/>
      <c r="J742" s="195"/>
      <c r="K742" s="195"/>
      <c r="L742" s="195"/>
      <c r="M742" s="1185"/>
    </row>
    <row r="743">
      <c r="A743" s="1185"/>
      <c r="B743" s="1185"/>
      <c r="C743" s="1185"/>
      <c r="D743" s="1185"/>
      <c r="E743" s="1185"/>
      <c r="F743" s="1185"/>
      <c r="G743" s="1186"/>
      <c r="H743" s="1186"/>
      <c r="I743" s="195"/>
      <c r="J743" s="195"/>
      <c r="K743" s="195"/>
      <c r="L743" s="195"/>
      <c r="M743" s="1185"/>
    </row>
    <row r="744">
      <c r="A744" s="1185"/>
      <c r="B744" s="1185"/>
      <c r="C744" s="1185"/>
      <c r="D744" s="1185"/>
      <c r="E744" s="1185"/>
      <c r="F744" s="1185"/>
      <c r="G744" s="1186"/>
      <c r="H744" s="1186"/>
      <c r="I744" s="195"/>
      <c r="J744" s="195"/>
      <c r="K744" s="195"/>
      <c r="L744" s="195"/>
      <c r="M744" s="1185"/>
    </row>
    <row r="745">
      <c r="A745" s="1185"/>
      <c r="B745" s="1185"/>
      <c r="C745" s="1185"/>
      <c r="D745" s="1185"/>
      <c r="E745" s="1185"/>
      <c r="F745" s="1185"/>
      <c r="G745" s="1186"/>
      <c r="H745" s="1186"/>
      <c r="I745" s="195"/>
      <c r="J745" s="195"/>
      <c r="K745" s="195"/>
      <c r="L745" s="195"/>
      <c r="M745" s="1185"/>
    </row>
    <row r="746">
      <c r="A746" s="1185"/>
      <c r="B746" s="1185"/>
      <c r="C746" s="1185"/>
      <c r="D746" s="1185"/>
      <c r="E746" s="1185"/>
      <c r="F746" s="1185"/>
      <c r="G746" s="1186"/>
      <c r="H746" s="1186"/>
      <c r="I746" s="195"/>
      <c r="J746" s="195"/>
      <c r="K746" s="195"/>
      <c r="L746" s="195"/>
      <c r="M746" s="1185"/>
    </row>
    <row r="747">
      <c r="A747" s="1185"/>
      <c r="B747" s="1185"/>
      <c r="C747" s="1185"/>
      <c r="D747" s="1185"/>
      <c r="E747" s="1185"/>
      <c r="F747" s="1185"/>
      <c r="G747" s="1186"/>
      <c r="H747" s="1186"/>
      <c r="I747" s="195"/>
      <c r="J747" s="195"/>
      <c r="K747" s="195"/>
      <c r="L747" s="195"/>
      <c r="M747" s="1185"/>
    </row>
    <row r="748">
      <c r="A748" s="1185"/>
      <c r="B748" s="1185"/>
      <c r="C748" s="1185"/>
      <c r="D748" s="1185"/>
      <c r="E748" s="1185"/>
      <c r="F748" s="1185"/>
      <c r="G748" s="1186"/>
      <c r="H748" s="1186"/>
      <c r="I748" s="195"/>
      <c r="J748" s="195"/>
      <c r="K748" s="195"/>
      <c r="L748" s="195"/>
      <c r="M748" s="1185"/>
    </row>
    <row r="749">
      <c r="A749" s="1185"/>
      <c r="B749" s="1185"/>
      <c r="C749" s="1185"/>
      <c r="D749" s="1185"/>
      <c r="E749" s="1185"/>
      <c r="F749" s="1185"/>
      <c r="G749" s="1186"/>
      <c r="H749" s="1186"/>
      <c r="I749" s="195"/>
      <c r="J749" s="195"/>
      <c r="K749" s="195"/>
      <c r="L749" s="195"/>
      <c r="M749" s="1185"/>
    </row>
    <row r="750">
      <c r="A750" s="1185"/>
      <c r="B750" s="1185"/>
      <c r="C750" s="1185"/>
      <c r="D750" s="1185"/>
      <c r="E750" s="1185"/>
      <c r="F750" s="1185"/>
      <c r="G750" s="1186"/>
      <c r="H750" s="1186"/>
      <c r="I750" s="195"/>
      <c r="J750" s="195"/>
      <c r="K750" s="195"/>
      <c r="L750" s="195"/>
      <c r="M750" s="1185"/>
    </row>
    <row r="751">
      <c r="A751" s="1185"/>
      <c r="B751" s="1185"/>
      <c r="C751" s="1185"/>
      <c r="D751" s="1185"/>
      <c r="E751" s="1185"/>
      <c r="F751" s="1185"/>
      <c r="G751" s="1186"/>
      <c r="H751" s="1186"/>
      <c r="I751" s="195"/>
      <c r="J751" s="195"/>
      <c r="K751" s="195"/>
      <c r="L751" s="195"/>
      <c r="M751" s="1185"/>
    </row>
    <row r="752">
      <c r="A752" s="1185"/>
      <c r="B752" s="1185"/>
      <c r="C752" s="1185"/>
      <c r="D752" s="1185"/>
      <c r="E752" s="1185"/>
      <c r="F752" s="1185"/>
      <c r="G752" s="1186"/>
      <c r="H752" s="1186"/>
      <c r="I752" s="195"/>
      <c r="J752" s="195"/>
      <c r="K752" s="195"/>
      <c r="L752" s="195"/>
      <c r="M752" s="1185"/>
    </row>
    <row r="753">
      <c r="A753" s="1185"/>
      <c r="B753" s="1185"/>
      <c r="C753" s="1185"/>
      <c r="D753" s="1185"/>
      <c r="E753" s="1185"/>
      <c r="F753" s="1185"/>
      <c r="G753" s="1186"/>
      <c r="H753" s="1186"/>
      <c r="I753" s="195"/>
      <c r="J753" s="195"/>
      <c r="K753" s="195"/>
      <c r="L753" s="195"/>
      <c r="M753" s="1185"/>
    </row>
    <row r="754">
      <c r="A754" s="1185"/>
      <c r="B754" s="1185"/>
      <c r="C754" s="1185"/>
      <c r="D754" s="1185"/>
      <c r="E754" s="1185"/>
      <c r="F754" s="1185"/>
      <c r="G754" s="1186"/>
      <c r="H754" s="1186"/>
      <c r="I754" s="195"/>
      <c r="J754" s="195"/>
      <c r="K754" s="195"/>
      <c r="L754" s="195"/>
      <c r="M754" s="1185"/>
    </row>
    <row r="755">
      <c r="A755" s="1185"/>
      <c r="B755" s="1185"/>
      <c r="C755" s="1185"/>
      <c r="D755" s="1185"/>
      <c r="E755" s="1185"/>
      <c r="F755" s="1185"/>
      <c r="G755" s="1186"/>
      <c r="H755" s="1186"/>
      <c r="I755" s="195"/>
      <c r="J755" s="195"/>
      <c r="K755" s="195"/>
      <c r="L755" s="195"/>
      <c r="M755" s="1185"/>
    </row>
    <row r="756">
      <c r="A756" s="1185"/>
      <c r="B756" s="1185"/>
      <c r="C756" s="1185"/>
      <c r="D756" s="1185"/>
      <c r="E756" s="1185"/>
      <c r="F756" s="1185"/>
      <c r="G756" s="1186"/>
      <c r="H756" s="1186"/>
      <c r="I756" s="195"/>
      <c r="J756" s="195"/>
      <c r="K756" s="195"/>
      <c r="L756" s="195"/>
      <c r="M756" s="1185"/>
    </row>
    <row r="757">
      <c r="A757" s="1185"/>
      <c r="B757" s="1185"/>
      <c r="C757" s="1185"/>
      <c r="D757" s="1185"/>
      <c r="E757" s="1185"/>
      <c r="F757" s="1185"/>
      <c r="G757" s="1186"/>
      <c r="H757" s="1186"/>
      <c r="I757" s="195"/>
      <c r="J757" s="195"/>
      <c r="K757" s="195"/>
      <c r="L757" s="195"/>
      <c r="M757" s="1185"/>
    </row>
    <row r="758">
      <c r="A758" s="1185"/>
      <c r="B758" s="1185"/>
      <c r="C758" s="1185"/>
      <c r="D758" s="1185"/>
      <c r="E758" s="1185"/>
      <c r="F758" s="1185"/>
      <c r="G758" s="1186"/>
      <c r="H758" s="1186"/>
      <c r="I758" s="195"/>
      <c r="J758" s="195"/>
      <c r="K758" s="195"/>
      <c r="L758" s="195"/>
      <c r="M758" s="1185"/>
    </row>
    <row r="759">
      <c r="A759" s="1185"/>
      <c r="B759" s="1185"/>
      <c r="C759" s="1185"/>
      <c r="D759" s="1185"/>
      <c r="E759" s="1185"/>
      <c r="F759" s="1185"/>
      <c r="G759" s="1186"/>
      <c r="H759" s="1186"/>
      <c r="I759" s="195"/>
      <c r="J759" s="195"/>
      <c r="K759" s="195"/>
      <c r="L759" s="195"/>
      <c r="M759" s="1185"/>
    </row>
    <row r="760">
      <c r="A760" s="1185"/>
      <c r="B760" s="1185"/>
      <c r="C760" s="1185"/>
      <c r="D760" s="1185"/>
      <c r="E760" s="1185"/>
      <c r="F760" s="1185"/>
      <c r="G760" s="1186"/>
      <c r="H760" s="1186"/>
      <c r="I760" s="195"/>
      <c r="J760" s="195"/>
      <c r="K760" s="195"/>
      <c r="L760" s="195"/>
      <c r="M760" s="1185"/>
    </row>
    <row r="761">
      <c r="A761" s="1185"/>
      <c r="B761" s="1185"/>
      <c r="C761" s="1185"/>
      <c r="D761" s="1185"/>
      <c r="E761" s="1185"/>
      <c r="F761" s="1185"/>
      <c r="G761" s="1186"/>
      <c r="H761" s="1186"/>
      <c r="I761" s="195"/>
      <c r="J761" s="195"/>
      <c r="K761" s="195"/>
      <c r="L761" s="195"/>
      <c r="M761" s="1185"/>
    </row>
    <row r="762">
      <c r="A762" s="1185"/>
      <c r="B762" s="1185"/>
      <c r="C762" s="1185"/>
      <c r="D762" s="1185"/>
      <c r="E762" s="1185"/>
      <c r="F762" s="1185"/>
      <c r="G762" s="1186"/>
      <c r="H762" s="1186"/>
      <c r="I762" s="195"/>
      <c r="J762" s="195"/>
      <c r="K762" s="195"/>
      <c r="L762" s="195"/>
      <c r="M762" s="1185"/>
    </row>
    <row r="763">
      <c r="A763" s="1185"/>
      <c r="B763" s="1185"/>
      <c r="C763" s="1185"/>
      <c r="D763" s="1185"/>
      <c r="E763" s="1185"/>
      <c r="F763" s="1185"/>
      <c r="G763" s="1186"/>
      <c r="H763" s="1186"/>
      <c r="I763" s="195"/>
      <c r="J763" s="195"/>
      <c r="K763" s="195"/>
      <c r="L763" s="195"/>
      <c r="M763" s="1185"/>
    </row>
    <row r="764">
      <c r="A764" s="1185"/>
      <c r="B764" s="1185"/>
      <c r="C764" s="1185"/>
      <c r="D764" s="1185"/>
      <c r="E764" s="1185"/>
      <c r="F764" s="1185"/>
      <c r="G764" s="1186"/>
      <c r="H764" s="1186"/>
      <c r="I764" s="195"/>
      <c r="J764" s="195"/>
      <c r="K764" s="195"/>
      <c r="L764" s="195"/>
      <c r="M764" s="1185"/>
    </row>
    <row r="765">
      <c r="A765" s="1185"/>
      <c r="B765" s="1185"/>
      <c r="C765" s="1185"/>
      <c r="D765" s="1185"/>
      <c r="E765" s="1185"/>
      <c r="F765" s="1185"/>
      <c r="G765" s="1186"/>
      <c r="H765" s="1186"/>
      <c r="I765" s="195"/>
      <c r="J765" s="195"/>
      <c r="K765" s="195"/>
      <c r="L765" s="195"/>
      <c r="M765" s="1185"/>
    </row>
    <row r="766">
      <c r="A766" s="1185"/>
      <c r="B766" s="1185"/>
      <c r="C766" s="1185"/>
      <c r="D766" s="1185"/>
      <c r="E766" s="1185"/>
      <c r="F766" s="1185"/>
      <c r="G766" s="1186"/>
      <c r="H766" s="1186"/>
      <c r="I766" s="195"/>
      <c r="J766" s="195"/>
      <c r="K766" s="195"/>
      <c r="L766" s="195"/>
      <c r="M766" s="1185"/>
    </row>
    <row r="767">
      <c r="A767" s="1185"/>
      <c r="B767" s="1185"/>
      <c r="C767" s="1185"/>
      <c r="D767" s="1185"/>
      <c r="E767" s="1185"/>
      <c r="F767" s="1185"/>
      <c r="G767" s="1186"/>
      <c r="H767" s="1186"/>
      <c r="I767" s="195"/>
      <c r="J767" s="195"/>
      <c r="K767" s="195"/>
      <c r="L767" s="195"/>
      <c r="M767" s="1185"/>
    </row>
    <row r="768">
      <c r="A768" s="1185"/>
      <c r="B768" s="1185"/>
      <c r="C768" s="1185"/>
      <c r="D768" s="1185"/>
      <c r="E768" s="1185"/>
      <c r="F768" s="1185"/>
      <c r="G768" s="1186"/>
      <c r="H768" s="1186"/>
      <c r="I768" s="195"/>
      <c r="J768" s="195"/>
      <c r="K768" s="195"/>
      <c r="L768" s="195"/>
      <c r="M768" s="1185"/>
    </row>
    <row r="769">
      <c r="A769" s="1185"/>
      <c r="B769" s="1185"/>
      <c r="C769" s="1185"/>
      <c r="D769" s="1185"/>
      <c r="E769" s="1185"/>
      <c r="F769" s="1185"/>
      <c r="G769" s="1186"/>
      <c r="H769" s="1186"/>
      <c r="I769" s="195"/>
      <c r="J769" s="195"/>
      <c r="K769" s="195"/>
      <c r="L769" s="195"/>
      <c r="M769" s="1185"/>
    </row>
    <row r="770">
      <c r="A770" s="1185"/>
      <c r="B770" s="1185"/>
      <c r="C770" s="1185"/>
      <c r="D770" s="1185"/>
      <c r="E770" s="1185"/>
      <c r="F770" s="1185"/>
      <c r="G770" s="1186"/>
      <c r="H770" s="1186"/>
      <c r="I770" s="195"/>
      <c r="J770" s="195"/>
      <c r="K770" s="195"/>
      <c r="L770" s="195"/>
      <c r="M770" s="1185"/>
    </row>
    <row r="771">
      <c r="A771" s="1185"/>
      <c r="B771" s="1185"/>
      <c r="C771" s="1185"/>
      <c r="D771" s="1185"/>
      <c r="E771" s="1185"/>
      <c r="F771" s="1185"/>
      <c r="G771" s="1186"/>
      <c r="H771" s="1186"/>
      <c r="I771" s="195"/>
      <c r="J771" s="195"/>
      <c r="K771" s="195"/>
      <c r="L771" s="195"/>
      <c r="M771" s="1185"/>
    </row>
    <row r="772">
      <c r="A772" s="1185"/>
      <c r="B772" s="1185"/>
      <c r="C772" s="1185"/>
      <c r="D772" s="1185"/>
      <c r="E772" s="1185"/>
      <c r="F772" s="1185"/>
      <c r="G772" s="1186"/>
      <c r="H772" s="1186"/>
      <c r="I772" s="195"/>
      <c r="J772" s="195"/>
      <c r="K772" s="195"/>
      <c r="L772" s="195"/>
      <c r="M772" s="1185"/>
    </row>
    <row r="773">
      <c r="A773" s="1185"/>
      <c r="B773" s="1185"/>
      <c r="C773" s="1185"/>
      <c r="D773" s="1185"/>
      <c r="E773" s="1185"/>
      <c r="F773" s="1185"/>
      <c r="G773" s="1186"/>
      <c r="H773" s="1186"/>
      <c r="I773" s="195"/>
      <c r="J773" s="195"/>
      <c r="K773" s="195"/>
      <c r="L773" s="195"/>
      <c r="M773" s="1185"/>
    </row>
    <row r="774">
      <c r="A774" s="1185"/>
      <c r="B774" s="1185"/>
      <c r="C774" s="1185"/>
      <c r="D774" s="1185"/>
      <c r="E774" s="1185"/>
      <c r="F774" s="1185"/>
      <c r="G774" s="1186"/>
      <c r="H774" s="1186"/>
      <c r="I774" s="195"/>
      <c r="J774" s="195"/>
      <c r="K774" s="195"/>
      <c r="L774" s="195"/>
      <c r="M774" s="1185"/>
    </row>
    <row r="775">
      <c r="A775" s="1185"/>
      <c r="B775" s="1185"/>
      <c r="C775" s="1185"/>
      <c r="D775" s="1185"/>
      <c r="E775" s="1185"/>
      <c r="F775" s="1185"/>
      <c r="G775" s="1186"/>
      <c r="H775" s="1186"/>
      <c r="I775" s="195"/>
      <c r="J775" s="195"/>
      <c r="K775" s="195"/>
      <c r="L775" s="195"/>
      <c r="M775" s="1185"/>
    </row>
    <row r="776">
      <c r="A776" s="1185"/>
      <c r="B776" s="1185"/>
      <c r="C776" s="1185"/>
      <c r="D776" s="1185"/>
      <c r="E776" s="1185"/>
      <c r="F776" s="1185"/>
      <c r="G776" s="1186"/>
      <c r="H776" s="1186"/>
      <c r="I776" s="195"/>
      <c r="J776" s="195"/>
      <c r="K776" s="195"/>
      <c r="L776" s="195"/>
      <c r="M776" s="1185"/>
    </row>
    <row r="777">
      <c r="A777" s="1185"/>
      <c r="B777" s="1185"/>
      <c r="C777" s="1185"/>
      <c r="D777" s="1185"/>
      <c r="E777" s="1185"/>
      <c r="F777" s="1185"/>
      <c r="G777" s="1186"/>
      <c r="H777" s="1186"/>
      <c r="I777" s="195"/>
      <c r="J777" s="195"/>
      <c r="K777" s="195"/>
      <c r="L777" s="195"/>
      <c r="M777" s="1185"/>
    </row>
    <row r="778">
      <c r="A778" s="1185"/>
      <c r="B778" s="1185"/>
      <c r="C778" s="1185"/>
      <c r="D778" s="1185"/>
      <c r="E778" s="1185"/>
      <c r="F778" s="1185"/>
      <c r="G778" s="1186"/>
      <c r="H778" s="1186"/>
      <c r="I778" s="195"/>
      <c r="J778" s="195"/>
      <c r="K778" s="195"/>
      <c r="L778" s="195"/>
      <c r="M778" s="1185"/>
    </row>
    <row r="779">
      <c r="A779" s="1185"/>
      <c r="B779" s="1185"/>
      <c r="C779" s="1185"/>
      <c r="D779" s="1185"/>
      <c r="E779" s="1185"/>
      <c r="F779" s="1185"/>
      <c r="G779" s="1186"/>
      <c r="H779" s="1186"/>
      <c r="I779" s="195"/>
      <c r="J779" s="195"/>
      <c r="K779" s="195"/>
      <c r="L779" s="195"/>
      <c r="M779" s="1185"/>
    </row>
    <row r="780">
      <c r="A780" s="1185"/>
      <c r="B780" s="1185"/>
      <c r="C780" s="1185"/>
      <c r="D780" s="1185"/>
      <c r="E780" s="1185"/>
      <c r="F780" s="1185"/>
      <c r="G780" s="1186"/>
      <c r="H780" s="1186"/>
      <c r="I780" s="195"/>
      <c r="J780" s="195"/>
      <c r="K780" s="195"/>
      <c r="L780" s="195"/>
      <c r="M780" s="1185"/>
    </row>
    <row r="781">
      <c r="A781" s="1185"/>
      <c r="B781" s="1185"/>
      <c r="C781" s="1185"/>
      <c r="D781" s="1185"/>
      <c r="E781" s="1185"/>
      <c r="F781" s="1185"/>
      <c r="G781" s="1186"/>
      <c r="H781" s="1186"/>
      <c r="I781" s="195"/>
      <c r="J781" s="195"/>
      <c r="K781" s="195"/>
      <c r="L781" s="195"/>
      <c r="M781" s="1185"/>
    </row>
    <row r="782">
      <c r="A782" s="1185"/>
      <c r="B782" s="1185"/>
      <c r="C782" s="1185"/>
      <c r="D782" s="1185"/>
      <c r="E782" s="1185"/>
      <c r="F782" s="1185"/>
      <c r="G782" s="1186"/>
      <c r="H782" s="1186"/>
      <c r="I782" s="195"/>
      <c r="J782" s="195"/>
      <c r="K782" s="195"/>
      <c r="L782" s="195"/>
      <c r="M782" s="1185"/>
    </row>
    <row r="783">
      <c r="A783" s="1185"/>
      <c r="B783" s="1185"/>
      <c r="C783" s="1185"/>
      <c r="D783" s="1185"/>
      <c r="E783" s="1185"/>
      <c r="F783" s="1185"/>
      <c r="G783" s="1186"/>
      <c r="H783" s="1186"/>
      <c r="I783" s="195"/>
      <c r="J783" s="195"/>
      <c r="K783" s="195"/>
      <c r="L783" s="195"/>
      <c r="M783" s="1185"/>
    </row>
    <row r="784">
      <c r="A784" s="1185"/>
      <c r="B784" s="1185"/>
      <c r="C784" s="1185"/>
      <c r="D784" s="1185"/>
      <c r="E784" s="1185"/>
      <c r="F784" s="1185"/>
      <c r="G784" s="1186"/>
      <c r="H784" s="1186"/>
      <c r="I784" s="195"/>
      <c r="J784" s="195"/>
      <c r="K784" s="195"/>
      <c r="L784" s="195"/>
      <c r="M784" s="1185"/>
    </row>
    <row r="785">
      <c r="A785" s="1185"/>
      <c r="B785" s="1185"/>
      <c r="C785" s="1185"/>
      <c r="D785" s="1185"/>
      <c r="E785" s="1185"/>
      <c r="F785" s="1185"/>
      <c r="G785" s="1186"/>
      <c r="H785" s="1186"/>
      <c r="I785" s="195"/>
      <c r="J785" s="195"/>
      <c r="K785" s="195"/>
      <c r="L785" s="195"/>
      <c r="M785" s="1185"/>
    </row>
    <row r="786">
      <c r="A786" s="1185"/>
      <c r="B786" s="1185"/>
      <c r="C786" s="1185"/>
      <c r="D786" s="1185"/>
      <c r="E786" s="1185"/>
      <c r="F786" s="1185"/>
      <c r="G786" s="1186"/>
      <c r="H786" s="1186"/>
      <c r="I786" s="195"/>
      <c r="J786" s="195"/>
      <c r="K786" s="195"/>
      <c r="L786" s="195"/>
      <c r="M786" s="1185"/>
    </row>
    <row r="787">
      <c r="A787" s="1185"/>
      <c r="B787" s="1185"/>
      <c r="C787" s="1185"/>
      <c r="D787" s="1185"/>
      <c r="E787" s="1185"/>
      <c r="F787" s="1185"/>
      <c r="G787" s="1186"/>
      <c r="H787" s="1186"/>
      <c r="I787" s="195"/>
      <c r="J787" s="195"/>
      <c r="K787" s="195"/>
      <c r="L787" s="195"/>
      <c r="M787" s="1185"/>
    </row>
    <row r="788">
      <c r="A788" s="1185"/>
      <c r="B788" s="1185"/>
      <c r="C788" s="1185"/>
      <c r="D788" s="1185"/>
      <c r="E788" s="1185"/>
      <c r="F788" s="1185"/>
      <c r="G788" s="1186"/>
      <c r="H788" s="1186"/>
      <c r="I788" s="195"/>
      <c r="J788" s="195"/>
      <c r="K788" s="195"/>
      <c r="L788" s="195"/>
      <c r="M788" s="1185"/>
    </row>
    <row r="789">
      <c r="A789" s="1185"/>
      <c r="B789" s="1185"/>
      <c r="C789" s="1185"/>
      <c r="D789" s="1185"/>
      <c r="E789" s="1185"/>
      <c r="F789" s="1185"/>
      <c r="G789" s="1186"/>
      <c r="H789" s="1186"/>
      <c r="I789" s="195"/>
      <c r="J789" s="195"/>
      <c r="K789" s="195"/>
      <c r="L789" s="195"/>
      <c r="M789" s="1185"/>
    </row>
    <row r="790">
      <c r="A790" s="1185"/>
      <c r="B790" s="1185"/>
      <c r="C790" s="1185"/>
      <c r="D790" s="1185"/>
      <c r="E790" s="1185"/>
      <c r="F790" s="1185"/>
      <c r="G790" s="1186"/>
      <c r="H790" s="1186"/>
      <c r="I790" s="195"/>
      <c r="J790" s="195"/>
      <c r="K790" s="195"/>
      <c r="L790" s="195"/>
      <c r="M790" s="1185"/>
    </row>
    <row r="791">
      <c r="A791" s="1185"/>
      <c r="B791" s="1185"/>
      <c r="C791" s="1185"/>
      <c r="D791" s="1185"/>
      <c r="E791" s="1185"/>
      <c r="F791" s="1185"/>
      <c r="G791" s="1186"/>
      <c r="H791" s="1186"/>
      <c r="I791" s="195"/>
      <c r="J791" s="195"/>
      <c r="K791" s="195"/>
      <c r="L791" s="195"/>
      <c r="M791" s="1185"/>
    </row>
    <row r="792">
      <c r="A792" s="1185"/>
      <c r="B792" s="1185"/>
      <c r="C792" s="1185"/>
      <c r="D792" s="1185"/>
      <c r="E792" s="1185"/>
      <c r="F792" s="1185"/>
      <c r="G792" s="1186"/>
      <c r="H792" s="1186"/>
      <c r="I792" s="195"/>
      <c r="J792" s="195"/>
      <c r="K792" s="195"/>
      <c r="L792" s="195"/>
      <c r="M792" s="1185"/>
    </row>
    <row r="793">
      <c r="A793" s="1185"/>
      <c r="B793" s="1185"/>
      <c r="C793" s="1185"/>
      <c r="D793" s="1185"/>
      <c r="E793" s="1185"/>
      <c r="F793" s="1185"/>
      <c r="G793" s="1186"/>
      <c r="H793" s="1186"/>
      <c r="I793" s="195"/>
      <c r="J793" s="195"/>
      <c r="K793" s="195"/>
      <c r="L793" s="195"/>
      <c r="M793" s="1185"/>
    </row>
    <row r="794">
      <c r="A794" s="1185"/>
      <c r="B794" s="1185"/>
      <c r="C794" s="1185"/>
      <c r="D794" s="1185"/>
      <c r="E794" s="1185"/>
      <c r="F794" s="1185"/>
      <c r="G794" s="1186"/>
      <c r="H794" s="1186"/>
      <c r="I794" s="195"/>
      <c r="J794" s="195"/>
      <c r="K794" s="195"/>
      <c r="L794" s="195"/>
      <c r="M794" s="1185"/>
    </row>
    <row r="795">
      <c r="A795" s="1185"/>
      <c r="B795" s="1185"/>
      <c r="C795" s="1185"/>
      <c r="D795" s="1185"/>
      <c r="E795" s="1185"/>
      <c r="F795" s="1185"/>
      <c r="G795" s="1186"/>
      <c r="H795" s="1186"/>
      <c r="I795" s="195"/>
      <c r="J795" s="195"/>
      <c r="K795" s="195"/>
      <c r="L795" s="195"/>
      <c r="M795" s="1185"/>
    </row>
    <row r="796">
      <c r="A796" s="1185"/>
      <c r="B796" s="1185"/>
      <c r="C796" s="1185"/>
      <c r="D796" s="1185"/>
      <c r="E796" s="1185"/>
      <c r="F796" s="1185"/>
      <c r="G796" s="1186"/>
      <c r="H796" s="1186"/>
      <c r="I796" s="195"/>
      <c r="J796" s="195"/>
      <c r="K796" s="195"/>
      <c r="L796" s="195"/>
      <c r="M796" s="1185"/>
    </row>
    <row r="797">
      <c r="A797" s="1185"/>
      <c r="B797" s="1185"/>
      <c r="C797" s="1185"/>
      <c r="D797" s="1185"/>
      <c r="E797" s="1185"/>
      <c r="F797" s="1185"/>
      <c r="G797" s="1186"/>
      <c r="H797" s="1186"/>
      <c r="I797" s="195"/>
      <c r="J797" s="195"/>
      <c r="K797" s="195"/>
      <c r="L797" s="195"/>
      <c r="M797" s="1185"/>
    </row>
    <row r="798">
      <c r="A798" s="1185"/>
      <c r="B798" s="1185"/>
      <c r="C798" s="1185"/>
      <c r="D798" s="1185"/>
      <c r="E798" s="1185"/>
      <c r="F798" s="1185"/>
      <c r="G798" s="1186"/>
      <c r="H798" s="1186"/>
      <c r="I798" s="195"/>
      <c r="J798" s="195"/>
      <c r="K798" s="195"/>
      <c r="L798" s="195"/>
      <c r="M798" s="1185"/>
    </row>
    <row r="799">
      <c r="A799" s="1185"/>
      <c r="B799" s="1185"/>
      <c r="C799" s="1185"/>
      <c r="D799" s="1185"/>
      <c r="E799" s="1185"/>
      <c r="F799" s="1185"/>
      <c r="G799" s="1186"/>
      <c r="H799" s="1186"/>
      <c r="I799" s="195"/>
      <c r="J799" s="195"/>
      <c r="K799" s="195"/>
      <c r="L799" s="195"/>
      <c r="M799" s="1185"/>
    </row>
    <row r="800">
      <c r="A800" s="1185"/>
      <c r="B800" s="1185"/>
      <c r="C800" s="1185"/>
      <c r="D800" s="1185"/>
      <c r="E800" s="1185"/>
      <c r="F800" s="1185"/>
      <c r="G800" s="1186"/>
      <c r="H800" s="1186"/>
      <c r="I800" s="195"/>
      <c r="J800" s="195"/>
      <c r="K800" s="195"/>
      <c r="L800" s="195"/>
      <c r="M800" s="1185"/>
    </row>
    <row r="801">
      <c r="A801" s="1185"/>
      <c r="B801" s="1185"/>
      <c r="C801" s="1185"/>
      <c r="D801" s="1185"/>
      <c r="E801" s="1185"/>
      <c r="F801" s="1185"/>
      <c r="G801" s="1186"/>
      <c r="H801" s="1186"/>
      <c r="I801" s="195"/>
      <c r="J801" s="195"/>
      <c r="K801" s="195"/>
      <c r="L801" s="195"/>
      <c r="M801" s="1185"/>
    </row>
    <row r="802">
      <c r="A802" s="1185"/>
      <c r="B802" s="1185"/>
      <c r="C802" s="1185"/>
      <c r="D802" s="1185"/>
      <c r="E802" s="1185"/>
      <c r="F802" s="1185"/>
      <c r="G802" s="1186"/>
      <c r="H802" s="1186"/>
      <c r="I802" s="195"/>
      <c r="J802" s="195"/>
      <c r="K802" s="195"/>
      <c r="L802" s="195"/>
      <c r="M802" s="1185"/>
    </row>
    <row r="803">
      <c r="A803" s="1185"/>
      <c r="B803" s="1185"/>
      <c r="C803" s="1185"/>
      <c r="D803" s="1185"/>
      <c r="E803" s="1185"/>
      <c r="F803" s="1185"/>
      <c r="G803" s="1186"/>
      <c r="H803" s="1186"/>
      <c r="I803" s="195"/>
      <c r="J803" s="195"/>
      <c r="K803" s="195"/>
      <c r="L803" s="195"/>
      <c r="M803" s="1185"/>
    </row>
    <row r="804">
      <c r="A804" s="1185"/>
      <c r="B804" s="1185"/>
      <c r="C804" s="1185"/>
      <c r="D804" s="1185"/>
      <c r="E804" s="1185"/>
      <c r="F804" s="1185"/>
      <c r="G804" s="1186"/>
      <c r="H804" s="1186"/>
      <c r="I804" s="195"/>
      <c r="J804" s="195"/>
      <c r="K804" s="195"/>
      <c r="L804" s="195"/>
      <c r="M804" s="1185"/>
    </row>
    <row r="805">
      <c r="A805" s="1185"/>
      <c r="B805" s="1185"/>
      <c r="C805" s="1185"/>
      <c r="D805" s="1185"/>
      <c r="E805" s="1185"/>
      <c r="F805" s="1185"/>
      <c r="G805" s="1186"/>
      <c r="H805" s="1186"/>
      <c r="I805" s="195"/>
      <c r="J805" s="195"/>
      <c r="K805" s="195"/>
      <c r="L805" s="195"/>
      <c r="M805" s="1185"/>
    </row>
    <row r="806">
      <c r="A806" s="1185"/>
      <c r="B806" s="1185"/>
      <c r="C806" s="1185"/>
      <c r="D806" s="1185"/>
      <c r="E806" s="1185"/>
      <c r="F806" s="1185"/>
      <c r="G806" s="1186"/>
      <c r="H806" s="1186"/>
      <c r="I806" s="195"/>
      <c r="J806" s="195"/>
      <c r="K806" s="195"/>
      <c r="L806" s="195"/>
      <c r="M806" s="1185"/>
    </row>
    <row r="807">
      <c r="A807" s="1185"/>
      <c r="B807" s="1185"/>
      <c r="C807" s="1185"/>
      <c r="D807" s="1185"/>
      <c r="E807" s="1185"/>
      <c r="F807" s="1185"/>
      <c r="G807" s="1186"/>
      <c r="H807" s="1186"/>
      <c r="I807" s="195"/>
      <c r="J807" s="195"/>
      <c r="K807" s="195"/>
      <c r="L807" s="195"/>
      <c r="M807" s="1185"/>
    </row>
    <row r="808">
      <c r="A808" s="1185"/>
      <c r="B808" s="1185"/>
      <c r="C808" s="1185"/>
      <c r="D808" s="1185"/>
      <c r="E808" s="1185"/>
      <c r="F808" s="1185"/>
      <c r="G808" s="1186"/>
      <c r="H808" s="1186"/>
      <c r="I808" s="195"/>
      <c r="J808" s="195"/>
      <c r="K808" s="195"/>
      <c r="L808" s="195"/>
      <c r="M808" s="1185"/>
    </row>
    <row r="809">
      <c r="A809" s="1185"/>
      <c r="B809" s="1185"/>
      <c r="C809" s="1185"/>
      <c r="D809" s="1185"/>
      <c r="E809" s="1185"/>
      <c r="F809" s="1185"/>
      <c r="G809" s="1186"/>
      <c r="H809" s="1186"/>
      <c r="I809" s="195"/>
      <c r="J809" s="195"/>
      <c r="K809" s="195"/>
      <c r="L809" s="195"/>
      <c r="M809" s="1185"/>
    </row>
    <row r="810">
      <c r="A810" s="1185"/>
      <c r="B810" s="1185"/>
      <c r="C810" s="1185"/>
      <c r="D810" s="1185"/>
      <c r="E810" s="1185"/>
      <c r="F810" s="1185"/>
      <c r="G810" s="1186"/>
      <c r="H810" s="1186"/>
      <c r="I810" s="195"/>
      <c r="J810" s="195"/>
      <c r="K810" s="195"/>
      <c r="L810" s="195"/>
      <c r="M810" s="1185"/>
    </row>
    <row r="811">
      <c r="A811" s="1185"/>
      <c r="B811" s="1185"/>
      <c r="C811" s="1185"/>
      <c r="D811" s="1185"/>
      <c r="E811" s="1185"/>
      <c r="F811" s="1185"/>
      <c r="G811" s="1186"/>
      <c r="H811" s="1186"/>
      <c r="I811" s="195"/>
      <c r="J811" s="195"/>
      <c r="K811" s="195"/>
      <c r="L811" s="195"/>
      <c r="M811" s="1185"/>
    </row>
    <row r="812">
      <c r="A812" s="1185"/>
      <c r="B812" s="1185"/>
      <c r="C812" s="1185"/>
      <c r="D812" s="1185"/>
      <c r="E812" s="1185"/>
      <c r="F812" s="1185"/>
      <c r="G812" s="1186"/>
      <c r="H812" s="1186"/>
      <c r="I812" s="195"/>
      <c r="J812" s="195"/>
      <c r="K812" s="195"/>
      <c r="L812" s="195"/>
      <c r="M812" s="1185"/>
    </row>
    <row r="813">
      <c r="A813" s="1185"/>
      <c r="B813" s="1185"/>
      <c r="C813" s="1185"/>
      <c r="D813" s="1185"/>
      <c r="E813" s="1185"/>
      <c r="F813" s="1185"/>
      <c r="G813" s="1186"/>
      <c r="H813" s="1186"/>
      <c r="I813" s="195"/>
      <c r="J813" s="195"/>
      <c r="K813" s="195"/>
      <c r="L813" s="195"/>
      <c r="M813" s="1185"/>
    </row>
    <row r="814">
      <c r="A814" s="1185"/>
      <c r="B814" s="1185"/>
      <c r="C814" s="1185"/>
      <c r="D814" s="1185"/>
      <c r="E814" s="1185"/>
      <c r="F814" s="1185"/>
      <c r="G814" s="1186"/>
      <c r="H814" s="1186"/>
      <c r="I814" s="195"/>
      <c r="J814" s="195"/>
      <c r="K814" s="195"/>
      <c r="L814" s="195"/>
      <c r="M814" s="1185"/>
    </row>
    <row r="815">
      <c r="A815" s="1185"/>
      <c r="B815" s="1185"/>
      <c r="C815" s="1185"/>
      <c r="D815" s="1185"/>
      <c r="E815" s="1185"/>
      <c r="F815" s="1185"/>
      <c r="G815" s="1186"/>
      <c r="H815" s="1186"/>
      <c r="I815" s="195"/>
      <c r="J815" s="195"/>
      <c r="K815" s="195"/>
      <c r="L815" s="195"/>
      <c r="M815" s="1185"/>
    </row>
    <row r="816">
      <c r="A816" s="1185"/>
      <c r="B816" s="1185"/>
      <c r="C816" s="1185"/>
      <c r="D816" s="1185"/>
      <c r="E816" s="1185"/>
      <c r="F816" s="1185"/>
      <c r="G816" s="1186"/>
      <c r="H816" s="1186"/>
      <c r="I816" s="195"/>
      <c r="J816" s="195"/>
      <c r="K816" s="195"/>
      <c r="L816" s="195"/>
      <c r="M816" s="1185"/>
    </row>
    <row r="817">
      <c r="A817" s="1185"/>
      <c r="B817" s="1185"/>
      <c r="C817" s="1185"/>
      <c r="D817" s="1185"/>
      <c r="E817" s="1185"/>
      <c r="F817" s="1185"/>
      <c r="G817" s="1186"/>
      <c r="H817" s="1186"/>
      <c r="I817" s="195"/>
      <c r="J817" s="195"/>
      <c r="K817" s="195"/>
      <c r="L817" s="195"/>
      <c r="M817" s="1185"/>
    </row>
    <row r="818">
      <c r="A818" s="1185"/>
      <c r="B818" s="1185"/>
      <c r="C818" s="1185"/>
      <c r="D818" s="1185"/>
      <c r="E818" s="1185"/>
      <c r="F818" s="1185"/>
      <c r="G818" s="1186"/>
      <c r="H818" s="1186"/>
      <c r="I818" s="195"/>
      <c r="J818" s="195"/>
      <c r="K818" s="195"/>
      <c r="L818" s="195"/>
      <c r="M818" s="1185"/>
    </row>
    <row r="819">
      <c r="A819" s="1185"/>
      <c r="B819" s="1185"/>
      <c r="C819" s="1185"/>
      <c r="D819" s="1185"/>
      <c r="E819" s="1185"/>
      <c r="F819" s="1185"/>
      <c r="G819" s="1186"/>
      <c r="H819" s="1186"/>
      <c r="I819" s="195"/>
      <c r="J819" s="195"/>
      <c r="K819" s="195"/>
      <c r="L819" s="195"/>
      <c r="M819" s="1185"/>
    </row>
    <row r="820">
      <c r="A820" s="1185"/>
      <c r="B820" s="1185"/>
      <c r="C820" s="1185"/>
      <c r="D820" s="1185"/>
      <c r="E820" s="1185"/>
      <c r="F820" s="1185"/>
      <c r="G820" s="1186"/>
      <c r="H820" s="1186"/>
      <c r="I820" s="195"/>
      <c r="J820" s="195"/>
      <c r="K820" s="195"/>
      <c r="L820" s="195"/>
      <c r="M820" s="1185"/>
    </row>
    <row r="821">
      <c r="A821" s="1185"/>
      <c r="B821" s="1185"/>
      <c r="C821" s="1185"/>
      <c r="D821" s="1185"/>
      <c r="E821" s="1185"/>
      <c r="F821" s="1185"/>
      <c r="G821" s="1186"/>
      <c r="H821" s="1186"/>
      <c r="I821" s="195"/>
      <c r="J821" s="195"/>
      <c r="K821" s="195"/>
      <c r="L821" s="195"/>
      <c r="M821" s="1185"/>
    </row>
    <row r="822">
      <c r="A822" s="1185"/>
      <c r="B822" s="1185"/>
      <c r="C822" s="1185"/>
      <c r="D822" s="1185"/>
      <c r="E822" s="1185"/>
      <c r="F822" s="1185"/>
      <c r="G822" s="1186"/>
      <c r="H822" s="1186"/>
      <c r="I822" s="195"/>
      <c r="J822" s="195"/>
      <c r="K822" s="195"/>
      <c r="L822" s="195"/>
      <c r="M822" s="1185"/>
    </row>
    <row r="823">
      <c r="A823" s="1185"/>
      <c r="B823" s="1185"/>
      <c r="C823" s="1185"/>
      <c r="D823" s="1185"/>
      <c r="E823" s="1185"/>
      <c r="F823" s="1185"/>
      <c r="G823" s="1186"/>
      <c r="H823" s="1186"/>
      <c r="I823" s="195"/>
      <c r="J823" s="195"/>
      <c r="K823" s="195"/>
      <c r="L823" s="195"/>
      <c r="M823" s="1185"/>
    </row>
    <row r="824">
      <c r="A824" s="1185"/>
      <c r="B824" s="1185"/>
      <c r="C824" s="1185"/>
      <c r="D824" s="1185"/>
      <c r="E824" s="1185"/>
      <c r="F824" s="1185"/>
      <c r="G824" s="1186"/>
      <c r="H824" s="1186"/>
      <c r="I824" s="195"/>
      <c r="J824" s="195"/>
      <c r="K824" s="195"/>
      <c r="L824" s="195"/>
      <c r="M824" s="1185"/>
    </row>
    <row r="825">
      <c r="A825" s="1185"/>
      <c r="B825" s="1185"/>
      <c r="C825" s="1185"/>
      <c r="D825" s="1185"/>
      <c r="E825" s="1185"/>
      <c r="F825" s="1185"/>
      <c r="G825" s="1186"/>
      <c r="H825" s="1186"/>
      <c r="I825" s="195"/>
      <c r="J825" s="195"/>
      <c r="K825" s="195"/>
      <c r="L825" s="195"/>
      <c r="M825" s="1185"/>
    </row>
    <row r="826">
      <c r="A826" s="1185"/>
      <c r="B826" s="1185"/>
      <c r="C826" s="1185"/>
      <c r="D826" s="1185"/>
      <c r="E826" s="1185"/>
      <c r="F826" s="1185"/>
      <c r="G826" s="1186"/>
      <c r="H826" s="1186"/>
      <c r="I826" s="195"/>
      <c r="J826" s="195"/>
      <c r="K826" s="195"/>
      <c r="L826" s="195"/>
      <c r="M826" s="1185"/>
    </row>
    <row r="827">
      <c r="A827" s="1185"/>
      <c r="B827" s="1185"/>
      <c r="C827" s="1185"/>
      <c r="D827" s="1185"/>
      <c r="E827" s="1185"/>
      <c r="F827" s="1185"/>
      <c r="G827" s="1186"/>
      <c r="H827" s="1186"/>
      <c r="I827" s="195"/>
      <c r="J827" s="195"/>
      <c r="K827" s="195"/>
      <c r="L827" s="195"/>
      <c r="M827" s="1185"/>
    </row>
    <row r="828">
      <c r="A828" s="1185"/>
      <c r="B828" s="1185"/>
      <c r="C828" s="1185"/>
      <c r="D828" s="1185"/>
      <c r="E828" s="1185"/>
      <c r="F828" s="1185"/>
      <c r="G828" s="1186"/>
      <c r="H828" s="1186"/>
      <c r="I828" s="195"/>
      <c r="J828" s="195"/>
      <c r="K828" s="195"/>
      <c r="L828" s="195"/>
      <c r="M828" s="1185"/>
    </row>
    <row r="829">
      <c r="A829" s="1185"/>
      <c r="B829" s="1185"/>
      <c r="C829" s="1185"/>
      <c r="D829" s="1185"/>
      <c r="E829" s="1185"/>
      <c r="F829" s="1185"/>
      <c r="G829" s="1186"/>
      <c r="H829" s="1186"/>
      <c r="I829" s="195"/>
      <c r="J829" s="195"/>
      <c r="K829" s="195"/>
      <c r="L829" s="195"/>
      <c r="M829" s="1185"/>
    </row>
    <row r="830">
      <c r="A830" s="1185"/>
      <c r="B830" s="1185"/>
      <c r="C830" s="1185"/>
      <c r="D830" s="1185"/>
      <c r="E830" s="1185"/>
      <c r="F830" s="1185"/>
      <c r="G830" s="1186"/>
      <c r="H830" s="1186"/>
      <c r="I830" s="195"/>
      <c r="J830" s="195"/>
      <c r="K830" s="195"/>
      <c r="L830" s="195"/>
      <c r="M830" s="1185"/>
    </row>
    <row r="831">
      <c r="A831" s="1185"/>
      <c r="B831" s="1185"/>
      <c r="C831" s="1185"/>
      <c r="D831" s="1185"/>
      <c r="E831" s="1185"/>
      <c r="F831" s="1185"/>
      <c r="G831" s="1186"/>
      <c r="H831" s="1186"/>
      <c r="I831" s="195"/>
      <c r="J831" s="195"/>
      <c r="K831" s="195"/>
      <c r="L831" s="195"/>
      <c r="M831" s="1185"/>
    </row>
    <row r="832">
      <c r="A832" s="1185"/>
      <c r="B832" s="1185"/>
      <c r="C832" s="1185"/>
      <c r="D832" s="1185"/>
      <c r="E832" s="1185"/>
      <c r="F832" s="1185"/>
      <c r="G832" s="1186"/>
      <c r="H832" s="1186"/>
      <c r="I832" s="195"/>
      <c r="J832" s="195"/>
      <c r="K832" s="195"/>
      <c r="L832" s="195"/>
      <c r="M832" s="1185"/>
    </row>
    <row r="833">
      <c r="A833" s="1185"/>
      <c r="B833" s="1185"/>
      <c r="C833" s="1185"/>
      <c r="D833" s="1185"/>
      <c r="E833" s="1185"/>
      <c r="F833" s="1185"/>
      <c r="G833" s="1186"/>
      <c r="H833" s="1186"/>
      <c r="I833" s="195"/>
      <c r="J833" s="195"/>
      <c r="K833" s="195"/>
      <c r="L833" s="195"/>
      <c r="M833" s="1185"/>
    </row>
    <row r="834">
      <c r="A834" s="1185"/>
      <c r="B834" s="1185"/>
      <c r="C834" s="1185"/>
      <c r="D834" s="1185"/>
      <c r="E834" s="1185"/>
      <c r="F834" s="1185"/>
      <c r="G834" s="1186"/>
      <c r="H834" s="1186"/>
      <c r="I834" s="195"/>
      <c r="J834" s="195"/>
      <c r="K834" s="195"/>
      <c r="L834" s="195"/>
      <c r="M834" s="1185"/>
    </row>
    <row r="835">
      <c r="A835" s="1185"/>
      <c r="B835" s="1185"/>
      <c r="C835" s="1185"/>
      <c r="D835" s="1185"/>
      <c r="E835" s="1185"/>
      <c r="F835" s="1185"/>
      <c r="G835" s="1186"/>
      <c r="H835" s="1186"/>
      <c r="I835" s="195"/>
      <c r="J835" s="195"/>
      <c r="K835" s="195"/>
      <c r="L835" s="195"/>
      <c r="M835" s="1185"/>
    </row>
    <row r="836">
      <c r="A836" s="1185"/>
      <c r="B836" s="1185"/>
      <c r="C836" s="1185"/>
      <c r="D836" s="1185"/>
      <c r="E836" s="1185"/>
      <c r="F836" s="1185"/>
      <c r="G836" s="1186"/>
      <c r="H836" s="1186"/>
      <c r="I836" s="195"/>
      <c r="J836" s="195"/>
      <c r="K836" s="195"/>
      <c r="L836" s="195"/>
      <c r="M836" s="1185"/>
    </row>
    <row r="837">
      <c r="A837" s="1185"/>
      <c r="B837" s="1185"/>
      <c r="C837" s="1185"/>
      <c r="D837" s="1185"/>
      <c r="E837" s="1185"/>
      <c r="F837" s="1185"/>
      <c r="G837" s="1186"/>
      <c r="H837" s="1186"/>
      <c r="I837" s="195"/>
      <c r="J837" s="195"/>
      <c r="K837" s="195"/>
      <c r="L837" s="195"/>
      <c r="M837" s="1185"/>
    </row>
    <row r="838">
      <c r="A838" s="1185"/>
      <c r="B838" s="1185"/>
      <c r="C838" s="1185"/>
      <c r="D838" s="1185"/>
      <c r="E838" s="1185"/>
      <c r="F838" s="1185"/>
      <c r="G838" s="1186"/>
      <c r="H838" s="1186"/>
      <c r="I838" s="195"/>
      <c r="J838" s="195"/>
      <c r="K838" s="195"/>
      <c r="L838" s="195"/>
      <c r="M838" s="1185"/>
    </row>
    <row r="839">
      <c r="A839" s="1185"/>
      <c r="B839" s="1185"/>
      <c r="C839" s="1185"/>
      <c r="D839" s="1185"/>
      <c r="E839" s="1185"/>
      <c r="F839" s="1185"/>
      <c r="G839" s="1186"/>
      <c r="H839" s="1186"/>
      <c r="I839" s="195"/>
      <c r="J839" s="195"/>
      <c r="K839" s="195"/>
      <c r="L839" s="195"/>
      <c r="M839" s="1185"/>
    </row>
    <row r="840">
      <c r="A840" s="1185"/>
      <c r="B840" s="1185"/>
      <c r="C840" s="1185"/>
      <c r="D840" s="1185"/>
      <c r="E840" s="1185"/>
      <c r="F840" s="1185"/>
      <c r="G840" s="1186"/>
      <c r="H840" s="1186"/>
      <c r="I840" s="195"/>
      <c r="J840" s="195"/>
      <c r="K840" s="195"/>
      <c r="L840" s="195"/>
      <c r="M840" s="1185"/>
    </row>
    <row r="841">
      <c r="A841" s="1185"/>
      <c r="B841" s="1185"/>
      <c r="C841" s="1185"/>
      <c r="D841" s="1185"/>
      <c r="E841" s="1185"/>
      <c r="F841" s="1185"/>
      <c r="G841" s="1186"/>
      <c r="H841" s="1186"/>
      <c r="I841" s="195"/>
      <c r="J841" s="195"/>
      <c r="K841" s="195"/>
      <c r="L841" s="195"/>
      <c r="M841" s="1185"/>
    </row>
    <row r="842">
      <c r="A842" s="1185"/>
      <c r="B842" s="1185"/>
      <c r="C842" s="1185"/>
      <c r="D842" s="1185"/>
      <c r="E842" s="1185"/>
      <c r="F842" s="1185"/>
      <c r="G842" s="1186"/>
      <c r="H842" s="1186"/>
      <c r="I842" s="195"/>
      <c r="J842" s="195"/>
      <c r="K842" s="195"/>
      <c r="L842" s="195"/>
      <c r="M842" s="1185"/>
    </row>
    <row r="843">
      <c r="A843" s="1185"/>
      <c r="B843" s="1185"/>
      <c r="C843" s="1185"/>
      <c r="D843" s="1185"/>
      <c r="E843" s="1185"/>
      <c r="F843" s="1185"/>
      <c r="G843" s="1186"/>
      <c r="H843" s="1186"/>
      <c r="I843" s="195"/>
      <c r="J843" s="195"/>
      <c r="K843" s="195"/>
      <c r="L843" s="195"/>
      <c r="M843" s="1185"/>
    </row>
    <row r="844">
      <c r="A844" s="1185"/>
      <c r="B844" s="1185"/>
      <c r="C844" s="1185"/>
      <c r="D844" s="1185"/>
      <c r="E844" s="1185"/>
      <c r="F844" s="1185"/>
      <c r="G844" s="1186"/>
      <c r="H844" s="1186"/>
      <c r="I844" s="195"/>
      <c r="J844" s="195"/>
      <c r="K844" s="195"/>
      <c r="L844" s="195"/>
      <c r="M844" s="1185"/>
    </row>
    <row r="845">
      <c r="A845" s="1185"/>
      <c r="B845" s="1185"/>
      <c r="C845" s="1185"/>
      <c r="D845" s="1185"/>
      <c r="E845" s="1185"/>
      <c r="F845" s="1185"/>
      <c r="G845" s="1186"/>
      <c r="H845" s="1186"/>
      <c r="I845" s="195"/>
      <c r="J845" s="195"/>
      <c r="K845" s="195"/>
      <c r="L845" s="195"/>
      <c r="M845" s="1185"/>
    </row>
    <row r="846">
      <c r="A846" s="1185"/>
      <c r="B846" s="1185"/>
      <c r="C846" s="1185"/>
      <c r="D846" s="1185"/>
      <c r="E846" s="1185"/>
      <c r="F846" s="1185"/>
      <c r="G846" s="1186"/>
      <c r="H846" s="1186"/>
      <c r="I846" s="195"/>
      <c r="J846" s="195"/>
      <c r="K846" s="195"/>
      <c r="L846" s="195"/>
      <c r="M846" s="1185"/>
    </row>
    <row r="847">
      <c r="A847" s="1185"/>
      <c r="B847" s="1185"/>
      <c r="C847" s="1185"/>
      <c r="D847" s="1185"/>
      <c r="E847" s="1185"/>
      <c r="F847" s="1185"/>
      <c r="G847" s="1186"/>
      <c r="H847" s="1186"/>
      <c r="I847" s="195"/>
      <c r="J847" s="195"/>
      <c r="K847" s="195"/>
      <c r="L847" s="195"/>
      <c r="M847" s="1185"/>
    </row>
    <row r="848">
      <c r="A848" s="1185"/>
      <c r="B848" s="1185"/>
      <c r="C848" s="1185"/>
      <c r="D848" s="1185"/>
      <c r="E848" s="1185"/>
      <c r="F848" s="1185"/>
      <c r="G848" s="1186"/>
      <c r="H848" s="1186"/>
      <c r="I848" s="195"/>
      <c r="J848" s="195"/>
      <c r="K848" s="195"/>
      <c r="L848" s="195"/>
      <c r="M848" s="1185"/>
    </row>
    <row r="849">
      <c r="A849" s="1185"/>
      <c r="B849" s="1185"/>
      <c r="C849" s="1185"/>
      <c r="D849" s="1185"/>
      <c r="E849" s="1185"/>
      <c r="F849" s="1185"/>
      <c r="G849" s="1186"/>
      <c r="H849" s="1186"/>
      <c r="I849" s="195"/>
      <c r="J849" s="195"/>
      <c r="K849" s="195"/>
      <c r="L849" s="195"/>
      <c r="M849" s="1185"/>
    </row>
    <row r="850">
      <c r="A850" s="1185"/>
      <c r="B850" s="1185"/>
      <c r="C850" s="1185"/>
      <c r="D850" s="1185"/>
      <c r="E850" s="1185"/>
      <c r="F850" s="1185"/>
      <c r="G850" s="1186"/>
      <c r="H850" s="1186"/>
      <c r="I850" s="195"/>
      <c r="J850" s="195"/>
      <c r="K850" s="195"/>
      <c r="L850" s="195"/>
      <c r="M850" s="1185"/>
    </row>
    <row r="851">
      <c r="A851" s="1185"/>
      <c r="B851" s="1185"/>
      <c r="C851" s="1185"/>
      <c r="D851" s="1185"/>
      <c r="E851" s="1185"/>
      <c r="F851" s="1185"/>
      <c r="G851" s="1186"/>
      <c r="H851" s="1186"/>
      <c r="I851" s="195"/>
      <c r="J851" s="195"/>
      <c r="K851" s="195"/>
      <c r="L851" s="195"/>
      <c r="M851" s="1185"/>
    </row>
    <row r="852">
      <c r="A852" s="1185"/>
      <c r="B852" s="1185"/>
      <c r="C852" s="1185"/>
      <c r="D852" s="1185"/>
      <c r="E852" s="1185"/>
      <c r="F852" s="1185"/>
      <c r="G852" s="1186"/>
      <c r="H852" s="1186"/>
      <c r="I852" s="195"/>
      <c r="J852" s="195"/>
      <c r="K852" s="195"/>
      <c r="L852" s="195"/>
      <c r="M852" s="1185"/>
    </row>
    <row r="853">
      <c r="A853" s="1185"/>
      <c r="B853" s="1185"/>
      <c r="C853" s="1185"/>
      <c r="D853" s="1185"/>
      <c r="E853" s="1185"/>
      <c r="F853" s="1185"/>
      <c r="G853" s="1186"/>
      <c r="H853" s="1186"/>
      <c r="I853" s="195"/>
      <c r="J853" s="195"/>
      <c r="K853" s="195"/>
      <c r="L853" s="195"/>
      <c r="M853" s="1185"/>
    </row>
    <row r="854">
      <c r="A854" s="1185"/>
      <c r="B854" s="1185"/>
      <c r="C854" s="1185"/>
      <c r="D854" s="1185"/>
      <c r="E854" s="1185"/>
      <c r="F854" s="1185"/>
      <c r="G854" s="1186"/>
      <c r="H854" s="1186"/>
      <c r="I854" s="195"/>
      <c r="J854" s="195"/>
      <c r="K854" s="195"/>
      <c r="L854" s="195"/>
      <c r="M854" s="1185"/>
    </row>
    <row r="855">
      <c r="A855" s="1185"/>
      <c r="B855" s="1185"/>
      <c r="C855" s="1185"/>
      <c r="D855" s="1185"/>
      <c r="E855" s="1185"/>
      <c r="F855" s="1185"/>
      <c r="G855" s="1186"/>
      <c r="H855" s="1186"/>
      <c r="I855" s="195"/>
      <c r="J855" s="195"/>
      <c r="K855" s="195"/>
      <c r="L855" s="195"/>
      <c r="M855" s="1185"/>
    </row>
    <row r="856">
      <c r="A856" s="1185"/>
      <c r="B856" s="1185"/>
      <c r="C856" s="1185"/>
      <c r="D856" s="1185"/>
      <c r="E856" s="1185"/>
      <c r="F856" s="1185"/>
      <c r="G856" s="1186"/>
      <c r="H856" s="1186"/>
      <c r="I856" s="195"/>
      <c r="J856" s="195"/>
      <c r="K856" s="195"/>
      <c r="L856" s="195"/>
      <c r="M856" s="1185"/>
    </row>
    <row r="857">
      <c r="A857" s="1185"/>
      <c r="B857" s="1185"/>
      <c r="C857" s="1185"/>
      <c r="D857" s="1185"/>
      <c r="E857" s="1185"/>
      <c r="F857" s="1185"/>
      <c r="G857" s="1186"/>
      <c r="H857" s="1186"/>
      <c r="I857" s="195"/>
      <c r="J857" s="195"/>
      <c r="K857" s="195"/>
      <c r="L857" s="195"/>
      <c r="M857" s="1185"/>
    </row>
    <row r="858">
      <c r="A858" s="1185"/>
      <c r="B858" s="1185"/>
      <c r="C858" s="1185"/>
      <c r="D858" s="1185"/>
      <c r="E858" s="1185"/>
      <c r="F858" s="1185"/>
      <c r="G858" s="1186"/>
      <c r="H858" s="1186"/>
      <c r="I858" s="195"/>
      <c r="J858" s="195"/>
      <c r="K858" s="195"/>
      <c r="L858" s="195"/>
      <c r="M858" s="1185"/>
    </row>
    <row r="859">
      <c r="A859" s="1185"/>
      <c r="B859" s="1185"/>
      <c r="C859" s="1185"/>
      <c r="D859" s="1185"/>
      <c r="E859" s="1185"/>
      <c r="F859" s="1185"/>
      <c r="G859" s="1186"/>
      <c r="H859" s="1186"/>
      <c r="I859" s="195"/>
      <c r="J859" s="195"/>
      <c r="K859" s="195"/>
      <c r="L859" s="195"/>
      <c r="M859" s="1185"/>
    </row>
    <row r="860">
      <c r="A860" s="1185"/>
      <c r="B860" s="1185"/>
      <c r="C860" s="1185"/>
      <c r="D860" s="1185"/>
      <c r="E860" s="1185"/>
      <c r="F860" s="1185"/>
      <c r="G860" s="1186"/>
      <c r="H860" s="1186"/>
      <c r="I860" s="195"/>
      <c r="J860" s="195"/>
      <c r="K860" s="195"/>
      <c r="L860" s="195"/>
      <c r="M860" s="1185"/>
    </row>
    <row r="861">
      <c r="A861" s="1185"/>
      <c r="B861" s="1185"/>
      <c r="C861" s="1185"/>
      <c r="D861" s="1185"/>
      <c r="E861" s="1185"/>
      <c r="F861" s="1185"/>
      <c r="G861" s="1186"/>
      <c r="H861" s="1186"/>
      <c r="I861" s="195"/>
      <c r="J861" s="195"/>
      <c r="K861" s="195"/>
      <c r="L861" s="195"/>
      <c r="M861" s="1185"/>
    </row>
    <row r="862">
      <c r="A862" s="1185"/>
      <c r="B862" s="1185"/>
      <c r="C862" s="1185"/>
      <c r="D862" s="1185"/>
      <c r="E862" s="1185"/>
      <c r="F862" s="1185"/>
      <c r="G862" s="1186"/>
      <c r="H862" s="1186"/>
      <c r="I862" s="195"/>
      <c r="J862" s="195"/>
      <c r="K862" s="195"/>
      <c r="L862" s="195"/>
      <c r="M862" s="1185"/>
    </row>
    <row r="863">
      <c r="A863" s="1185"/>
      <c r="B863" s="1185"/>
      <c r="C863" s="1185"/>
      <c r="D863" s="1185"/>
      <c r="E863" s="1185"/>
      <c r="F863" s="1185"/>
      <c r="G863" s="1186"/>
      <c r="H863" s="1186"/>
      <c r="I863" s="195"/>
      <c r="J863" s="195"/>
      <c r="K863" s="195"/>
      <c r="L863" s="195"/>
      <c r="M863" s="1185"/>
    </row>
    <row r="864">
      <c r="A864" s="1185"/>
      <c r="B864" s="1185"/>
      <c r="C864" s="1185"/>
      <c r="D864" s="1185"/>
      <c r="E864" s="1185"/>
      <c r="F864" s="1185"/>
      <c r="G864" s="1186"/>
      <c r="H864" s="1186"/>
      <c r="I864" s="195"/>
      <c r="J864" s="195"/>
      <c r="K864" s="195"/>
      <c r="L864" s="195"/>
      <c r="M864" s="1185"/>
    </row>
    <row r="865">
      <c r="A865" s="1185"/>
      <c r="B865" s="1185"/>
      <c r="C865" s="1185"/>
      <c r="D865" s="1185"/>
      <c r="E865" s="1185"/>
      <c r="F865" s="1185"/>
      <c r="G865" s="1186"/>
      <c r="H865" s="1186"/>
      <c r="I865" s="195"/>
      <c r="J865" s="195"/>
      <c r="K865" s="195"/>
      <c r="L865" s="195"/>
      <c r="M865" s="1185"/>
    </row>
    <row r="866">
      <c r="A866" s="1185"/>
      <c r="B866" s="1185"/>
      <c r="C866" s="1185"/>
      <c r="D866" s="1185"/>
      <c r="E866" s="1185"/>
      <c r="F866" s="1185"/>
      <c r="G866" s="1186"/>
      <c r="H866" s="1186"/>
      <c r="I866" s="195"/>
      <c r="J866" s="195"/>
      <c r="K866" s="195"/>
      <c r="L866" s="195"/>
      <c r="M866" s="1185"/>
    </row>
    <row r="867">
      <c r="A867" s="1185"/>
      <c r="B867" s="1185"/>
      <c r="C867" s="1185"/>
      <c r="D867" s="1185"/>
      <c r="E867" s="1185"/>
      <c r="F867" s="1185"/>
      <c r="G867" s="1186"/>
      <c r="H867" s="1186"/>
      <c r="I867" s="195"/>
      <c r="J867" s="195"/>
      <c r="K867" s="195"/>
      <c r="L867" s="195"/>
      <c r="M867" s="1185"/>
    </row>
    <row r="868">
      <c r="A868" s="1185"/>
      <c r="B868" s="1185"/>
      <c r="C868" s="1185"/>
      <c r="D868" s="1185"/>
      <c r="E868" s="1185"/>
      <c r="F868" s="1185"/>
      <c r="G868" s="1186"/>
      <c r="H868" s="1186"/>
      <c r="I868" s="195"/>
      <c r="J868" s="195"/>
      <c r="K868" s="195"/>
      <c r="L868" s="195"/>
      <c r="M868" s="1185"/>
    </row>
    <row r="869">
      <c r="A869" s="1185"/>
      <c r="B869" s="1185"/>
      <c r="C869" s="1185"/>
      <c r="D869" s="1185"/>
      <c r="E869" s="1185"/>
      <c r="F869" s="1185"/>
      <c r="G869" s="1186"/>
      <c r="H869" s="1186"/>
      <c r="I869" s="195"/>
      <c r="J869" s="195"/>
      <c r="K869" s="195"/>
      <c r="L869" s="195"/>
      <c r="M869" s="1185"/>
    </row>
    <row r="870">
      <c r="A870" s="1185"/>
      <c r="B870" s="1185"/>
      <c r="C870" s="1185"/>
      <c r="D870" s="1185"/>
      <c r="E870" s="1185"/>
      <c r="F870" s="1185"/>
      <c r="G870" s="1186"/>
      <c r="H870" s="1186"/>
      <c r="I870" s="195"/>
      <c r="J870" s="195"/>
      <c r="K870" s="195"/>
      <c r="L870" s="195"/>
      <c r="M870" s="1185"/>
    </row>
    <row r="871">
      <c r="A871" s="1185"/>
      <c r="B871" s="1185"/>
      <c r="C871" s="1185"/>
      <c r="D871" s="1185"/>
      <c r="E871" s="1185"/>
      <c r="F871" s="1185"/>
      <c r="G871" s="1186"/>
      <c r="H871" s="1186"/>
      <c r="I871" s="195"/>
      <c r="J871" s="195"/>
      <c r="K871" s="195"/>
      <c r="L871" s="195"/>
      <c r="M871" s="1185"/>
    </row>
    <row r="872">
      <c r="A872" s="1185"/>
      <c r="B872" s="1185"/>
      <c r="C872" s="1185"/>
      <c r="D872" s="1185"/>
      <c r="E872" s="1185"/>
      <c r="F872" s="1185"/>
      <c r="G872" s="1186"/>
      <c r="H872" s="1186"/>
      <c r="I872" s="195"/>
      <c r="J872" s="195"/>
      <c r="K872" s="195"/>
      <c r="L872" s="195"/>
      <c r="M872" s="1185"/>
    </row>
    <row r="873">
      <c r="A873" s="1185"/>
      <c r="B873" s="1185"/>
      <c r="C873" s="1185"/>
      <c r="D873" s="1185"/>
      <c r="E873" s="1185"/>
      <c r="F873" s="1185"/>
      <c r="G873" s="1186"/>
      <c r="H873" s="1186"/>
      <c r="I873" s="195"/>
      <c r="J873" s="195"/>
      <c r="K873" s="195"/>
      <c r="L873" s="195"/>
      <c r="M873" s="1185"/>
    </row>
    <row r="874">
      <c r="A874" s="1185"/>
      <c r="B874" s="1185"/>
      <c r="C874" s="1185"/>
      <c r="D874" s="1185"/>
      <c r="E874" s="1185"/>
      <c r="F874" s="1185"/>
      <c r="G874" s="1186"/>
      <c r="H874" s="1186"/>
      <c r="I874" s="195"/>
      <c r="J874" s="195"/>
      <c r="K874" s="195"/>
      <c r="L874" s="195"/>
      <c r="M874" s="1185"/>
    </row>
    <row r="875">
      <c r="A875" s="1185"/>
      <c r="B875" s="1185"/>
      <c r="C875" s="1185"/>
      <c r="D875" s="1185"/>
      <c r="E875" s="1185"/>
      <c r="F875" s="1185"/>
      <c r="G875" s="1186"/>
      <c r="H875" s="1186"/>
      <c r="I875" s="195"/>
      <c r="J875" s="195"/>
      <c r="K875" s="195"/>
      <c r="L875" s="195"/>
      <c r="M875" s="1185"/>
    </row>
    <row r="876">
      <c r="A876" s="1185"/>
      <c r="B876" s="1185"/>
      <c r="C876" s="1185"/>
      <c r="D876" s="1185"/>
      <c r="E876" s="1185"/>
      <c r="F876" s="1185"/>
      <c r="G876" s="1186"/>
      <c r="H876" s="1186"/>
      <c r="I876" s="195"/>
      <c r="J876" s="195"/>
      <c r="K876" s="195"/>
      <c r="L876" s="195"/>
      <c r="M876" s="1185"/>
    </row>
    <row r="877">
      <c r="A877" s="1185"/>
      <c r="B877" s="1185"/>
      <c r="C877" s="1185"/>
      <c r="D877" s="1185"/>
      <c r="E877" s="1185"/>
      <c r="F877" s="1185"/>
      <c r="G877" s="1186"/>
      <c r="H877" s="1186"/>
      <c r="I877" s="195"/>
      <c r="J877" s="195"/>
      <c r="K877" s="195"/>
      <c r="L877" s="195"/>
      <c r="M877" s="1185"/>
    </row>
    <row r="878">
      <c r="A878" s="1185"/>
      <c r="B878" s="1185"/>
      <c r="C878" s="1185"/>
      <c r="D878" s="1185"/>
      <c r="E878" s="1185"/>
      <c r="F878" s="1185"/>
      <c r="G878" s="1186"/>
      <c r="H878" s="1186"/>
      <c r="I878" s="195"/>
      <c r="J878" s="195"/>
      <c r="K878" s="195"/>
      <c r="L878" s="195"/>
      <c r="M878" s="1185"/>
    </row>
    <row r="879">
      <c r="A879" s="1185"/>
      <c r="B879" s="1185"/>
      <c r="C879" s="1185"/>
      <c r="D879" s="1185"/>
      <c r="E879" s="1185"/>
      <c r="F879" s="1185"/>
      <c r="G879" s="1186"/>
      <c r="H879" s="1186"/>
      <c r="I879" s="195"/>
      <c r="J879" s="195"/>
      <c r="K879" s="195"/>
      <c r="L879" s="195"/>
      <c r="M879" s="1185"/>
    </row>
    <row r="880">
      <c r="A880" s="1185"/>
      <c r="B880" s="1185"/>
      <c r="C880" s="1185"/>
      <c r="D880" s="1185"/>
      <c r="E880" s="1185"/>
      <c r="F880" s="1185"/>
      <c r="G880" s="1186"/>
      <c r="H880" s="1186"/>
      <c r="I880" s="195"/>
      <c r="J880" s="195"/>
      <c r="K880" s="195"/>
      <c r="L880" s="195"/>
      <c r="M880" s="1185"/>
    </row>
    <row r="881">
      <c r="A881" s="1185"/>
      <c r="B881" s="1185"/>
      <c r="C881" s="1185"/>
      <c r="D881" s="1185"/>
      <c r="E881" s="1185"/>
      <c r="F881" s="1185"/>
      <c r="G881" s="1186"/>
      <c r="H881" s="1186"/>
      <c r="I881" s="195"/>
      <c r="J881" s="195"/>
      <c r="K881" s="195"/>
      <c r="L881" s="195"/>
      <c r="M881" s="1185"/>
    </row>
    <row r="882">
      <c r="A882" s="1185"/>
      <c r="B882" s="1185"/>
      <c r="C882" s="1185"/>
      <c r="D882" s="1185"/>
      <c r="E882" s="1185"/>
      <c r="F882" s="1185"/>
      <c r="G882" s="1186"/>
      <c r="H882" s="1186"/>
      <c r="I882" s="195"/>
      <c r="J882" s="195"/>
      <c r="K882" s="195"/>
      <c r="L882" s="195"/>
      <c r="M882" s="1185"/>
    </row>
    <row r="883">
      <c r="A883" s="1185"/>
      <c r="B883" s="1185"/>
      <c r="C883" s="1185"/>
      <c r="D883" s="1185"/>
      <c r="E883" s="1185"/>
      <c r="F883" s="1185"/>
      <c r="G883" s="1186"/>
      <c r="H883" s="1186"/>
      <c r="I883" s="195"/>
      <c r="J883" s="195"/>
      <c r="K883" s="195"/>
      <c r="L883" s="195"/>
      <c r="M883" s="1185"/>
    </row>
    <row r="884">
      <c r="A884" s="1185"/>
      <c r="B884" s="1185"/>
      <c r="C884" s="1185"/>
      <c r="D884" s="1185"/>
      <c r="E884" s="1185"/>
      <c r="F884" s="1185"/>
      <c r="G884" s="1186"/>
      <c r="H884" s="1186"/>
      <c r="I884" s="195"/>
      <c r="J884" s="195"/>
      <c r="K884" s="195"/>
      <c r="L884" s="195"/>
      <c r="M884" s="1185"/>
    </row>
    <row r="885">
      <c r="A885" s="1185"/>
      <c r="B885" s="1185"/>
      <c r="C885" s="1185"/>
      <c r="D885" s="1185"/>
      <c r="E885" s="1185"/>
      <c r="F885" s="1185"/>
      <c r="G885" s="1186"/>
      <c r="H885" s="1186"/>
      <c r="I885" s="195"/>
      <c r="J885" s="195"/>
      <c r="K885" s="195"/>
      <c r="L885" s="195"/>
      <c r="M885" s="1185"/>
    </row>
    <row r="886">
      <c r="A886" s="1185"/>
      <c r="B886" s="1185"/>
      <c r="C886" s="1185"/>
      <c r="D886" s="1185"/>
      <c r="E886" s="1185"/>
      <c r="F886" s="1185"/>
      <c r="G886" s="1186"/>
      <c r="H886" s="1186"/>
      <c r="I886" s="195"/>
      <c r="J886" s="195"/>
      <c r="K886" s="195"/>
      <c r="L886" s="195"/>
      <c r="M886" s="1185"/>
    </row>
    <row r="887">
      <c r="A887" s="1185"/>
      <c r="B887" s="1185"/>
      <c r="C887" s="1185"/>
      <c r="D887" s="1185"/>
      <c r="E887" s="1185"/>
      <c r="F887" s="1185"/>
      <c r="G887" s="1186"/>
      <c r="H887" s="1186"/>
      <c r="I887" s="195"/>
      <c r="J887" s="195"/>
      <c r="K887" s="195"/>
      <c r="L887" s="195"/>
      <c r="M887" s="1185"/>
    </row>
    <row r="888">
      <c r="A888" s="1185"/>
      <c r="B888" s="1185"/>
      <c r="C888" s="1185"/>
      <c r="D888" s="1185"/>
      <c r="E888" s="1185"/>
      <c r="F888" s="1185"/>
      <c r="G888" s="1186"/>
      <c r="H888" s="1186"/>
      <c r="I888" s="195"/>
      <c r="J888" s="195"/>
      <c r="K888" s="195"/>
      <c r="L888" s="195"/>
      <c r="M888" s="1185"/>
    </row>
    <row r="889">
      <c r="A889" s="1185"/>
      <c r="B889" s="1185"/>
      <c r="C889" s="1185"/>
      <c r="D889" s="1185"/>
      <c r="E889" s="1185"/>
      <c r="F889" s="1185"/>
      <c r="G889" s="1186"/>
      <c r="H889" s="1186"/>
      <c r="I889" s="195"/>
      <c r="J889" s="195"/>
      <c r="K889" s="195"/>
      <c r="L889" s="195"/>
      <c r="M889" s="1185"/>
    </row>
    <row r="890">
      <c r="A890" s="1185"/>
      <c r="B890" s="1185"/>
      <c r="C890" s="1185"/>
      <c r="D890" s="1185"/>
      <c r="E890" s="1185"/>
      <c r="F890" s="1185"/>
      <c r="G890" s="1186"/>
      <c r="H890" s="1186"/>
      <c r="I890" s="195"/>
      <c r="J890" s="195"/>
      <c r="K890" s="195"/>
      <c r="L890" s="195"/>
      <c r="M890" s="1185"/>
    </row>
    <row r="891">
      <c r="A891" s="1185"/>
      <c r="B891" s="1185"/>
      <c r="C891" s="1185"/>
      <c r="D891" s="1185"/>
      <c r="E891" s="1185"/>
      <c r="F891" s="1185"/>
      <c r="G891" s="1186"/>
      <c r="H891" s="1186"/>
      <c r="I891" s="195"/>
      <c r="J891" s="195"/>
      <c r="K891" s="195"/>
      <c r="L891" s="195"/>
      <c r="M891" s="1185"/>
    </row>
    <row r="892">
      <c r="A892" s="1185"/>
      <c r="B892" s="1185"/>
      <c r="C892" s="1185"/>
      <c r="D892" s="1185"/>
      <c r="E892" s="1185"/>
      <c r="F892" s="1185"/>
      <c r="G892" s="1186"/>
      <c r="H892" s="1186"/>
      <c r="I892" s="195"/>
      <c r="J892" s="195"/>
      <c r="K892" s="195"/>
      <c r="L892" s="195"/>
      <c r="M892" s="1185"/>
    </row>
    <row r="893">
      <c r="A893" s="1185"/>
      <c r="B893" s="1185"/>
      <c r="C893" s="1185"/>
      <c r="D893" s="1185"/>
      <c r="E893" s="1185"/>
      <c r="F893" s="1185"/>
      <c r="G893" s="1186"/>
      <c r="H893" s="1186"/>
      <c r="I893" s="195"/>
      <c r="J893" s="195"/>
      <c r="K893" s="195"/>
      <c r="L893" s="195"/>
      <c r="M893" s="1185"/>
    </row>
    <row r="894">
      <c r="A894" s="1185"/>
      <c r="B894" s="1185"/>
      <c r="C894" s="1185"/>
      <c r="D894" s="1185"/>
      <c r="E894" s="1185"/>
      <c r="F894" s="1185"/>
      <c r="G894" s="1186"/>
      <c r="H894" s="1186"/>
      <c r="I894" s="195"/>
      <c r="J894" s="195"/>
      <c r="K894" s="195"/>
      <c r="L894" s="195"/>
      <c r="M894" s="1185"/>
    </row>
    <row r="895">
      <c r="A895" s="1185"/>
      <c r="B895" s="1185"/>
      <c r="C895" s="1185"/>
      <c r="D895" s="1185"/>
      <c r="E895" s="1185"/>
      <c r="F895" s="1185"/>
      <c r="G895" s="1186"/>
      <c r="H895" s="1186"/>
      <c r="I895" s="195"/>
      <c r="J895" s="195"/>
      <c r="K895" s="195"/>
      <c r="L895" s="195"/>
      <c r="M895" s="1185"/>
    </row>
    <row r="896">
      <c r="A896" s="1185"/>
      <c r="B896" s="1185"/>
      <c r="C896" s="1185"/>
      <c r="D896" s="1185"/>
      <c r="E896" s="1185"/>
      <c r="F896" s="1185"/>
      <c r="G896" s="1186"/>
      <c r="H896" s="1186"/>
      <c r="I896" s="195"/>
      <c r="J896" s="195"/>
      <c r="K896" s="195"/>
      <c r="L896" s="195"/>
      <c r="M896" s="1185"/>
    </row>
    <row r="897">
      <c r="A897" s="1185"/>
      <c r="B897" s="1185"/>
      <c r="C897" s="1185"/>
      <c r="D897" s="1185"/>
      <c r="E897" s="1185"/>
      <c r="F897" s="1185"/>
      <c r="G897" s="1186"/>
      <c r="H897" s="1186"/>
      <c r="I897" s="195"/>
      <c r="J897" s="195"/>
      <c r="K897" s="195"/>
      <c r="L897" s="195"/>
      <c r="M897" s="1185"/>
    </row>
    <row r="898">
      <c r="A898" s="1185"/>
      <c r="B898" s="1185"/>
      <c r="C898" s="1185"/>
      <c r="D898" s="1185"/>
      <c r="E898" s="1185"/>
      <c r="F898" s="1185"/>
      <c r="G898" s="1186"/>
      <c r="H898" s="1186"/>
      <c r="I898" s="195"/>
      <c r="J898" s="195"/>
      <c r="K898" s="195"/>
      <c r="L898" s="195"/>
      <c r="M898" s="1185"/>
    </row>
    <row r="899">
      <c r="A899" s="1185"/>
      <c r="B899" s="1185"/>
      <c r="C899" s="1185"/>
      <c r="D899" s="1185"/>
      <c r="E899" s="1185"/>
      <c r="F899" s="1185"/>
      <c r="G899" s="1186"/>
      <c r="H899" s="1186"/>
      <c r="I899" s="195"/>
      <c r="J899" s="195"/>
      <c r="K899" s="195"/>
      <c r="L899" s="195"/>
      <c r="M899" s="1185"/>
    </row>
    <row r="900">
      <c r="A900" s="1185"/>
      <c r="B900" s="1185"/>
      <c r="C900" s="1185"/>
      <c r="D900" s="1185"/>
      <c r="E900" s="1185"/>
      <c r="F900" s="1185"/>
      <c r="G900" s="1186"/>
      <c r="H900" s="1186"/>
      <c r="I900" s="195"/>
      <c r="J900" s="195"/>
      <c r="K900" s="195"/>
      <c r="L900" s="195"/>
      <c r="M900" s="1185"/>
    </row>
    <row r="901">
      <c r="A901" s="1185"/>
      <c r="B901" s="1185"/>
      <c r="C901" s="1185"/>
      <c r="D901" s="1185"/>
      <c r="E901" s="1185"/>
      <c r="F901" s="1185"/>
      <c r="G901" s="1186"/>
      <c r="H901" s="1186"/>
      <c r="I901" s="195"/>
      <c r="J901" s="195"/>
      <c r="K901" s="195"/>
      <c r="L901" s="195"/>
      <c r="M901" s="1185"/>
    </row>
    <row r="902">
      <c r="A902" s="1185"/>
      <c r="B902" s="1185"/>
      <c r="C902" s="1185"/>
      <c r="D902" s="1185"/>
      <c r="E902" s="1185"/>
      <c r="F902" s="1185"/>
      <c r="G902" s="1186"/>
      <c r="H902" s="1186"/>
      <c r="I902" s="195"/>
      <c r="J902" s="195"/>
      <c r="K902" s="195"/>
      <c r="L902" s="195"/>
      <c r="M902" s="1185"/>
    </row>
    <row r="903">
      <c r="A903" s="1185"/>
      <c r="B903" s="1185"/>
      <c r="C903" s="1185"/>
      <c r="D903" s="1185"/>
      <c r="E903" s="1185"/>
      <c r="F903" s="1185"/>
      <c r="G903" s="1186"/>
      <c r="H903" s="1186"/>
      <c r="I903" s="195"/>
      <c r="J903" s="195"/>
      <c r="K903" s="195"/>
      <c r="L903" s="195"/>
      <c r="M903" s="1185"/>
    </row>
    <row r="904">
      <c r="A904" s="1185"/>
      <c r="B904" s="1185"/>
      <c r="C904" s="1185"/>
      <c r="D904" s="1185"/>
      <c r="E904" s="1185"/>
      <c r="F904" s="1185"/>
      <c r="G904" s="1186"/>
      <c r="H904" s="1186"/>
      <c r="I904" s="195"/>
      <c r="J904" s="195"/>
      <c r="K904" s="195"/>
      <c r="L904" s="195"/>
      <c r="M904" s="1185"/>
    </row>
    <row r="905">
      <c r="A905" s="1185"/>
      <c r="B905" s="1185"/>
      <c r="C905" s="1185"/>
      <c r="D905" s="1185"/>
      <c r="E905" s="1185"/>
      <c r="F905" s="1185"/>
      <c r="G905" s="1186"/>
      <c r="H905" s="1186"/>
      <c r="I905" s="195"/>
      <c r="J905" s="195"/>
      <c r="K905" s="195"/>
      <c r="L905" s="195"/>
      <c r="M905" s="1185"/>
    </row>
    <row r="906">
      <c r="A906" s="1185"/>
      <c r="B906" s="1185"/>
      <c r="C906" s="1185"/>
      <c r="D906" s="1185"/>
      <c r="E906" s="1185"/>
      <c r="F906" s="1185"/>
      <c r="G906" s="1186"/>
      <c r="H906" s="1186"/>
      <c r="I906" s="195"/>
      <c r="J906" s="195"/>
      <c r="K906" s="195"/>
      <c r="L906" s="195"/>
      <c r="M906" s="1185"/>
    </row>
    <row r="907">
      <c r="A907" s="1185"/>
      <c r="B907" s="1185"/>
      <c r="C907" s="1185"/>
      <c r="D907" s="1185"/>
      <c r="E907" s="1185"/>
      <c r="F907" s="1185"/>
      <c r="G907" s="1186"/>
      <c r="H907" s="1186"/>
      <c r="I907" s="195"/>
      <c r="J907" s="195"/>
      <c r="K907" s="195"/>
      <c r="L907" s="195"/>
      <c r="M907" s="1185"/>
    </row>
    <row r="908">
      <c r="A908" s="1185"/>
      <c r="B908" s="1185"/>
      <c r="C908" s="1185"/>
      <c r="D908" s="1185"/>
      <c r="E908" s="1185"/>
      <c r="F908" s="1185"/>
      <c r="G908" s="1186"/>
      <c r="H908" s="1186"/>
      <c r="I908" s="195"/>
      <c r="J908" s="195"/>
      <c r="K908" s="195"/>
      <c r="L908" s="195"/>
      <c r="M908" s="1185"/>
    </row>
    <row r="909">
      <c r="A909" s="1185"/>
      <c r="B909" s="1185"/>
      <c r="C909" s="1185"/>
      <c r="D909" s="1185"/>
      <c r="E909" s="1185"/>
      <c r="F909" s="1185"/>
      <c r="G909" s="1186"/>
      <c r="H909" s="1186"/>
      <c r="I909" s="195"/>
      <c r="J909" s="195"/>
      <c r="K909" s="195"/>
      <c r="L909" s="195"/>
      <c r="M909" s="1185"/>
    </row>
    <row r="910">
      <c r="A910" s="1185"/>
      <c r="B910" s="1185"/>
      <c r="C910" s="1185"/>
      <c r="D910" s="1185"/>
      <c r="E910" s="1185"/>
      <c r="F910" s="1185"/>
      <c r="G910" s="1186"/>
      <c r="H910" s="1186"/>
      <c r="I910" s="195"/>
      <c r="J910" s="195"/>
      <c r="K910" s="195"/>
      <c r="L910" s="195"/>
      <c r="M910" s="1185"/>
    </row>
    <row r="911">
      <c r="A911" s="1185"/>
      <c r="B911" s="1185"/>
      <c r="C911" s="1185"/>
      <c r="D911" s="1185"/>
      <c r="E911" s="1185"/>
      <c r="F911" s="1185"/>
      <c r="G911" s="1186"/>
      <c r="H911" s="1186"/>
      <c r="I911" s="195"/>
      <c r="J911" s="195"/>
      <c r="K911" s="195"/>
      <c r="L911" s="195"/>
      <c r="M911" s="1185"/>
    </row>
    <row r="912">
      <c r="A912" s="1185"/>
      <c r="B912" s="1185"/>
      <c r="C912" s="1185"/>
      <c r="D912" s="1185"/>
      <c r="E912" s="1185"/>
      <c r="F912" s="1185"/>
      <c r="G912" s="1186"/>
      <c r="H912" s="1186"/>
      <c r="I912" s="195"/>
      <c r="J912" s="195"/>
      <c r="K912" s="195"/>
      <c r="L912" s="195"/>
      <c r="M912" s="1185"/>
    </row>
    <row r="913">
      <c r="A913" s="1185"/>
      <c r="B913" s="1185"/>
      <c r="C913" s="1185"/>
      <c r="D913" s="1185"/>
      <c r="E913" s="1185"/>
      <c r="F913" s="1185"/>
      <c r="G913" s="1186"/>
      <c r="H913" s="1186"/>
      <c r="I913" s="195"/>
      <c r="J913" s="195"/>
      <c r="K913" s="195"/>
      <c r="L913" s="195"/>
      <c r="M913" s="1185"/>
    </row>
    <row r="914">
      <c r="A914" s="1185"/>
      <c r="B914" s="1185"/>
      <c r="C914" s="1185"/>
      <c r="D914" s="1185"/>
      <c r="E914" s="1185"/>
      <c r="F914" s="1185"/>
      <c r="G914" s="1186"/>
      <c r="H914" s="1186"/>
      <c r="I914" s="195"/>
      <c r="J914" s="195"/>
      <c r="K914" s="195"/>
      <c r="L914" s="195"/>
      <c r="M914" s="1185"/>
    </row>
    <row r="915">
      <c r="A915" s="1185"/>
      <c r="B915" s="1185"/>
      <c r="C915" s="1185"/>
      <c r="D915" s="1185"/>
      <c r="E915" s="1185"/>
      <c r="F915" s="1185"/>
      <c r="G915" s="1186"/>
      <c r="H915" s="1186"/>
      <c r="I915" s="195"/>
      <c r="J915" s="195"/>
      <c r="K915" s="195"/>
      <c r="L915" s="195"/>
      <c r="M915" s="1185"/>
    </row>
    <row r="916">
      <c r="A916" s="1185"/>
      <c r="B916" s="1185"/>
      <c r="C916" s="1185"/>
      <c r="D916" s="1185"/>
      <c r="E916" s="1185"/>
      <c r="F916" s="1185"/>
      <c r="G916" s="1186"/>
      <c r="H916" s="1186"/>
      <c r="I916" s="195"/>
      <c r="J916" s="195"/>
      <c r="K916" s="195"/>
      <c r="L916" s="195"/>
      <c r="M916" s="1185"/>
    </row>
    <row r="917">
      <c r="A917" s="1185"/>
      <c r="B917" s="1185"/>
      <c r="C917" s="1185"/>
      <c r="D917" s="1185"/>
      <c r="E917" s="1185"/>
      <c r="F917" s="1185"/>
      <c r="G917" s="1186"/>
      <c r="H917" s="1186"/>
      <c r="I917" s="195"/>
      <c r="J917" s="195"/>
      <c r="K917" s="195"/>
      <c r="L917" s="195"/>
      <c r="M917" s="1185"/>
    </row>
    <row r="918">
      <c r="A918" s="1185"/>
      <c r="B918" s="1185"/>
      <c r="C918" s="1185"/>
      <c r="D918" s="1185"/>
      <c r="E918" s="1185"/>
      <c r="F918" s="1185"/>
      <c r="G918" s="1186"/>
      <c r="H918" s="1186"/>
      <c r="I918" s="195"/>
      <c r="J918" s="195"/>
      <c r="K918" s="195"/>
      <c r="L918" s="195"/>
      <c r="M918" s="1185"/>
    </row>
    <row r="919">
      <c r="A919" s="1185"/>
      <c r="B919" s="1185"/>
      <c r="C919" s="1185"/>
      <c r="D919" s="1185"/>
      <c r="E919" s="1185"/>
      <c r="F919" s="1185"/>
      <c r="G919" s="1186"/>
      <c r="H919" s="1186"/>
      <c r="I919" s="195"/>
      <c r="J919" s="195"/>
      <c r="K919" s="195"/>
      <c r="L919" s="195"/>
      <c r="M919" s="1185"/>
    </row>
    <row r="920">
      <c r="A920" s="1185"/>
      <c r="B920" s="1185"/>
      <c r="C920" s="1185"/>
      <c r="D920" s="1185"/>
      <c r="E920" s="1185"/>
      <c r="F920" s="1185"/>
      <c r="G920" s="1186"/>
      <c r="H920" s="1186"/>
      <c r="I920" s="195"/>
      <c r="J920" s="195"/>
      <c r="K920" s="195"/>
      <c r="L920" s="195"/>
      <c r="M920" s="1185"/>
    </row>
    <row r="921">
      <c r="A921" s="1185"/>
      <c r="B921" s="1185"/>
      <c r="C921" s="1185"/>
      <c r="D921" s="1185"/>
      <c r="E921" s="1185"/>
      <c r="F921" s="1185"/>
      <c r="G921" s="1186"/>
      <c r="H921" s="1186"/>
      <c r="I921" s="195"/>
      <c r="J921" s="195"/>
      <c r="K921" s="195"/>
      <c r="L921" s="195"/>
      <c r="M921" s="1185"/>
    </row>
    <row r="922">
      <c r="A922" s="1185"/>
      <c r="B922" s="1185"/>
      <c r="C922" s="1185"/>
      <c r="D922" s="1185"/>
      <c r="E922" s="1185"/>
      <c r="F922" s="1185"/>
      <c r="G922" s="1186"/>
      <c r="H922" s="1186"/>
      <c r="I922" s="195"/>
      <c r="J922" s="195"/>
      <c r="K922" s="195"/>
      <c r="L922" s="195"/>
      <c r="M922" s="1185"/>
    </row>
    <row r="923">
      <c r="A923" s="1185"/>
      <c r="B923" s="1185"/>
      <c r="C923" s="1185"/>
      <c r="D923" s="1185"/>
      <c r="E923" s="1185"/>
      <c r="F923" s="1185"/>
      <c r="G923" s="1186"/>
      <c r="H923" s="1186"/>
      <c r="I923" s="195"/>
      <c r="J923" s="195"/>
      <c r="K923" s="195"/>
      <c r="L923" s="195"/>
      <c r="M923" s="1185"/>
    </row>
    <row r="924">
      <c r="A924" s="1185"/>
      <c r="B924" s="1185"/>
      <c r="C924" s="1185"/>
      <c r="D924" s="1185"/>
      <c r="E924" s="1185"/>
      <c r="F924" s="1185"/>
      <c r="G924" s="1186"/>
      <c r="H924" s="1186"/>
      <c r="I924" s="195"/>
      <c r="J924" s="195"/>
      <c r="K924" s="195"/>
      <c r="L924" s="195"/>
      <c r="M924" s="1185"/>
    </row>
    <row r="925">
      <c r="A925" s="1185"/>
      <c r="B925" s="1185"/>
      <c r="C925" s="1185"/>
      <c r="D925" s="1185"/>
      <c r="E925" s="1185"/>
      <c r="F925" s="1185"/>
      <c r="G925" s="1186"/>
      <c r="H925" s="1186"/>
      <c r="I925" s="195"/>
      <c r="J925" s="195"/>
      <c r="K925" s="195"/>
      <c r="L925" s="195"/>
      <c r="M925" s="1185"/>
    </row>
    <row r="926">
      <c r="A926" s="1185"/>
      <c r="B926" s="1185"/>
      <c r="C926" s="1185"/>
      <c r="D926" s="1185"/>
      <c r="E926" s="1185"/>
      <c r="F926" s="1185"/>
      <c r="G926" s="1186"/>
      <c r="H926" s="1186"/>
      <c r="I926" s="195"/>
      <c r="J926" s="195"/>
      <c r="K926" s="195"/>
      <c r="L926" s="195"/>
      <c r="M926" s="1185"/>
    </row>
    <row r="927">
      <c r="A927" s="1185"/>
      <c r="B927" s="1185"/>
      <c r="C927" s="1185"/>
      <c r="D927" s="1185"/>
      <c r="E927" s="1185"/>
      <c r="F927" s="1185"/>
      <c r="G927" s="1186"/>
      <c r="H927" s="1186"/>
      <c r="I927" s="195"/>
      <c r="J927" s="195"/>
      <c r="K927" s="195"/>
      <c r="L927" s="195"/>
      <c r="M927" s="1185"/>
    </row>
    <row r="928">
      <c r="A928" s="1185"/>
      <c r="B928" s="1185"/>
      <c r="C928" s="1185"/>
      <c r="D928" s="1185"/>
      <c r="E928" s="1185"/>
      <c r="F928" s="1185"/>
      <c r="G928" s="1186"/>
      <c r="H928" s="1186"/>
      <c r="I928" s="195"/>
      <c r="J928" s="195"/>
      <c r="K928" s="195"/>
      <c r="L928" s="195"/>
      <c r="M928" s="1185"/>
    </row>
    <row r="929">
      <c r="A929" s="1185"/>
      <c r="B929" s="1185"/>
      <c r="C929" s="1185"/>
      <c r="D929" s="1185"/>
      <c r="E929" s="1185"/>
      <c r="F929" s="1185"/>
      <c r="G929" s="1186"/>
      <c r="H929" s="1186"/>
      <c r="I929" s="195"/>
      <c r="J929" s="195"/>
      <c r="K929" s="195"/>
      <c r="L929" s="195"/>
      <c r="M929" s="1185"/>
    </row>
    <row r="930">
      <c r="A930" s="1185"/>
      <c r="B930" s="1185"/>
      <c r="C930" s="1185"/>
      <c r="D930" s="1185"/>
      <c r="E930" s="1185"/>
      <c r="F930" s="1185"/>
      <c r="G930" s="1186"/>
      <c r="H930" s="1186"/>
      <c r="I930" s="195"/>
      <c r="J930" s="195"/>
      <c r="K930" s="195"/>
      <c r="L930" s="195"/>
      <c r="M930" s="1185"/>
    </row>
    <row r="931">
      <c r="A931" s="1185"/>
      <c r="B931" s="1185"/>
      <c r="C931" s="1185"/>
      <c r="D931" s="1185"/>
      <c r="E931" s="1185"/>
      <c r="F931" s="1185"/>
      <c r="G931" s="1186"/>
      <c r="H931" s="1186"/>
      <c r="I931" s="195"/>
      <c r="J931" s="195"/>
      <c r="K931" s="195"/>
      <c r="L931" s="195"/>
      <c r="M931" s="1185"/>
    </row>
    <row r="932">
      <c r="A932" s="1185"/>
      <c r="B932" s="1185"/>
      <c r="C932" s="1185"/>
      <c r="D932" s="1185"/>
      <c r="E932" s="1185"/>
      <c r="F932" s="1185"/>
      <c r="G932" s="1186"/>
      <c r="H932" s="1186"/>
      <c r="I932" s="195"/>
      <c r="J932" s="195"/>
      <c r="K932" s="195"/>
      <c r="L932" s="195"/>
      <c r="M932" s="1185"/>
    </row>
    <row r="933">
      <c r="A933" s="1185"/>
      <c r="B933" s="1185"/>
      <c r="C933" s="1185"/>
      <c r="D933" s="1185"/>
      <c r="E933" s="1185"/>
      <c r="F933" s="1185"/>
      <c r="G933" s="1186"/>
      <c r="H933" s="1186"/>
      <c r="I933" s="195"/>
      <c r="J933" s="195"/>
      <c r="K933" s="195"/>
      <c r="L933" s="195"/>
      <c r="M933" s="1185"/>
    </row>
    <row r="934">
      <c r="A934" s="1185"/>
      <c r="B934" s="1185"/>
      <c r="C934" s="1185"/>
      <c r="D934" s="1185"/>
      <c r="E934" s="1185"/>
      <c r="F934" s="1185"/>
      <c r="G934" s="1186"/>
      <c r="H934" s="1186"/>
      <c r="I934" s="195"/>
      <c r="J934" s="195"/>
      <c r="K934" s="195"/>
      <c r="L934" s="195"/>
      <c r="M934" s="1185"/>
    </row>
    <row r="935">
      <c r="A935" s="1185"/>
      <c r="B935" s="1185"/>
      <c r="C935" s="1185"/>
      <c r="D935" s="1185"/>
      <c r="E935" s="1185"/>
      <c r="F935" s="1185"/>
      <c r="G935" s="1186"/>
      <c r="H935" s="1186"/>
      <c r="I935" s="195"/>
      <c r="J935" s="195"/>
      <c r="K935" s="195"/>
      <c r="L935" s="195"/>
      <c r="M935" s="1185"/>
    </row>
    <row r="936">
      <c r="A936" s="1185"/>
      <c r="B936" s="1185"/>
      <c r="C936" s="1185"/>
      <c r="D936" s="1185"/>
      <c r="E936" s="1185"/>
      <c r="F936" s="1185"/>
      <c r="G936" s="1186"/>
      <c r="H936" s="1186"/>
      <c r="I936" s="195"/>
      <c r="J936" s="195"/>
      <c r="K936" s="195"/>
      <c r="L936" s="195"/>
      <c r="M936" s="1185"/>
    </row>
    <row r="937">
      <c r="A937" s="1185"/>
      <c r="B937" s="1185"/>
      <c r="C937" s="1185"/>
      <c r="D937" s="1185"/>
      <c r="E937" s="1185"/>
      <c r="F937" s="1185"/>
      <c r="G937" s="1186"/>
      <c r="H937" s="1186"/>
      <c r="I937" s="195"/>
      <c r="J937" s="195"/>
      <c r="K937" s="195"/>
      <c r="L937" s="195"/>
      <c r="M937" s="1185"/>
    </row>
    <row r="938">
      <c r="A938" s="1185"/>
      <c r="B938" s="1185"/>
      <c r="C938" s="1185"/>
      <c r="D938" s="1185"/>
      <c r="E938" s="1185"/>
      <c r="F938" s="1185"/>
      <c r="G938" s="1186"/>
      <c r="H938" s="1186"/>
      <c r="I938" s="195"/>
      <c r="J938" s="195"/>
      <c r="K938" s="195"/>
      <c r="L938" s="195"/>
      <c r="M938" s="1185"/>
    </row>
    <row r="939">
      <c r="A939" s="1185"/>
      <c r="B939" s="1185"/>
      <c r="C939" s="1185"/>
      <c r="D939" s="1185"/>
      <c r="E939" s="1185"/>
      <c r="F939" s="1185"/>
      <c r="G939" s="1186"/>
      <c r="H939" s="1186"/>
      <c r="I939" s="195"/>
      <c r="J939" s="195"/>
      <c r="K939" s="195"/>
      <c r="L939" s="195"/>
      <c r="M939" s="1185"/>
    </row>
    <row r="940">
      <c r="A940" s="1185"/>
      <c r="B940" s="1185"/>
      <c r="C940" s="1185"/>
      <c r="D940" s="1185"/>
      <c r="E940" s="1185"/>
      <c r="F940" s="1185"/>
      <c r="G940" s="1186"/>
      <c r="H940" s="1186"/>
      <c r="I940" s="195"/>
      <c r="J940" s="195"/>
      <c r="K940" s="195"/>
      <c r="L940" s="195"/>
      <c r="M940" s="1185"/>
    </row>
    <row r="941">
      <c r="A941" s="1185"/>
      <c r="B941" s="1185"/>
      <c r="C941" s="1185"/>
      <c r="D941" s="1185"/>
      <c r="E941" s="1185"/>
      <c r="F941" s="1185"/>
      <c r="G941" s="1186"/>
      <c r="H941" s="1186"/>
      <c r="I941" s="195"/>
      <c r="J941" s="195"/>
      <c r="K941" s="195"/>
      <c r="L941" s="195"/>
      <c r="M941" s="1185"/>
    </row>
    <row r="942">
      <c r="A942" s="1185"/>
      <c r="B942" s="1185"/>
      <c r="C942" s="1185"/>
      <c r="D942" s="1185"/>
      <c r="E942" s="1185"/>
      <c r="F942" s="1185"/>
      <c r="G942" s="1186"/>
      <c r="H942" s="1186"/>
      <c r="I942" s="195"/>
      <c r="J942" s="195"/>
      <c r="K942" s="195"/>
      <c r="L942" s="195"/>
      <c r="M942" s="1185"/>
    </row>
    <row r="943">
      <c r="A943" s="1185"/>
      <c r="B943" s="1185"/>
      <c r="C943" s="1185"/>
      <c r="D943" s="1185"/>
      <c r="E943" s="1185"/>
      <c r="F943" s="1185"/>
      <c r="G943" s="1186"/>
      <c r="H943" s="1186"/>
      <c r="I943" s="195"/>
      <c r="J943" s="195"/>
      <c r="K943" s="195"/>
      <c r="L943" s="195"/>
      <c r="M943" s="1185"/>
    </row>
    <row r="944">
      <c r="A944" s="1185"/>
      <c r="B944" s="1185"/>
      <c r="C944" s="1185"/>
      <c r="D944" s="1185"/>
      <c r="E944" s="1185"/>
      <c r="F944" s="1185"/>
      <c r="G944" s="1186"/>
      <c r="H944" s="1186"/>
      <c r="I944" s="195"/>
      <c r="J944" s="195"/>
      <c r="K944" s="195"/>
      <c r="L944" s="195"/>
      <c r="M944" s="1185"/>
    </row>
    <row r="945">
      <c r="A945" s="1185"/>
      <c r="B945" s="1185"/>
      <c r="C945" s="1185"/>
      <c r="D945" s="1185"/>
      <c r="E945" s="1185"/>
      <c r="F945" s="1185"/>
      <c r="G945" s="1186"/>
      <c r="H945" s="1186"/>
      <c r="I945" s="195"/>
      <c r="J945" s="195"/>
      <c r="K945" s="195"/>
      <c r="L945" s="195"/>
      <c r="M945" s="1185"/>
    </row>
    <row r="946">
      <c r="A946" s="1185"/>
      <c r="B946" s="1185"/>
      <c r="C946" s="1185"/>
      <c r="D946" s="1185"/>
      <c r="E946" s="1185"/>
      <c r="F946" s="1185"/>
      <c r="G946" s="1186"/>
      <c r="H946" s="1186"/>
      <c r="I946" s="195"/>
      <c r="J946" s="195"/>
      <c r="K946" s="195"/>
      <c r="L946" s="195"/>
      <c r="M946" s="1185"/>
    </row>
    <row r="947">
      <c r="A947" s="1185"/>
      <c r="B947" s="1185"/>
      <c r="C947" s="1185"/>
      <c r="D947" s="1185"/>
      <c r="E947" s="1185"/>
      <c r="F947" s="1185"/>
      <c r="G947" s="1186"/>
      <c r="H947" s="1186"/>
      <c r="I947" s="195"/>
      <c r="J947" s="195"/>
      <c r="K947" s="195"/>
      <c r="L947" s="195"/>
      <c r="M947" s="1185"/>
    </row>
    <row r="948">
      <c r="A948" s="1185"/>
      <c r="B948" s="1185"/>
      <c r="C948" s="1185"/>
      <c r="D948" s="1185"/>
      <c r="E948" s="1185"/>
      <c r="F948" s="1185"/>
      <c r="G948" s="1186"/>
      <c r="H948" s="1186"/>
      <c r="I948" s="195"/>
      <c r="J948" s="195"/>
      <c r="K948" s="195"/>
      <c r="L948" s="195"/>
      <c r="M948" s="1185"/>
    </row>
    <row r="949">
      <c r="A949" s="1185"/>
      <c r="B949" s="1185"/>
      <c r="C949" s="1185"/>
      <c r="D949" s="1185"/>
      <c r="E949" s="1185"/>
      <c r="F949" s="1185"/>
      <c r="G949" s="1186"/>
      <c r="H949" s="1186"/>
      <c r="I949" s="195"/>
      <c r="J949" s="195"/>
      <c r="K949" s="195"/>
      <c r="L949" s="195"/>
      <c r="M949" s="1185"/>
    </row>
    <row r="950">
      <c r="A950" s="1185"/>
      <c r="B950" s="1185"/>
      <c r="C950" s="1185"/>
      <c r="D950" s="1185"/>
      <c r="E950" s="1185"/>
      <c r="F950" s="1185"/>
      <c r="G950" s="1186"/>
      <c r="H950" s="1186"/>
      <c r="I950" s="195"/>
      <c r="J950" s="195"/>
      <c r="K950" s="195"/>
      <c r="L950" s="195"/>
      <c r="M950" s="1185"/>
    </row>
    <row r="951">
      <c r="A951" s="1185"/>
      <c r="B951" s="1185"/>
      <c r="C951" s="1185"/>
      <c r="D951" s="1185"/>
      <c r="E951" s="1185"/>
      <c r="F951" s="1185"/>
      <c r="G951" s="1186"/>
      <c r="H951" s="1186"/>
      <c r="I951" s="195"/>
      <c r="J951" s="195"/>
      <c r="K951" s="195"/>
      <c r="L951" s="195"/>
      <c r="M951" s="1185"/>
    </row>
    <row r="952">
      <c r="A952" s="1185"/>
      <c r="B952" s="1185"/>
      <c r="C952" s="1185"/>
      <c r="D952" s="1185"/>
      <c r="E952" s="1185"/>
      <c r="F952" s="1185"/>
      <c r="G952" s="1186"/>
      <c r="H952" s="1186"/>
      <c r="I952" s="195"/>
      <c r="J952" s="195"/>
      <c r="K952" s="195"/>
      <c r="L952" s="195"/>
      <c r="M952" s="1185"/>
    </row>
    <row r="953">
      <c r="A953" s="1185"/>
      <c r="B953" s="1185"/>
      <c r="C953" s="1185"/>
      <c r="D953" s="1185"/>
      <c r="E953" s="1185"/>
      <c r="F953" s="1185"/>
      <c r="G953" s="1186"/>
      <c r="H953" s="1186"/>
      <c r="I953" s="195"/>
      <c r="J953" s="195"/>
      <c r="K953" s="195"/>
      <c r="L953" s="195"/>
      <c r="M953" s="1185"/>
    </row>
    <row r="954">
      <c r="A954" s="1185"/>
      <c r="B954" s="1185"/>
      <c r="C954" s="1185"/>
      <c r="D954" s="1185"/>
      <c r="E954" s="1185"/>
      <c r="F954" s="1185"/>
      <c r="G954" s="1186"/>
      <c r="H954" s="1186"/>
      <c r="I954" s="195"/>
      <c r="J954" s="195"/>
      <c r="K954" s="195"/>
      <c r="L954" s="195"/>
      <c r="M954" s="1185"/>
    </row>
    <row r="955">
      <c r="A955" s="1185"/>
      <c r="B955" s="1185"/>
      <c r="C955" s="1185"/>
      <c r="D955" s="1185"/>
      <c r="E955" s="1185"/>
      <c r="F955" s="1185"/>
      <c r="G955" s="1186"/>
      <c r="H955" s="1186"/>
      <c r="I955" s="195"/>
      <c r="J955" s="195"/>
      <c r="K955" s="195"/>
      <c r="L955" s="195"/>
      <c r="M955" s="1185"/>
    </row>
    <row r="956">
      <c r="A956" s="1185"/>
      <c r="B956" s="1185"/>
      <c r="C956" s="1185"/>
      <c r="D956" s="1185"/>
      <c r="E956" s="1185"/>
      <c r="F956" s="1185"/>
      <c r="G956" s="1186"/>
      <c r="H956" s="1186"/>
      <c r="I956" s="195"/>
      <c r="J956" s="195"/>
      <c r="K956" s="195"/>
      <c r="L956" s="195"/>
      <c r="M956" s="1185"/>
    </row>
    <row r="957">
      <c r="A957" s="1185"/>
      <c r="B957" s="1185"/>
      <c r="C957" s="1185"/>
      <c r="D957" s="1185"/>
      <c r="E957" s="1185"/>
      <c r="F957" s="1185"/>
      <c r="G957" s="1186"/>
      <c r="H957" s="1186"/>
      <c r="I957" s="195"/>
      <c r="J957" s="195"/>
      <c r="K957" s="195"/>
      <c r="L957" s="195"/>
      <c r="M957" s="1185"/>
    </row>
    <row r="958">
      <c r="A958" s="1185"/>
      <c r="B958" s="1185"/>
      <c r="C958" s="1185"/>
      <c r="D958" s="1185"/>
      <c r="E958" s="1185"/>
      <c r="F958" s="1185"/>
      <c r="G958" s="1186"/>
      <c r="H958" s="1186"/>
      <c r="I958" s="195"/>
      <c r="J958" s="195"/>
      <c r="K958" s="195"/>
      <c r="L958" s="195"/>
      <c r="M958" s="1185"/>
    </row>
    <row r="959">
      <c r="A959" s="1185"/>
      <c r="B959" s="1185"/>
      <c r="C959" s="1185"/>
      <c r="D959" s="1185"/>
      <c r="E959" s="1185"/>
      <c r="F959" s="1185"/>
      <c r="G959" s="1186"/>
      <c r="H959" s="1186"/>
      <c r="I959" s="195"/>
      <c r="J959" s="195"/>
      <c r="K959" s="195"/>
      <c r="L959" s="195"/>
      <c r="M959" s="1185"/>
    </row>
    <row r="960">
      <c r="A960" s="1185"/>
      <c r="B960" s="1185"/>
      <c r="C960" s="1185"/>
      <c r="D960" s="1185"/>
      <c r="E960" s="1185"/>
      <c r="F960" s="1185"/>
      <c r="G960" s="1186"/>
      <c r="H960" s="1186"/>
      <c r="I960" s="195"/>
      <c r="J960" s="195"/>
      <c r="K960" s="195"/>
      <c r="L960" s="195"/>
      <c r="M960" s="1185"/>
    </row>
    <row r="961">
      <c r="A961" s="1185"/>
      <c r="B961" s="1185"/>
      <c r="C961" s="1185"/>
      <c r="D961" s="1185"/>
      <c r="E961" s="1185"/>
      <c r="F961" s="1185"/>
      <c r="G961" s="1186"/>
      <c r="H961" s="1186"/>
      <c r="I961" s="195"/>
      <c r="J961" s="195"/>
      <c r="K961" s="195"/>
      <c r="L961" s="195"/>
      <c r="M961" s="1185"/>
    </row>
    <row r="962">
      <c r="A962" s="1185"/>
      <c r="B962" s="1185"/>
      <c r="C962" s="1185"/>
      <c r="D962" s="1185"/>
      <c r="E962" s="1185"/>
      <c r="F962" s="1185"/>
      <c r="G962" s="1186"/>
      <c r="H962" s="1186"/>
      <c r="I962" s="195"/>
      <c r="J962" s="195"/>
      <c r="K962" s="195"/>
      <c r="L962" s="195"/>
      <c r="M962" s="1185"/>
    </row>
    <row r="963">
      <c r="A963" s="1185"/>
      <c r="B963" s="1185"/>
      <c r="C963" s="1185"/>
      <c r="D963" s="1185"/>
      <c r="E963" s="1185"/>
      <c r="F963" s="1185"/>
      <c r="G963" s="1186"/>
      <c r="H963" s="1186"/>
      <c r="I963" s="195"/>
      <c r="J963" s="195"/>
      <c r="K963" s="195"/>
      <c r="L963" s="195"/>
      <c r="M963" s="1185"/>
    </row>
    <row r="964">
      <c r="A964" s="1185"/>
      <c r="B964" s="1185"/>
      <c r="C964" s="1185"/>
      <c r="D964" s="1185"/>
      <c r="E964" s="1185"/>
      <c r="F964" s="1185"/>
      <c r="G964" s="1186"/>
      <c r="H964" s="1186"/>
      <c r="I964" s="195"/>
      <c r="J964" s="195"/>
      <c r="K964" s="195"/>
      <c r="L964" s="195"/>
      <c r="M964" s="1185"/>
    </row>
    <row r="965">
      <c r="A965" s="1185"/>
      <c r="B965" s="1185"/>
      <c r="C965" s="1185"/>
      <c r="D965" s="1185"/>
      <c r="E965" s="1185"/>
      <c r="F965" s="1185"/>
      <c r="G965" s="1186"/>
      <c r="H965" s="1186"/>
      <c r="I965" s="195"/>
      <c r="J965" s="195"/>
      <c r="K965" s="195"/>
      <c r="L965" s="195"/>
      <c r="M965" s="1185"/>
    </row>
    <row r="966">
      <c r="A966" s="1185"/>
      <c r="B966" s="1185"/>
      <c r="C966" s="1185"/>
      <c r="D966" s="1185"/>
      <c r="E966" s="1185"/>
      <c r="F966" s="1185"/>
      <c r="G966" s="1186"/>
      <c r="H966" s="1186"/>
      <c r="I966" s="195"/>
      <c r="J966" s="195"/>
      <c r="K966" s="195"/>
      <c r="L966" s="195"/>
      <c r="M966" s="1185"/>
    </row>
    <row r="967">
      <c r="A967" s="1185"/>
      <c r="B967" s="1185"/>
      <c r="C967" s="1185"/>
      <c r="D967" s="1185"/>
      <c r="E967" s="1185"/>
      <c r="F967" s="1185"/>
      <c r="G967" s="1186"/>
      <c r="H967" s="1186"/>
      <c r="I967" s="195"/>
      <c r="J967" s="195"/>
      <c r="K967" s="195"/>
      <c r="L967" s="195"/>
      <c r="M967" s="1185"/>
    </row>
    <row r="968">
      <c r="A968" s="1185"/>
      <c r="B968" s="1185"/>
      <c r="C968" s="1185"/>
      <c r="D968" s="1185"/>
      <c r="E968" s="1185"/>
      <c r="F968" s="1185"/>
      <c r="G968" s="1186"/>
      <c r="H968" s="1186"/>
      <c r="I968" s="195"/>
      <c r="J968" s="195"/>
      <c r="K968" s="195"/>
      <c r="L968" s="195"/>
      <c r="M968" s="1185"/>
    </row>
    <row r="969">
      <c r="A969" s="1185"/>
      <c r="B969" s="1185"/>
      <c r="C969" s="1185"/>
      <c r="D969" s="1185"/>
      <c r="E969" s="1185"/>
      <c r="F969" s="1185"/>
      <c r="G969" s="1186"/>
      <c r="H969" s="1186"/>
      <c r="I969" s="195"/>
      <c r="J969" s="195"/>
      <c r="K969" s="195"/>
      <c r="L969" s="195"/>
      <c r="M969" s="1185"/>
    </row>
    <row r="970">
      <c r="A970" s="1185"/>
      <c r="B970" s="1185"/>
      <c r="C970" s="1185"/>
      <c r="D970" s="1185"/>
      <c r="E970" s="1185"/>
      <c r="F970" s="1185"/>
      <c r="G970" s="1186"/>
      <c r="H970" s="1186"/>
      <c r="I970" s="195"/>
      <c r="J970" s="195"/>
      <c r="K970" s="195"/>
      <c r="L970" s="195"/>
      <c r="M970" s="1185"/>
    </row>
    <row r="971">
      <c r="A971" s="1185"/>
      <c r="B971" s="1185"/>
      <c r="C971" s="1185"/>
      <c r="D971" s="1185"/>
      <c r="E971" s="1185"/>
      <c r="F971" s="1185"/>
      <c r="G971" s="1186"/>
      <c r="H971" s="1186"/>
      <c r="I971" s="195"/>
      <c r="J971" s="195"/>
      <c r="K971" s="195"/>
      <c r="L971" s="195"/>
      <c r="M971" s="1185"/>
    </row>
    <row r="972">
      <c r="A972" s="1185"/>
      <c r="B972" s="1185"/>
      <c r="C972" s="1185"/>
      <c r="D972" s="1185"/>
      <c r="E972" s="1185"/>
      <c r="F972" s="1185"/>
      <c r="G972" s="1186"/>
      <c r="H972" s="1186"/>
      <c r="I972" s="195"/>
      <c r="J972" s="195"/>
      <c r="K972" s="195"/>
      <c r="L972" s="195"/>
      <c r="M972" s="1185"/>
    </row>
    <row r="973">
      <c r="A973" s="1185"/>
      <c r="B973" s="1185"/>
      <c r="C973" s="1185"/>
      <c r="D973" s="1185"/>
      <c r="E973" s="1185"/>
      <c r="F973" s="1185"/>
      <c r="G973" s="1186"/>
      <c r="H973" s="1186"/>
      <c r="I973" s="195"/>
      <c r="J973" s="195"/>
      <c r="K973" s="195"/>
      <c r="L973" s="195"/>
      <c r="M973" s="1185"/>
    </row>
    <row r="974">
      <c r="A974" s="1185"/>
      <c r="B974" s="1185"/>
      <c r="C974" s="1185"/>
      <c r="D974" s="1185"/>
      <c r="E974" s="1185"/>
      <c r="F974" s="1185"/>
      <c r="G974" s="1186"/>
      <c r="H974" s="1186"/>
      <c r="I974" s="195"/>
      <c r="J974" s="195"/>
      <c r="K974" s="195"/>
      <c r="L974" s="195"/>
      <c r="M974" s="1185"/>
    </row>
    <row r="975">
      <c r="A975" s="1185"/>
      <c r="B975" s="1185"/>
      <c r="C975" s="1185"/>
      <c r="D975" s="1185"/>
      <c r="E975" s="1185"/>
      <c r="F975" s="1185"/>
      <c r="G975" s="1186"/>
      <c r="H975" s="1186"/>
      <c r="I975" s="195"/>
      <c r="J975" s="195"/>
      <c r="K975" s="195"/>
      <c r="L975" s="195"/>
      <c r="M975" s="1185"/>
    </row>
    <row r="976">
      <c r="A976" s="1185"/>
      <c r="B976" s="1185"/>
      <c r="C976" s="1185"/>
      <c r="D976" s="1185"/>
      <c r="E976" s="1185"/>
      <c r="F976" s="1185"/>
      <c r="G976" s="1186"/>
      <c r="H976" s="1186"/>
      <c r="I976" s="195"/>
      <c r="J976" s="195"/>
      <c r="K976" s="195"/>
      <c r="L976" s="195"/>
      <c r="M976" s="1185"/>
    </row>
    <row r="977">
      <c r="A977" s="1185"/>
      <c r="B977" s="1185"/>
      <c r="C977" s="1185"/>
      <c r="D977" s="1185"/>
      <c r="E977" s="1185"/>
      <c r="F977" s="1185"/>
      <c r="G977" s="1186"/>
      <c r="H977" s="1186"/>
      <c r="I977" s="195"/>
      <c r="J977" s="195"/>
      <c r="K977" s="195"/>
      <c r="L977" s="195"/>
      <c r="M977" s="1185"/>
    </row>
    <row r="978">
      <c r="A978" s="1185"/>
      <c r="B978" s="1185"/>
      <c r="C978" s="1185"/>
      <c r="D978" s="1185"/>
      <c r="E978" s="1185"/>
      <c r="F978" s="1185"/>
      <c r="G978" s="1186"/>
      <c r="H978" s="1186"/>
      <c r="I978" s="195"/>
      <c r="J978" s="195"/>
      <c r="K978" s="195"/>
      <c r="L978" s="195"/>
      <c r="M978" s="1185"/>
    </row>
    <row r="979">
      <c r="A979" s="1185"/>
      <c r="B979" s="1185"/>
      <c r="C979" s="1185"/>
      <c r="D979" s="1185"/>
      <c r="E979" s="1185"/>
      <c r="F979" s="1185"/>
      <c r="G979" s="1186"/>
      <c r="H979" s="1186"/>
      <c r="I979" s="195"/>
      <c r="J979" s="195"/>
      <c r="K979" s="195"/>
      <c r="L979" s="195"/>
      <c r="M979" s="1185"/>
    </row>
    <row r="980">
      <c r="A980" s="1185"/>
      <c r="B980" s="1185"/>
      <c r="C980" s="1185"/>
      <c r="D980" s="1185"/>
      <c r="E980" s="1185"/>
      <c r="F980" s="1185"/>
      <c r="G980" s="1186"/>
      <c r="H980" s="1186"/>
      <c r="I980" s="195"/>
      <c r="J980" s="195"/>
      <c r="K980" s="195"/>
      <c r="L980" s="195"/>
      <c r="M980" s="1185"/>
    </row>
    <row r="981">
      <c r="A981" s="1185"/>
      <c r="B981" s="1185"/>
      <c r="C981" s="1185"/>
      <c r="D981" s="1185"/>
      <c r="E981" s="1185"/>
      <c r="F981" s="1185"/>
      <c r="G981" s="1186"/>
      <c r="H981" s="1186"/>
      <c r="I981" s="195"/>
      <c r="J981" s="195"/>
      <c r="K981" s="195"/>
      <c r="L981" s="195"/>
      <c r="M981" s="1185"/>
    </row>
    <row r="982">
      <c r="A982" s="1185"/>
      <c r="B982" s="1185"/>
      <c r="C982" s="1185"/>
      <c r="D982" s="1185"/>
      <c r="E982" s="1185"/>
      <c r="F982" s="1185"/>
      <c r="G982" s="1186"/>
      <c r="H982" s="1186"/>
      <c r="I982" s="195"/>
      <c r="J982" s="195"/>
      <c r="K982" s="195"/>
      <c r="L982" s="195"/>
      <c r="M982" s="1185"/>
    </row>
    <row r="983">
      <c r="A983" s="1185"/>
      <c r="B983" s="1185"/>
      <c r="C983" s="1185"/>
      <c r="D983" s="1185"/>
      <c r="E983" s="1185"/>
      <c r="F983" s="1185"/>
      <c r="G983" s="1186"/>
      <c r="H983" s="1186"/>
      <c r="I983" s="195"/>
      <c r="J983" s="195"/>
      <c r="K983" s="195"/>
      <c r="L983" s="195"/>
      <c r="M983" s="1185"/>
    </row>
    <row r="984">
      <c r="A984" s="1185"/>
      <c r="B984" s="1185"/>
      <c r="C984" s="1185"/>
      <c r="D984" s="1185"/>
      <c r="E984" s="1185"/>
      <c r="F984" s="1185"/>
      <c r="G984" s="1186"/>
      <c r="H984" s="1186"/>
      <c r="I984" s="195"/>
      <c r="J984" s="195"/>
      <c r="K984" s="195"/>
      <c r="L984" s="195"/>
      <c r="M984" s="1185"/>
    </row>
    <row r="985">
      <c r="A985" s="1185"/>
      <c r="B985" s="1185"/>
      <c r="C985" s="1185"/>
      <c r="D985" s="1185"/>
      <c r="E985" s="1185"/>
      <c r="F985" s="1185"/>
      <c r="G985" s="1186"/>
      <c r="H985" s="1186"/>
      <c r="I985" s="195"/>
      <c r="J985" s="195"/>
      <c r="K985" s="195"/>
      <c r="L985" s="195"/>
      <c r="M985" s="1185"/>
    </row>
    <row r="986">
      <c r="A986" s="1185"/>
      <c r="B986" s="1185"/>
      <c r="C986" s="1185"/>
      <c r="D986" s="1185"/>
      <c r="E986" s="1185"/>
      <c r="F986" s="1185"/>
      <c r="G986" s="1186"/>
      <c r="H986" s="1186"/>
      <c r="I986" s="195"/>
      <c r="J986" s="195"/>
      <c r="K986" s="195"/>
      <c r="L986" s="195"/>
      <c r="M986" s="1185"/>
    </row>
    <row r="987">
      <c r="A987" s="1185"/>
      <c r="B987" s="1185"/>
      <c r="C987" s="1185"/>
      <c r="D987" s="1185"/>
      <c r="E987" s="1185"/>
      <c r="F987" s="1185"/>
      <c r="G987" s="1186"/>
      <c r="H987" s="1186"/>
      <c r="I987" s="195"/>
      <c r="J987" s="195"/>
      <c r="K987" s="195"/>
      <c r="L987" s="195"/>
      <c r="M987" s="1185"/>
    </row>
    <row r="988">
      <c r="A988" s="1185"/>
      <c r="B988" s="1185"/>
      <c r="C988" s="1185"/>
      <c r="D988" s="1185"/>
      <c r="E988" s="1185"/>
      <c r="F988" s="1185"/>
      <c r="G988" s="1186"/>
      <c r="H988" s="1186"/>
      <c r="I988" s="195"/>
      <c r="J988" s="195"/>
      <c r="K988" s="195"/>
      <c r="L988" s="195"/>
      <c r="M988" s="1185"/>
    </row>
    <row r="989">
      <c r="A989" s="1185"/>
      <c r="B989" s="1185"/>
      <c r="C989" s="1185"/>
      <c r="D989" s="1185"/>
      <c r="E989" s="1185"/>
      <c r="F989" s="1185"/>
      <c r="G989" s="1186"/>
      <c r="H989" s="1186"/>
      <c r="I989" s="195"/>
      <c r="J989" s="195"/>
      <c r="K989" s="195"/>
      <c r="L989" s="195"/>
      <c r="M989" s="1185"/>
    </row>
    <row r="990">
      <c r="A990" s="1185"/>
      <c r="B990" s="1185"/>
      <c r="C990" s="1185"/>
      <c r="D990" s="1185"/>
      <c r="E990" s="1185"/>
      <c r="F990" s="1185"/>
      <c r="G990" s="1186"/>
      <c r="H990" s="1186"/>
      <c r="I990" s="195"/>
      <c r="J990" s="195"/>
      <c r="K990" s="195"/>
      <c r="L990" s="195"/>
      <c r="M990" s="1185"/>
    </row>
    <row r="991">
      <c r="A991" s="1185"/>
      <c r="B991" s="1185"/>
      <c r="C991" s="1185"/>
      <c r="D991" s="1185"/>
      <c r="E991" s="1185"/>
      <c r="F991" s="1185"/>
      <c r="G991" s="1186"/>
      <c r="H991" s="1186"/>
      <c r="I991" s="195"/>
      <c r="J991" s="195"/>
      <c r="K991" s="195"/>
      <c r="L991" s="195"/>
      <c r="M991" s="1185"/>
    </row>
    <row r="992">
      <c r="A992" s="1185"/>
      <c r="B992" s="1185"/>
      <c r="C992" s="1185"/>
      <c r="D992" s="1185"/>
      <c r="E992" s="1185"/>
      <c r="F992" s="1185"/>
      <c r="G992" s="1186"/>
      <c r="H992" s="1186"/>
      <c r="I992" s="195"/>
      <c r="J992" s="195"/>
      <c r="K992" s="195"/>
      <c r="L992" s="195"/>
      <c r="M992" s="1185"/>
    </row>
    <row r="993">
      <c r="A993" s="1185"/>
      <c r="B993" s="1185"/>
      <c r="C993" s="1185"/>
      <c r="D993" s="1185"/>
      <c r="E993" s="1185"/>
      <c r="F993" s="1185"/>
      <c r="G993" s="1186"/>
      <c r="H993" s="1186"/>
      <c r="I993" s="195"/>
      <c r="J993" s="195"/>
      <c r="K993" s="195"/>
      <c r="L993" s="195"/>
      <c r="M993" s="1185"/>
    </row>
    <row r="994">
      <c r="A994" s="1185"/>
      <c r="B994" s="1185"/>
      <c r="C994" s="1185"/>
      <c r="D994" s="1185"/>
      <c r="E994" s="1185"/>
      <c r="F994" s="1185"/>
      <c r="G994" s="1186"/>
      <c r="H994" s="1186"/>
      <c r="I994" s="195"/>
      <c r="J994" s="195"/>
      <c r="K994" s="195"/>
      <c r="L994" s="195"/>
      <c r="M994" s="1185"/>
    </row>
    <row r="995">
      <c r="A995" s="1185"/>
      <c r="B995" s="1185"/>
      <c r="C995" s="1185"/>
      <c r="D995" s="1185"/>
      <c r="E995" s="1185"/>
      <c r="F995" s="1185"/>
      <c r="G995" s="1186"/>
      <c r="H995" s="1186"/>
      <c r="I995" s="195"/>
      <c r="J995" s="195"/>
      <c r="K995" s="195"/>
      <c r="L995" s="195"/>
      <c r="M995" s="1185"/>
    </row>
    <row r="996">
      <c r="A996" s="1185"/>
      <c r="B996" s="1185"/>
      <c r="C996" s="1185"/>
      <c r="D996" s="1185"/>
      <c r="E996" s="1185"/>
      <c r="F996" s="1185"/>
      <c r="G996" s="1186"/>
      <c r="H996" s="1186"/>
      <c r="I996" s="195"/>
      <c r="J996" s="195"/>
      <c r="K996" s="195"/>
      <c r="L996" s="195"/>
      <c r="M996" s="1185"/>
    </row>
    <row r="997">
      <c r="A997" s="1185"/>
      <c r="B997" s="1185"/>
      <c r="C997" s="1185"/>
      <c r="D997" s="1185"/>
      <c r="E997" s="1185"/>
      <c r="F997" s="1185"/>
      <c r="G997" s="1186"/>
      <c r="H997" s="1186"/>
      <c r="I997" s="195"/>
      <c r="J997" s="195"/>
      <c r="K997" s="195"/>
      <c r="L997" s="195"/>
      <c r="M997" s="1185"/>
    </row>
    <row r="998">
      <c r="A998" s="1185"/>
      <c r="B998" s="1185"/>
      <c r="C998" s="1185"/>
      <c r="D998" s="1185"/>
      <c r="E998" s="1185"/>
      <c r="F998" s="1185"/>
      <c r="G998" s="1186"/>
      <c r="H998" s="1186"/>
      <c r="I998" s="195"/>
      <c r="J998" s="195"/>
      <c r="K998" s="195"/>
      <c r="L998" s="195"/>
      <c r="M998" s="1185"/>
    </row>
    <row r="999">
      <c r="A999" s="1185"/>
      <c r="B999" s="1185"/>
      <c r="C999" s="1185"/>
      <c r="D999" s="1185"/>
      <c r="E999" s="1185"/>
      <c r="F999" s="1185"/>
      <c r="G999" s="1186"/>
      <c r="H999" s="1186"/>
      <c r="I999" s="195"/>
      <c r="J999" s="195"/>
      <c r="K999" s="195"/>
      <c r="L999" s="195"/>
      <c r="M999" s="1185"/>
    </row>
    <row r="1000">
      <c r="A1000" s="1185"/>
      <c r="B1000" s="1185"/>
      <c r="C1000" s="1185"/>
      <c r="D1000" s="1185"/>
      <c r="E1000" s="1185"/>
      <c r="F1000" s="1185"/>
      <c r="G1000" s="1186"/>
      <c r="H1000" s="1186"/>
      <c r="I1000" s="195"/>
      <c r="J1000" s="195"/>
      <c r="K1000" s="195"/>
      <c r="L1000" s="195"/>
      <c r="M1000" s="1185"/>
    </row>
    <row r="1001">
      <c r="A1001" s="1185"/>
      <c r="B1001" s="1185"/>
      <c r="C1001" s="1185"/>
      <c r="D1001" s="1185"/>
      <c r="E1001" s="1185"/>
      <c r="F1001" s="1185"/>
      <c r="G1001" s="1186"/>
      <c r="H1001" s="1186"/>
      <c r="I1001" s="195"/>
      <c r="J1001" s="195"/>
      <c r="K1001" s="195"/>
      <c r="L1001" s="195"/>
      <c r="M1001" s="1185"/>
    </row>
    <row r="1002">
      <c r="A1002" s="1185"/>
      <c r="B1002" s="1185"/>
      <c r="C1002" s="1185"/>
      <c r="D1002" s="1185"/>
      <c r="E1002" s="1185"/>
      <c r="F1002" s="1185"/>
      <c r="G1002" s="1186"/>
      <c r="H1002" s="1186"/>
      <c r="I1002" s="195"/>
      <c r="J1002" s="195"/>
      <c r="K1002" s="195"/>
      <c r="L1002" s="195"/>
      <c r="M1002" s="1185"/>
    </row>
    <row r="1003">
      <c r="A1003" s="1185"/>
      <c r="B1003" s="1185"/>
      <c r="C1003" s="1185"/>
      <c r="D1003" s="1185"/>
      <c r="E1003" s="1185"/>
      <c r="F1003" s="1185"/>
      <c r="G1003" s="1186"/>
      <c r="H1003" s="1186"/>
      <c r="I1003" s="195"/>
      <c r="J1003" s="195"/>
      <c r="K1003" s="195"/>
      <c r="L1003" s="195"/>
      <c r="M1003" s="1185"/>
    </row>
    <row r="1004">
      <c r="A1004" s="1185"/>
      <c r="B1004" s="1185"/>
      <c r="C1004" s="1185"/>
      <c r="D1004" s="1185"/>
      <c r="E1004" s="1185"/>
      <c r="F1004" s="1185"/>
      <c r="G1004" s="1186"/>
      <c r="H1004" s="1186"/>
      <c r="I1004" s="195"/>
      <c r="J1004" s="195"/>
      <c r="K1004" s="195"/>
      <c r="L1004" s="195"/>
      <c r="M1004" s="1185"/>
    </row>
    <row r="1005">
      <c r="A1005" s="1185"/>
      <c r="B1005" s="1185"/>
      <c r="C1005" s="1185"/>
      <c r="D1005" s="1185"/>
      <c r="E1005" s="1185"/>
      <c r="F1005" s="1185"/>
      <c r="G1005" s="1186"/>
      <c r="H1005" s="1186"/>
      <c r="I1005" s="195"/>
      <c r="J1005" s="195"/>
      <c r="K1005" s="195"/>
      <c r="L1005" s="195"/>
      <c r="M1005" s="1185"/>
    </row>
    <row r="1006">
      <c r="A1006" s="1185"/>
      <c r="B1006" s="1185"/>
      <c r="C1006" s="1185"/>
      <c r="D1006" s="1185"/>
      <c r="E1006" s="1185"/>
      <c r="F1006" s="1185"/>
      <c r="G1006" s="1186"/>
      <c r="H1006" s="1186"/>
      <c r="I1006" s="195"/>
      <c r="J1006" s="195"/>
      <c r="K1006" s="195"/>
      <c r="L1006" s="195"/>
      <c r="M1006" s="1185"/>
    </row>
    <row r="1007">
      <c r="A1007" s="1185"/>
      <c r="B1007" s="1185"/>
      <c r="C1007" s="1185"/>
      <c r="D1007" s="1185"/>
      <c r="E1007" s="1185"/>
      <c r="F1007" s="1185"/>
      <c r="G1007" s="1186"/>
      <c r="H1007" s="1186"/>
      <c r="I1007" s="195"/>
      <c r="J1007" s="195"/>
      <c r="K1007" s="195"/>
      <c r="L1007" s="195"/>
      <c r="M1007" s="1185"/>
    </row>
    <row r="1008">
      <c r="A1008" s="1185"/>
      <c r="B1008" s="1185"/>
      <c r="C1008" s="1185"/>
      <c r="D1008" s="1185"/>
      <c r="E1008" s="1185"/>
      <c r="F1008" s="1185"/>
      <c r="G1008" s="1186"/>
      <c r="H1008" s="1186"/>
      <c r="I1008" s="195"/>
      <c r="J1008" s="195"/>
      <c r="K1008" s="195"/>
      <c r="L1008" s="195"/>
      <c r="M1008" s="1185"/>
    </row>
    <row r="1009">
      <c r="A1009" s="1185"/>
      <c r="B1009" s="1185"/>
      <c r="C1009" s="1185"/>
      <c r="D1009" s="1185"/>
      <c r="E1009" s="1185"/>
      <c r="F1009" s="1185"/>
      <c r="G1009" s="1186"/>
      <c r="H1009" s="1186"/>
      <c r="I1009" s="195"/>
      <c r="J1009" s="195"/>
      <c r="K1009" s="195"/>
      <c r="L1009" s="195"/>
      <c r="M1009" s="1185"/>
    </row>
    <row r="1010">
      <c r="A1010" s="1185"/>
      <c r="B1010" s="1185"/>
      <c r="C1010" s="1185"/>
      <c r="D1010" s="1185"/>
      <c r="E1010" s="1185"/>
      <c r="F1010" s="1185"/>
      <c r="G1010" s="1186"/>
      <c r="H1010" s="1186"/>
      <c r="I1010" s="195"/>
      <c r="J1010" s="195"/>
      <c r="K1010" s="195"/>
      <c r="L1010" s="195"/>
      <c r="M1010" s="1185"/>
    </row>
    <row r="1011">
      <c r="A1011" s="1185"/>
      <c r="B1011" s="1185"/>
      <c r="C1011" s="1185"/>
      <c r="D1011" s="1185"/>
      <c r="E1011" s="1185"/>
      <c r="F1011" s="1185"/>
      <c r="G1011" s="1186"/>
      <c r="H1011" s="1186"/>
      <c r="I1011" s="195"/>
      <c r="J1011" s="195"/>
      <c r="K1011" s="195"/>
      <c r="L1011" s="195"/>
      <c r="M1011" s="1185"/>
    </row>
    <row r="1012">
      <c r="A1012" s="1185"/>
      <c r="B1012" s="1185"/>
      <c r="C1012" s="1185"/>
      <c r="D1012" s="1185"/>
      <c r="E1012" s="1185"/>
      <c r="F1012" s="1185"/>
      <c r="G1012" s="1186"/>
      <c r="H1012" s="1186"/>
      <c r="I1012" s="195"/>
      <c r="J1012" s="195"/>
      <c r="K1012" s="195"/>
      <c r="L1012" s="195"/>
      <c r="M1012" s="1185"/>
    </row>
    <row r="1013">
      <c r="A1013" s="1185"/>
      <c r="B1013" s="1185"/>
      <c r="C1013" s="1185"/>
      <c r="D1013" s="1185"/>
      <c r="E1013" s="1185"/>
      <c r="F1013" s="1185"/>
      <c r="G1013" s="1186"/>
      <c r="H1013" s="1186"/>
      <c r="I1013" s="195"/>
      <c r="J1013" s="195"/>
      <c r="K1013" s="195"/>
      <c r="L1013" s="195"/>
      <c r="M1013" s="1185"/>
    </row>
    <row r="1014">
      <c r="A1014" s="1185"/>
      <c r="B1014" s="1185"/>
      <c r="C1014" s="1185"/>
      <c r="D1014" s="1185"/>
      <c r="E1014" s="1185"/>
      <c r="F1014" s="1185"/>
      <c r="G1014" s="1186"/>
      <c r="H1014" s="1186"/>
      <c r="I1014" s="195"/>
      <c r="J1014" s="195"/>
      <c r="K1014" s="195"/>
      <c r="L1014" s="195"/>
      <c r="M1014" s="1185"/>
    </row>
    <row r="1015">
      <c r="A1015" s="1185"/>
      <c r="B1015" s="1185"/>
      <c r="C1015" s="1185"/>
      <c r="D1015" s="1185"/>
      <c r="E1015" s="1185"/>
      <c r="F1015" s="1185"/>
      <c r="G1015" s="1186"/>
      <c r="H1015" s="1186"/>
      <c r="I1015" s="195"/>
      <c r="J1015" s="195"/>
      <c r="K1015" s="195"/>
      <c r="L1015" s="195"/>
      <c r="M1015" s="1185"/>
    </row>
    <row r="1016">
      <c r="A1016" s="1185"/>
      <c r="B1016" s="1185"/>
      <c r="C1016" s="1185"/>
      <c r="D1016" s="1185"/>
      <c r="E1016" s="1185"/>
      <c r="F1016" s="1185"/>
      <c r="G1016" s="1186"/>
      <c r="H1016" s="1186"/>
      <c r="I1016" s="195"/>
      <c r="J1016" s="195"/>
      <c r="K1016" s="195"/>
      <c r="L1016" s="195"/>
      <c r="M1016" s="1185"/>
    </row>
    <row r="1017">
      <c r="A1017" s="1185"/>
      <c r="B1017" s="1185"/>
      <c r="C1017" s="1185"/>
      <c r="D1017" s="1185"/>
      <c r="E1017" s="1185"/>
      <c r="F1017" s="1185"/>
      <c r="G1017" s="1186"/>
      <c r="H1017" s="1186"/>
      <c r="I1017" s="195"/>
      <c r="J1017" s="195"/>
      <c r="K1017" s="195"/>
      <c r="L1017" s="195"/>
      <c r="M1017" s="1185"/>
    </row>
    <row r="1018">
      <c r="A1018" s="1185"/>
      <c r="B1018" s="1185"/>
      <c r="C1018" s="1185"/>
      <c r="D1018" s="1185"/>
      <c r="E1018" s="1185"/>
      <c r="F1018" s="1185"/>
      <c r="G1018" s="1186"/>
      <c r="H1018" s="1186"/>
      <c r="I1018" s="195"/>
      <c r="J1018" s="195"/>
      <c r="K1018" s="195"/>
      <c r="L1018" s="195"/>
      <c r="M1018" s="1185"/>
    </row>
    <row r="1019">
      <c r="A1019" s="1185"/>
      <c r="B1019" s="1185"/>
      <c r="C1019" s="1185"/>
      <c r="D1019" s="1185"/>
      <c r="E1019" s="1185"/>
      <c r="F1019" s="1185"/>
      <c r="G1019" s="1186"/>
      <c r="H1019" s="1186"/>
      <c r="I1019" s="195"/>
      <c r="J1019" s="195"/>
      <c r="K1019" s="195"/>
      <c r="L1019" s="195"/>
      <c r="M1019" s="1185"/>
    </row>
    <row r="1020">
      <c r="A1020" s="1185"/>
      <c r="B1020" s="1185"/>
      <c r="C1020" s="1185"/>
      <c r="D1020" s="1185"/>
      <c r="E1020" s="1185"/>
      <c r="F1020" s="1185"/>
      <c r="G1020" s="1186"/>
      <c r="H1020" s="1186"/>
      <c r="I1020" s="195"/>
      <c r="J1020" s="195"/>
      <c r="K1020" s="195"/>
      <c r="L1020" s="195"/>
      <c r="M1020" s="1185"/>
    </row>
    <row r="1021">
      <c r="A1021" s="1185"/>
      <c r="B1021" s="1185"/>
      <c r="C1021" s="1185"/>
      <c r="D1021" s="1185"/>
      <c r="E1021" s="1185"/>
      <c r="F1021" s="1185"/>
      <c r="G1021" s="1186"/>
      <c r="H1021" s="1186"/>
      <c r="I1021" s="195"/>
      <c r="J1021" s="195"/>
      <c r="K1021" s="195"/>
      <c r="L1021" s="195"/>
      <c r="M1021" s="1185"/>
    </row>
    <row r="1022">
      <c r="A1022" s="1185"/>
      <c r="B1022" s="1185"/>
      <c r="C1022" s="1185"/>
      <c r="D1022" s="1185"/>
      <c r="E1022" s="1185"/>
      <c r="F1022" s="1185"/>
      <c r="G1022" s="1186"/>
      <c r="H1022" s="1186"/>
      <c r="I1022" s="195"/>
      <c r="J1022" s="195"/>
      <c r="K1022" s="195"/>
      <c r="L1022" s="195"/>
      <c r="M1022" s="1185"/>
    </row>
    <row r="1023">
      <c r="A1023" s="1185"/>
      <c r="B1023" s="1185"/>
      <c r="C1023" s="1185"/>
      <c r="D1023" s="1185"/>
      <c r="E1023" s="1185"/>
      <c r="F1023" s="1185"/>
      <c r="G1023" s="1186"/>
      <c r="H1023" s="1186"/>
      <c r="I1023" s="195"/>
      <c r="J1023" s="195"/>
      <c r="K1023" s="195"/>
      <c r="L1023" s="195"/>
      <c r="M1023" s="1185"/>
    </row>
    <row r="1024">
      <c r="A1024" s="1185"/>
      <c r="B1024" s="1185"/>
      <c r="C1024" s="1185"/>
      <c r="D1024" s="1185"/>
      <c r="E1024" s="1185"/>
      <c r="F1024" s="1185"/>
      <c r="G1024" s="1186"/>
      <c r="H1024" s="1186"/>
      <c r="I1024" s="195"/>
      <c r="J1024" s="195"/>
      <c r="K1024" s="195"/>
      <c r="L1024" s="195"/>
      <c r="M1024" s="1185"/>
    </row>
    <row r="1025">
      <c r="A1025" s="1185"/>
      <c r="B1025" s="1185"/>
      <c r="C1025" s="1185"/>
      <c r="D1025" s="1185"/>
      <c r="E1025" s="1185"/>
      <c r="F1025" s="1185"/>
      <c r="G1025" s="1186"/>
      <c r="H1025" s="1186"/>
      <c r="I1025" s="195"/>
      <c r="J1025" s="195"/>
      <c r="K1025" s="195"/>
      <c r="L1025" s="195"/>
      <c r="M1025" s="1185"/>
    </row>
    <row r="1026">
      <c r="A1026" s="1185"/>
      <c r="B1026" s="1185"/>
      <c r="C1026" s="1185"/>
      <c r="D1026" s="1185"/>
      <c r="E1026" s="1185"/>
      <c r="F1026" s="1185"/>
      <c r="G1026" s="1186"/>
      <c r="H1026" s="1186"/>
      <c r="I1026" s="195"/>
      <c r="J1026" s="195"/>
      <c r="K1026" s="195"/>
      <c r="L1026" s="195"/>
      <c r="M1026" s="1185"/>
    </row>
    <row r="1027">
      <c r="A1027" s="1185"/>
      <c r="B1027" s="1185"/>
      <c r="C1027" s="1185"/>
      <c r="D1027" s="1185"/>
      <c r="E1027" s="1185"/>
      <c r="F1027" s="1185"/>
      <c r="G1027" s="1186"/>
      <c r="H1027" s="1186"/>
      <c r="I1027" s="195"/>
      <c r="J1027" s="195"/>
      <c r="K1027" s="195"/>
      <c r="L1027" s="195"/>
      <c r="M1027" s="1185"/>
    </row>
    <row r="1028">
      <c r="A1028" s="1185"/>
      <c r="B1028" s="1185"/>
      <c r="C1028" s="1185"/>
      <c r="D1028" s="1185"/>
      <c r="E1028" s="1185"/>
      <c r="F1028" s="1185"/>
      <c r="G1028" s="1186"/>
      <c r="H1028" s="1186"/>
      <c r="I1028" s="195"/>
      <c r="J1028" s="195"/>
      <c r="K1028" s="195"/>
      <c r="L1028" s="195"/>
      <c r="M1028" s="1185"/>
    </row>
    <row r="1029">
      <c r="A1029" s="1185"/>
      <c r="B1029" s="1185"/>
      <c r="C1029" s="1185"/>
      <c r="D1029" s="1185"/>
      <c r="E1029" s="1185"/>
      <c r="F1029" s="1185"/>
      <c r="G1029" s="1186"/>
      <c r="H1029" s="1186"/>
      <c r="I1029" s="195"/>
      <c r="J1029" s="195"/>
      <c r="K1029" s="195"/>
      <c r="L1029" s="195"/>
      <c r="M1029" s="1185"/>
    </row>
    <row r="1030">
      <c r="A1030" s="1185"/>
      <c r="B1030" s="1185"/>
      <c r="C1030" s="1185"/>
      <c r="D1030" s="1185"/>
      <c r="E1030" s="1185"/>
      <c r="F1030" s="1185"/>
      <c r="G1030" s="1186"/>
      <c r="H1030" s="1186"/>
      <c r="I1030" s="195"/>
      <c r="J1030" s="195"/>
      <c r="K1030" s="195"/>
      <c r="L1030" s="195"/>
      <c r="M1030" s="1185"/>
    </row>
    <row r="1031">
      <c r="A1031" s="1185"/>
      <c r="B1031" s="1185"/>
      <c r="C1031" s="1185"/>
      <c r="D1031" s="1185"/>
      <c r="E1031" s="1185"/>
      <c r="F1031" s="1185"/>
      <c r="G1031" s="1186"/>
      <c r="H1031" s="1186"/>
      <c r="I1031" s="195"/>
      <c r="J1031" s="195"/>
      <c r="K1031" s="195"/>
      <c r="L1031" s="195"/>
      <c r="M1031" s="1185"/>
    </row>
    <row r="1032">
      <c r="A1032" s="1185"/>
      <c r="B1032" s="1185"/>
      <c r="C1032" s="1185"/>
      <c r="D1032" s="1185"/>
      <c r="E1032" s="1185"/>
      <c r="F1032" s="1185"/>
      <c r="G1032" s="1186"/>
      <c r="H1032" s="1186"/>
      <c r="I1032" s="195"/>
      <c r="J1032" s="195"/>
      <c r="K1032" s="195"/>
      <c r="L1032" s="195"/>
      <c r="M1032" s="1185"/>
    </row>
    <row r="1033">
      <c r="A1033" s="1185"/>
      <c r="B1033" s="1185"/>
      <c r="C1033" s="1185"/>
      <c r="D1033" s="1185"/>
      <c r="E1033" s="1185"/>
      <c r="F1033" s="1185"/>
      <c r="G1033" s="1186"/>
      <c r="H1033" s="1186"/>
      <c r="I1033" s="195"/>
      <c r="J1033" s="195"/>
      <c r="K1033" s="195"/>
      <c r="L1033" s="195"/>
      <c r="M1033" s="1185"/>
    </row>
    <row r="1034">
      <c r="A1034" s="1185"/>
      <c r="B1034" s="1185"/>
      <c r="C1034" s="1185"/>
      <c r="D1034" s="1185"/>
      <c r="E1034" s="1185"/>
      <c r="F1034" s="1185"/>
      <c r="G1034" s="1186"/>
      <c r="H1034" s="1186"/>
      <c r="I1034" s="195"/>
      <c r="J1034" s="195"/>
      <c r="K1034" s="195"/>
      <c r="L1034" s="195"/>
      <c r="M1034" s="1185"/>
    </row>
    <row r="1035">
      <c r="A1035" s="1185"/>
      <c r="B1035" s="1185"/>
      <c r="C1035" s="1185"/>
      <c r="D1035" s="1185"/>
      <c r="E1035" s="1185"/>
      <c r="F1035" s="1185"/>
      <c r="G1035" s="1186"/>
      <c r="H1035" s="1186"/>
      <c r="I1035" s="195"/>
      <c r="J1035" s="195"/>
      <c r="K1035" s="195"/>
      <c r="L1035" s="195"/>
      <c r="M1035" s="1185"/>
    </row>
    <row r="1036">
      <c r="A1036" s="1185"/>
      <c r="B1036" s="1185"/>
      <c r="C1036" s="1185"/>
      <c r="D1036" s="1185"/>
      <c r="E1036" s="1185"/>
      <c r="F1036" s="1185"/>
      <c r="G1036" s="1186"/>
      <c r="H1036" s="1186"/>
      <c r="I1036" s="195"/>
      <c r="J1036" s="195"/>
      <c r="K1036" s="195"/>
      <c r="L1036" s="195"/>
      <c r="M1036" s="1185"/>
    </row>
    <row r="1037">
      <c r="A1037" s="1185"/>
      <c r="B1037" s="1185"/>
      <c r="C1037" s="1185"/>
      <c r="D1037" s="1185"/>
      <c r="E1037" s="1185"/>
      <c r="F1037" s="1185"/>
      <c r="G1037" s="1186"/>
      <c r="H1037" s="1186"/>
      <c r="I1037" s="195"/>
      <c r="J1037" s="195"/>
      <c r="K1037" s="195"/>
      <c r="L1037" s="195"/>
      <c r="M1037" s="1185"/>
    </row>
    <row r="1038">
      <c r="A1038" s="1185"/>
      <c r="B1038" s="1185"/>
      <c r="C1038" s="1185"/>
      <c r="D1038" s="1185"/>
      <c r="E1038" s="1185"/>
      <c r="F1038" s="1185"/>
      <c r="G1038" s="1186"/>
      <c r="H1038" s="1186"/>
      <c r="I1038" s="195"/>
      <c r="J1038" s="195"/>
      <c r="K1038" s="195"/>
      <c r="L1038" s="195"/>
      <c r="M1038" s="1185"/>
    </row>
    <row r="1039">
      <c r="A1039" s="1185"/>
      <c r="B1039" s="1185"/>
      <c r="C1039" s="1185"/>
      <c r="D1039" s="1185"/>
      <c r="E1039" s="1185"/>
      <c r="F1039" s="1185"/>
      <c r="G1039" s="1186"/>
      <c r="H1039" s="1186"/>
      <c r="I1039" s="195"/>
      <c r="J1039" s="195"/>
      <c r="K1039" s="195"/>
      <c r="L1039" s="195"/>
      <c r="M1039" s="1185"/>
    </row>
    <row r="1040">
      <c r="A1040" s="1185"/>
      <c r="B1040" s="1185"/>
      <c r="C1040" s="1185"/>
      <c r="D1040" s="1185"/>
      <c r="E1040" s="1185"/>
      <c r="F1040" s="1185"/>
      <c r="G1040" s="1186"/>
      <c r="H1040" s="1186"/>
      <c r="I1040" s="195"/>
      <c r="J1040" s="195"/>
      <c r="K1040" s="195"/>
      <c r="L1040" s="195"/>
      <c r="M1040" s="1185"/>
    </row>
    <row r="1041">
      <c r="A1041" s="1185"/>
      <c r="B1041" s="1185"/>
      <c r="C1041" s="1185"/>
      <c r="D1041" s="1185"/>
      <c r="E1041" s="1185"/>
      <c r="F1041" s="1185"/>
      <c r="G1041" s="1186"/>
      <c r="H1041" s="1186"/>
      <c r="I1041" s="195"/>
      <c r="J1041" s="195"/>
      <c r="K1041" s="195"/>
      <c r="L1041" s="195"/>
      <c r="M1041" s="1185"/>
    </row>
    <row r="1042">
      <c r="A1042" s="1185"/>
      <c r="B1042" s="1185"/>
      <c r="C1042" s="1185"/>
      <c r="D1042" s="1185"/>
      <c r="E1042" s="1185"/>
      <c r="F1042" s="1185"/>
      <c r="G1042" s="1186"/>
      <c r="H1042" s="1186"/>
      <c r="I1042" s="195"/>
      <c r="J1042" s="195"/>
      <c r="K1042" s="195"/>
      <c r="L1042" s="195"/>
      <c r="M1042" s="1185"/>
    </row>
    <row r="1043">
      <c r="A1043" s="1185"/>
      <c r="B1043" s="1185"/>
      <c r="C1043" s="1185"/>
      <c r="D1043" s="1185"/>
      <c r="E1043" s="1185"/>
      <c r="F1043" s="1185"/>
      <c r="G1043" s="1186"/>
      <c r="H1043" s="1186"/>
      <c r="I1043" s="195"/>
      <c r="J1043" s="195"/>
      <c r="K1043" s="195"/>
      <c r="L1043" s="195"/>
      <c r="M1043" s="1185"/>
    </row>
    <row r="1044">
      <c r="A1044" s="1185"/>
      <c r="B1044" s="1185"/>
      <c r="C1044" s="1185"/>
      <c r="D1044" s="1185"/>
      <c r="E1044" s="1185"/>
      <c r="F1044" s="1185"/>
      <c r="G1044" s="1186"/>
      <c r="H1044" s="1186"/>
      <c r="I1044" s="195"/>
      <c r="J1044" s="195"/>
      <c r="K1044" s="195"/>
      <c r="L1044" s="195"/>
      <c r="M1044" s="1185"/>
    </row>
    <row r="1045">
      <c r="A1045" s="1185"/>
      <c r="B1045" s="1185"/>
      <c r="C1045" s="1185"/>
      <c r="D1045" s="1185"/>
      <c r="E1045" s="1185"/>
      <c r="F1045" s="1185"/>
      <c r="G1045" s="1186"/>
      <c r="H1045" s="1186"/>
      <c r="I1045" s="195"/>
      <c r="J1045" s="195"/>
      <c r="K1045" s="195"/>
      <c r="L1045" s="195"/>
      <c r="M1045" s="1185"/>
    </row>
    <row r="1046">
      <c r="A1046" s="1185"/>
      <c r="B1046" s="1185"/>
      <c r="C1046" s="1185"/>
      <c r="D1046" s="1185"/>
      <c r="E1046" s="1185"/>
      <c r="F1046" s="1185"/>
      <c r="G1046" s="1186"/>
      <c r="H1046" s="1186"/>
      <c r="I1046" s="195"/>
      <c r="J1046" s="195"/>
      <c r="K1046" s="195"/>
      <c r="L1046" s="195"/>
      <c r="M1046" s="1185"/>
    </row>
    <row r="1047">
      <c r="A1047" s="1185"/>
      <c r="B1047" s="1185"/>
      <c r="C1047" s="1185"/>
      <c r="D1047" s="1185"/>
      <c r="E1047" s="1185"/>
      <c r="F1047" s="1185"/>
      <c r="G1047" s="1186"/>
      <c r="H1047" s="1186"/>
      <c r="I1047" s="195"/>
      <c r="J1047" s="195"/>
      <c r="K1047" s="195"/>
      <c r="L1047" s="195"/>
      <c r="M1047" s="1185"/>
    </row>
    <row r="1048">
      <c r="A1048" s="1185"/>
      <c r="B1048" s="1185"/>
      <c r="C1048" s="1185"/>
      <c r="D1048" s="1185"/>
      <c r="E1048" s="1185"/>
      <c r="F1048" s="1185"/>
      <c r="G1048" s="1186"/>
      <c r="H1048" s="1186"/>
      <c r="I1048" s="195"/>
      <c r="J1048" s="195"/>
      <c r="K1048" s="195"/>
      <c r="L1048" s="195"/>
      <c r="M1048" s="1185"/>
    </row>
    <row r="1049">
      <c r="A1049" s="1185"/>
      <c r="B1049" s="1185"/>
      <c r="C1049" s="1185"/>
      <c r="D1049" s="1185"/>
      <c r="E1049" s="1185"/>
      <c r="F1049" s="1185"/>
      <c r="G1049" s="1186"/>
      <c r="H1049" s="1186"/>
      <c r="I1049" s="195"/>
      <c r="J1049" s="195"/>
      <c r="K1049" s="195"/>
      <c r="L1049" s="195"/>
      <c r="M1049" s="1185"/>
    </row>
    <row r="1050">
      <c r="A1050" s="1185"/>
      <c r="B1050" s="1185"/>
      <c r="C1050" s="1185"/>
      <c r="D1050" s="1185"/>
      <c r="E1050" s="1185"/>
      <c r="F1050" s="1185"/>
      <c r="G1050" s="1186"/>
      <c r="H1050" s="1186"/>
      <c r="I1050" s="195"/>
      <c r="J1050" s="195"/>
      <c r="K1050" s="195"/>
      <c r="L1050" s="195"/>
      <c r="M1050" s="1185"/>
    </row>
    <row r="1051">
      <c r="A1051" s="1185"/>
      <c r="B1051" s="1185"/>
      <c r="C1051" s="1185"/>
      <c r="D1051" s="1185"/>
      <c r="E1051" s="1185"/>
      <c r="F1051" s="1185"/>
      <c r="G1051" s="1186"/>
      <c r="H1051" s="1186"/>
      <c r="I1051" s="195"/>
      <c r="J1051" s="195"/>
      <c r="K1051" s="195"/>
      <c r="L1051" s="195"/>
      <c r="M1051" s="1185"/>
    </row>
    <row r="1052">
      <c r="A1052" s="1185"/>
      <c r="B1052" s="1185"/>
      <c r="C1052" s="1185"/>
      <c r="D1052" s="1185"/>
      <c r="E1052" s="1185"/>
      <c r="F1052" s="1185"/>
      <c r="G1052" s="1186"/>
      <c r="H1052" s="1186"/>
      <c r="I1052" s="195"/>
      <c r="J1052" s="195"/>
      <c r="K1052" s="195"/>
      <c r="L1052" s="195"/>
      <c r="M1052" s="1185"/>
    </row>
    <row r="1053">
      <c r="A1053" s="1185"/>
      <c r="B1053" s="1185"/>
      <c r="C1053" s="1185"/>
      <c r="D1053" s="1185"/>
      <c r="E1053" s="1185"/>
      <c r="F1053" s="1185"/>
      <c r="G1053" s="1186"/>
      <c r="H1053" s="1186"/>
      <c r="I1053" s="195"/>
      <c r="J1053" s="195"/>
      <c r="K1053" s="195"/>
      <c r="L1053" s="195"/>
      <c r="M1053" s="1185"/>
    </row>
    <row r="1054">
      <c r="A1054" s="1185"/>
      <c r="B1054" s="1185"/>
      <c r="C1054" s="1185"/>
      <c r="D1054" s="1185"/>
      <c r="E1054" s="1185"/>
      <c r="F1054" s="1185"/>
      <c r="G1054" s="1186"/>
      <c r="H1054" s="1186"/>
      <c r="I1054" s="195"/>
      <c r="J1054" s="195"/>
      <c r="K1054" s="195"/>
      <c r="L1054" s="195"/>
      <c r="M1054" s="1185"/>
    </row>
    <row r="1055">
      <c r="A1055" s="1185"/>
      <c r="B1055" s="1185"/>
      <c r="C1055" s="1185"/>
      <c r="D1055" s="1185"/>
      <c r="E1055" s="1185"/>
      <c r="F1055" s="1185"/>
      <c r="G1055" s="1186"/>
      <c r="H1055" s="1186"/>
      <c r="I1055" s="195"/>
      <c r="J1055" s="195"/>
      <c r="K1055" s="195"/>
      <c r="L1055" s="195"/>
      <c r="M1055" s="1185"/>
    </row>
    <row r="1056">
      <c r="A1056" s="1185"/>
      <c r="B1056" s="1185"/>
      <c r="C1056" s="1185"/>
      <c r="D1056" s="1185"/>
      <c r="E1056" s="1185"/>
      <c r="F1056" s="1185"/>
      <c r="G1056" s="1186"/>
      <c r="H1056" s="1186"/>
      <c r="I1056" s="195"/>
      <c r="J1056" s="195"/>
      <c r="K1056" s="195"/>
      <c r="L1056" s="195"/>
      <c r="M1056" s="1185"/>
    </row>
    <row r="1057">
      <c r="A1057" s="1185"/>
      <c r="B1057" s="1185"/>
      <c r="C1057" s="1185"/>
      <c r="D1057" s="1185"/>
      <c r="E1057" s="1185"/>
      <c r="F1057" s="1185"/>
      <c r="G1057" s="1186"/>
      <c r="H1057" s="1186"/>
      <c r="I1057" s="195"/>
      <c r="J1057" s="195"/>
      <c r="K1057" s="195"/>
      <c r="L1057" s="195"/>
      <c r="M1057" s="1185"/>
    </row>
    <row r="1058">
      <c r="A1058" s="1185"/>
      <c r="B1058" s="1185"/>
      <c r="C1058" s="1185"/>
      <c r="D1058" s="1185"/>
      <c r="E1058" s="1185"/>
      <c r="F1058" s="1185"/>
      <c r="G1058" s="1186"/>
      <c r="H1058" s="1186"/>
      <c r="I1058" s="195"/>
      <c r="J1058" s="195"/>
      <c r="K1058" s="195"/>
      <c r="L1058" s="195"/>
      <c r="M1058" s="1185"/>
    </row>
    <row r="1059">
      <c r="A1059" s="1185"/>
      <c r="B1059" s="1185"/>
      <c r="C1059" s="1185"/>
      <c r="D1059" s="1185"/>
      <c r="E1059" s="1185"/>
      <c r="F1059" s="1185"/>
      <c r="G1059" s="1186"/>
      <c r="H1059" s="1186"/>
      <c r="I1059" s="195"/>
      <c r="J1059" s="195"/>
      <c r="K1059" s="195"/>
      <c r="L1059" s="195"/>
      <c r="M1059" s="1185"/>
    </row>
    <row r="1060">
      <c r="A1060" s="1185"/>
      <c r="B1060" s="1185"/>
      <c r="C1060" s="1185"/>
      <c r="D1060" s="1185"/>
      <c r="E1060" s="1185"/>
      <c r="F1060" s="1185"/>
      <c r="G1060" s="1186"/>
      <c r="H1060" s="1186"/>
      <c r="I1060" s="195"/>
      <c r="J1060" s="195"/>
      <c r="K1060" s="195"/>
      <c r="L1060" s="195"/>
      <c r="M1060" s="1185"/>
    </row>
    <row r="1061">
      <c r="A1061" s="1185"/>
      <c r="B1061" s="1185"/>
      <c r="C1061" s="1185"/>
      <c r="D1061" s="1185"/>
      <c r="E1061" s="1185"/>
      <c r="F1061" s="1185"/>
      <c r="G1061" s="1186"/>
      <c r="H1061" s="1186"/>
      <c r="I1061" s="195"/>
      <c r="J1061" s="195"/>
      <c r="K1061" s="195"/>
      <c r="L1061" s="195"/>
      <c r="M1061" s="1185"/>
    </row>
    <row r="1062">
      <c r="A1062" s="1185"/>
      <c r="B1062" s="1185"/>
      <c r="C1062" s="1185"/>
      <c r="D1062" s="1185"/>
      <c r="E1062" s="1185"/>
      <c r="F1062" s="1185"/>
      <c r="G1062" s="1186"/>
      <c r="H1062" s="1186"/>
      <c r="I1062" s="195"/>
      <c r="J1062" s="195"/>
      <c r="K1062" s="195"/>
      <c r="L1062" s="195"/>
      <c r="M1062" s="1185"/>
    </row>
    <row r="1063">
      <c r="A1063" s="1185"/>
      <c r="B1063" s="1185"/>
      <c r="C1063" s="1185"/>
      <c r="D1063" s="1185"/>
      <c r="E1063" s="1185"/>
      <c r="F1063" s="1185"/>
      <c r="G1063" s="1186"/>
      <c r="H1063" s="1186"/>
      <c r="I1063" s="195"/>
      <c r="J1063" s="195"/>
      <c r="K1063" s="195"/>
      <c r="L1063" s="195"/>
      <c r="M1063" s="1185"/>
    </row>
    <row r="1064">
      <c r="A1064" s="1185"/>
      <c r="B1064" s="1185"/>
      <c r="C1064" s="1185"/>
      <c r="D1064" s="1185"/>
      <c r="E1064" s="1185"/>
      <c r="F1064" s="1185"/>
      <c r="G1064" s="1186"/>
      <c r="H1064" s="1186"/>
      <c r="I1064" s="195"/>
      <c r="J1064" s="195"/>
      <c r="K1064" s="195"/>
      <c r="L1064" s="195"/>
      <c r="M1064" s="1185"/>
    </row>
    <row r="1065">
      <c r="A1065" s="1185"/>
      <c r="B1065" s="1185"/>
      <c r="C1065" s="1185"/>
      <c r="D1065" s="1185"/>
      <c r="E1065" s="1185"/>
      <c r="F1065" s="1185"/>
      <c r="G1065" s="1186"/>
      <c r="H1065" s="1186"/>
      <c r="I1065" s="195"/>
      <c r="J1065" s="195"/>
      <c r="K1065" s="195"/>
      <c r="L1065" s="195"/>
      <c r="M1065" s="1185"/>
    </row>
    <row r="1066">
      <c r="A1066" s="1185"/>
      <c r="B1066" s="1185"/>
      <c r="C1066" s="1185"/>
      <c r="D1066" s="1185"/>
      <c r="E1066" s="1185"/>
      <c r="F1066" s="1185"/>
      <c r="G1066" s="1186"/>
      <c r="H1066" s="1186"/>
      <c r="I1066" s="195"/>
      <c r="J1066" s="195"/>
      <c r="K1066" s="195"/>
      <c r="L1066" s="195"/>
      <c r="M1066" s="1185"/>
    </row>
    <row r="1067">
      <c r="A1067" s="1185"/>
      <c r="B1067" s="1185"/>
      <c r="C1067" s="1185"/>
      <c r="D1067" s="1185"/>
      <c r="E1067" s="1185"/>
      <c r="F1067" s="1185"/>
      <c r="G1067" s="1186"/>
      <c r="H1067" s="1186"/>
      <c r="I1067" s="195"/>
      <c r="J1067" s="195"/>
      <c r="K1067" s="195"/>
      <c r="L1067" s="195"/>
      <c r="M1067" s="1185"/>
    </row>
    <row r="1068">
      <c r="A1068" s="1185"/>
      <c r="B1068" s="1185"/>
      <c r="C1068" s="1185"/>
      <c r="D1068" s="1185"/>
      <c r="E1068" s="1185"/>
      <c r="F1068" s="1185"/>
      <c r="G1068" s="1186"/>
      <c r="H1068" s="1186"/>
      <c r="I1068" s="195"/>
      <c r="J1068" s="195"/>
      <c r="K1068" s="195"/>
      <c r="L1068" s="195"/>
      <c r="M1068" s="1185"/>
    </row>
    <row r="1069">
      <c r="A1069" s="1185"/>
      <c r="B1069" s="1185"/>
      <c r="C1069" s="1185"/>
      <c r="D1069" s="1185"/>
      <c r="E1069" s="1185"/>
      <c r="F1069" s="1185"/>
      <c r="G1069" s="1186"/>
      <c r="H1069" s="1186"/>
      <c r="I1069" s="195"/>
      <c r="J1069" s="195"/>
      <c r="K1069" s="195"/>
      <c r="L1069" s="195"/>
      <c r="M1069" s="1185"/>
    </row>
    <row r="1070">
      <c r="A1070" s="1185"/>
      <c r="B1070" s="1185"/>
      <c r="C1070" s="1185"/>
      <c r="D1070" s="1185"/>
      <c r="E1070" s="1185"/>
      <c r="F1070" s="1185"/>
      <c r="G1070" s="1186"/>
      <c r="H1070" s="1186"/>
      <c r="I1070" s="195"/>
      <c r="J1070" s="195"/>
      <c r="K1070" s="195"/>
      <c r="L1070" s="195"/>
      <c r="M1070" s="1185"/>
    </row>
    <row r="1071">
      <c r="A1071" s="1185"/>
      <c r="B1071" s="1185"/>
      <c r="C1071" s="1185"/>
      <c r="D1071" s="1185"/>
      <c r="E1071" s="1185"/>
      <c r="F1071" s="1185"/>
      <c r="G1071" s="1186"/>
      <c r="H1071" s="1186"/>
      <c r="I1071" s="195"/>
      <c r="J1071" s="195"/>
      <c r="K1071" s="195"/>
      <c r="L1071" s="195"/>
      <c r="M1071" s="1185"/>
    </row>
    <row r="1072">
      <c r="A1072" s="1185"/>
      <c r="B1072" s="1185"/>
      <c r="C1072" s="1185"/>
      <c r="D1072" s="1185"/>
      <c r="E1072" s="1185"/>
      <c r="F1072" s="1185"/>
      <c r="G1072" s="1186"/>
      <c r="H1072" s="1186"/>
      <c r="I1072" s="195"/>
      <c r="J1072" s="195"/>
      <c r="K1072" s="195"/>
      <c r="L1072" s="195"/>
      <c r="M1072" s="1185"/>
    </row>
    <row r="1073">
      <c r="A1073" s="1185"/>
      <c r="B1073" s="1185"/>
      <c r="C1073" s="1185"/>
      <c r="D1073" s="1185"/>
      <c r="E1073" s="1185"/>
      <c r="F1073" s="1185"/>
      <c r="G1073" s="1186"/>
      <c r="H1073" s="1186"/>
      <c r="I1073" s="195"/>
      <c r="J1073" s="195"/>
      <c r="K1073" s="195"/>
      <c r="L1073" s="195"/>
      <c r="M1073" s="1185"/>
    </row>
    <row r="1074">
      <c r="A1074" s="1185"/>
      <c r="B1074" s="1185"/>
      <c r="C1074" s="1185"/>
      <c r="D1074" s="1185"/>
      <c r="E1074" s="1185"/>
      <c r="F1074" s="1185"/>
      <c r="G1074" s="1186"/>
      <c r="H1074" s="1186"/>
      <c r="I1074" s="195"/>
      <c r="J1074" s="195"/>
      <c r="K1074" s="195"/>
      <c r="L1074" s="195"/>
      <c r="M1074" s="1185"/>
    </row>
    <row r="1075">
      <c r="A1075" s="1185"/>
      <c r="B1075" s="1185"/>
      <c r="C1075" s="1185"/>
      <c r="D1075" s="1185"/>
      <c r="E1075" s="1185"/>
      <c r="F1075" s="1185"/>
      <c r="G1075" s="1186"/>
      <c r="H1075" s="1186"/>
      <c r="I1075" s="195"/>
      <c r="J1075" s="195"/>
      <c r="K1075" s="195"/>
      <c r="L1075" s="195"/>
      <c r="M1075" s="1185"/>
    </row>
    <row r="1076">
      <c r="A1076" s="1185"/>
      <c r="B1076" s="1185"/>
      <c r="C1076" s="1185"/>
      <c r="D1076" s="1185"/>
      <c r="E1076" s="1185"/>
      <c r="F1076" s="1185"/>
      <c r="G1076" s="1186"/>
      <c r="H1076" s="1186"/>
      <c r="I1076" s="195"/>
      <c r="J1076" s="195"/>
      <c r="K1076" s="195"/>
      <c r="L1076" s="195"/>
      <c r="M1076" s="1185"/>
    </row>
    <row r="1077">
      <c r="A1077" s="1185"/>
      <c r="B1077" s="1185"/>
      <c r="C1077" s="1185"/>
      <c r="D1077" s="1185"/>
      <c r="E1077" s="1185"/>
      <c r="F1077" s="1185"/>
      <c r="G1077" s="1186"/>
      <c r="H1077" s="1186"/>
      <c r="I1077" s="195"/>
      <c r="J1077" s="195"/>
      <c r="K1077" s="195"/>
      <c r="L1077" s="195"/>
      <c r="M1077" s="1185"/>
    </row>
    <row r="1078">
      <c r="A1078" s="1185"/>
      <c r="B1078" s="1185"/>
      <c r="C1078" s="1185"/>
      <c r="D1078" s="1185"/>
      <c r="E1078" s="1185"/>
      <c r="F1078" s="1185"/>
      <c r="G1078" s="1186"/>
      <c r="H1078" s="1186"/>
      <c r="I1078" s="195"/>
      <c r="J1078" s="195"/>
      <c r="K1078" s="195"/>
      <c r="L1078" s="195"/>
      <c r="M1078" s="1185"/>
    </row>
    <row r="1079">
      <c r="A1079" s="1185"/>
      <c r="B1079" s="1185"/>
      <c r="C1079" s="1185"/>
      <c r="D1079" s="1185"/>
      <c r="E1079" s="1185"/>
      <c r="F1079" s="1185"/>
      <c r="G1079" s="1186"/>
      <c r="H1079" s="1186"/>
      <c r="I1079" s="195"/>
      <c r="J1079" s="195"/>
      <c r="K1079" s="195"/>
      <c r="L1079" s="195"/>
      <c r="M1079" s="1185"/>
    </row>
    <row r="1080">
      <c r="A1080" s="1185"/>
      <c r="B1080" s="1185"/>
      <c r="C1080" s="1185"/>
      <c r="D1080" s="1185"/>
      <c r="E1080" s="1185"/>
      <c r="F1080" s="1185"/>
      <c r="G1080" s="1186"/>
      <c r="H1080" s="1186"/>
      <c r="I1080" s="195"/>
      <c r="J1080" s="195"/>
      <c r="K1080" s="195"/>
      <c r="L1080" s="195"/>
      <c r="M1080" s="1185"/>
    </row>
    <row r="1081">
      <c r="A1081" s="1185"/>
      <c r="B1081" s="1185"/>
      <c r="C1081" s="1185"/>
      <c r="D1081" s="1185"/>
      <c r="E1081" s="1185"/>
      <c r="F1081" s="1185"/>
      <c r="G1081" s="1186"/>
      <c r="H1081" s="1186"/>
      <c r="I1081" s="195"/>
      <c r="J1081" s="195"/>
      <c r="K1081" s="195"/>
      <c r="L1081" s="195"/>
      <c r="M1081" s="1185"/>
    </row>
    <row r="1082">
      <c r="A1082" s="1185"/>
      <c r="B1082" s="1185"/>
      <c r="C1082" s="1185"/>
      <c r="D1082" s="1185"/>
      <c r="E1082" s="1185"/>
      <c r="F1082" s="1185"/>
      <c r="G1082" s="1186"/>
      <c r="H1082" s="1186"/>
      <c r="I1082" s="195"/>
      <c r="J1082" s="195"/>
      <c r="K1082" s="195"/>
      <c r="L1082" s="195"/>
      <c r="M1082" s="1185"/>
    </row>
    <row r="1083">
      <c r="A1083" s="1185"/>
      <c r="B1083" s="1185"/>
      <c r="C1083" s="1185"/>
      <c r="D1083" s="1185"/>
      <c r="E1083" s="1185"/>
      <c r="F1083" s="1185"/>
      <c r="G1083" s="1186"/>
      <c r="H1083" s="1186"/>
      <c r="I1083" s="195"/>
      <c r="J1083" s="195"/>
      <c r="K1083" s="195"/>
      <c r="L1083" s="195"/>
      <c r="M1083" s="1185"/>
    </row>
    <row r="1084">
      <c r="A1084" s="1185"/>
      <c r="B1084" s="1185"/>
      <c r="C1084" s="1185"/>
      <c r="D1084" s="1185"/>
      <c r="E1084" s="1185"/>
      <c r="F1084" s="1185"/>
      <c r="G1084" s="1186"/>
      <c r="H1084" s="1186"/>
      <c r="I1084" s="195"/>
      <c r="J1084" s="195"/>
      <c r="K1084" s="195"/>
      <c r="L1084" s="195"/>
      <c r="M1084" s="1185"/>
    </row>
    <row r="1085">
      <c r="A1085" s="1185"/>
      <c r="B1085" s="1185"/>
      <c r="C1085" s="1185"/>
      <c r="D1085" s="1185"/>
      <c r="E1085" s="1185"/>
      <c r="F1085" s="1185"/>
      <c r="G1085" s="1186"/>
      <c r="H1085" s="1186"/>
      <c r="I1085" s="195"/>
      <c r="J1085" s="195"/>
      <c r="K1085" s="195"/>
      <c r="L1085" s="195"/>
      <c r="M1085" s="1185"/>
    </row>
    <row r="1086">
      <c r="A1086" s="1185"/>
      <c r="B1086" s="1185"/>
      <c r="C1086" s="1185"/>
      <c r="D1086" s="1185"/>
      <c r="E1086" s="1185"/>
      <c r="F1086" s="1185"/>
      <c r="G1086" s="1186"/>
      <c r="H1086" s="1186"/>
      <c r="I1086" s="195"/>
      <c r="J1086" s="195"/>
      <c r="K1086" s="195"/>
      <c r="L1086" s="195"/>
      <c r="M1086" s="1185"/>
    </row>
    <row r="1087">
      <c r="A1087" s="1185"/>
      <c r="B1087" s="1185"/>
      <c r="C1087" s="1185"/>
      <c r="D1087" s="1185"/>
      <c r="E1087" s="1185"/>
      <c r="F1087" s="1185"/>
      <c r="G1087" s="1186"/>
      <c r="H1087" s="1186"/>
      <c r="I1087" s="195"/>
      <c r="J1087" s="195"/>
      <c r="K1087" s="195"/>
      <c r="L1087" s="195"/>
      <c r="M1087" s="1185"/>
    </row>
    <row r="1088">
      <c r="A1088" s="1185"/>
      <c r="B1088" s="1185"/>
      <c r="C1088" s="1185"/>
      <c r="D1088" s="1185"/>
      <c r="E1088" s="1185"/>
      <c r="F1088" s="1185"/>
      <c r="G1088" s="1186"/>
      <c r="H1088" s="1186"/>
      <c r="I1088" s="195"/>
      <c r="J1088" s="195"/>
      <c r="K1088" s="195"/>
      <c r="L1088" s="195"/>
      <c r="M1088" s="1185"/>
    </row>
    <row r="1089">
      <c r="A1089" s="1185"/>
      <c r="B1089" s="1185"/>
      <c r="C1089" s="1185"/>
      <c r="D1089" s="1185"/>
      <c r="E1089" s="1185"/>
      <c r="F1089" s="1185"/>
      <c r="G1089" s="1186"/>
      <c r="H1089" s="1186"/>
      <c r="I1089" s="195"/>
      <c r="J1089" s="195"/>
      <c r="K1089" s="195"/>
      <c r="L1089" s="195"/>
      <c r="M1089" s="1185"/>
    </row>
    <row r="1090">
      <c r="A1090" s="1185"/>
      <c r="B1090" s="1185"/>
      <c r="C1090" s="1185"/>
      <c r="D1090" s="1185"/>
      <c r="E1090" s="1185"/>
      <c r="F1090" s="1185"/>
      <c r="G1090" s="1186"/>
      <c r="H1090" s="1186"/>
      <c r="I1090" s="195"/>
      <c r="J1090" s="195"/>
      <c r="K1090" s="195"/>
      <c r="L1090" s="195"/>
      <c r="M1090" s="1185"/>
    </row>
    <row r="1091">
      <c r="A1091" s="1185"/>
      <c r="B1091" s="1185"/>
      <c r="C1091" s="1185"/>
      <c r="D1091" s="1185"/>
      <c r="E1091" s="1185"/>
      <c r="F1091" s="1185"/>
      <c r="G1091" s="1186"/>
      <c r="H1091" s="1186"/>
      <c r="I1091" s="195"/>
      <c r="J1091" s="195"/>
      <c r="K1091" s="195"/>
      <c r="L1091" s="195"/>
      <c r="M1091" s="1185"/>
    </row>
    <row r="1092">
      <c r="A1092" s="1185"/>
      <c r="B1092" s="1185"/>
      <c r="C1092" s="1185"/>
      <c r="D1092" s="1185"/>
      <c r="E1092" s="1185"/>
      <c r="F1092" s="1185"/>
      <c r="G1092" s="1186"/>
      <c r="H1092" s="1186"/>
      <c r="I1092" s="195"/>
      <c r="J1092" s="195"/>
      <c r="K1092" s="195"/>
      <c r="L1092" s="195"/>
      <c r="M1092" s="1185"/>
    </row>
    <row r="1093">
      <c r="A1093" s="1185"/>
      <c r="B1093" s="1185"/>
      <c r="C1093" s="1185"/>
      <c r="D1093" s="1185"/>
      <c r="E1093" s="1185"/>
      <c r="F1093" s="1185"/>
      <c r="G1093" s="1186"/>
      <c r="H1093" s="1186"/>
      <c r="I1093" s="195"/>
      <c r="J1093" s="195"/>
      <c r="K1093" s="195"/>
      <c r="L1093" s="195"/>
      <c r="M1093" s="1185"/>
    </row>
    <row r="1094">
      <c r="A1094" s="1185"/>
      <c r="B1094" s="1185"/>
      <c r="C1094" s="1185"/>
      <c r="D1094" s="1185"/>
      <c r="E1094" s="1185"/>
      <c r="F1094" s="1185"/>
      <c r="G1094" s="1186"/>
      <c r="H1094" s="1186"/>
      <c r="I1094" s="195"/>
      <c r="J1094" s="195"/>
      <c r="K1094" s="195"/>
      <c r="L1094" s="195"/>
      <c r="M1094" s="1185"/>
    </row>
    <row r="1095">
      <c r="A1095" s="1185"/>
      <c r="B1095" s="1185"/>
      <c r="C1095" s="1185"/>
      <c r="D1095" s="1185"/>
      <c r="E1095" s="1185"/>
      <c r="F1095" s="1185"/>
      <c r="G1095" s="1186"/>
      <c r="H1095" s="1186"/>
      <c r="I1095" s="195"/>
      <c r="J1095" s="195"/>
      <c r="K1095" s="195"/>
      <c r="L1095" s="195"/>
      <c r="M1095" s="1185"/>
    </row>
    <row r="1096">
      <c r="A1096" s="1185"/>
      <c r="B1096" s="1185"/>
      <c r="C1096" s="1185"/>
      <c r="D1096" s="1185"/>
      <c r="E1096" s="1185"/>
      <c r="F1096" s="1185"/>
      <c r="G1096" s="1186"/>
      <c r="H1096" s="1186"/>
      <c r="I1096" s="195"/>
      <c r="J1096" s="195"/>
      <c r="K1096" s="195"/>
      <c r="L1096" s="195"/>
      <c r="M1096" s="1185"/>
    </row>
    <row r="1097">
      <c r="A1097" s="1185"/>
      <c r="B1097" s="1185"/>
      <c r="C1097" s="1185"/>
      <c r="D1097" s="1185"/>
      <c r="E1097" s="1185"/>
      <c r="F1097" s="1185"/>
      <c r="G1097" s="1186"/>
      <c r="H1097" s="1186"/>
      <c r="I1097" s="195"/>
      <c r="J1097" s="195"/>
      <c r="K1097" s="195"/>
      <c r="L1097" s="195"/>
      <c r="M1097" s="1185"/>
    </row>
    <row r="1098">
      <c r="A1098" s="1185"/>
      <c r="B1098" s="1185"/>
      <c r="C1098" s="1185"/>
      <c r="D1098" s="1185"/>
      <c r="E1098" s="1185"/>
      <c r="F1098" s="1185"/>
      <c r="G1098" s="1186"/>
      <c r="H1098" s="1186"/>
      <c r="I1098" s="195"/>
      <c r="J1098" s="195"/>
      <c r="K1098" s="195"/>
      <c r="L1098" s="195"/>
      <c r="M1098" s="1185"/>
    </row>
    <row r="1099">
      <c r="A1099" s="1185"/>
      <c r="B1099" s="1185"/>
      <c r="C1099" s="1185"/>
      <c r="D1099" s="1185"/>
      <c r="E1099" s="1185"/>
      <c r="F1099" s="1185"/>
      <c r="G1099" s="1186"/>
      <c r="H1099" s="1186"/>
      <c r="I1099" s="195"/>
      <c r="J1099" s="195"/>
      <c r="K1099" s="195"/>
      <c r="L1099" s="195"/>
      <c r="M1099" s="1185"/>
    </row>
    <row r="1100">
      <c r="A1100" s="1185"/>
      <c r="B1100" s="1185"/>
      <c r="C1100" s="1185"/>
      <c r="D1100" s="1185"/>
      <c r="E1100" s="1185"/>
      <c r="F1100" s="1185"/>
      <c r="G1100" s="1186"/>
      <c r="H1100" s="1186"/>
      <c r="I1100" s="195"/>
      <c r="J1100" s="195"/>
      <c r="K1100" s="195"/>
      <c r="L1100" s="195"/>
      <c r="M1100" s="1185"/>
    </row>
    <row r="1101">
      <c r="A1101" s="1185"/>
      <c r="B1101" s="1185"/>
      <c r="C1101" s="1185"/>
      <c r="D1101" s="1185"/>
      <c r="E1101" s="1185"/>
      <c r="F1101" s="1185"/>
      <c r="G1101" s="1186"/>
      <c r="H1101" s="1186"/>
      <c r="I1101" s="195"/>
      <c r="J1101" s="195"/>
      <c r="K1101" s="195"/>
      <c r="L1101" s="195"/>
      <c r="M1101" s="1185"/>
    </row>
    <row r="1102">
      <c r="A1102" s="1185"/>
      <c r="B1102" s="1185"/>
      <c r="C1102" s="1185"/>
      <c r="D1102" s="1185"/>
      <c r="E1102" s="1185"/>
      <c r="F1102" s="1185"/>
      <c r="G1102" s="1186"/>
      <c r="H1102" s="1186"/>
      <c r="I1102" s="195"/>
      <c r="J1102" s="195"/>
      <c r="K1102" s="195"/>
      <c r="L1102" s="195"/>
      <c r="M1102" s="1185"/>
    </row>
    <row r="1103">
      <c r="A1103" s="1185"/>
      <c r="B1103" s="1185"/>
      <c r="C1103" s="1185"/>
      <c r="D1103" s="1185"/>
      <c r="E1103" s="1185"/>
      <c r="F1103" s="1185"/>
      <c r="G1103" s="1186"/>
      <c r="H1103" s="1186"/>
      <c r="I1103" s="195"/>
      <c r="J1103" s="195"/>
      <c r="K1103" s="195"/>
      <c r="L1103" s="195"/>
      <c r="M1103" s="1185"/>
    </row>
    <row r="1104">
      <c r="A1104" s="1185"/>
      <c r="B1104" s="1185"/>
      <c r="C1104" s="1185"/>
      <c r="D1104" s="1185"/>
      <c r="E1104" s="1185"/>
      <c r="F1104" s="1185"/>
      <c r="G1104" s="1186"/>
      <c r="H1104" s="1186"/>
      <c r="I1104" s="195"/>
      <c r="J1104" s="195"/>
      <c r="K1104" s="195"/>
      <c r="L1104" s="195"/>
      <c r="M1104" s="1185"/>
    </row>
    <row r="1105">
      <c r="A1105" s="1185"/>
      <c r="B1105" s="1185"/>
      <c r="C1105" s="1185"/>
      <c r="D1105" s="1185"/>
      <c r="E1105" s="1185"/>
      <c r="F1105" s="1185"/>
      <c r="G1105" s="1186"/>
      <c r="H1105" s="1186"/>
      <c r="I1105" s="195"/>
      <c r="J1105" s="195"/>
      <c r="K1105" s="195"/>
      <c r="L1105" s="195"/>
      <c r="M1105" s="1185"/>
    </row>
    <row r="1106">
      <c r="A1106" s="1185"/>
      <c r="B1106" s="1185"/>
      <c r="C1106" s="1185"/>
      <c r="D1106" s="1185"/>
      <c r="E1106" s="1185"/>
      <c r="F1106" s="1185"/>
      <c r="G1106" s="1186"/>
      <c r="H1106" s="1186"/>
      <c r="I1106" s="195"/>
      <c r="J1106" s="195"/>
      <c r="K1106" s="195"/>
      <c r="L1106" s="195"/>
      <c r="M1106" s="1185"/>
    </row>
    <row r="1107">
      <c r="A1107" s="1185"/>
      <c r="B1107" s="1185"/>
      <c r="C1107" s="1185"/>
      <c r="D1107" s="1185"/>
      <c r="E1107" s="1185"/>
      <c r="F1107" s="1185"/>
      <c r="G1107" s="1186"/>
      <c r="H1107" s="1186"/>
      <c r="I1107" s="195"/>
      <c r="J1107" s="195"/>
      <c r="K1107" s="195"/>
      <c r="L1107" s="195"/>
      <c r="M1107" s="1185"/>
    </row>
    <row r="1108">
      <c r="A1108" s="1185"/>
      <c r="B1108" s="1185"/>
      <c r="C1108" s="1185"/>
      <c r="D1108" s="1185"/>
      <c r="E1108" s="1185"/>
      <c r="F1108" s="1185"/>
      <c r="G1108" s="1186"/>
      <c r="H1108" s="1186"/>
      <c r="I1108" s="195"/>
      <c r="J1108" s="195"/>
      <c r="K1108" s="195"/>
      <c r="L1108" s="195"/>
      <c r="M1108" s="1185"/>
    </row>
    <row r="1109">
      <c r="A1109" s="1185"/>
      <c r="B1109" s="1185"/>
      <c r="C1109" s="1185"/>
      <c r="D1109" s="1185"/>
      <c r="E1109" s="1185"/>
      <c r="F1109" s="1185"/>
      <c r="G1109" s="1186"/>
      <c r="H1109" s="1186"/>
      <c r="I1109" s="195"/>
      <c r="J1109" s="195"/>
      <c r="K1109" s="195"/>
      <c r="L1109" s="195"/>
      <c r="M1109" s="1185"/>
    </row>
    <row r="1110">
      <c r="A1110" s="1185"/>
      <c r="B1110" s="1185"/>
      <c r="C1110" s="1185"/>
      <c r="D1110" s="1185"/>
      <c r="E1110" s="1185"/>
      <c r="F1110" s="1185"/>
      <c r="G1110" s="1186"/>
      <c r="H1110" s="1186"/>
      <c r="I1110" s="195"/>
      <c r="J1110" s="195"/>
      <c r="K1110" s="195"/>
      <c r="L1110" s="195"/>
      <c r="M1110" s="1185"/>
    </row>
    <row r="1111">
      <c r="A1111" s="1185"/>
      <c r="B1111" s="1185"/>
      <c r="C1111" s="1185"/>
      <c r="D1111" s="1185"/>
      <c r="E1111" s="1185"/>
      <c r="F1111" s="1185"/>
      <c r="G1111" s="1186"/>
      <c r="H1111" s="1186"/>
      <c r="I1111" s="195"/>
      <c r="J1111" s="195"/>
      <c r="K1111" s="195"/>
      <c r="L1111" s="195"/>
      <c r="M1111" s="1185"/>
    </row>
    <row r="1112">
      <c r="A1112" s="1185"/>
      <c r="B1112" s="1185"/>
      <c r="C1112" s="1185"/>
      <c r="D1112" s="1185"/>
      <c r="E1112" s="1185"/>
      <c r="F1112" s="1185"/>
      <c r="G1112" s="1186"/>
      <c r="H1112" s="1186"/>
      <c r="I1112" s="195"/>
      <c r="J1112" s="195"/>
      <c r="K1112" s="195"/>
      <c r="L1112" s="195"/>
      <c r="M1112" s="1185"/>
    </row>
    <row r="1113">
      <c r="A1113" s="1185"/>
      <c r="B1113" s="1185"/>
      <c r="C1113" s="1185"/>
      <c r="D1113" s="1185"/>
      <c r="E1113" s="1185"/>
      <c r="F1113" s="1185"/>
      <c r="G1113" s="1186"/>
      <c r="H1113" s="1186"/>
      <c r="I1113" s="195"/>
      <c r="J1113" s="195"/>
      <c r="K1113" s="195"/>
      <c r="L1113" s="195"/>
      <c r="M1113" s="1185"/>
    </row>
    <row r="1114">
      <c r="A1114" s="1185"/>
      <c r="B1114" s="1185"/>
      <c r="C1114" s="1185"/>
      <c r="D1114" s="1185"/>
      <c r="E1114" s="1185"/>
      <c r="F1114" s="1185"/>
      <c r="G1114" s="1186"/>
      <c r="H1114" s="1186"/>
      <c r="I1114" s="195"/>
      <c r="J1114" s="195"/>
      <c r="K1114" s="195"/>
      <c r="L1114" s="195"/>
      <c r="M1114" s="1185"/>
    </row>
    <row r="1115">
      <c r="A1115" s="1185"/>
      <c r="B1115" s="1185"/>
      <c r="C1115" s="1185"/>
      <c r="D1115" s="1185"/>
      <c r="E1115" s="1185"/>
      <c r="F1115" s="1185"/>
      <c r="G1115" s="1186"/>
      <c r="H1115" s="1186"/>
      <c r="I1115" s="195"/>
      <c r="J1115" s="195"/>
      <c r="K1115" s="195"/>
      <c r="L1115" s="195"/>
      <c r="M1115" s="1185"/>
    </row>
    <row r="1116">
      <c r="A1116" s="1185"/>
      <c r="B1116" s="1185"/>
      <c r="C1116" s="1185"/>
      <c r="D1116" s="1185"/>
      <c r="E1116" s="1185"/>
      <c r="F1116" s="1185"/>
      <c r="G1116" s="1186"/>
      <c r="H1116" s="1186"/>
      <c r="I1116" s="195"/>
      <c r="J1116" s="195"/>
      <c r="K1116" s="195"/>
      <c r="L1116" s="195"/>
      <c r="M1116" s="1185"/>
    </row>
    <row r="1117">
      <c r="A1117" s="1185"/>
      <c r="B1117" s="1185"/>
      <c r="C1117" s="1185"/>
      <c r="D1117" s="1185"/>
      <c r="E1117" s="1185"/>
      <c r="F1117" s="1185"/>
      <c r="G1117" s="1186"/>
      <c r="H1117" s="1186"/>
      <c r="I1117" s="195"/>
      <c r="J1117" s="195"/>
      <c r="K1117" s="195"/>
      <c r="L1117" s="195"/>
      <c r="M1117" s="1185"/>
    </row>
    <row r="1118">
      <c r="A1118" s="1185"/>
      <c r="B1118" s="1185"/>
      <c r="C1118" s="1185"/>
      <c r="D1118" s="1185"/>
      <c r="E1118" s="1185"/>
      <c r="F1118" s="1185"/>
      <c r="G1118" s="1186"/>
      <c r="H1118" s="1186"/>
      <c r="I1118" s="195"/>
      <c r="J1118" s="195"/>
      <c r="K1118" s="195"/>
      <c r="L1118" s="195"/>
      <c r="M1118" s="1185"/>
    </row>
    <row r="1119">
      <c r="A1119" s="1185"/>
      <c r="B1119" s="1185"/>
      <c r="C1119" s="1185"/>
      <c r="D1119" s="1185"/>
      <c r="E1119" s="1185"/>
      <c r="F1119" s="1185"/>
      <c r="G1119" s="1186"/>
      <c r="H1119" s="1186"/>
      <c r="I1119" s="195"/>
      <c r="J1119" s="195"/>
      <c r="K1119" s="195"/>
      <c r="L1119" s="195"/>
      <c r="M1119" s="1185"/>
    </row>
    <row r="1120">
      <c r="A1120" s="1185"/>
      <c r="B1120" s="1185"/>
      <c r="C1120" s="1185"/>
      <c r="D1120" s="1185"/>
      <c r="E1120" s="1185"/>
      <c r="F1120" s="1185"/>
      <c r="G1120" s="1186"/>
      <c r="H1120" s="1186"/>
      <c r="I1120" s="195"/>
      <c r="J1120" s="195"/>
      <c r="K1120" s="195"/>
      <c r="L1120" s="195"/>
      <c r="M1120" s="1185"/>
    </row>
    <row r="1121">
      <c r="A1121" s="1185"/>
      <c r="B1121" s="1185"/>
      <c r="C1121" s="1185"/>
      <c r="D1121" s="1185"/>
      <c r="E1121" s="1185"/>
      <c r="F1121" s="1185"/>
      <c r="G1121" s="1186"/>
      <c r="H1121" s="1186"/>
      <c r="I1121" s="195"/>
      <c r="J1121" s="195"/>
      <c r="K1121" s="195"/>
      <c r="L1121" s="195"/>
      <c r="M1121" s="1185"/>
    </row>
    <row r="1122">
      <c r="A1122" s="1185"/>
      <c r="B1122" s="1185"/>
      <c r="C1122" s="1185"/>
      <c r="D1122" s="1185"/>
      <c r="E1122" s="1185"/>
      <c r="F1122" s="1185"/>
      <c r="G1122" s="1186"/>
      <c r="H1122" s="1186"/>
      <c r="I1122" s="195"/>
      <c r="J1122" s="195"/>
      <c r="K1122" s="195"/>
      <c r="L1122" s="195"/>
      <c r="M1122" s="1185"/>
    </row>
    <row r="1123">
      <c r="A1123" s="1185"/>
      <c r="B1123" s="1185"/>
      <c r="C1123" s="1185"/>
      <c r="D1123" s="1185"/>
      <c r="E1123" s="1185"/>
      <c r="F1123" s="1185"/>
      <c r="G1123" s="1186"/>
      <c r="H1123" s="1186"/>
      <c r="I1123" s="195"/>
      <c r="J1123" s="195"/>
      <c r="K1123" s="195"/>
      <c r="L1123" s="195"/>
      <c r="M1123" s="1185"/>
    </row>
    <row r="1124">
      <c r="A1124" s="1185"/>
      <c r="B1124" s="1185"/>
      <c r="C1124" s="1185"/>
      <c r="D1124" s="1185"/>
      <c r="E1124" s="1185"/>
      <c r="F1124" s="1185"/>
      <c r="G1124" s="1186"/>
      <c r="H1124" s="1186"/>
      <c r="I1124" s="195"/>
      <c r="J1124" s="195"/>
      <c r="K1124" s="195"/>
      <c r="L1124" s="195"/>
      <c r="M1124" s="1185"/>
    </row>
    <row r="1125">
      <c r="A1125" s="1185"/>
      <c r="B1125" s="1185"/>
      <c r="C1125" s="1185"/>
      <c r="D1125" s="1185"/>
      <c r="E1125" s="1185"/>
      <c r="F1125" s="1185"/>
      <c r="G1125" s="1186"/>
      <c r="H1125" s="1186"/>
      <c r="I1125" s="195"/>
      <c r="J1125" s="195"/>
      <c r="K1125" s="195"/>
      <c r="L1125" s="195"/>
      <c r="M1125" s="1185"/>
    </row>
    <row r="1126">
      <c r="A1126" s="1185"/>
      <c r="B1126" s="1185"/>
      <c r="C1126" s="1185"/>
      <c r="D1126" s="1185"/>
      <c r="E1126" s="1185"/>
      <c r="F1126" s="1185"/>
      <c r="G1126" s="1186"/>
      <c r="H1126" s="1186"/>
      <c r="I1126" s="195"/>
      <c r="J1126" s="195"/>
      <c r="K1126" s="195"/>
      <c r="L1126" s="195"/>
      <c r="M1126" s="1185"/>
    </row>
    <row r="1127">
      <c r="A1127" s="1185"/>
      <c r="B1127" s="1185"/>
      <c r="C1127" s="1185"/>
      <c r="D1127" s="1185"/>
      <c r="E1127" s="1185"/>
      <c r="F1127" s="1185"/>
      <c r="G1127" s="1186"/>
      <c r="H1127" s="1186"/>
      <c r="I1127" s="195"/>
      <c r="J1127" s="195"/>
      <c r="K1127" s="195"/>
      <c r="L1127" s="195"/>
      <c r="M1127" s="1185"/>
    </row>
    <row r="1128">
      <c r="A1128" s="1185"/>
      <c r="B1128" s="1185"/>
      <c r="C1128" s="1185"/>
      <c r="D1128" s="1185"/>
      <c r="E1128" s="1185"/>
      <c r="F1128" s="1185"/>
      <c r="G1128" s="1186"/>
      <c r="H1128" s="1186"/>
      <c r="I1128" s="195"/>
      <c r="J1128" s="195"/>
      <c r="K1128" s="195"/>
      <c r="L1128" s="195"/>
      <c r="M1128" s="1185"/>
    </row>
    <row r="1129">
      <c r="A1129" s="1185"/>
      <c r="B1129" s="1185"/>
      <c r="C1129" s="1185"/>
      <c r="D1129" s="1185"/>
      <c r="E1129" s="1185"/>
      <c r="F1129" s="1185"/>
      <c r="G1129" s="1186"/>
      <c r="H1129" s="1186"/>
      <c r="I1129" s="195"/>
      <c r="J1129" s="195"/>
      <c r="K1129" s="195"/>
      <c r="L1129" s="195"/>
      <c r="M1129" s="1185"/>
    </row>
    <row r="1130">
      <c r="A1130" s="1185"/>
      <c r="B1130" s="1185"/>
      <c r="C1130" s="1185"/>
      <c r="D1130" s="1185"/>
      <c r="E1130" s="1185"/>
      <c r="F1130" s="1185"/>
      <c r="G1130" s="1186"/>
      <c r="H1130" s="1186"/>
      <c r="I1130" s="195"/>
      <c r="J1130" s="195"/>
      <c r="K1130" s="195"/>
      <c r="L1130" s="195"/>
      <c r="M1130" s="1185"/>
    </row>
    <row r="1131">
      <c r="A1131" s="1185"/>
      <c r="B1131" s="1185"/>
      <c r="C1131" s="1185"/>
      <c r="D1131" s="1185"/>
      <c r="E1131" s="1185"/>
      <c r="F1131" s="1185"/>
      <c r="G1131" s="1186"/>
      <c r="H1131" s="1186"/>
      <c r="I1131" s="195"/>
      <c r="J1131" s="195"/>
      <c r="K1131" s="195"/>
      <c r="L1131" s="195"/>
      <c r="M1131" s="1185"/>
    </row>
    <row r="1132">
      <c r="A1132" s="1185"/>
      <c r="B1132" s="1185"/>
      <c r="C1132" s="1185"/>
      <c r="D1132" s="1185"/>
      <c r="E1132" s="1185"/>
      <c r="F1132" s="1185"/>
      <c r="G1132" s="1186"/>
      <c r="H1132" s="1186"/>
      <c r="I1132" s="195"/>
      <c r="J1132" s="195"/>
      <c r="K1132" s="195"/>
      <c r="L1132" s="195"/>
      <c r="M1132" s="1185"/>
    </row>
    <row r="1133">
      <c r="A1133" s="1185"/>
      <c r="B1133" s="1185"/>
      <c r="C1133" s="1185"/>
      <c r="D1133" s="1185"/>
      <c r="E1133" s="1185"/>
      <c r="F1133" s="1185"/>
      <c r="G1133" s="1186"/>
      <c r="H1133" s="1186"/>
      <c r="I1133" s="195"/>
      <c r="J1133" s="195"/>
      <c r="K1133" s="195"/>
      <c r="L1133" s="195"/>
      <c r="M1133" s="1185"/>
    </row>
    <row r="1134">
      <c r="A1134" s="1185"/>
      <c r="B1134" s="1185"/>
      <c r="C1134" s="1185"/>
      <c r="D1134" s="1185"/>
      <c r="E1134" s="1185"/>
      <c r="F1134" s="1185"/>
      <c r="G1134" s="1186"/>
      <c r="H1134" s="1186"/>
      <c r="I1134" s="195"/>
      <c r="J1134" s="195"/>
      <c r="K1134" s="195"/>
      <c r="L1134" s="195"/>
      <c r="M1134" s="1185"/>
    </row>
    <row r="1135">
      <c r="A1135" s="1185"/>
      <c r="B1135" s="1185"/>
      <c r="C1135" s="1185"/>
      <c r="D1135" s="1185"/>
      <c r="E1135" s="1185"/>
      <c r="F1135" s="1185"/>
      <c r="G1135" s="1186"/>
      <c r="H1135" s="1186"/>
      <c r="I1135" s="195"/>
      <c r="J1135" s="195"/>
      <c r="K1135" s="195"/>
      <c r="L1135" s="195"/>
      <c r="M1135" s="1185"/>
    </row>
    <row r="1136">
      <c r="A1136" s="1185"/>
      <c r="B1136" s="1185"/>
      <c r="C1136" s="1185"/>
      <c r="D1136" s="1185"/>
      <c r="E1136" s="1185"/>
      <c r="F1136" s="1185"/>
      <c r="G1136" s="1186"/>
      <c r="H1136" s="1186"/>
      <c r="I1136" s="195"/>
      <c r="J1136" s="195"/>
      <c r="K1136" s="195"/>
      <c r="L1136" s="195"/>
      <c r="M1136" s="1185"/>
    </row>
    <row r="1137">
      <c r="A1137" s="1185"/>
      <c r="B1137" s="1185"/>
      <c r="C1137" s="1185"/>
      <c r="D1137" s="1185"/>
      <c r="E1137" s="1185"/>
      <c r="F1137" s="1185"/>
      <c r="G1137" s="1186"/>
      <c r="H1137" s="1186"/>
      <c r="I1137" s="195"/>
      <c r="J1137" s="195"/>
      <c r="K1137" s="195"/>
      <c r="L1137" s="195"/>
      <c r="M1137" s="1185"/>
    </row>
    <row r="1138">
      <c r="A1138" s="1185"/>
      <c r="B1138" s="1185"/>
      <c r="C1138" s="1185"/>
      <c r="D1138" s="1185"/>
      <c r="E1138" s="1185"/>
      <c r="F1138" s="1185"/>
      <c r="G1138" s="1186"/>
      <c r="H1138" s="1186"/>
      <c r="I1138" s="195"/>
      <c r="J1138" s="195"/>
      <c r="K1138" s="195"/>
      <c r="L1138" s="195"/>
      <c r="M1138" s="1185"/>
    </row>
    <row r="1139">
      <c r="A1139" s="1185"/>
      <c r="B1139" s="1185"/>
      <c r="C1139" s="1185"/>
      <c r="D1139" s="1185"/>
      <c r="E1139" s="1185"/>
      <c r="F1139" s="1185"/>
      <c r="G1139" s="1186"/>
      <c r="H1139" s="1186"/>
      <c r="I1139" s="195"/>
      <c r="J1139" s="195"/>
      <c r="K1139" s="195"/>
      <c r="L1139" s="195"/>
      <c r="M1139" s="1185"/>
    </row>
    <row r="1140">
      <c r="A1140" s="1185"/>
      <c r="B1140" s="1185"/>
      <c r="C1140" s="1185"/>
      <c r="D1140" s="1185"/>
      <c r="E1140" s="1185"/>
      <c r="F1140" s="1185"/>
      <c r="G1140" s="1186"/>
      <c r="H1140" s="1186"/>
      <c r="I1140" s="195"/>
      <c r="J1140" s="195"/>
      <c r="K1140" s="195"/>
      <c r="L1140" s="195"/>
      <c r="M1140" s="1185"/>
    </row>
    <row r="1141">
      <c r="A1141" s="1185"/>
      <c r="B1141" s="1185"/>
      <c r="C1141" s="1185"/>
      <c r="D1141" s="1185"/>
      <c r="E1141" s="1185"/>
      <c r="F1141" s="1185"/>
      <c r="G1141" s="1186"/>
      <c r="H1141" s="1186"/>
      <c r="I1141" s="195"/>
      <c r="J1141" s="195"/>
      <c r="K1141" s="195"/>
      <c r="L1141" s="195"/>
      <c r="M1141" s="1185"/>
    </row>
    <row r="1142">
      <c r="A1142" s="1185"/>
      <c r="B1142" s="1185"/>
      <c r="C1142" s="1185"/>
      <c r="D1142" s="1185"/>
      <c r="E1142" s="1185"/>
      <c r="F1142" s="1185"/>
      <c r="G1142" s="1186"/>
      <c r="H1142" s="1186"/>
      <c r="I1142" s="195"/>
      <c r="J1142" s="195"/>
      <c r="K1142" s="195"/>
      <c r="L1142" s="195"/>
      <c r="M1142" s="1185"/>
    </row>
    <row r="1143">
      <c r="A1143" s="1185"/>
      <c r="B1143" s="1185"/>
      <c r="C1143" s="1185"/>
      <c r="D1143" s="1185"/>
      <c r="E1143" s="1185"/>
      <c r="F1143" s="1185"/>
      <c r="G1143" s="1186"/>
      <c r="H1143" s="1186"/>
      <c r="I1143" s="195"/>
      <c r="J1143" s="195"/>
      <c r="K1143" s="195"/>
      <c r="L1143" s="195"/>
      <c r="M1143" s="1185"/>
    </row>
    <row r="1144">
      <c r="A1144" s="1185"/>
      <c r="B1144" s="1185"/>
      <c r="C1144" s="1185"/>
      <c r="D1144" s="1185"/>
      <c r="E1144" s="1185"/>
      <c r="F1144" s="1185"/>
      <c r="G1144" s="1186"/>
      <c r="H1144" s="1186"/>
      <c r="I1144" s="195"/>
      <c r="J1144" s="195"/>
      <c r="K1144" s="195"/>
      <c r="L1144" s="195"/>
      <c r="M1144" s="1185"/>
    </row>
    <row r="1145">
      <c r="A1145" s="1185"/>
      <c r="B1145" s="1185"/>
      <c r="C1145" s="1185"/>
      <c r="D1145" s="1185"/>
      <c r="E1145" s="1185"/>
      <c r="F1145" s="1185"/>
      <c r="G1145" s="1186"/>
      <c r="H1145" s="1186"/>
      <c r="I1145" s="195"/>
      <c r="J1145" s="195"/>
      <c r="K1145" s="195"/>
      <c r="L1145" s="195"/>
      <c r="M1145" s="1185"/>
    </row>
    <row r="1146">
      <c r="A1146" s="1185"/>
      <c r="B1146" s="1185"/>
      <c r="C1146" s="1185"/>
      <c r="D1146" s="1185"/>
      <c r="E1146" s="1185"/>
      <c r="F1146" s="1185"/>
      <c r="G1146" s="1186"/>
      <c r="H1146" s="1186"/>
      <c r="I1146" s="195"/>
      <c r="J1146" s="195"/>
      <c r="K1146" s="195"/>
      <c r="L1146" s="195"/>
      <c r="M1146" s="1185"/>
    </row>
    <row r="1147">
      <c r="A1147" s="1185"/>
      <c r="B1147" s="1185"/>
      <c r="C1147" s="1185"/>
      <c r="D1147" s="1185"/>
      <c r="E1147" s="1185"/>
      <c r="F1147" s="1185"/>
      <c r="G1147" s="1186"/>
      <c r="H1147" s="1186"/>
      <c r="I1147" s="195"/>
      <c r="J1147" s="195"/>
      <c r="K1147" s="195"/>
      <c r="L1147" s="195"/>
      <c r="M1147" s="1185"/>
    </row>
    <row r="1148">
      <c r="A1148" s="1185"/>
      <c r="B1148" s="1185"/>
      <c r="C1148" s="1185"/>
      <c r="D1148" s="1185"/>
      <c r="E1148" s="1185"/>
      <c r="F1148" s="1185"/>
      <c r="G1148" s="1186"/>
      <c r="H1148" s="1186"/>
      <c r="I1148" s="195"/>
      <c r="J1148" s="195"/>
      <c r="K1148" s="195"/>
      <c r="L1148" s="195"/>
      <c r="M1148" s="1185"/>
    </row>
    <row r="1149">
      <c r="A1149" s="1185"/>
      <c r="B1149" s="1185"/>
      <c r="C1149" s="1185"/>
      <c r="D1149" s="1185"/>
      <c r="E1149" s="1185"/>
      <c r="F1149" s="1185"/>
      <c r="G1149" s="1186"/>
      <c r="H1149" s="1186"/>
      <c r="I1149" s="195"/>
      <c r="J1149" s="195"/>
      <c r="K1149" s="195"/>
      <c r="L1149" s="195"/>
      <c r="M1149" s="1185"/>
    </row>
    <row r="1150">
      <c r="A1150" s="1185"/>
      <c r="B1150" s="1185"/>
      <c r="C1150" s="1185"/>
      <c r="D1150" s="1185"/>
      <c r="E1150" s="1185"/>
      <c r="F1150" s="1185"/>
      <c r="G1150" s="1186"/>
      <c r="H1150" s="1186"/>
      <c r="I1150" s="195"/>
      <c r="J1150" s="195"/>
      <c r="K1150" s="195"/>
      <c r="L1150" s="195"/>
      <c r="M1150" s="1185"/>
    </row>
    <row r="1151">
      <c r="A1151" s="1185"/>
      <c r="B1151" s="1185"/>
      <c r="C1151" s="1185"/>
      <c r="D1151" s="1185"/>
      <c r="E1151" s="1185"/>
      <c r="F1151" s="1185"/>
      <c r="G1151" s="1186"/>
      <c r="H1151" s="1186"/>
      <c r="I1151" s="195"/>
      <c r="J1151" s="195"/>
      <c r="K1151" s="195"/>
      <c r="L1151" s="195"/>
      <c r="M1151" s="1185"/>
    </row>
    <row r="1152">
      <c r="A1152" s="1185"/>
      <c r="B1152" s="1185"/>
      <c r="C1152" s="1185"/>
      <c r="D1152" s="1185"/>
      <c r="E1152" s="1185"/>
      <c r="F1152" s="1185"/>
      <c r="G1152" s="1186"/>
      <c r="H1152" s="1186"/>
      <c r="I1152" s="195"/>
      <c r="J1152" s="195"/>
      <c r="K1152" s="195"/>
      <c r="L1152" s="195"/>
      <c r="M1152" s="1185"/>
    </row>
    <row r="1153">
      <c r="A1153" s="1185"/>
      <c r="B1153" s="1185"/>
      <c r="C1153" s="1185"/>
      <c r="D1153" s="1185"/>
      <c r="E1153" s="1185"/>
      <c r="F1153" s="1185"/>
      <c r="G1153" s="1186"/>
      <c r="H1153" s="1186"/>
      <c r="I1153" s="195"/>
      <c r="J1153" s="195"/>
      <c r="K1153" s="195"/>
      <c r="L1153" s="195"/>
      <c r="M1153" s="1185"/>
    </row>
    <row r="1154">
      <c r="A1154" s="1185"/>
      <c r="B1154" s="1185"/>
      <c r="C1154" s="1185"/>
      <c r="D1154" s="1185"/>
      <c r="E1154" s="1185"/>
      <c r="F1154" s="1185"/>
      <c r="G1154" s="1186"/>
      <c r="H1154" s="1186"/>
      <c r="I1154" s="195"/>
      <c r="J1154" s="195"/>
      <c r="K1154" s="195"/>
      <c r="L1154" s="195"/>
      <c r="M1154" s="1185"/>
    </row>
    <row r="1155">
      <c r="A1155" s="1185"/>
      <c r="B1155" s="1185"/>
      <c r="C1155" s="1185"/>
      <c r="D1155" s="1185"/>
      <c r="E1155" s="1185"/>
      <c r="F1155" s="1185"/>
      <c r="G1155" s="1186"/>
      <c r="H1155" s="1186"/>
      <c r="I1155" s="195"/>
      <c r="J1155" s="195"/>
      <c r="K1155" s="195"/>
      <c r="L1155" s="195"/>
      <c r="M1155" s="1185"/>
    </row>
    <row r="1156">
      <c r="A1156" s="1185"/>
      <c r="B1156" s="1185"/>
      <c r="C1156" s="1185"/>
      <c r="D1156" s="1185"/>
      <c r="E1156" s="1185"/>
      <c r="F1156" s="1185"/>
      <c r="G1156" s="1186"/>
      <c r="H1156" s="1186"/>
      <c r="I1156" s="195"/>
      <c r="J1156" s="195"/>
      <c r="K1156" s="195"/>
      <c r="L1156" s="195"/>
      <c r="M1156" s="1185"/>
    </row>
    <row r="1157">
      <c r="A1157" s="1185"/>
      <c r="B1157" s="1185"/>
      <c r="C1157" s="1185"/>
      <c r="D1157" s="1185"/>
      <c r="E1157" s="1185"/>
      <c r="F1157" s="1185"/>
      <c r="G1157" s="1186"/>
      <c r="H1157" s="1186"/>
      <c r="I1157" s="195"/>
      <c r="J1157" s="195"/>
      <c r="K1157" s="195"/>
      <c r="L1157" s="195"/>
      <c r="M1157" s="1185"/>
    </row>
    <row r="1158">
      <c r="A1158" s="1185"/>
      <c r="B1158" s="1185"/>
      <c r="C1158" s="1185"/>
      <c r="D1158" s="1185"/>
      <c r="E1158" s="1185"/>
      <c r="F1158" s="1185"/>
      <c r="G1158" s="1186"/>
      <c r="H1158" s="1186"/>
      <c r="I1158" s="195"/>
      <c r="J1158" s="195"/>
      <c r="K1158" s="195"/>
      <c r="L1158" s="195"/>
      <c r="M1158" s="1185"/>
    </row>
    <row r="1159">
      <c r="A1159" s="1185"/>
      <c r="B1159" s="1185"/>
      <c r="C1159" s="1185"/>
      <c r="D1159" s="1185"/>
      <c r="E1159" s="1185"/>
      <c r="F1159" s="1185"/>
      <c r="G1159" s="1186"/>
      <c r="H1159" s="1186"/>
      <c r="I1159" s="195"/>
      <c r="J1159" s="195"/>
      <c r="K1159" s="195"/>
      <c r="L1159" s="195"/>
      <c r="M1159" s="1185"/>
    </row>
    <row r="1160">
      <c r="A1160" s="1185"/>
      <c r="B1160" s="1185"/>
      <c r="C1160" s="1185"/>
      <c r="D1160" s="1185"/>
      <c r="E1160" s="1185"/>
      <c r="F1160" s="1185"/>
      <c r="G1160" s="1186"/>
      <c r="H1160" s="1186"/>
      <c r="I1160" s="195"/>
      <c r="J1160" s="195"/>
      <c r="K1160" s="195"/>
      <c r="L1160" s="195"/>
      <c r="M1160" s="1185"/>
    </row>
    <row r="1161">
      <c r="A1161" s="1185"/>
      <c r="B1161" s="1185"/>
      <c r="C1161" s="1185"/>
      <c r="D1161" s="1185"/>
      <c r="E1161" s="1185"/>
      <c r="F1161" s="1185"/>
      <c r="G1161" s="1186"/>
      <c r="H1161" s="1186"/>
      <c r="I1161" s="195"/>
      <c r="J1161" s="195"/>
      <c r="K1161" s="195"/>
      <c r="L1161" s="195"/>
      <c r="M1161" s="1185"/>
    </row>
    <row r="1162">
      <c r="A1162" s="1185"/>
      <c r="B1162" s="1185"/>
      <c r="C1162" s="1185"/>
      <c r="D1162" s="1185"/>
      <c r="E1162" s="1185"/>
      <c r="F1162" s="1185"/>
      <c r="G1162" s="1186"/>
      <c r="H1162" s="1186"/>
      <c r="I1162" s="195"/>
      <c r="J1162" s="195"/>
      <c r="K1162" s="195"/>
      <c r="L1162" s="195"/>
      <c r="M1162" s="1185"/>
    </row>
    <row r="1163">
      <c r="A1163" s="1185"/>
      <c r="B1163" s="1185"/>
      <c r="C1163" s="1185"/>
      <c r="D1163" s="1185"/>
      <c r="E1163" s="1185"/>
      <c r="F1163" s="1185"/>
      <c r="G1163" s="1186"/>
      <c r="H1163" s="1186"/>
      <c r="I1163" s="195"/>
      <c r="J1163" s="195"/>
      <c r="K1163" s="195"/>
      <c r="L1163" s="195"/>
      <c r="M1163" s="1185"/>
    </row>
    <row r="1164">
      <c r="A1164" s="1185"/>
      <c r="B1164" s="1185"/>
      <c r="C1164" s="1185"/>
      <c r="D1164" s="1185"/>
      <c r="E1164" s="1185"/>
      <c r="F1164" s="1185"/>
      <c r="G1164" s="1186"/>
      <c r="H1164" s="1186"/>
      <c r="I1164" s="195"/>
      <c r="J1164" s="195"/>
      <c r="K1164" s="195"/>
      <c r="L1164" s="195"/>
      <c r="M1164" s="1185"/>
    </row>
    <row r="1165">
      <c r="A1165" s="1185"/>
      <c r="B1165" s="1185"/>
      <c r="C1165" s="1185"/>
      <c r="D1165" s="1185"/>
      <c r="E1165" s="1185"/>
      <c r="F1165" s="1185"/>
      <c r="G1165" s="1186"/>
      <c r="H1165" s="1186"/>
      <c r="I1165" s="195"/>
      <c r="J1165" s="195"/>
      <c r="K1165" s="195"/>
      <c r="L1165" s="195"/>
      <c r="M1165" s="1185"/>
    </row>
    <row r="1166">
      <c r="A1166" s="1185"/>
      <c r="B1166" s="1185"/>
      <c r="C1166" s="1185"/>
      <c r="D1166" s="1185"/>
      <c r="E1166" s="1185"/>
      <c r="F1166" s="1185"/>
      <c r="G1166" s="1186"/>
      <c r="H1166" s="1186"/>
      <c r="I1166" s="195"/>
      <c r="J1166" s="195"/>
      <c r="K1166" s="195"/>
      <c r="L1166" s="195"/>
      <c r="M1166" s="1185"/>
    </row>
    <row r="1167">
      <c r="A1167" s="1185"/>
      <c r="B1167" s="1185"/>
      <c r="C1167" s="1185"/>
      <c r="D1167" s="1185"/>
      <c r="E1167" s="1185"/>
      <c r="F1167" s="1185"/>
      <c r="G1167" s="1186"/>
      <c r="H1167" s="1186"/>
      <c r="I1167" s="195"/>
      <c r="J1167" s="195"/>
      <c r="K1167" s="195"/>
      <c r="L1167" s="195"/>
      <c r="M1167" s="1185"/>
    </row>
    <row r="1168">
      <c r="A1168" s="1185"/>
      <c r="B1168" s="1185"/>
      <c r="C1168" s="1185"/>
      <c r="D1168" s="1185"/>
      <c r="E1168" s="1185"/>
      <c r="F1168" s="1185"/>
      <c r="G1168" s="1186"/>
      <c r="H1168" s="1186"/>
      <c r="I1168" s="195"/>
      <c r="J1168" s="195"/>
      <c r="K1168" s="195"/>
      <c r="L1168" s="195"/>
      <c r="M1168" s="1185"/>
    </row>
    <row r="1169">
      <c r="A1169" s="1185"/>
      <c r="B1169" s="1185"/>
      <c r="C1169" s="1185"/>
      <c r="D1169" s="1185"/>
      <c r="E1169" s="1185"/>
      <c r="F1169" s="1185"/>
      <c r="G1169" s="1186"/>
      <c r="H1169" s="1186"/>
      <c r="I1169" s="195"/>
      <c r="J1169" s="195"/>
      <c r="K1169" s="195"/>
      <c r="L1169" s="195"/>
      <c r="M1169" s="1185"/>
    </row>
    <row r="1170">
      <c r="A1170" s="1185"/>
      <c r="B1170" s="1185"/>
      <c r="C1170" s="1185"/>
      <c r="D1170" s="1185"/>
      <c r="E1170" s="1185"/>
      <c r="F1170" s="1185"/>
      <c r="G1170" s="1186"/>
      <c r="H1170" s="1186"/>
      <c r="I1170" s="195"/>
      <c r="J1170" s="195"/>
      <c r="K1170" s="195"/>
      <c r="L1170" s="195"/>
      <c r="M1170" s="1185"/>
    </row>
    <row r="1171">
      <c r="A1171" s="1185"/>
      <c r="B1171" s="1185"/>
      <c r="C1171" s="1185"/>
      <c r="D1171" s="1185"/>
      <c r="E1171" s="1185"/>
      <c r="F1171" s="1185"/>
      <c r="G1171" s="1186"/>
      <c r="H1171" s="1186"/>
      <c r="I1171" s="195"/>
      <c r="J1171" s="195"/>
      <c r="K1171" s="195"/>
      <c r="L1171" s="195"/>
      <c r="M1171" s="1185"/>
    </row>
    <row r="1172">
      <c r="A1172" s="1185"/>
      <c r="B1172" s="1185"/>
      <c r="C1172" s="1185"/>
      <c r="D1172" s="1185"/>
      <c r="E1172" s="1185"/>
      <c r="F1172" s="1185"/>
      <c r="G1172" s="1186"/>
      <c r="H1172" s="1186"/>
      <c r="I1172" s="195"/>
      <c r="J1172" s="195"/>
      <c r="K1172" s="195"/>
      <c r="L1172" s="195"/>
      <c r="M1172" s="1185"/>
    </row>
    <row r="1173">
      <c r="A1173" s="1185"/>
      <c r="B1173" s="1185"/>
      <c r="C1173" s="1185"/>
      <c r="D1173" s="1185"/>
      <c r="E1173" s="1185"/>
      <c r="F1173" s="1185"/>
      <c r="G1173" s="1186"/>
      <c r="H1173" s="1186"/>
      <c r="I1173" s="195"/>
      <c r="J1173" s="195"/>
      <c r="K1173" s="195"/>
      <c r="L1173" s="195"/>
      <c r="M1173" s="1185"/>
    </row>
    <row r="1174">
      <c r="A1174" s="1185"/>
      <c r="B1174" s="1185"/>
      <c r="C1174" s="1185"/>
      <c r="D1174" s="1185"/>
      <c r="E1174" s="1185"/>
      <c r="F1174" s="1185"/>
      <c r="G1174" s="1186"/>
      <c r="H1174" s="1186"/>
      <c r="I1174" s="195"/>
      <c r="J1174" s="195"/>
      <c r="K1174" s="195"/>
      <c r="L1174" s="195"/>
      <c r="M1174" s="1185"/>
    </row>
    <row r="1175">
      <c r="A1175" s="1185"/>
      <c r="B1175" s="1185"/>
      <c r="C1175" s="1185"/>
      <c r="D1175" s="1185"/>
      <c r="E1175" s="1185"/>
      <c r="F1175" s="1185"/>
      <c r="G1175" s="1186"/>
      <c r="H1175" s="1186"/>
      <c r="I1175" s="195"/>
      <c r="J1175" s="195"/>
      <c r="K1175" s="195"/>
      <c r="L1175" s="195"/>
      <c r="M1175" s="1185"/>
    </row>
    <row r="1176">
      <c r="A1176" s="1185"/>
      <c r="B1176" s="1185"/>
      <c r="C1176" s="1185"/>
      <c r="D1176" s="1185"/>
      <c r="E1176" s="1185"/>
      <c r="F1176" s="1185"/>
      <c r="G1176" s="1186"/>
      <c r="H1176" s="1186"/>
      <c r="I1176" s="195"/>
      <c r="J1176" s="195"/>
      <c r="K1176" s="195"/>
      <c r="L1176" s="195"/>
      <c r="M1176" s="1185"/>
    </row>
    <row r="1177">
      <c r="A1177" s="1185"/>
      <c r="B1177" s="1185"/>
      <c r="C1177" s="1185"/>
      <c r="D1177" s="1185"/>
      <c r="E1177" s="1185"/>
      <c r="F1177" s="1185"/>
      <c r="G1177" s="1186"/>
      <c r="H1177" s="1186"/>
      <c r="I1177" s="195"/>
      <c r="J1177" s="195"/>
      <c r="K1177" s="195"/>
      <c r="L1177" s="195"/>
      <c r="M1177" s="1185"/>
    </row>
    <row r="1178">
      <c r="A1178" s="1185"/>
      <c r="B1178" s="1185"/>
      <c r="C1178" s="1185"/>
      <c r="D1178" s="1185"/>
      <c r="E1178" s="1185"/>
      <c r="F1178" s="1185"/>
      <c r="G1178" s="1186"/>
      <c r="H1178" s="1186"/>
      <c r="I1178" s="195"/>
      <c r="J1178" s="195"/>
      <c r="K1178" s="195"/>
      <c r="L1178" s="195"/>
      <c r="M1178" s="1185"/>
    </row>
    <row r="1179">
      <c r="A1179" s="1185"/>
      <c r="B1179" s="1185"/>
      <c r="C1179" s="1185"/>
      <c r="D1179" s="1185"/>
      <c r="E1179" s="1185"/>
      <c r="F1179" s="1185"/>
      <c r="G1179" s="1186"/>
      <c r="H1179" s="1186"/>
      <c r="I1179" s="195"/>
      <c r="J1179" s="195"/>
      <c r="K1179" s="195"/>
      <c r="L1179" s="195"/>
      <c r="M1179" s="1185"/>
    </row>
    <row r="1180">
      <c r="A1180" s="1185"/>
      <c r="B1180" s="1185"/>
      <c r="C1180" s="1185"/>
      <c r="D1180" s="1185"/>
      <c r="E1180" s="1185"/>
      <c r="F1180" s="1185"/>
      <c r="G1180" s="1186"/>
      <c r="H1180" s="1186"/>
      <c r="I1180" s="195"/>
      <c r="J1180" s="195"/>
      <c r="K1180" s="195"/>
      <c r="L1180" s="195"/>
      <c r="M1180" s="1185"/>
    </row>
    <row r="1181">
      <c r="A1181" s="1185"/>
      <c r="B1181" s="1185"/>
      <c r="C1181" s="1185"/>
      <c r="D1181" s="1185"/>
      <c r="E1181" s="1185"/>
      <c r="F1181" s="1185"/>
      <c r="G1181" s="1186"/>
      <c r="H1181" s="1186"/>
      <c r="I1181" s="195"/>
      <c r="J1181" s="195"/>
      <c r="K1181" s="195"/>
      <c r="L1181" s="195"/>
      <c r="M1181" s="1185"/>
    </row>
    <row r="1182">
      <c r="A1182" s="1185"/>
      <c r="B1182" s="1185"/>
      <c r="C1182" s="1185"/>
      <c r="D1182" s="1185"/>
      <c r="E1182" s="1185"/>
      <c r="F1182" s="1185"/>
      <c r="G1182" s="1186"/>
      <c r="H1182" s="1186"/>
      <c r="I1182" s="195"/>
      <c r="J1182" s="195"/>
      <c r="K1182" s="195"/>
      <c r="L1182" s="195"/>
      <c r="M1182" s="1185"/>
    </row>
    <row r="1183">
      <c r="A1183" s="1185"/>
      <c r="B1183" s="1185"/>
      <c r="C1183" s="1185"/>
      <c r="D1183" s="1185"/>
      <c r="E1183" s="1185"/>
      <c r="F1183" s="1185"/>
      <c r="G1183" s="1186"/>
      <c r="H1183" s="1186"/>
      <c r="I1183" s="195"/>
      <c r="J1183" s="195"/>
      <c r="K1183" s="195"/>
      <c r="L1183" s="195"/>
      <c r="M1183" s="1185"/>
    </row>
    <row r="1184">
      <c r="A1184" s="1185"/>
      <c r="B1184" s="1185"/>
      <c r="C1184" s="1185"/>
      <c r="D1184" s="1185"/>
      <c r="E1184" s="1185"/>
      <c r="F1184" s="1185"/>
      <c r="G1184" s="1186"/>
      <c r="H1184" s="1186"/>
      <c r="I1184" s="195"/>
      <c r="J1184" s="195"/>
      <c r="K1184" s="195"/>
      <c r="L1184" s="195"/>
      <c r="M1184" s="1185"/>
    </row>
    <row r="1185">
      <c r="A1185" s="1185"/>
      <c r="B1185" s="1185"/>
      <c r="C1185" s="1185"/>
      <c r="D1185" s="1185"/>
      <c r="E1185" s="1185"/>
      <c r="F1185" s="1185"/>
      <c r="G1185" s="1186"/>
      <c r="H1185" s="1186"/>
      <c r="I1185" s="195"/>
      <c r="J1185" s="195"/>
      <c r="K1185" s="195"/>
      <c r="L1185" s="195"/>
      <c r="M1185" s="1185"/>
    </row>
    <row r="1186">
      <c r="A1186" s="1185"/>
      <c r="B1186" s="1185"/>
      <c r="C1186" s="1185"/>
      <c r="D1186" s="1185"/>
      <c r="E1186" s="1185"/>
      <c r="F1186" s="1185"/>
      <c r="G1186" s="1186"/>
      <c r="H1186" s="1186"/>
      <c r="I1186" s="195"/>
      <c r="J1186" s="195"/>
      <c r="K1186" s="195"/>
      <c r="L1186" s="195"/>
      <c r="M1186" s="1185"/>
    </row>
    <row r="1187">
      <c r="A1187" s="1185"/>
      <c r="B1187" s="1185"/>
      <c r="C1187" s="1185"/>
      <c r="D1187" s="1185"/>
      <c r="E1187" s="1185"/>
      <c r="F1187" s="1185"/>
      <c r="G1187" s="1186"/>
      <c r="H1187" s="1186"/>
      <c r="I1187" s="195"/>
      <c r="J1187" s="195"/>
      <c r="K1187" s="195"/>
      <c r="L1187" s="195"/>
      <c r="M1187" s="1185"/>
    </row>
    <row r="1188">
      <c r="A1188" s="1185"/>
      <c r="B1188" s="1185"/>
      <c r="C1188" s="1185"/>
      <c r="D1188" s="1185"/>
      <c r="E1188" s="1185"/>
      <c r="F1188" s="1185"/>
      <c r="G1188" s="1186"/>
      <c r="H1188" s="1186"/>
      <c r="I1188" s="195"/>
      <c r="J1188" s="195"/>
      <c r="K1188" s="195"/>
      <c r="L1188" s="195"/>
      <c r="M1188" s="1185"/>
    </row>
    <row r="1189">
      <c r="A1189" s="1185"/>
      <c r="B1189" s="1185"/>
      <c r="C1189" s="1185"/>
      <c r="D1189" s="1185"/>
      <c r="E1189" s="1185"/>
      <c r="F1189" s="1185"/>
      <c r="G1189" s="1186"/>
      <c r="H1189" s="1186"/>
      <c r="I1189" s="195"/>
      <c r="J1189" s="195"/>
      <c r="K1189" s="195"/>
      <c r="L1189" s="195"/>
      <c r="M1189" s="1185"/>
    </row>
    <row r="1190">
      <c r="A1190" s="1185"/>
      <c r="B1190" s="1185"/>
      <c r="C1190" s="1185"/>
      <c r="D1190" s="1185"/>
      <c r="E1190" s="1185"/>
      <c r="F1190" s="1185"/>
      <c r="G1190" s="1186"/>
      <c r="H1190" s="1186"/>
      <c r="I1190" s="195"/>
      <c r="J1190" s="195"/>
      <c r="K1190" s="195"/>
      <c r="L1190" s="195"/>
      <c r="M1190" s="1185"/>
    </row>
    <row r="1191">
      <c r="A1191" s="1185"/>
      <c r="B1191" s="1185"/>
      <c r="C1191" s="1185"/>
      <c r="D1191" s="1185"/>
      <c r="E1191" s="1185"/>
      <c r="F1191" s="1185"/>
      <c r="G1191" s="1186"/>
      <c r="H1191" s="1186"/>
      <c r="I1191" s="195"/>
      <c r="J1191" s="195"/>
      <c r="K1191" s="195"/>
      <c r="L1191" s="195"/>
      <c r="M1191" s="1185"/>
    </row>
    <row r="1192">
      <c r="A1192" s="1185"/>
      <c r="B1192" s="1185"/>
      <c r="C1192" s="1185"/>
      <c r="D1192" s="1185"/>
      <c r="E1192" s="1185"/>
      <c r="F1192" s="1185"/>
      <c r="G1192" s="1186"/>
      <c r="H1192" s="1186"/>
      <c r="I1192" s="195"/>
      <c r="J1192" s="195"/>
      <c r="K1192" s="195"/>
      <c r="L1192" s="195"/>
      <c r="M1192" s="1185"/>
    </row>
    <row r="1193">
      <c r="A1193" s="1185"/>
      <c r="B1193" s="1185"/>
      <c r="C1193" s="1185"/>
      <c r="D1193" s="1185"/>
      <c r="E1193" s="1185"/>
      <c r="F1193" s="1185"/>
      <c r="G1193" s="1186"/>
      <c r="H1193" s="1186"/>
      <c r="I1193" s="195"/>
      <c r="J1193" s="195"/>
      <c r="K1193" s="195"/>
      <c r="L1193" s="195"/>
      <c r="M1193" s="1185"/>
    </row>
    <row r="1194">
      <c r="A1194" s="1185"/>
      <c r="B1194" s="1185"/>
      <c r="C1194" s="1185"/>
      <c r="D1194" s="1185"/>
      <c r="E1194" s="1185"/>
      <c r="F1194" s="1185"/>
      <c r="G1194" s="1186"/>
      <c r="H1194" s="1186"/>
      <c r="I1194" s="195"/>
      <c r="J1194" s="195"/>
      <c r="K1194" s="195"/>
      <c r="L1194" s="195"/>
      <c r="M1194" s="1185"/>
    </row>
    <row r="1195">
      <c r="A1195" s="1185"/>
      <c r="B1195" s="1185"/>
      <c r="C1195" s="1185"/>
      <c r="D1195" s="1185"/>
      <c r="E1195" s="1185"/>
      <c r="F1195" s="1185"/>
      <c r="G1195" s="1186"/>
      <c r="H1195" s="1186"/>
      <c r="I1195" s="195"/>
      <c r="J1195" s="195"/>
      <c r="K1195" s="195"/>
      <c r="L1195" s="195"/>
      <c r="M1195" s="1185"/>
    </row>
    <row r="1196">
      <c r="A1196" s="1185"/>
      <c r="B1196" s="1185"/>
      <c r="C1196" s="1185"/>
      <c r="D1196" s="1185"/>
      <c r="E1196" s="1185"/>
      <c r="F1196" s="1185"/>
      <c r="G1196" s="1186"/>
      <c r="H1196" s="1186"/>
      <c r="I1196" s="195"/>
      <c r="J1196" s="195"/>
      <c r="K1196" s="195"/>
      <c r="L1196" s="195"/>
      <c r="M1196" s="1185"/>
    </row>
    <row r="1197">
      <c r="A1197" s="1185"/>
      <c r="B1197" s="1185"/>
      <c r="C1197" s="1185"/>
      <c r="D1197" s="1185"/>
      <c r="E1197" s="1185"/>
      <c r="F1197" s="1185"/>
      <c r="G1197" s="1186"/>
      <c r="H1197" s="1186"/>
      <c r="I1197" s="195"/>
      <c r="J1197" s="195"/>
      <c r="K1197" s="195"/>
      <c r="L1197" s="195"/>
      <c r="M1197" s="1185"/>
    </row>
    <row r="1198">
      <c r="A1198" s="1185"/>
      <c r="B1198" s="1185"/>
      <c r="C1198" s="1185"/>
      <c r="D1198" s="1185"/>
      <c r="E1198" s="1185"/>
      <c r="F1198" s="1185"/>
      <c r="G1198" s="1186"/>
      <c r="H1198" s="1186"/>
      <c r="I1198" s="195"/>
      <c r="J1198" s="195"/>
      <c r="K1198" s="195"/>
      <c r="L1198" s="195"/>
      <c r="M1198" s="1185"/>
    </row>
    <row r="1199">
      <c r="A1199" s="1185"/>
      <c r="B1199" s="1185"/>
      <c r="C1199" s="1185"/>
      <c r="D1199" s="1185"/>
      <c r="E1199" s="1185"/>
      <c r="F1199" s="1185"/>
      <c r="G1199" s="1186"/>
      <c r="H1199" s="1186"/>
      <c r="I1199" s="195"/>
      <c r="J1199" s="195"/>
      <c r="K1199" s="195"/>
      <c r="L1199" s="195"/>
      <c r="M1199" s="1185"/>
    </row>
    <row r="1200">
      <c r="A1200" s="1185"/>
      <c r="B1200" s="1185"/>
      <c r="C1200" s="1185"/>
      <c r="D1200" s="1185"/>
      <c r="E1200" s="1185"/>
      <c r="F1200" s="1185"/>
      <c r="G1200" s="1186"/>
      <c r="H1200" s="1186"/>
      <c r="I1200" s="195"/>
      <c r="J1200" s="195"/>
      <c r="K1200" s="195"/>
      <c r="L1200" s="195"/>
      <c r="M1200" s="1185"/>
    </row>
    <row r="1201">
      <c r="A1201" s="1185"/>
      <c r="B1201" s="1185"/>
      <c r="C1201" s="1185"/>
      <c r="D1201" s="1185"/>
      <c r="E1201" s="1185"/>
      <c r="F1201" s="1185"/>
      <c r="G1201" s="1186"/>
      <c r="H1201" s="1186"/>
      <c r="I1201" s="195"/>
      <c r="J1201" s="195"/>
      <c r="K1201" s="195"/>
      <c r="L1201" s="195"/>
      <c r="M1201" s="1185"/>
    </row>
    <row r="1202">
      <c r="A1202" s="1185"/>
      <c r="B1202" s="1185"/>
      <c r="C1202" s="1185"/>
      <c r="D1202" s="1185"/>
      <c r="E1202" s="1185"/>
      <c r="F1202" s="1185"/>
      <c r="G1202" s="1186"/>
      <c r="H1202" s="1186"/>
      <c r="I1202" s="195"/>
      <c r="J1202" s="195"/>
      <c r="K1202" s="195"/>
      <c r="L1202" s="195"/>
      <c r="M1202" s="1185"/>
    </row>
    <row r="1203">
      <c r="A1203" s="1185"/>
      <c r="B1203" s="1185"/>
      <c r="C1203" s="1185"/>
      <c r="D1203" s="1185"/>
      <c r="E1203" s="1185"/>
      <c r="F1203" s="1185"/>
      <c r="G1203" s="1186"/>
      <c r="H1203" s="1186"/>
      <c r="I1203" s="195"/>
      <c r="J1203" s="195"/>
      <c r="K1203" s="195"/>
      <c r="L1203" s="195"/>
      <c r="M1203" s="1185"/>
    </row>
    <row r="1204">
      <c r="A1204" s="1185"/>
      <c r="B1204" s="1185"/>
      <c r="C1204" s="1185"/>
      <c r="D1204" s="1185"/>
      <c r="E1204" s="1185"/>
      <c r="F1204" s="1185"/>
      <c r="G1204" s="1186"/>
      <c r="H1204" s="1186"/>
      <c r="I1204" s="195"/>
      <c r="J1204" s="195"/>
      <c r="K1204" s="195"/>
      <c r="L1204" s="195"/>
      <c r="M1204" s="1185"/>
    </row>
    <row r="1205">
      <c r="A1205" s="1185"/>
      <c r="B1205" s="1185"/>
      <c r="C1205" s="1185"/>
      <c r="D1205" s="1185"/>
      <c r="E1205" s="1185"/>
      <c r="F1205" s="1185"/>
      <c r="G1205" s="1186"/>
      <c r="H1205" s="1186"/>
      <c r="I1205" s="195"/>
      <c r="J1205" s="195"/>
      <c r="K1205" s="195"/>
      <c r="L1205" s="195"/>
      <c r="M1205" s="1185"/>
    </row>
    <row r="1206">
      <c r="A1206" s="1185"/>
      <c r="B1206" s="1185"/>
      <c r="C1206" s="1185"/>
      <c r="D1206" s="1185"/>
      <c r="E1206" s="1185"/>
      <c r="F1206" s="1185"/>
      <c r="G1206" s="1186"/>
      <c r="H1206" s="1186"/>
      <c r="I1206" s="195"/>
      <c r="J1206" s="195"/>
      <c r="K1206" s="195"/>
      <c r="L1206" s="195"/>
      <c r="M1206" s="1185"/>
    </row>
    <row r="1207">
      <c r="A1207" s="1185"/>
      <c r="B1207" s="1185"/>
      <c r="C1207" s="1185"/>
      <c r="D1207" s="1185"/>
      <c r="E1207" s="1185"/>
      <c r="F1207" s="1185"/>
      <c r="G1207" s="1186"/>
      <c r="H1207" s="1186"/>
      <c r="I1207" s="195"/>
      <c r="J1207" s="195"/>
      <c r="K1207" s="195"/>
      <c r="L1207" s="195"/>
      <c r="M1207" s="1185"/>
    </row>
    <row r="1208">
      <c r="A1208" s="1185"/>
      <c r="B1208" s="1185"/>
      <c r="C1208" s="1185"/>
      <c r="D1208" s="1185"/>
      <c r="E1208" s="1185"/>
      <c r="F1208" s="1185"/>
      <c r="G1208" s="1186"/>
      <c r="H1208" s="1186"/>
      <c r="I1208" s="195"/>
      <c r="J1208" s="195"/>
      <c r="K1208" s="195"/>
      <c r="L1208" s="195"/>
      <c r="M1208" s="1185"/>
    </row>
    <row r="1209">
      <c r="A1209" s="1185"/>
      <c r="B1209" s="1185"/>
      <c r="C1209" s="1185"/>
      <c r="D1209" s="1185"/>
      <c r="E1209" s="1185"/>
      <c r="F1209" s="1185"/>
      <c r="G1209" s="1186"/>
      <c r="H1209" s="1186"/>
      <c r="I1209" s="195"/>
      <c r="J1209" s="195"/>
      <c r="K1209" s="195"/>
      <c r="L1209" s="195"/>
      <c r="M1209" s="1185"/>
    </row>
    <row r="1210">
      <c r="A1210" s="1185"/>
      <c r="B1210" s="1185"/>
      <c r="C1210" s="1185"/>
      <c r="D1210" s="1185"/>
      <c r="E1210" s="1185"/>
      <c r="F1210" s="1185"/>
      <c r="G1210" s="1186"/>
      <c r="H1210" s="1186"/>
      <c r="I1210" s="195"/>
      <c r="J1210" s="195"/>
      <c r="K1210" s="195"/>
      <c r="L1210" s="195"/>
      <c r="M1210" s="1185"/>
    </row>
    <row r="1211">
      <c r="A1211" s="1185"/>
      <c r="B1211" s="1185"/>
      <c r="C1211" s="1185"/>
      <c r="D1211" s="1185"/>
      <c r="E1211" s="1185"/>
      <c r="F1211" s="1185"/>
      <c r="G1211" s="1186"/>
      <c r="H1211" s="1186"/>
      <c r="I1211" s="195"/>
      <c r="J1211" s="195"/>
      <c r="K1211" s="195"/>
      <c r="L1211" s="195"/>
      <c r="M1211" s="1185"/>
    </row>
    <row r="1212">
      <c r="A1212" s="1185"/>
      <c r="B1212" s="1185"/>
      <c r="C1212" s="1185"/>
      <c r="D1212" s="1185"/>
      <c r="E1212" s="1185"/>
      <c r="F1212" s="1185"/>
      <c r="G1212" s="1186"/>
      <c r="H1212" s="1186"/>
      <c r="I1212" s="195"/>
      <c r="J1212" s="195"/>
      <c r="K1212" s="195"/>
      <c r="L1212" s="195"/>
      <c r="M1212" s="1185"/>
    </row>
    <row r="1213">
      <c r="A1213" s="1185"/>
      <c r="B1213" s="1185"/>
      <c r="C1213" s="1185"/>
      <c r="D1213" s="1185"/>
      <c r="E1213" s="1185"/>
      <c r="F1213" s="1185"/>
      <c r="G1213" s="1186"/>
      <c r="H1213" s="1186"/>
      <c r="I1213" s="195"/>
      <c r="J1213" s="195"/>
      <c r="K1213" s="195"/>
      <c r="L1213" s="195"/>
      <c r="M1213" s="1185"/>
    </row>
    <row r="1214">
      <c r="A1214" s="1185"/>
      <c r="B1214" s="1185"/>
      <c r="C1214" s="1185"/>
      <c r="D1214" s="1185"/>
      <c r="E1214" s="1185"/>
      <c r="F1214" s="1185"/>
      <c r="G1214" s="1186"/>
      <c r="H1214" s="1186"/>
      <c r="I1214" s="195"/>
      <c r="J1214" s="195"/>
      <c r="K1214" s="195"/>
      <c r="L1214" s="195"/>
      <c r="M1214" s="1185"/>
    </row>
    <row r="1215">
      <c r="A1215" s="1185"/>
      <c r="B1215" s="1185"/>
      <c r="C1215" s="1185"/>
      <c r="D1215" s="1185"/>
      <c r="E1215" s="1185"/>
      <c r="F1215" s="1185"/>
      <c r="G1215" s="1186"/>
      <c r="H1215" s="1186"/>
      <c r="I1215" s="195"/>
      <c r="J1215" s="195"/>
      <c r="K1215" s="195"/>
      <c r="L1215" s="195"/>
      <c r="M1215" s="1185"/>
    </row>
    <row r="1216">
      <c r="A1216" s="1185"/>
      <c r="B1216" s="1185"/>
      <c r="C1216" s="1185"/>
      <c r="D1216" s="1185"/>
      <c r="E1216" s="1185"/>
      <c r="F1216" s="1185"/>
      <c r="G1216" s="1186"/>
      <c r="H1216" s="1186"/>
      <c r="I1216" s="195"/>
      <c r="J1216" s="195"/>
      <c r="K1216" s="195"/>
      <c r="L1216" s="195"/>
      <c r="M1216" s="1185"/>
    </row>
    <row r="1217">
      <c r="A1217" s="1185"/>
      <c r="B1217" s="1185"/>
      <c r="C1217" s="1185"/>
      <c r="D1217" s="1185"/>
      <c r="E1217" s="1185"/>
      <c r="F1217" s="1185"/>
      <c r="G1217" s="1186"/>
      <c r="H1217" s="1186"/>
      <c r="I1217" s="195"/>
      <c r="J1217" s="195"/>
      <c r="K1217" s="195"/>
      <c r="L1217" s="195"/>
      <c r="M1217" s="1185"/>
    </row>
    <row r="1218">
      <c r="A1218" s="1185"/>
      <c r="B1218" s="1185"/>
      <c r="C1218" s="1185"/>
      <c r="D1218" s="1185"/>
      <c r="E1218" s="1185"/>
      <c r="F1218" s="1185"/>
      <c r="G1218" s="1186"/>
      <c r="H1218" s="1186"/>
      <c r="I1218" s="195"/>
      <c r="J1218" s="195"/>
      <c r="K1218" s="195"/>
      <c r="L1218" s="195"/>
      <c r="M1218" s="1185"/>
    </row>
    <row r="1219">
      <c r="A1219" s="1185"/>
      <c r="B1219" s="1185"/>
      <c r="C1219" s="1185"/>
      <c r="D1219" s="1185"/>
      <c r="E1219" s="1185"/>
      <c r="F1219" s="1185"/>
      <c r="G1219" s="1186"/>
      <c r="H1219" s="1186"/>
      <c r="I1219" s="195"/>
      <c r="J1219" s="195"/>
      <c r="K1219" s="195"/>
      <c r="L1219" s="195"/>
      <c r="M1219" s="1185"/>
    </row>
    <row r="1220">
      <c r="A1220" s="1185"/>
      <c r="B1220" s="1185"/>
      <c r="C1220" s="1185"/>
      <c r="D1220" s="1185"/>
      <c r="E1220" s="1185"/>
      <c r="F1220" s="1185"/>
      <c r="G1220" s="1186"/>
      <c r="H1220" s="1186"/>
      <c r="I1220" s="195"/>
      <c r="J1220" s="195"/>
      <c r="K1220" s="195"/>
      <c r="L1220" s="195"/>
      <c r="M1220" s="1185"/>
    </row>
    <row r="1221">
      <c r="A1221" s="1185"/>
      <c r="B1221" s="1185"/>
      <c r="C1221" s="1185"/>
      <c r="D1221" s="1185"/>
      <c r="E1221" s="1185"/>
      <c r="F1221" s="1185"/>
      <c r="G1221" s="1186"/>
      <c r="H1221" s="1186"/>
      <c r="I1221" s="195"/>
      <c r="J1221" s="195"/>
      <c r="K1221" s="195"/>
      <c r="L1221" s="195"/>
      <c r="M1221" s="1185"/>
    </row>
    <row r="1222">
      <c r="A1222" s="1185"/>
      <c r="B1222" s="1185"/>
      <c r="C1222" s="1185"/>
      <c r="D1222" s="1185"/>
      <c r="E1222" s="1185"/>
      <c r="F1222" s="1185"/>
      <c r="G1222" s="1186"/>
      <c r="H1222" s="1186"/>
      <c r="I1222" s="195"/>
      <c r="J1222" s="195"/>
      <c r="K1222" s="195"/>
      <c r="L1222" s="195"/>
      <c r="M1222" s="1185"/>
    </row>
    <row r="1223">
      <c r="A1223" s="1185"/>
      <c r="B1223" s="1185"/>
      <c r="C1223" s="1185"/>
      <c r="D1223" s="1185"/>
      <c r="E1223" s="1185"/>
      <c r="F1223" s="1185"/>
      <c r="G1223" s="1186"/>
      <c r="H1223" s="1186"/>
      <c r="I1223" s="195"/>
      <c r="J1223" s="195"/>
      <c r="K1223" s="195"/>
      <c r="L1223" s="195"/>
      <c r="M1223" s="1185"/>
    </row>
    <row r="1224">
      <c r="A1224" s="1185"/>
      <c r="B1224" s="1185"/>
      <c r="C1224" s="1185"/>
      <c r="D1224" s="1185"/>
      <c r="E1224" s="1185"/>
      <c r="F1224" s="1185"/>
      <c r="G1224" s="1186"/>
      <c r="H1224" s="1186"/>
      <c r="I1224" s="195"/>
      <c r="J1224" s="195"/>
      <c r="K1224" s="195"/>
      <c r="L1224" s="195"/>
      <c r="M1224" s="1185"/>
    </row>
    <row r="1225">
      <c r="A1225" s="1185"/>
      <c r="B1225" s="1185"/>
      <c r="C1225" s="1185"/>
      <c r="D1225" s="1185"/>
      <c r="E1225" s="1185"/>
      <c r="F1225" s="1185"/>
      <c r="G1225" s="1186"/>
      <c r="H1225" s="1186"/>
      <c r="I1225" s="195"/>
      <c r="J1225" s="195"/>
      <c r="K1225" s="195"/>
      <c r="L1225" s="195"/>
      <c r="M1225" s="1185"/>
    </row>
    <row r="1226">
      <c r="A1226" s="1185"/>
      <c r="B1226" s="1185"/>
      <c r="C1226" s="1185"/>
      <c r="D1226" s="1185"/>
      <c r="E1226" s="1185"/>
      <c r="F1226" s="1185"/>
      <c r="G1226" s="1186"/>
      <c r="H1226" s="1186"/>
      <c r="I1226" s="195"/>
      <c r="J1226" s="195"/>
      <c r="K1226" s="195"/>
      <c r="L1226" s="195"/>
      <c r="M1226" s="1185"/>
    </row>
    <row r="1227">
      <c r="A1227" s="1185"/>
      <c r="B1227" s="1185"/>
      <c r="C1227" s="1185"/>
      <c r="D1227" s="1185"/>
      <c r="E1227" s="1185"/>
      <c r="F1227" s="1185"/>
      <c r="G1227" s="1186"/>
      <c r="H1227" s="1186"/>
      <c r="I1227" s="195"/>
      <c r="J1227" s="195"/>
      <c r="K1227" s="195"/>
      <c r="L1227" s="195"/>
      <c r="M1227" s="1185"/>
    </row>
    <row r="1228">
      <c r="A1228" s="1185"/>
      <c r="B1228" s="1185"/>
      <c r="C1228" s="1185"/>
      <c r="D1228" s="1185"/>
      <c r="E1228" s="1185"/>
      <c r="F1228" s="1185"/>
      <c r="G1228" s="1186"/>
      <c r="H1228" s="1186"/>
      <c r="I1228" s="195"/>
      <c r="J1228" s="195"/>
      <c r="K1228" s="195"/>
      <c r="L1228" s="195"/>
      <c r="M1228" s="1185"/>
    </row>
    <row r="1229">
      <c r="A1229" s="1185"/>
      <c r="B1229" s="1185"/>
      <c r="C1229" s="1185"/>
      <c r="D1229" s="1185"/>
      <c r="E1229" s="1185"/>
      <c r="F1229" s="1185"/>
      <c r="G1229" s="1186"/>
      <c r="H1229" s="1186"/>
      <c r="I1229" s="195"/>
      <c r="J1229" s="195"/>
      <c r="K1229" s="195"/>
      <c r="L1229" s="195"/>
      <c r="M1229" s="1185"/>
    </row>
    <row r="1230">
      <c r="A1230" s="1185"/>
      <c r="B1230" s="1185"/>
      <c r="C1230" s="1185"/>
      <c r="D1230" s="1185"/>
      <c r="E1230" s="1185"/>
      <c r="F1230" s="1185"/>
      <c r="G1230" s="1186"/>
      <c r="H1230" s="1186"/>
      <c r="I1230" s="195"/>
      <c r="J1230" s="195"/>
      <c r="K1230" s="195"/>
      <c r="L1230" s="195"/>
      <c r="M1230" s="1185"/>
    </row>
    <row r="1231">
      <c r="A1231" s="1185"/>
      <c r="B1231" s="1185"/>
      <c r="C1231" s="1185"/>
      <c r="D1231" s="1185"/>
      <c r="E1231" s="1185"/>
      <c r="F1231" s="1185"/>
      <c r="G1231" s="1186"/>
      <c r="H1231" s="1186"/>
      <c r="I1231" s="195"/>
      <c r="J1231" s="195"/>
      <c r="K1231" s="195"/>
      <c r="L1231" s="195"/>
      <c r="M1231" s="1185"/>
    </row>
    <row r="1232">
      <c r="A1232" s="1185"/>
      <c r="B1232" s="1185"/>
      <c r="C1232" s="1185"/>
      <c r="D1232" s="1185"/>
      <c r="E1232" s="1185"/>
      <c r="F1232" s="1185"/>
      <c r="G1232" s="1186"/>
      <c r="H1232" s="1186"/>
      <c r="I1232" s="195"/>
      <c r="J1232" s="195"/>
      <c r="K1232" s="195"/>
      <c r="L1232" s="195"/>
      <c r="M1232" s="1185"/>
    </row>
    <row r="1233">
      <c r="A1233" s="1185"/>
      <c r="B1233" s="1185"/>
      <c r="C1233" s="1185"/>
      <c r="D1233" s="1185"/>
      <c r="E1233" s="1185"/>
      <c r="F1233" s="1185"/>
      <c r="G1233" s="1186"/>
      <c r="H1233" s="1186"/>
      <c r="I1233" s="195"/>
      <c r="J1233" s="195"/>
      <c r="K1233" s="195"/>
      <c r="L1233" s="195"/>
      <c r="M1233" s="1185"/>
    </row>
    <row r="1234">
      <c r="A1234" s="1185"/>
      <c r="B1234" s="1185"/>
      <c r="C1234" s="1185"/>
      <c r="D1234" s="1185"/>
      <c r="E1234" s="1185"/>
      <c r="F1234" s="1185"/>
      <c r="G1234" s="1186"/>
      <c r="H1234" s="1186"/>
      <c r="I1234" s="195"/>
      <c r="J1234" s="195"/>
      <c r="K1234" s="195"/>
      <c r="L1234" s="195"/>
      <c r="M1234" s="1185"/>
    </row>
    <row r="1235">
      <c r="A1235" s="1185"/>
      <c r="B1235" s="1185"/>
      <c r="C1235" s="1185"/>
      <c r="D1235" s="1185"/>
      <c r="E1235" s="1185"/>
      <c r="F1235" s="1185"/>
      <c r="G1235" s="1186"/>
      <c r="H1235" s="1186"/>
      <c r="I1235" s="195"/>
      <c r="J1235" s="195"/>
      <c r="K1235" s="195"/>
      <c r="L1235" s="195"/>
      <c r="M1235" s="1185"/>
    </row>
    <row r="1236">
      <c r="A1236" s="1185"/>
      <c r="B1236" s="1185"/>
      <c r="C1236" s="1185"/>
      <c r="D1236" s="1185"/>
      <c r="E1236" s="1185"/>
      <c r="F1236" s="1185"/>
      <c r="G1236" s="1186"/>
      <c r="H1236" s="1186"/>
      <c r="I1236" s="195"/>
      <c r="J1236" s="195"/>
      <c r="K1236" s="195"/>
      <c r="L1236" s="195"/>
      <c r="M1236" s="1185"/>
    </row>
    <row r="1237">
      <c r="A1237" s="1185"/>
      <c r="B1237" s="1185"/>
      <c r="C1237" s="1185"/>
      <c r="D1237" s="1185"/>
      <c r="E1237" s="1185"/>
      <c r="F1237" s="1185"/>
      <c r="G1237" s="1186"/>
      <c r="H1237" s="1186"/>
      <c r="I1237" s="195"/>
      <c r="J1237" s="195"/>
      <c r="K1237" s="195"/>
      <c r="L1237" s="195"/>
      <c r="M1237" s="1185"/>
    </row>
    <row r="1238">
      <c r="A1238" s="1185"/>
      <c r="B1238" s="1185"/>
      <c r="C1238" s="1185"/>
      <c r="D1238" s="1185"/>
      <c r="E1238" s="1185"/>
      <c r="F1238" s="1185"/>
      <c r="G1238" s="1186"/>
      <c r="H1238" s="1186"/>
      <c r="I1238" s="195"/>
      <c r="J1238" s="195"/>
      <c r="K1238" s="195"/>
      <c r="L1238" s="195"/>
      <c r="M1238" s="1185"/>
    </row>
    <row r="1239">
      <c r="A1239" s="1185"/>
      <c r="B1239" s="1185"/>
      <c r="C1239" s="1185"/>
      <c r="D1239" s="1185"/>
      <c r="E1239" s="1185"/>
      <c r="F1239" s="1185"/>
      <c r="G1239" s="1186"/>
      <c r="H1239" s="1186"/>
      <c r="I1239" s="195"/>
      <c r="J1239" s="195"/>
      <c r="K1239" s="195"/>
      <c r="L1239" s="195"/>
      <c r="M1239" s="1185"/>
    </row>
    <row r="1240">
      <c r="A1240" s="1185"/>
      <c r="B1240" s="1185"/>
      <c r="C1240" s="1185"/>
      <c r="D1240" s="1185"/>
      <c r="E1240" s="1185"/>
      <c r="F1240" s="1185"/>
      <c r="G1240" s="1186"/>
      <c r="H1240" s="1186"/>
      <c r="I1240" s="195"/>
      <c r="J1240" s="195"/>
      <c r="K1240" s="195"/>
      <c r="L1240" s="195"/>
      <c r="M1240" s="1185"/>
    </row>
    <row r="1241">
      <c r="A1241" s="1185"/>
      <c r="B1241" s="1185"/>
      <c r="C1241" s="1185"/>
      <c r="D1241" s="1185"/>
      <c r="E1241" s="1185"/>
      <c r="F1241" s="1185"/>
      <c r="G1241" s="1186"/>
      <c r="H1241" s="1186"/>
      <c r="I1241" s="195"/>
      <c r="J1241" s="195"/>
      <c r="K1241" s="195"/>
      <c r="L1241" s="195"/>
      <c r="M1241" s="1185"/>
    </row>
    <row r="1242">
      <c r="A1242" s="1185"/>
      <c r="B1242" s="1185"/>
      <c r="C1242" s="1185"/>
      <c r="D1242" s="1185"/>
      <c r="E1242" s="1185"/>
      <c r="F1242" s="1185"/>
      <c r="G1242" s="1186"/>
      <c r="H1242" s="1186"/>
      <c r="I1242" s="195"/>
      <c r="J1242" s="195"/>
      <c r="K1242" s="195"/>
      <c r="L1242" s="195"/>
      <c r="M1242" s="1185"/>
    </row>
    <row r="1243">
      <c r="A1243" s="1185"/>
      <c r="B1243" s="1185"/>
      <c r="C1243" s="1185"/>
      <c r="D1243" s="1185"/>
      <c r="E1243" s="1185"/>
      <c r="F1243" s="1185"/>
      <c r="G1243" s="1186"/>
      <c r="H1243" s="1186"/>
      <c r="I1243" s="195"/>
      <c r="J1243" s="195"/>
      <c r="K1243" s="195"/>
      <c r="L1243" s="195"/>
      <c r="M1243" s="1185"/>
    </row>
    <row r="1244">
      <c r="A1244" s="1185"/>
      <c r="B1244" s="1185"/>
      <c r="C1244" s="1185"/>
      <c r="D1244" s="1185"/>
      <c r="E1244" s="1185"/>
      <c r="F1244" s="1185"/>
      <c r="G1244" s="1186"/>
      <c r="H1244" s="1186"/>
      <c r="I1244" s="195"/>
      <c r="J1244" s="195"/>
      <c r="K1244" s="195"/>
      <c r="L1244" s="195"/>
      <c r="M1244" s="1185"/>
    </row>
    <row r="1245">
      <c r="A1245" s="1185"/>
      <c r="B1245" s="1185"/>
      <c r="C1245" s="1185"/>
      <c r="D1245" s="1185"/>
      <c r="E1245" s="1185"/>
      <c r="F1245" s="1185"/>
      <c r="G1245" s="1186"/>
      <c r="H1245" s="1186"/>
      <c r="I1245" s="195"/>
      <c r="J1245" s="195"/>
      <c r="K1245" s="195"/>
      <c r="L1245" s="195"/>
      <c r="M1245" s="1185"/>
    </row>
    <row r="1246">
      <c r="A1246" s="1185"/>
      <c r="B1246" s="1185"/>
      <c r="C1246" s="1185"/>
      <c r="D1246" s="1185"/>
      <c r="E1246" s="1185"/>
      <c r="F1246" s="1185"/>
      <c r="G1246" s="1186"/>
      <c r="H1246" s="1186"/>
      <c r="I1246" s="195"/>
      <c r="J1246" s="195"/>
      <c r="K1246" s="195"/>
      <c r="L1246" s="195"/>
      <c r="M1246" s="1185"/>
    </row>
    <row r="1247">
      <c r="A1247" s="1185"/>
      <c r="B1247" s="1185"/>
      <c r="C1247" s="1185"/>
      <c r="D1247" s="1185"/>
      <c r="E1247" s="1185"/>
      <c r="F1247" s="1185"/>
      <c r="G1247" s="1186"/>
      <c r="H1247" s="1186"/>
      <c r="I1247" s="195"/>
      <c r="J1247" s="195"/>
      <c r="K1247" s="195"/>
      <c r="L1247" s="195"/>
      <c r="M1247" s="1185"/>
    </row>
    <row r="1248">
      <c r="A1248" s="1185"/>
      <c r="B1248" s="1185"/>
      <c r="C1248" s="1185"/>
      <c r="D1248" s="1185"/>
      <c r="E1248" s="1185"/>
      <c r="F1248" s="1185"/>
      <c r="G1248" s="1186"/>
      <c r="H1248" s="1186"/>
      <c r="I1248" s="195"/>
      <c r="J1248" s="195"/>
      <c r="K1248" s="195"/>
      <c r="L1248" s="195"/>
      <c r="M1248" s="1185"/>
    </row>
    <row r="1249">
      <c r="A1249" s="1185"/>
      <c r="B1249" s="1185"/>
      <c r="C1249" s="1185"/>
      <c r="D1249" s="1185"/>
      <c r="E1249" s="1185"/>
      <c r="F1249" s="1185"/>
      <c r="G1249" s="1186"/>
      <c r="H1249" s="1186"/>
      <c r="I1249" s="195"/>
      <c r="J1249" s="195"/>
      <c r="K1249" s="195"/>
      <c r="L1249" s="195"/>
      <c r="M1249" s="1185"/>
    </row>
    <row r="1250">
      <c r="A1250" s="1185"/>
      <c r="B1250" s="1185"/>
      <c r="C1250" s="1185"/>
      <c r="D1250" s="1185"/>
      <c r="E1250" s="1185"/>
      <c r="F1250" s="1185"/>
      <c r="G1250" s="1186"/>
      <c r="H1250" s="1186"/>
      <c r="I1250" s="195"/>
      <c r="J1250" s="195"/>
      <c r="K1250" s="195"/>
      <c r="L1250" s="195"/>
      <c r="M1250" s="1185"/>
    </row>
    <row r="1251">
      <c r="A1251" s="1185"/>
      <c r="B1251" s="1185"/>
      <c r="C1251" s="1185"/>
      <c r="D1251" s="1185"/>
      <c r="E1251" s="1185"/>
      <c r="F1251" s="1185"/>
      <c r="G1251" s="1186"/>
      <c r="H1251" s="1186"/>
      <c r="I1251" s="195"/>
      <c r="J1251" s="195"/>
      <c r="K1251" s="195"/>
      <c r="L1251" s="195"/>
      <c r="M1251" s="1185"/>
    </row>
    <row r="1252">
      <c r="A1252" s="1185"/>
      <c r="B1252" s="1185"/>
      <c r="C1252" s="1185"/>
      <c r="D1252" s="1185"/>
      <c r="E1252" s="1185"/>
      <c r="F1252" s="1185"/>
      <c r="G1252" s="1186"/>
      <c r="H1252" s="1186"/>
      <c r="I1252" s="195"/>
      <c r="J1252" s="195"/>
      <c r="K1252" s="195"/>
      <c r="L1252" s="195"/>
      <c r="M1252" s="1185"/>
    </row>
    <row r="1253">
      <c r="A1253" s="1185"/>
      <c r="B1253" s="1185"/>
      <c r="C1253" s="1185"/>
      <c r="D1253" s="1185"/>
      <c r="E1253" s="1185"/>
      <c r="F1253" s="1185"/>
      <c r="G1253" s="1186"/>
      <c r="H1253" s="1186"/>
      <c r="I1253" s="195"/>
      <c r="J1253" s="195"/>
      <c r="K1253" s="195"/>
      <c r="L1253" s="195"/>
      <c r="M1253" s="1185"/>
    </row>
    <row r="1254">
      <c r="A1254" s="1185"/>
      <c r="B1254" s="1185"/>
      <c r="C1254" s="1185"/>
      <c r="D1254" s="1185"/>
      <c r="E1254" s="1185"/>
      <c r="F1254" s="1185"/>
      <c r="G1254" s="1186"/>
      <c r="H1254" s="1186"/>
      <c r="I1254" s="195"/>
      <c r="J1254" s="195"/>
      <c r="K1254" s="195"/>
      <c r="L1254" s="195"/>
      <c r="M1254" s="1185"/>
    </row>
    <row r="1255">
      <c r="A1255" s="1185"/>
      <c r="B1255" s="1185"/>
      <c r="C1255" s="1185"/>
      <c r="D1255" s="1185"/>
      <c r="E1255" s="1185"/>
      <c r="F1255" s="1185"/>
      <c r="G1255" s="1186"/>
      <c r="H1255" s="1186"/>
      <c r="I1255" s="195"/>
      <c r="J1255" s="195"/>
      <c r="K1255" s="195"/>
      <c r="L1255" s="195"/>
      <c r="M1255" s="1185"/>
    </row>
    <row r="1256">
      <c r="A1256" s="1185"/>
      <c r="B1256" s="1185"/>
      <c r="C1256" s="1185"/>
      <c r="D1256" s="1185"/>
      <c r="E1256" s="1185"/>
      <c r="F1256" s="1185"/>
      <c r="G1256" s="1186"/>
      <c r="H1256" s="1186"/>
      <c r="I1256" s="195"/>
      <c r="J1256" s="195"/>
      <c r="K1256" s="195"/>
      <c r="L1256" s="195"/>
      <c r="M1256" s="1185"/>
    </row>
    <row r="1257">
      <c r="A1257" s="1185"/>
      <c r="B1257" s="1185"/>
      <c r="C1257" s="1185"/>
      <c r="D1257" s="1185"/>
      <c r="E1257" s="1185"/>
      <c r="F1257" s="1185"/>
      <c r="G1257" s="1186"/>
      <c r="H1257" s="1186"/>
      <c r="I1257" s="195"/>
      <c r="J1257" s="195"/>
      <c r="K1257" s="195"/>
      <c r="L1257" s="195"/>
      <c r="M1257" s="1185"/>
    </row>
    <row r="1258">
      <c r="A1258" s="1185"/>
      <c r="B1258" s="1185"/>
      <c r="C1258" s="1185"/>
      <c r="D1258" s="1185"/>
      <c r="E1258" s="1185"/>
      <c r="F1258" s="1185"/>
      <c r="G1258" s="1186"/>
      <c r="H1258" s="1186"/>
      <c r="I1258" s="195"/>
      <c r="J1258" s="195"/>
      <c r="K1258" s="195"/>
      <c r="L1258" s="195"/>
      <c r="M1258" s="1185"/>
    </row>
    <row r="1259">
      <c r="A1259" s="1185"/>
      <c r="B1259" s="1185"/>
      <c r="C1259" s="1185"/>
      <c r="D1259" s="1185"/>
      <c r="E1259" s="1185"/>
      <c r="F1259" s="1185"/>
      <c r="G1259" s="1186"/>
      <c r="H1259" s="1186"/>
      <c r="I1259" s="195"/>
      <c r="J1259" s="195"/>
      <c r="K1259" s="195"/>
      <c r="L1259" s="195"/>
      <c r="M1259" s="1185"/>
    </row>
    <row r="1260">
      <c r="A1260" s="1185"/>
      <c r="B1260" s="1185"/>
      <c r="C1260" s="1185"/>
      <c r="D1260" s="1185"/>
      <c r="E1260" s="1185"/>
      <c r="F1260" s="1185"/>
      <c r="G1260" s="1186"/>
      <c r="H1260" s="1186"/>
      <c r="I1260" s="195"/>
      <c r="J1260" s="195"/>
      <c r="K1260" s="195"/>
      <c r="L1260" s="195"/>
      <c r="M1260" s="1185"/>
    </row>
    <row r="1261">
      <c r="A1261" s="1185"/>
      <c r="B1261" s="1185"/>
      <c r="C1261" s="1185"/>
      <c r="D1261" s="1185"/>
      <c r="E1261" s="1185"/>
      <c r="F1261" s="1185"/>
      <c r="G1261" s="1186"/>
      <c r="H1261" s="1186"/>
      <c r="I1261" s="195"/>
      <c r="J1261" s="195"/>
      <c r="K1261" s="195"/>
      <c r="L1261" s="195"/>
      <c r="M1261" s="1185"/>
    </row>
    <row r="1262">
      <c r="A1262" s="1185"/>
      <c r="B1262" s="1185"/>
      <c r="C1262" s="1185"/>
      <c r="D1262" s="1185"/>
      <c r="E1262" s="1185"/>
      <c r="F1262" s="1185"/>
      <c r="G1262" s="1186"/>
      <c r="H1262" s="1186"/>
      <c r="I1262" s="195"/>
      <c r="J1262" s="195"/>
      <c r="K1262" s="195"/>
      <c r="L1262" s="195"/>
      <c r="M1262" s="1185"/>
    </row>
    <row r="1263">
      <c r="A1263" s="1185"/>
      <c r="B1263" s="1185"/>
      <c r="C1263" s="1185"/>
      <c r="D1263" s="1185"/>
      <c r="E1263" s="1185"/>
      <c r="F1263" s="1185"/>
      <c r="G1263" s="1186"/>
      <c r="H1263" s="1186"/>
      <c r="I1263" s="195"/>
      <c r="J1263" s="195"/>
      <c r="K1263" s="195"/>
      <c r="L1263" s="195"/>
      <c r="M1263" s="1185"/>
    </row>
    <row r="1264">
      <c r="A1264" s="1185"/>
      <c r="B1264" s="1185"/>
      <c r="C1264" s="1185"/>
      <c r="D1264" s="1185"/>
      <c r="E1264" s="1185"/>
      <c r="F1264" s="1185"/>
      <c r="G1264" s="1186"/>
      <c r="H1264" s="1186"/>
      <c r="I1264" s="195"/>
      <c r="J1264" s="195"/>
      <c r="K1264" s="195"/>
      <c r="L1264" s="195"/>
      <c r="M1264" s="1185"/>
    </row>
    <row r="1265">
      <c r="A1265" s="1185"/>
      <c r="B1265" s="1185"/>
      <c r="C1265" s="1185"/>
      <c r="D1265" s="1185"/>
      <c r="E1265" s="1185"/>
      <c r="F1265" s="1185"/>
      <c r="G1265" s="1186"/>
      <c r="H1265" s="1186"/>
      <c r="I1265" s="195"/>
      <c r="J1265" s="195"/>
      <c r="K1265" s="195"/>
      <c r="L1265" s="195"/>
      <c r="M1265" s="1185"/>
    </row>
    <row r="1266">
      <c r="A1266" s="1185"/>
      <c r="B1266" s="1185"/>
      <c r="C1266" s="1185"/>
      <c r="D1266" s="1185"/>
      <c r="E1266" s="1185"/>
      <c r="F1266" s="1185"/>
      <c r="G1266" s="1186"/>
      <c r="H1266" s="1186"/>
      <c r="I1266" s="195"/>
      <c r="J1266" s="195"/>
      <c r="K1266" s="195"/>
      <c r="L1266" s="195"/>
      <c r="M1266" s="1185"/>
    </row>
    <row r="1267">
      <c r="A1267" s="1185"/>
      <c r="B1267" s="1185"/>
      <c r="C1267" s="1185"/>
      <c r="D1267" s="1185"/>
      <c r="E1267" s="1185"/>
      <c r="F1267" s="1185"/>
      <c r="G1267" s="1186"/>
      <c r="H1267" s="1186"/>
      <c r="I1267" s="195"/>
      <c r="J1267" s="195"/>
      <c r="K1267" s="195"/>
      <c r="L1267" s="195"/>
      <c r="M1267" s="1185"/>
    </row>
    <row r="1268">
      <c r="A1268" s="1185"/>
      <c r="B1268" s="1185"/>
      <c r="C1268" s="1185"/>
      <c r="D1268" s="1185"/>
      <c r="E1268" s="1185"/>
      <c r="F1268" s="1185"/>
      <c r="G1268" s="1186"/>
      <c r="H1268" s="1186"/>
      <c r="I1268" s="195"/>
      <c r="J1268" s="195"/>
      <c r="K1268" s="195"/>
      <c r="L1268" s="195"/>
      <c r="M1268" s="1185"/>
    </row>
    <row r="1269">
      <c r="A1269" s="1185"/>
      <c r="B1269" s="1185"/>
      <c r="C1269" s="1185"/>
      <c r="D1269" s="1185"/>
      <c r="E1269" s="1185"/>
      <c r="F1269" s="1185"/>
      <c r="G1269" s="1186"/>
      <c r="H1269" s="1186"/>
      <c r="I1269" s="195"/>
      <c r="J1269" s="195"/>
      <c r="K1269" s="195"/>
      <c r="L1269" s="195"/>
      <c r="M1269" s="1185"/>
    </row>
    <row r="1270">
      <c r="A1270" s="1185"/>
      <c r="B1270" s="1185"/>
      <c r="C1270" s="1185"/>
      <c r="D1270" s="1185"/>
      <c r="E1270" s="1185"/>
      <c r="F1270" s="1185"/>
      <c r="G1270" s="1186"/>
      <c r="H1270" s="1186"/>
      <c r="I1270" s="195"/>
      <c r="J1270" s="195"/>
      <c r="K1270" s="195"/>
      <c r="L1270" s="195"/>
      <c r="M1270" s="1185"/>
    </row>
    <row r="1271">
      <c r="A1271" s="1185"/>
      <c r="B1271" s="1185"/>
      <c r="C1271" s="1185"/>
      <c r="D1271" s="1185"/>
      <c r="E1271" s="1185"/>
      <c r="F1271" s="1185"/>
      <c r="G1271" s="1186"/>
      <c r="H1271" s="1186"/>
      <c r="I1271" s="195"/>
      <c r="J1271" s="195"/>
      <c r="K1271" s="195"/>
      <c r="L1271" s="195"/>
      <c r="M1271" s="1185"/>
    </row>
    <row r="1272">
      <c r="A1272" s="1185"/>
      <c r="B1272" s="1185"/>
      <c r="C1272" s="1185"/>
      <c r="D1272" s="1185"/>
      <c r="E1272" s="1185"/>
      <c r="F1272" s="1185"/>
      <c r="G1272" s="1186"/>
      <c r="H1272" s="1186"/>
      <c r="I1272" s="195"/>
      <c r="J1272" s="195"/>
      <c r="K1272" s="195"/>
      <c r="L1272" s="195"/>
      <c r="M1272" s="1185"/>
    </row>
    <row r="1273">
      <c r="A1273" s="1185"/>
      <c r="B1273" s="1185"/>
      <c r="C1273" s="1185"/>
      <c r="D1273" s="1185"/>
      <c r="E1273" s="1185"/>
      <c r="F1273" s="1185"/>
      <c r="G1273" s="1186"/>
      <c r="H1273" s="1186"/>
      <c r="I1273" s="195"/>
      <c r="J1273" s="195"/>
      <c r="K1273" s="195"/>
      <c r="L1273" s="195"/>
      <c r="M1273" s="1185"/>
    </row>
    <row r="1274">
      <c r="A1274" s="1185"/>
      <c r="B1274" s="1185"/>
      <c r="C1274" s="1185"/>
      <c r="D1274" s="1185"/>
      <c r="E1274" s="1185"/>
      <c r="F1274" s="1185"/>
      <c r="G1274" s="1186"/>
      <c r="H1274" s="1186"/>
      <c r="I1274" s="195"/>
      <c r="J1274" s="195"/>
      <c r="K1274" s="195"/>
      <c r="L1274" s="195"/>
      <c r="M1274" s="1185"/>
    </row>
    <row r="1275">
      <c r="A1275" s="1185"/>
      <c r="B1275" s="1185"/>
      <c r="C1275" s="1185"/>
      <c r="D1275" s="1185"/>
      <c r="E1275" s="1185"/>
      <c r="F1275" s="1185"/>
      <c r="G1275" s="1186"/>
      <c r="H1275" s="1186"/>
      <c r="I1275" s="195"/>
      <c r="J1275" s="195"/>
      <c r="K1275" s="195"/>
      <c r="L1275" s="195"/>
      <c r="M1275" s="1185"/>
    </row>
    <row r="1276">
      <c r="A1276" s="1185"/>
      <c r="B1276" s="1185"/>
      <c r="C1276" s="1185"/>
      <c r="D1276" s="1185"/>
      <c r="E1276" s="1185"/>
      <c r="F1276" s="1185"/>
      <c r="G1276" s="1186"/>
      <c r="H1276" s="1186"/>
      <c r="I1276" s="195"/>
      <c r="J1276" s="195"/>
      <c r="K1276" s="195"/>
      <c r="L1276" s="195"/>
      <c r="M1276" s="1185"/>
    </row>
    <row r="1277">
      <c r="A1277" s="1185"/>
      <c r="B1277" s="1185"/>
      <c r="C1277" s="1185"/>
      <c r="D1277" s="1185"/>
      <c r="E1277" s="1185"/>
      <c r="F1277" s="1185"/>
      <c r="G1277" s="1186"/>
      <c r="H1277" s="1186"/>
      <c r="I1277" s="195"/>
      <c r="J1277" s="195"/>
      <c r="K1277" s="195"/>
      <c r="L1277" s="195"/>
      <c r="M1277" s="1185"/>
    </row>
    <row r="1278">
      <c r="A1278" s="1185"/>
      <c r="B1278" s="1185"/>
      <c r="C1278" s="1185"/>
      <c r="D1278" s="1185"/>
      <c r="E1278" s="1185"/>
      <c r="F1278" s="1185"/>
      <c r="G1278" s="1186"/>
      <c r="H1278" s="1186"/>
      <c r="I1278" s="195"/>
      <c r="J1278" s="195"/>
      <c r="K1278" s="195"/>
      <c r="L1278" s="195"/>
      <c r="M1278" s="1185"/>
    </row>
    <row r="1279">
      <c r="A1279" s="1185"/>
      <c r="B1279" s="1185"/>
      <c r="C1279" s="1185"/>
      <c r="D1279" s="1185"/>
      <c r="E1279" s="1185"/>
      <c r="F1279" s="1185"/>
      <c r="G1279" s="1186"/>
      <c r="H1279" s="1186"/>
      <c r="I1279" s="195"/>
      <c r="J1279" s="195"/>
      <c r="K1279" s="195"/>
      <c r="L1279" s="195"/>
      <c r="M1279" s="1185"/>
    </row>
    <row r="1280">
      <c r="A1280" s="1185"/>
      <c r="B1280" s="1185"/>
      <c r="C1280" s="1185"/>
      <c r="D1280" s="1185"/>
      <c r="E1280" s="1185"/>
      <c r="F1280" s="1185"/>
      <c r="G1280" s="1186"/>
      <c r="H1280" s="1186"/>
      <c r="I1280" s="195"/>
      <c r="J1280" s="195"/>
      <c r="K1280" s="195"/>
      <c r="L1280" s="195"/>
      <c r="M1280" s="1185"/>
    </row>
    <row r="1281">
      <c r="A1281" s="1185"/>
      <c r="B1281" s="1185"/>
      <c r="C1281" s="1185"/>
      <c r="D1281" s="1185"/>
      <c r="E1281" s="1185"/>
      <c r="F1281" s="1185"/>
      <c r="G1281" s="1186"/>
      <c r="H1281" s="1186"/>
      <c r="I1281" s="195"/>
      <c r="J1281" s="195"/>
      <c r="K1281" s="195"/>
      <c r="L1281" s="195"/>
      <c r="M1281" s="1185"/>
    </row>
    <row r="1282">
      <c r="A1282" s="1185"/>
      <c r="B1282" s="1185"/>
      <c r="C1282" s="1185"/>
      <c r="D1282" s="1185"/>
      <c r="E1282" s="1185"/>
      <c r="F1282" s="1185"/>
      <c r="G1282" s="1186"/>
      <c r="H1282" s="1186"/>
      <c r="I1282" s="195"/>
      <c r="J1282" s="195"/>
      <c r="K1282" s="195"/>
      <c r="L1282" s="195"/>
      <c r="M1282" s="1185"/>
    </row>
    <row r="1283">
      <c r="A1283" s="1185"/>
      <c r="B1283" s="1185"/>
      <c r="C1283" s="1185"/>
      <c r="D1283" s="1185"/>
      <c r="E1283" s="1185"/>
      <c r="F1283" s="1185"/>
      <c r="G1283" s="1186"/>
      <c r="H1283" s="1186"/>
      <c r="I1283" s="195"/>
      <c r="J1283" s="195"/>
      <c r="K1283" s="195"/>
      <c r="L1283" s="195"/>
      <c r="M1283" s="1185"/>
    </row>
    <row r="1284">
      <c r="A1284" s="1185"/>
      <c r="B1284" s="1185"/>
      <c r="C1284" s="1185"/>
      <c r="D1284" s="1185"/>
      <c r="E1284" s="1185"/>
      <c r="F1284" s="1185"/>
      <c r="G1284" s="1186"/>
      <c r="H1284" s="1186"/>
      <c r="I1284" s="195"/>
      <c r="J1284" s="195"/>
      <c r="K1284" s="195"/>
      <c r="L1284" s="195"/>
      <c r="M1284" s="1185"/>
    </row>
    <row r="1285">
      <c r="A1285" s="1185"/>
      <c r="B1285" s="1185"/>
      <c r="C1285" s="1185"/>
      <c r="D1285" s="1185"/>
      <c r="E1285" s="1185"/>
      <c r="F1285" s="1185"/>
      <c r="G1285" s="1186"/>
      <c r="H1285" s="1186"/>
      <c r="I1285" s="195"/>
      <c r="J1285" s="195"/>
      <c r="K1285" s="195"/>
      <c r="L1285" s="195"/>
      <c r="M1285" s="1185"/>
    </row>
    <row r="1286">
      <c r="A1286" s="1185"/>
      <c r="B1286" s="1185"/>
      <c r="C1286" s="1185"/>
      <c r="D1286" s="1185"/>
      <c r="E1286" s="1185"/>
      <c r="F1286" s="1185"/>
      <c r="G1286" s="1186"/>
      <c r="H1286" s="1186"/>
      <c r="I1286" s="195"/>
      <c r="J1286" s="195"/>
      <c r="K1286" s="195"/>
      <c r="L1286" s="195"/>
      <c r="M1286" s="1185"/>
    </row>
    <row r="1287">
      <c r="A1287" s="1185"/>
      <c r="B1287" s="1185"/>
      <c r="C1287" s="1185"/>
      <c r="D1287" s="1185"/>
      <c r="E1287" s="1185"/>
      <c r="F1287" s="1185"/>
      <c r="G1287" s="1186"/>
      <c r="H1287" s="1186"/>
      <c r="I1287" s="195"/>
      <c r="J1287" s="195"/>
      <c r="K1287" s="195"/>
      <c r="L1287" s="195"/>
      <c r="M1287" s="1185"/>
    </row>
    <row r="1288">
      <c r="A1288" s="1185"/>
      <c r="B1288" s="1185"/>
      <c r="C1288" s="1185"/>
      <c r="D1288" s="1185"/>
      <c r="E1288" s="1185"/>
      <c r="F1288" s="1185"/>
      <c r="G1288" s="1186"/>
      <c r="H1288" s="1186"/>
      <c r="I1288" s="195"/>
      <c r="J1288" s="195"/>
      <c r="K1288" s="195"/>
      <c r="L1288" s="195"/>
      <c r="M1288" s="1185"/>
    </row>
    <row r="1289">
      <c r="A1289" s="1185"/>
      <c r="B1289" s="1185"/>
      <c r="C1289" s="1185"/>
      <c r="D1289" s="1185"/>
      <c r="E1289" s="1185"/>
      <c r="F1289" s="1185"/>
      <c r="G1289" s="1186"/>
      <c r="H1289" s="1186"/>
      <c r="I1289" s="195"/>
      <c r="J1289" s="195"/>
      <c r="K1289" s="195"/>
      <c r="L1289" s="195"/>
      <c r="M1289" s="1185"/>
    </row>
    <row r="1290">
      <c r="A1290" s="1185"/>
      <c r="B1290" s="1185"/>
      <c r="C1290" s="1185"/>
      <c r="D1290" s="1185"/>
      <c r="E1290" s="1185"/>
      <c r="F1290" s="1185"/>
      <c r="G1290" s="1186"/>
      <c r="H1290" s="1186"/>
      <c r="I1290" s="195"/>
      <c r="J1290" s="195"/>
      <c r="K1290" s="195"/>
      <c r="L1290" s="195"/>
      <c r="M1290" s="1185"/>
    </row>
    <row r="1291">
      <c r="A1291" s="1185"/>
      <c r="B1291" s="1185"/>
      <c r="C1291" s="1185"/>
      <c r="D1291" s="1185"/>
      <c r="E1291" s="1185"/>
      <c r="F1291" s="1185"/>
      <c r="G1291" s="1186"/>
      <c r="H1291" s="1186"/>
      <c r="I1291" s="195"/>
      <c r="J1291" s="195"/>
      <c r="K1291" s="195"/>
      <c r="L1291" s="195"/>
      <c r="M1291" s="1185"/>
    </row>
    <row r="1292">
      <c r="A1292" s="1185"/>
      <c r="B1292" s="1185"/>
      <c r="C1292" s="1185"/>
      <c r="D1292" s="1185"/>
      <c r="E1292" s="1185"/>
      <c r="F1292" s="1185"/>
      <c r="G1292" s="1186"/>
      <c r="H1292" s="1186"/>
      <c r="I1292" s="195"/>
      <c r="J1292" s="195"/>
      <c r="K1292" s="195"/>
      <c r="L1292" s="195"/>
      <c r="M1292" s="1185"/>
    </row>
    <row r="1293">
      <c r="A1293" s="1185"/>
      <c r="B1293" s="1185"/>
      <c r="C1293" s="1185"/>
      <c r="D1293" s="1185"/>
      <c r="E1293" s="1185"/>
      <c r="F1293" s="1185"/>
      <c r="G1293" s="1186"/>
      <c r="H1293" s="1186"/>
      <c r="I1293" s="195"/>
      <c r="J1293" s="195"/>
      <c r="K1293" s="195"/>
      <c r="L1293" s="195"/>
      <c r="M1293" s="1185"/>
    </row>
    <row r="1294">
      <c r="A1294" s="1185"/>
      <c r="B1294" s="1185"/>
      <c r="C1294" s="1185"/>
      <c r="D1294" s="1185"/>
      <c r="E1294" s="1185"/>
      <c r="F1294" s="1185"/>
      <c r="G1294" s="1186"/>
      <c r="H1294" s="1186"/>
      <c r="I1294" s="195"/>
      <c r="J1294" s="195"/>
      <c r="K1294" s="195"/>
      <c r="L1294" s="195"/>
      <c r="M1294" s="1185"/>
    </row>
    <row r="1295">
      <c r="A1295" s="1185"/>
      <c r="B1295" s="1185"/>
      <c r="C1295" s="1185"/>
      <c r="D1295" s="1185"/>
      <c r="E1295" s="1185"/>
      <c r="F1295" s="1185"/>
      <c r="G1295" s="1186"/>
      <c r="H1295" s="1186"/>
      <c r="I1295" s="195"/>
      <c r="J1295" s="195"/>
      <c r="K1295" s="195"/>
      <c r="L1295" s="195"/>
      <c r="M1295" s="1185"/>
    </row>
    <row r="1296">
      <c r="A1296" s="1185"/>
      <c r="B1296" s="1185"/>
      <c r="C1296" s="1185"/>
      <c r="D1296" s="1185"/>
      <c r="E1296" s="1185"/>
      <c r="F1296" s="1185"/>
      <c r="G1296" s="1186"/>
      <c r="H1296" s="1186"/>
      <c r="I1296" s="195"/>
      <c r="J1296" s="195"/>
      <c r="K1296" s="195"/>
      <c r="L1296" s="195"/>
      <c r="M1296" s="1185"/>
    </row>
    <row r="1297">
      <c r="A1297" s="1185"/>
      <c r="B1297" s="1185"/>
      <c r="C1297" s="1185"/>
      <c r="D1297" s="1185"/>
      <c r="E1297" s="1185"/>
      <c r="F1297" s="1185"/>
      <c r="G1297" s="1186"/>
      <c r="H1297" s="1186"/>
      <c r="I1297" s="195"/>
      <c r="J1297" s="195"/>
      <c r="K1297" s="195"/>
      <c r="L1297" s="195"/>
      <c r="M1297" s="1185"/>
    </row>
    <row r="1298">
      <c r="A1298" s="1185"/>
      <c r="B1298" s="1185"/>
      <c r="C1298" s="1185"/>
      <c r="D1298" s="1185"/>
      <c r="E1298" s="1185"/>
      <c r="F1298" s="1185"/>
      <c r="G1298" s="1186"/>
      <c r="H1298" s="1186"/>
      <c r="I1298" s="195"/>
      <c r="J1298" s="195"/>
      <c r="K1298" s="195"/>
      <c r="L1298" s="195"/>
      <c r="M1298" s="1185"/>
    </row>
    <row r="1299">
      <c r="A1299" s="1185"/>
      <c r="B1299" s="1185"/>
      <c r="C1299" s="1185"/>
      <c r="D1299" s="1185"/>
      <c r="E1299" s="1185"/>
      <c r="F1299" s="1185"/>
      <c r="G1299" s="1186"/>
      <c r="H1299" s="1186"/>
      <c r="I1299" s="195"/>
      <c r="J1299" s="195"/>
      <c r="K1299" s="195"/>
      <c r="L1299" s="195"/>
      <c r="M1299" s="1185"/>
    </row>
    <row r="1300">
      <c r="A1300" s="1185"/>
      <c r="B1300" s="1185"/>
      <c r="C1300" s="1185"/>
      <c r="D1300" s="1185"/>
      <c r="E1300" s="1185"/>
      <c r="F1300" s="1185"/>
      <c r="G1300" s="1186"/>
      <c r="H1300" s="1186"/>
      <c r="I1300" s="195"/>
      <c r="J1300" s="195"/>
      <c r="K1300" s="195"/>
      <c r="L1300" s="195"/>
      <c r="M1300" s="1185"/>
    </row>
    <row r="1301">
      <c r="A1301" s="1185"/>
      <c r="B1301" s="1185"/>
      <c r="C1301" s="1185"/>
      <c r="D1301" s="1185"/>
      <c r="E1301" s="1185"/>
      <c r="F1301" s="1185"/>
      <c r="G1301" s="1186"/>
      <c r="H1301" s="1186"/>
      <c r="I1301" s="195"/>
      <c r="J1301" s="195"/>
      <c r="K1301" s="195"/>
      <c r="L1301" s="195"/>
      <c r="M1301" s="1185"/>
    </row>
    <row r="1302">
      <c r="A1302" s="1185"/>
      <c r="B1302" s="1185"/>
      <c r="C1302" s="1185"/>
      <c r="D1302" s="1185"/>
      <c r="E1302" s="1185"/>
      <c r="F1302" s="1185"/>
      <c r="G1302" s="1186"/>
      <c r="H1302" s="1186"/>
      <c r="I1302" s="195"/>
      <c r="J1302" s="195"/>
      <c r="K1302" s="195"/>
      <c r="L1302" s="195"/>
      <c r="M1302" s="1185"/>
    </row>
    <row r="1303">
      <c r="A1303" s="1185"/>
      <c r="B1303" s="1185"/>
      <c r="C1303" s="1185"/>
      <c r="D1303" s="1185"/>
      <c r="E1303" s="1185"/>
      <c r="F1303" s="1185"/>
      <c r="G1303" s="1186"/>
      <c r="H1303" s="1186"/>
      <c r="I1303" s="195"/>
      <c r="J1303" s="195"/>
      <c r="K1303" s="195"/>
      <c r="L1303" s="195"/>
      <c r="M1303" s="1185"/>
    </row>
    <row r="1304">
      <c r="A1304" s="1185"/>
      <c r="B1304" s="1185"/>
      <c r="C1304" s="1185"/>
      <c r="D1304" s="1185"/>
      <c r="E1304" s="1185"/>
      <c r="F1304" s="1185"/>
      <c r="G1304" s="1186"/>
      <c r="H1304" s="1186"/>
      <c r="I1304" s="195"/>
      <c r="J1304" s="195"/>
      <c r="K1304" s="195"/>
      <c r="L1304" s="195"/>
      <c r="M1304" s="1185"/>
    </row>
    <row r="1305">
      <c r="A1305" s="1185"/>
      <c r="B1305" s="1185"/>
      <c r="C1305" s="1185"/>
      <c r="D1305" s="1185"/>
      <c r="E1305" s="1185"/>
      <c r="F1305" s="1185"/>
      <c r="G1305" s="1186"/>
      <c r="H1305" s="1186"/>
      <c r="I1305" s="195"/>
      <c r="J1305" s="195"/>
      <c r="K1305" s="195"/>
      <c r="L1305" s="195"/>
      <c r="M1305" s="1185"/>
    </row>
    <row r="1306">
      <c r="A1306" s="1185"/>
      <c r="B1306" s="1185"/>
      <c r="C1306" s="1185"/>
      <c r="D1306" s="1185"/>
      <c r="E1306" s="1185"/>
      <c r="F1306" s="1185"/>
      <c r="G1306" s="1186"/>
      <c r="H1306" s="1186"/>
      <c r="I1306" s="195"/>
      <c r="J1306" s="195"/>
      <c r="K1306" s="195"/>
      <c r="L1306" s="195"/>
      <c r="M1306" s="1185"/>
    </row>
    <row r="1307">
      <c r="A1307" s="1185"/>
      <c r="B1307" s="1185"/>
      <c r="C1307" s="1185"/>
      <c r="D1307" s="1185"/>
      <c r="E1307" s="1185"/>
      <c r="F1307" s="1185"/>
      <c r="G1307" s="1186"/>
      <c r="H1307" s="1186"/>
      <c r="I1307" s="195"/>
      <c r="J1307" s="195"/>
      <c r="K1307" s="195"/>
      <c r="L1307" s="195"/>
      <c r="M1307" s="1185"/>
    </row>
    <row r="1308">
      <c r="A1308" s="1185"/>
      <c r="B1308" s="1185"/>
      <c r="C1308" s="1185"/>
      <c r="D1308" s="1185"/>
      <c r="E1308" s="1185"/>
      <c r="F1308" s="1185"/>
      <c r="G1308" s="1186"/>
      <c r="H1308" s="1186"/>
      <c r="I1308" s="195"/>
      <c r="J1308" s="195"/>
      <c r="K1308" s="195"/>
      <c r="L1308" s="195"/>
      <c r="M1308" s="1185"/>
    </row>
    <row r="1309">
      <c r="A1309" s="1185"/>
      <c r="B1309" s="1185"/>
      <c r="C1309" s="1185"/>
      <c r="D1309" s="1185"/>
      <c r="E1309" s="1185"/>
      <c r="F1309" s="1185"/>
      <c r="G1309" s="1186"/>
      <c r="H1309" s="1186"/>
      <c r="I1309" s="195"/>
      <c r="J1309" s="195"/>
      <c r="K1309" s="195"/>
      <c r="L1309" s="195"/>
      <c r="M1309" s="1185"/>
    </row>
    <row r="1310">
      <c r="A1310" s="1185"/>
      <c r="B1310" s="1185"/>
      <c r="C1310" s="1185"/>
      <c r="D1310" s="1185"/>
      <c r="E1310" s="1185"/>
      <c r="F1310" s="1185"/>
      <c r="G1310" s="1186"/>
      <c r="H1310" s="1186"/>
      <c r="I1310" s="195"/>
      <c r="J1310" s="195"/>
      <c r="K1310" s="195"/>
      <c r="L1310" s="195"/>
      <c r="M1310" s="1185"/>
    </row>
    <row r="1311">
      <c r="A1311" s="1185"/>
      <c r="B1311" s="1185"/>
      <c r="C1311" s="1185"/>
      <c r="D1311" s="1185"/>
      <c r="E1311" s="1185"/>
      <c r="F1311" s="1185"/>
      <c r="G1311" s="1186"/>
      <c r="H1311" s="1186"/>
      <c r="I1311" s="195"/>
      <c r="J1311" s="195"/>
      <c r="K1311" s="195"/>
      <c r="L1311" s="195"/>
      <c r="M1311" s="1185"/>
    </row>
    <row r="1312">
      <c r="A1312" s="1185"/>
      <c r="B1312" s="1185"/>
      <c r="C1312" s="1185"/>
      <c r="D1312" s="1185"/>
      <c r="E1312" s="1185"/>
      <c r="F1312" s="1185"/>
      <c r="G1312" s="1186"/>
      <c r="H1312" s="1186"/>
      <c r="I1312" s="195"/>
      <c r="J1312" s="195"/>
      <c r="K1312" s="195"/>
      <c r="L1312" s="195"/>
      <c r="M1312" s="1185"/>
    </row>
    <row r="1313">
      <c r="A1313" s="1185"/>
      <c r="B1313" s="1185"/>
      <c r="C1313" s="1185"/>
      <c r="D1313" s="1185"/>
      <c r="E1313" s="1185"/>
      <c r="F1313" s="1185"/>
      <c r="G1313" s="1186"/>
      <c r="H1313" s="1186"/>
      <c r="I1313" s="195"/>
      <c r="J1313" s="195"/>
      <c r="K1313" s="195"/>
      <c r="L1313" s="195"/>
      <c r="M1313" s="1185"/>
    </row>
    <row r="1314">
      <c r="A1314" s="1185"/>
      <c r="B1314" s="1185"/>
      <c r="C1314" s="1185"/>
      <c r="D1314" s="1185"/>
      <c r="E1314" s="1185"/>
      <c r="F1314" s="1185"/>
      <c r="G1314" s="1186"/>
      <c r="H1314" s="1186"/>
      <c r="I1314" s="195"/>
      <c r="J1314" s="195"/>
      <c r="K1314" s="195"/>
      <c r="L1314" s="195"/>
      <c r="M1314" s="1185"/>
    </row>
    <row r="1315">
      <c r="A1315" s="1185"/>
      <c r="B1315" s="1185"/>
      <c r="C1315" s="1185"/>
      <c r="D1315" s="1185"/>
      <c r="E1315" s="1185"/>
      <c r="F1315" s="1185"/>
      <c r="G1315" s="1186"/>
      <c r="H1315" s="1186"/>
      <c r="I1315" s="195"/>
      <c r="J1315" s="195"/>
      <c r="K1315" s="195"/>
      <c r="L1315" s="195"/>
      <c r="M1315" s="1185"/>
    </row>
    <row r="1316">
      <c r="A1316" s="1185"/>
      <c r="B1316" s="1185"/>
      <c r="C1316" s="1185"/>
      <c r="D1316" s="1185"/>
      <c r="E1316" s="1185"/>
      <c r="F1316" s="1185"/>
      <c r="G1316" s="1186"/>
      <c r="H1316" s="1186"/>
      <c r="I1316" s="195"/>
      <c r="J1316" s="195"/>
      <c r="K1316" s="195"/>
      <c r="L1316" s="195"/>
      <c r="M1316" s="1185"/>
    </row>
    <row r="1317">
      <c r="A1317" s="1185"/>
      <c r="B1317" s="1185"/>
      <c r="C1317" s="1185"/>
      <c r="D1317" s="1185"/>
      <c r="E1317" s="1185"/>
      <c r="F1317" s="1185"/>
      <c r="G1317" s="1186"/>
      <c r="H1317" s="1186"/>
      <c r="I1317" s="195"/>
      <c r="J1317" s="195"/>
      <c r="K1317" s="195"/>
      <c r="L1317" s="195"/>
      <c r="M1317" s="1185"/>
    </row>
    <row r="1318">
      <c r="A1318" s="1185"/>
      <c r="B1318" s="1185"/>
      <c r="C1318" s="1185"/>
      <c r="D1318" s="1185"/>
      <c r="E1318" s="1185"/>
      <c r="F1318" s="1185"/>
      <c r="G1318" s="1186"/>
      <c r="H1318" s="1186"/>
      <c r="I1318" s="195"/>
      <c r="J1318" s="195"/>
      <c r="K1318" s="195"/>
      <c r="L1318" s="195"/>
      <c r="M1318" s="1185"/>
    </row>
    <row r="1319">
      <c r="A1319" s="1185"/>
      <c r="B1319" s="1185"/>
      <c r="C1319" s="1185"/>
      <c r="D1319" s="1185"/>
      <c r="E1319" s="1185"/>
      <c r="F1319" s="1185"/>
      <c r="G1319" s="1186"/>
      <c r="H1319" s="1186"/>
      <c r="I1319" s="195"/>
      <c r="J1319" s="195"/>
      <c r="K1319" s="195"/>
      <c r="L1319" s="195"/>
      <c r="M1319" s="1185"/>
    </row>
    <row r="1320">
      <c r="A1320" s="1185"/>
      <c r="B1320" s="1185"/>
      <c r="C1320" s="1185"/>
      <c r="D1320" s="1185"/>
      <c r="E1320" s="1185"/>
      <c r="F1320" s="1185"/>
      <c r="G1320" s="1186"/>
      <c r="H1320" s="1186"/>
      <c r="I1320" s="195"/>
      <c r="J1320" s="195"/>
      <c r="K1320" s="195"/>
      <c r="L1320" s="195"/>
      <c r="M1320" s="1185"/>
    </row>
    <row r="1321">
      <c r="A1321" s="1185"/>
      <c r="B1321" s="1185"/>
      <c r="C1321" s="1185"/>
      <c r="D1321" s="1185"/>
      <c r="E1321" s="1185"/>
      <c r="F1321" s="1185"/>
      <c r="G1321" s="1186"/>
      <c r="H1321" s="1186"/>
      <c r="I1321" s="195"/>
      <c r="J1321" s="195"/>
      <c r="K1321" s="195"/>
      <c r="L1321" s="195"/>
      <c r="M1321" s="1185"/>
    </row>
    <row r="1322">
      <c r="A1322" s="1185"/>
      <c r="B1322" s="1185"/>
      <c r="C1322" s="1185"/>
      <c r="D1322" s="1185"/>
      <c r="E1322" s="1185"/>
      <c r="F1322" s="1185"/>
      <c r="G1322" s="1186"/>
      <c r="H1322" s="1186"/>
      <c r="I1322" s="195"/>
      <c r="J1322" s="195"/>
      <c r="K1322" s="195"/>
      <c r="L1322" s="195"/>
      <c r="M1322" s="1185"/>
    </row>
    <row r="1323">
      <c r="A1323" s="1185"/>
      <c r="B1323" s="1185"/>
      <c r="C1323" s="1185"/>
      <c r="D1323" s="1185"/>
      <c r="E1323" s="1185"/>
      <c r="F1323" s="1185"/>
      <c r="G1323" s="1186"/>
      <c r="H1323" s="1186"/>
      <c r="I1323" s="195"/>
      <c r="J1323" s="195"/>
      <c r="K1323" s="195"/>
      <c r="L1323" s="195"/>
      <c r="M1323" s="1185"/>
    </row>
    <row r="1324">
      <c r="A1324" s="1185"/>
      <c r="B1324" s="1185"/>
      <c r="C1324" s="1185"/>
      <c r="D1324" s="1185"/>
      <c r="E1324" s="1185"/>
      <c r="F1324" s="1185"/>
      <c r="G1324" s="1186"/>
      <c r="H1324" s="1186"/>
      <c r="I1324" s="195"/>
      <c r="J1324" s="195"/>
      <c r="K1324" s="195"/>
      <c r="L1324" s="195"/>
      <c r="M1324" s="1185"/>
    </row>
    <row r="1325">
      <c r="A1325" s="1185"/>
      <c r="B1325" s="1185"/>
      <c r="C1325" s="1185"/>
      <c r="D1325" s="1185"/>
      <c r="E1325" s="1185"/>
      <c r="F1325" s="1185"/>
      <c r="G1325" s="1186"/>
      <c r="H1325" s="1186"/>
      <c r="I1325" s="195"/>
      <c r="J1325" s="195"/>
      <c r="K1325" s="195"/>
      <c r="L1325" s="195"/>
      <c r="M1325" s="1185"/>
    </row>
    <row r="1326">
      <c r="A1326" s="1185"/>
      <c r="B1326" s="1185"/>
      <c r="C1326" s="1185"/>
      <c r="D1326" s="1185"/>
      <c r="E1326" s="1185"/>
      <c r="F1326" s="1185"/>
      <c r="G1326" s="1186"/>
      <c r="H1326" s="1186"/>
      <c r="I1326" s="195"/>
      <c r="J1326" s="195"/>
      <c r="K1326" s="195"/>
      <c r="L1326" s="195"/>
      <c r="M1326" s="1185"/>
    </row>
    <row r="1327">
      <c r="A1327" s="1185"/>
      <c r="B1327" s="1185"/>
      <c r="C1327" s="1185"/>
      <c r="D1327" s="1185"/>
      <c r="E1327" s="1185"/>
      <c r="F1327" s="1185"/>
      <c r="G1327" s="1186"/>
      <c r="H1327" s="1186"/>
      <c r="I1327" s="195"/>
      <c r="J1327" s="195"/>
      <c r="K1327" s="195"/>
      <c r="L1327" s="195"/>
      <c r="M1327" s="1185"/>
    </row>
    <row r="1328">
      <c r="A1328" s="1185"/>
      <c r="B1328" s="1185"/>
      <c r="C1328" s="1185"/>
      <c r="D1328" s="1185"/>
      <c r="E1328" s="1185"/>
      <c r="F1328" s="1185"/>
      <c r="G1328" s="1186"/>
      <c r="H1328" s="1186"/>
      <c r="I1328" s="195"/>
      <c r="J1328" s="195"/>
      <c r="K1328" s="195"/>
      <c r="L1328" s="195"/>
      <c r="M1328" s="1185"/>
    </row>
    <row r="1329">
      <c r="A1329" s="1185"/>
      <c r="B1329" s="1185"/>
      <c r="C1329" s="1185"/>
      <c r="D1329" s="1185"/>
      <c r="E1329" s="1185"/>
      <c r="F1329" s="1185"/>
      <c r="G1329" s="1186"/>
      <c r="H1329" s="1186"/>
      <c r="I1329" s="195"/>
      <c r="J1329" s="195"/>
      <c r="K1329" s="195"/>
      <c r="L1329" s="195"/>
      <c r="M1329" s="1185"/>
    </row>
    <row r="1330">
      <c r="A1330" s="1185"/>
      <c r="B1330" s="1185"/>
      <c r="C1330" s="1185"/>
      <c r="D1330" s="1185"/>
      <c r="E1330" s="1185"/>
      <c r="F1330" s="1185"/>
      <c r="G1330" s="1186"/>
      <c r="H1330" s="1186"/>
      <c r="I1330" s="195"/>
      <c r="J1330" s="195"/>
      <c r="K1330" s="195"/>
      <c r="L1330" s="195"/>
      <c r="M1330" s="1185"/>
    </row>
    <row r="1331">
      <c r="A1331" s="1185"/>
      <c r="B1331" s="1185"/>
      <c r="C1331" s="1185"/>
      <c r="D1331" s="1185"/>
      <c r="E1331" s="1185"/>
      <c r="F1331" s="1185"/>
      <c r="G1331" s="1186"/>
      <c r="H1331" s="1186"/>
      <c r="I1331" s="195"/>
      <c r="J1331" s="195"/>
      <c r="K1331" s="195"/>
      <c r="L1331" s="195"/>
      <c r="M1331" s="1185"/>
    </row>
    <row r="1332">
      <c r="A1332" s="1185"/>
      <c r="B1332" s="1185"/>
      <c r="C1332" s="1185"/>
      <c r="D1332" s="1185"/>
      <c r="E1332" s="1185"/>
      <c r="F1332" s="1185"/>
      <c r="G1332" s="1186"/>
      <c r="H1332" s="1186"/>
      <c r="I1332" s="195"/>
      <c r="J1332" s="195"/>
      <c r="K1332" s="195"/>
      <c r="L1332" s="195"/>
      <c r="M1332" s="1185"/>
    </row>
    <row r="1333">
      <c r="A1333" s="1185"/>
      <c r="B1333" s="1185"/>
      <c r="C1333" s="1185"/>
      <c r="D1333" s="1185"/>
      <c r="E1333" s="1185"/>
      <c r="F1333" s="1185"/>
      <c r="G1333" s="1186"/>
      <c r="H1333" s="1186"/>
      <c r="I1333" s="195"/>
      <c r="J1333" s="195"/>
      <c r="K1333" s="195"/>
      <c r="L1333" s="195"/>
      <c r="M1333" s="1185"/>
    </row>
    <row r="1334">
      <c r="A1334" s="1185"/>
      <c r="B1334" s="1185"/>
      <c r="C1334" s="1185"/>
      <c r="D1334" s="1185"/>
      <c r="E1334" s="1185"/>
      <c r="F1334" s="1185"/>
      <c r="G1334" s="1186"/>
      <c r="H1334" s="1186"/>
      <c r="I1334" s="195"/>
      <c r="J1334" s="195"/>
      <c r="K1334" s="195"/>
      <c r="L1334" s="195"/>
      <c r="M1334" s="1185"/>
    </row>
    <row r="1335">
      <c r="A1335" s="1185"/>
      <c r="B1335" s="1185"/>
      <c r="C1335" s="1185"/>
      <c r="D1335" s="1185"/>
      <c r="E1335" s="1185"/>
      <c r="F1335" s="1185"/>
      <c r="G1335" s="1186"/>
      <c r="H1335" s="1186"/>
      <c r="I1335" s="195"/>
      <c r="J1335" s="195"/>
      <c r="K1335" s="195"/>
      <c r="L1335" s="195"/>
      <c r="M1335" s="1185"/>
    </row>
    <row r="1336">
      <c r="A1336" s="1185"/>
      <c r="B1336" s="1185"/>
      <c r="C1336" s="1185"/>
      <c r="D1336" s="1185"/>
      <c r="E1336" s="1185"/>
      <c r="F1336" s="1185"/>
      <c r="G1336" s="1186"/>
      <c r="H1336" s="1186"/>
      <c r="I1336" s="195"/>
      <c r="J1336" s="195"/>
      <c r="K1336" s="195"/>
      <c r="L1336" s="195"/>
      <c r="M1336" s="1185"/>
    </row>
    <row r="1337">
      <c r="A1337" s="1185"/>
      <c r="B1337" s="1185"/>
      <c r="C1337" s="1185"/>
      <c r="D1337" s="1185"/>
      <c r="E1337" s="1185"/>
      <c r="F1337" s="1185"/>
      <c r="G1337" s="1186"/>
      <c r="H1337" s="1186"/>
      <c r="I1337" s="195"/>
      <c r="J1337" s="195"/>
      <c r="K1337" s="195"/>
      <c r="L1337" s="195"/>
      <c r="M1337" s="1185"/>
    </row>
    <row r="1338">
      <c r="A1338" s="1185"/>
      <c r="B1338" s="1185"/>
      <c r="C1338" s="1185"/>
      <c r="D1338" s="1185"/>
      <c r="E1338" s="1185"/>
      <c r="F1338" s="1185"/>
      <c r="G1338" s="1186"/>
      <c r="H1338" s="1186"/>
      <c r="I1338" s="195"/>
      <c r="J1338" s="195"/>
      <c r="K1338" s="195"/>
      <c r="L1338" s="195"/>
      <c r="M1338" s="1185"/>
    </row>
    <row r="1339">
      <c r="A1339" s="1185"/>
      <c r="B1339" s="1185"/>
      <c r="C1339" s="1185"/>
      <c r="D1339" s="1185"/>
      <c r="E1339" s="1185"/>
      <c r="F1339" s="1185"/>
      <c r="G1339" s="1186"/>
      <c r="H1339" s="1186"/>
      <c r="I1339" s="195"/>
      <c r="J1339" s="195"/>
      <c r="K1339" s="195"/>
      <c r="L1339" s="195"/>
      <c r="M1339" s="1185"/>
    </row>
    <row r="1340">
      <c r="A1340" s="1185"/>
      <c r="B1340" s="1185"/>
      <c r="C1340" s="1185"/>
      <c r="D1340" s="1185"/>
      <c r="E1340" s="1185"/>
      <c r="F1340" s="1185"/>
      <c r="G1340" s="1186"/>
      <c r="H1340" s="1186"/>
      <c r="I1340" s="195"/>
      <c r="J1340" s="195"/>
      <c r="K1340" s="195"/>
      <c r="L1340" s="195"/>
      <c r="M1340" s="1185"/>
    </row>
    <row r="1341">
      <c r="A1341" s="1185"/>
      <c r="B1341" s="1185"/>
      <c r="C1341" s="1185"/>
      <c r="D1341" s="1185"/>
      <c r="E1341" s="1185"/>
      <c r="F1341" s="1185"/>
      <c r="G1341" s="1186"/>
      <c r="H1341" s="1186"/>
      <c r="I1341" s="195"/>
      <c r="J1341" s="195"/>
      <c r="K1341" s="195"/>
      <c r="L1341" s="195"/>
      <c r="M1341" s="1185"/>
    </row>
    <row r="1342">
      <c r="A1342" s="1185"/>
      <c r="B1342" s="1185"/>
      <c r="C1342" s="1185"/>
      <c r="D1342" s="1185"/>
      <c r="E1342" s="1185"/>
      <c r="F1342" s="1185"/>
      <c r="G1342" s="1186"/>
      <c r="H1342" s="1186"/>
      <c r="I1342" s="195"/>
      <c r="J1342" s="195"/>
      <c r="K1342" s="195"/>
      <c r="L1342" s="195"/>
      <c r="M1342" s="1185"/>
    </row>
    <row r="1343">
      <c r="A1343" s="1185"/>
      <c r="B1343" s="1185"/>
      <c r="C1343" s="1185"/>
      <c r="D1343" s="1185"/>
      <c r="E1343" s="1185"/>
      <c r="F1343" s="1185"/>
      <c r="G1343" s="1186"/>
      <c r="H1343" s="1186"/>
      <c r="I1343" s="195"/>
      <c r="J1343" s="195"/>
      <c r="K1343" s="195"/>
      <c r="L1343" s="195"/>
      <c r="M1343" s="1185"/>
    </row>
    <row r="1344">
      <c r="A1344" s="1185"/>
      <c r="B1344" s="1185"/>
      <c r="C1344" s="1185"/>
      <c r="D1344" s="1185"/>
      <c r="E1344" s="1185"/>
      <c r="F1344" s="1185"/>
      <c r="G1344" s="1186"/>
      <c r="H1344" s="1186"/>
      <c r="I1344" s="195"/>
      <c r="J1344" s="195"/>
      <c r="K1344" s="195"/>
      <c r="L1344" s="195"/>
      <c r="M1344" s="1185"/>
    </row>
    <row r="1345">
      <c r="A1345" s="1185"/>
      <c r="B1345" s="1185"/>
      <c r="C1345" s="1185"/>
      <c r="D1345" s="1185"/>
      <c r="E1345" s="1185"/>
      <c r="F1345" s="1185"/>
      <c r="G1345" s="1186"/>
      <c r="H1345" s="1186"/>
      <c r="I1345" s="195"/>
      <c r="J1345" s="195"/>
      <c r="K1345" s="195"/>
      <c r="L1345" s="195"/>
      <c r="M1345" s="1185"/>
    </row>
    <row r="1346">
      <c r="A1346" s="1185"/>
      <c r="B1346" s="1185"/>
      <c r="C1346" s="1185"/>
      <c r="D1346" s="1185"/>
      <c r="E1346" s="1185"/>
      <c r="F1346" s="1185"/>
      <c r="G1346" s="1186"/>
      <c r="H1346" s="1186"/>
      <c r="I1346" s="195"/>
      <c r="J1346" s="195"/>
      <c r="K1346" s="195"/>
      <c r="L1346" s="195"/>
      <c r="M1346" s="1185"/>
    </row>
    <row r="1347">
      <c r="A1347" s="1185"/>
      <c r="B1347" s="1185"/>
      <c r="C1347" s="1185"/>
      <c r="D1347" s="1185"/>
      <c r="E1347" s="1185"/>
      <c r="F1347" s="1185"/>
      <c r="G1347" s="1186"/>
      <c r="H1347" s="1186"/>
      <c r="I1347" s="195"/>
      <c r="J1347" s="195"/>
      <c r="K1347" s="195"/>
      <c r="L1347" s="195"/>
      <c r="M1347" s="1185"/>
    </row>
    <row r="1348">
      <c r="A1348" s="1185"/>
      <c r="B1348" s="1185"/>
      <c r="C1348" s="1185"/>
      <c r="D1348" s="1185"/>
      <c r="E1348" s="1185"/>
      <c r="F1348" s="1185"/>
      <c r="G1348" s="1186"/>
      <c r="H1348" s="1186"/>
      <c r="I1348" s="195"/>
      <c r="J1348" s="195"/>
      <c r="K1348" s="195"/>
      <c r="L1348" s="195"/>
      <c r="M1348" s="1185"/>
    </row>
    <row r="1349">
      <c r="A1349" s="1185"/>
      <c r="B1349" s="1185"/>
      <c r="C1349" s="1185"/>
      <c r="D1349" s="1185"/>
      <c r="E1349" s="1185"/>
      <c r="F1349" s="1185"/>
      <c r="G1349" s="1186"/>
      <c r="H1349" s="1186"/>
      <c r="I1349" s="195"/>
      <c r="J1349" s="195"/>
      <c r="K1349" s="195"/>
      <c r="L1349" s="195"/>
      <c r="M1349" s="1185"/>
    </row>
    <row r="1350">
      <c r="A1350" s="1185"/>
      <c r="B1350" s="1185"/>
      <c r="C1350" s="1185"/>
      <c r="D1350" s="1185"/>
      <c r="E1350" s="1185"/>
      <c r="F1350" s="1185"/>
      <c r="G1350" s="1186"/>
      <c r="H1350" s="1186"/>
      <c r="I1350" s="195"/>
      <c r="J1350" s="195"/>
      <c r="K1350" s="195"/>
      <c r="L1350" s="195"/>
      <c r="M1350" s="1185"/>
    </row>
    <row r="1351">
      <c r="A1351" s="1185"/>
      <c r="B1351" s="1185"/>
      <c r="C1351" s="1185"/>
      <c r="D1351" s="1185"/>
      <c r="E1351" s="1185"/>
      <c r="F1351" s="1185"/>
      <c r="G1351" s="1186"/>
      <c r="H1351" s="1186"/>
      <c r="I1351" s="195"/>
      <c r="J1351" s="195"/>
      <c r="K1351" s="195"/>
      <c r="L1351" s="195"/>
      <c r="M1351" s="1185"/>
    </row>
    <row r="1352">
      <c r="A1352" s="1185"/>
      <c r="B1352" s="1185"/>
      <c r="C1352" s="1185"/>
      <c r="D1352" s="1185"/>
      <c r="E1352" s="1185"/>
      <c r="F1352" s="1185"/>
      <c r="G1352" s="1186"/>
      <c r="H1352" s="1186"/>
      <c r="I1352" s="195"/>
      <c r="J1352" s="195"/>
      <c r="K1352" s="195"/>
      <c r="L1352" s="195"/>
      <c r="M1352" s="1185"/>
    </row>
    <row r="1353">
      <c r="A1353" s="1185"/>
      <c r="B1353" s="1185"/>
      <c r="C1353" s="1185"/>
      <c r="D1353" s="1185"/>
      <c r="E1353" s="1185"/>
      <c r="F1353" s="1185"/>
      <c r="G1353" s="1186"/>
      <c r="H1353" s="1186"/>
      <c r="I1353" s="195"/>
      <c r="J1353" s="195"/>
      <c r="K1353" s="195"/>
      <c r="L1353" s="195"/>
      <c r="M1353" s="1185"/>
    </row>
    <row r="1354">
      <c r="A1354" s="1185"/>
      <c r="B1354" s="1185"/>
      <c r="C1354" s="1185"/>
      <c r="D1354" s="1185"/>
      <c r="E1354" s="1185"/>
      <c r="F1354" s="1185"/>
      <c r="G1354" s="1186"/>
      <c r="H1354" s="1186"/>
      <c r="I1354" s="195"/>
      <c r="J1354" s="195"/>
      <c r="K1354" s="195"/>
      <c r="L1354" s="195"/>
      <c r="M1354" s="1185"/>
    </row>
    <row r="1355">
      <c r="A1355" s="1185"/>
      <c r="B1355" s="1185"/>
      <c r="C1355" s="1185"/>
      <c r="D1355" s="1185"/>
      <c r="E1355" s="1185"/>
      <c r="F1355" s="1185"/>
      <c r="G1355" s="1186"/>
      <c r="H1355" s="1186"/>
      <c r="I1355" s="195"/>
      <c r="J1355" s="195"/>
      <c r="K1355" s="195"/>
      <c r="L1355" s="195"/>
      <c r="M1355" s="1185"/>
    </row>
    <row r="1356">
      <c r="A1356" s="1185"/>
      <c r="B1356" s="1185"/>
      <c r="C1356" s="1185"/>
      <c r="D1356" s="1185"/>
      <c r="E1356" s="1185"/>
      <c r="F1356" s="1185"/>
      <c r="G1356" s="1186"/>
      <c r="H1356" s="1186"/>
      <c r="I1356" s="195"/>
      <c r="J1356" s="195"/>
      <c r="K1356" s="195"/>
      <c r="L1356" s="195"/>
      <c r="M1356" s="1185"/>
    </row>
    <row r="1357">
      <c r="A1357" s="1185"/>
      <c r="B1357" s="1185"/>
      <c r="C1357" s="1185"/>
      <c r="D1357" s="1185"/>
      <c r="E1357" s="1185"/>
      <c r="F1357" s="1185"/>
      <c r="G1357" s="1186"/>
      <c r="H1357" s="1186"/>
      <c r="I1357" s="195"/>
      <c r="J1357" s="195"/>
      <c r="K1357" s="195"/>
      <c r="L1357" s="195"/>
      <c r="M1357" s="1185"/>
    </row>
    <row r="1358">
      <c r="A1358" s="1185"/>
      <c r="B1358" s="1185"/>
      <c r="C1358" s="1185"/>
      <c r="D1358" s="1185"/>
      <c r="E1358" s="1185"/>
      <c r="F1358" s="1185"/>
      <c r="G1358" s="1186"/>
      <c r="H1358" s="1186"/>
      <c r="I1358" s="195"/>
      <c r="J1358" s="195"/>
      <c r="K1358" s="195"/>
      <c r="L1358" s="195"/>
      <c r="M1358" s="1185"/>
    </row>
    <row r="1359">
      <c r="A1359" s="1185"/>
      <c r="B1359" s="1185"/>
      <c r="C1359" s="1185"/>
      <c r="D1359" s="1185"/>
      <c r="E1359" s="1185"/>
      <c r="F1359" s="1185"/>
      <c r="G1359" s="1186"/>
      <c r="H1359" s="1186"/>
      <c r="I1359" s="195"/>
      <c r="J1359" s="195"/>
      <c r="K1359" s="195"/>
      <c r="L1359" s="195"/>
      <c r="M1359" s="1185"/>
    </row>
    <row r="1360">
      <c r="A1360" s="1185"/>
      <c r="B1360" s="1185"/>
      <c r="C1360" s="1185"/>
      <c r="D1360" s="1185"/>
      <c r="E1360" s="1185"/>
      <c r="F1360" s="1185"/>
      <c r="G1360" s="1186"/>
      <c r="H1360" s="1186"/>
      <c r="I1360" s="195"/>
      <c r="J1360" s="195"/>
      <c r="K1360" s="195"/>
      <c r="L1360" s="195"/>
      <c r="M1360" s="1185"/>
    </row>
    <row r="1361">
      <c r="A1361" s="1185"/>
      <c r="B1361" s="1185"/>
      <c r="C1361" s="1185"/>
      <c r="D1361" s="1185"/>
      <c r="E1361" s="1185"/>
      <c r="F1361" s="1185"/>
      <c r="G1361" s="1186"/>
      <c r="H1361" s="1186"/>
      <c r="I1361" s="195"/>
      <c r="J1361" s="195"/>
      <c r="K1361" s="195"/>
      <c r="L1361" s="195"/>
      <c r="M1361" s="1185"/>
    </row>
    <row r="1362">
      <c r="A1362" s="1185"/>
      <c r="B1362" s="1185"/>
      <c r="C1362" s="1185"/>
      <c r="D1362" s="1185"/>
      <c r="E1362" s="1185"/>
      <c r="F1362" s="1185"/>
      <c r="G1362" s="1186"/>
      <c r="H1362" s="1186"/>
      <c r="I1362" s="195"/>
      <c r="J1362" s="195"/>
      <c r="K1362" s="195"/>
      <c r="L1362" s="195"/>
      <c r="M1362" s="1185"/>
    </row>
    <row r="1363">
      <c r="A1363" s="1185"/>
      <c r="B1363" s="1185"/>
      <c r="C1363" s="1185"/>
      <c r="D1363" s="1185"/>
      <c r="E1363" s="1185"/>
      <c r="F1363" s="1185"/>
      <c r="G1363" s="1186"/>
      <c r="H1363" s="1186"/>
      <c r="I1363" s="195"/>
      <c r="J1363" s="195"/>
      <c r="K1363" s="195"/>
      <c r="L1363" s="195"/>
      <c r="M1363" s="1185"/>
    </row>
    <row r="1364">
      <c r="A1364" s="1185"/>
      <c r="B1364" s="1185"/>
      <c r="C1364" s="1185"/>
      <c r="D1364" s="1185"/>
      <c r="E1364" s="1185"/>
      <c r="F1364" s="1185"/>
      <c r="G1364" s="1186"/>
      <c r="H1364" s="1186"/>
      <c r="I1364" s="195"/>
      <c r="J1364" s="195"/>
      <c r="K1364" s="195"/>
      <c r="L1364" s="195"/>
      <c r="M1364" s="1185"/>
    </row>
    <row r="1365">
      <c r="A1365" s="1185"/>
      <c r="B1365" s="1185"/>
      <c r="C1365" s="1185"/>
      <c r="D1365" s="1185"/>
      <c r="E1365" s="1185"/>
      <c r="F1365" s="1185"/>
      <c r="G1365" s="1186"/>
      <c r="H1365" s="1186"/>
      <c r="I1365" s="195"/>
      <c r="J1365" s="195"/>
      <c r="K1365" s="195"/>
      <c r="L1365" s="195"/>
      <c r="M1365" s="1185"/>
    </row>
    <row r="1366">
      <c r="A1366" s="1185"/>
      <c r="B1366" s="1185"/>
      <c r="C1366" s="1185"/>
      <c r="D1366" s="1185"/>
      <c r="E1366" s="1185"/>
      <c r="F1366" s="1185"/>
      <c r="G1366" s="1186"/>
      <c r="H1366" s="1186"/>
      <c r="I1366" s="195"/>
      <c r="J1366" s="195"/>
      <c r="K1366" s="195"/>
      <c r="L1366" s="195"/>
      <c r="M1366" s="1185"/>
    </row>
    <row r="1367">
      <c r="A1367" s="1185"/>
      <c r="B1367" s="1185"/>
      <c r="C1367" s="1185"/>
      <c r="D1367" s="1185"/>
      <c r="E1367" s="1185"/>
      <c r="F1367" s="1185"/>
      <c r="G1367" s="1186"/>
      <c r="H1367" s="1186"/>
      <c r="I1367" s="195"/>
      <c r="J1367" s="195"/>
      <c r="K1367" s="195"/>
      <c r="L1367" s="195"/>
      <c r="M1367" s="1185"/>
    </row>
    <row r="1368">
      <c r="A1368" s="1185"/>
      <c r="B1368" s="1185"/>
      <c r="C1368" s="1185"/>
      <c r="D1368" s="1185"/>
      <c r="E1368" s="1185"/>
      <c r="F1368" s="1185"/>
      <c r="G1368" s="1186"/>
      <c r="H1368" s="1186"/>
      <c r="I1368" s="195"/>
      <c r="J1368" s="195"/>
      <c r="K1368" s="195"/>
      <c r="L1368" s="195"/>
      <c r="M1368" s="1185"/>
    </row>
    <row r="1369">
      <c r="A1369" s="1185"/>
      <c r="B1369" s="1185"/>
      <c r="C1369" s="1185"/>
      <c r="D1369" s="1185"/>
      <c r="E1369" s="1185"/>
      <c r="F1369" s="1185"/>
      <c r="G1369" s="1186"/>
      <c r="H1369" s="1186"/>
      <c r="I1369" s="195"/>
      <c r="J1369" s="195"/>
      <c r="K1369" s="195"/>
      <c r="L1369" s="195"/>
      <c r="M1369" s="1185"/>
    </row>
    <row r="1370">
      <c r="A1370" s="1185"/>
      <c r="B1370" s="1185"/>
      <c r="C1370" s="1185"/>
      <c r="D1370" s="1185"/>
      <c r="E1370" s="1185"/>
      <c r="F1370" s="1185"/>
      <c r="G1370" s="1186"/>
      <c r="H1370" s="1186"/>
      <c r="I1370" s="195"/>
      <c r="J1370" s="195"/>
      <c r="K1370" s="195"/>
      <c r="L1370" s="195"/>
      <c r="M1370" s="1185"/>
    </row>
    <row r="1371">
      <c r="A1371" s="1185"/>
      <c r="B1371" s="1185"/>
      <c r="C1371" s="1185"/>
      <c r="D1371" s="1185"/>
      <c r="E1371" s="1185"/>
      <c r="F1371" s="1185"/>
      <c r="G1371" s="1186"/>
      <c r="H1371" s="1186"/>
      <c r="I1371" s="195"/>
      <c r="J1371" s="195"/>
      <c r="K1371" s="195"/>
      <c r="L1371" s="195"/>
      <c r="M1371" s="1185"/>
    </row>
    <row r="1372">
      <c r="A1372" s="1185"/>
      <c r="B1372" s="1185"/>
      <c r="C1372" s="1185"/>
      <c r="D1372" s="1185"/>
      <c r="E1372" s="1185"/>
      <c r="F1372" s="1185"/>
      <c r="G1372" s="1186"/>
      <c r="H1372" s="1186"/>
      <c r="I1372" s="195"/>
      <c r="J1372" s="195"/>
      <c r="K1372" s="195"/>
      <c r="L1372" s="195"/>
      <c r="M1372" s="1185"/>
    </row>
    <row r="1373">
      <c r="A1373" s="1185"/>
      <c r="B1373" s="1185"/>
      <c r="C1373" s="1185"/>
      <c r="D1373" s="1185"/>
      <c r="E1373" s="1185"/>
      <c r="F1373" s="1185"/>
      <c r="G1373" s="1186"/>
      <c r="H1373" s="1186"/>
      <c r="I1373" s="195"/>
      <c r="J1373" s="195"/>
      <c r="K1373" s="195"/>
      <c r="L1373" s="195"/>
      <c r="M1373" s="1185"/>
    </row>
    <row r="1374">
      <c r="A1374" s="1185"/>
      <c r="B1374" s="1185"/>
      <c r="C1374" s="1185"/>
      <c r="D1374" s="1185"/>
      <c r="E1374" s="1185"/>
      <c r="F1374" s="1185"/>
      <c r="G1374" s="1186"/>
      <c r="H1374" s="1186"/>
      <c r="I1374" s="195"/>
      <c r="J1374" s="195"/>
      <c r="K1374" s="195"/>
      <c r="L1374" s="195"/>
      <c r="M1374" s="1185"/>
    </row>
    <row r="1375">
      <c r="A1375" s="1185"/>
      <c r="B1375" s="1185"/>
      <c r="C1375" s="1185"/>
      <c r="D1375" s="1185"/>
      <c r="E1375" s="1185"/>
      <c r="F1375" s="1185"/>
      <c r="G1375" s="1186"/>
      <c r="H1375" s="1186"/>
      <c r="I1375" s="195"/>
      <c r="J1375" s="195"/>
      <c r="K1375" s="195"/>
      <c r="L1375" s="195"/>
      <c r="M1375" s="1185"/>
    </row>
    <row r="1376">
      <c r="A1376" s="1185"/>
      <c r="B1376" s="1185"/>
      <c r="C1376" s="1185"/>
      <c r="D1376" s="1185"/>
      <c r="E1376" s="1185"/>
      <c r="F1376" s="1185"/>
      <c r="G1376" s="1186"/>
      <c r="H1376" s="1186"/>
      <c r="I1376" s="195"/>
      <c r="J1376" s="195"/>
      <c r="K1376" s="195"/>
      <c r="L1376" s="195"/>
      <c r="M1376" s="1185"/>
    </row>
    <row r="1377">
      <c r="A1377" s="1185"/>
      <c r="B1377" s="1185"/>
      <c r="C1377" s="1185"/>
      <c r="D1377" s="1185"/>
      <c r="E1377" s="1185"/>
      <c r="F1377" s="1185"/>
      <c r="G1377" s="1186"/>
      <c r="H1377" s="1186"/>
      <c r="I1377" s="195"/>
      <c r="J1377" s="195"/>
      <c r="K1377" s="195"/>
      <c r="L1377" s="195"/>
      <c r="M1377" s="1185"/>
    </row>
    <row r="1378">
      <c r="A1378" s="1185"/>
      <c r="B1378" s="1185"/>
      <c r="C1378" s="1185"/>
      <c r="D1378" s="1185"/>
      <c r="E1378" s="1185"/>
      <c r="F1378" s="1185"/>
      <c r="G1378" s="1186"/>
      <c r="H1378" s="1186"/>
      <c r="I1378" s="195"/>
      <c r="J1378" s="195"/>
      <c r="K1378" s="195"/>
      <c r="L1378" s="195"/>
      <c r="M1378" s="1185"/>
    </row>
    <row r="1379">
      <c r="A1379" s="1185"/>
      <c r="B1379" s="1185"/>
      <c r="C1379" s="1185"/>
      <c r="D1379" s="1185"/>
      <c r="E1379" s="1185"/>
      <c r="F1379" s="1185"/>
      <c r="G1379" s="1186"/>
      <c r="H1379" s="1186"/>
      <c r="I1379" s="195"/>
      <c r="J1379" s="195"/>
      <c r="K1379" s="195"/>
      <c r="L1379" s="195"/>
      <c r="M1379" s="1185"/>
    </row>
    <row r="1380">
      <c r="A1380" s="1185"/>
      <c r="B1380" s="1185"/>
      <c r="C1380" s="1185"/>
      <c r="D1380" s="1185"/>
      <c r="E1380" s="1185"/>
      <c r="F1380" s="1185"/>
      <c r="G1380" s="1186"/>
      <c r="H1380" s="1186"/>
      <c r="I1380" s="195"/>
      <c r="J1380" s="195"/>
      <c r="K1380" s="195"/>
      <c r="L1380" s="195"/>
      <c r="M1380" s="1185"/>
    </row>
    <row r="1381">
      <c r="A1381" s="1185"/>
      <c r="B1381" s="1185"/>
      <c r="C1381" s="1185"/>
      <c r="D1381" s="1185"/>
      <c r="E1381" s="1185"/>
      <c r="F1381" s="1185"/>
      <c r="G1381" s="1186"/>
      <c r="H1381" s="1186"/>
      <c r="I1381" s="195"/>
      <c r="J1381" s="195"/>
      <c r="K1381" s="195"/>
      <c r="L1381" s="195"/>
      <c r="M1381" s="1185"/>
    </row>
    <row r="1382">
      <c r="A1382" s="1185"/>
      <c r="B1382" s="1185"/>
      <c r="C1382" s="1185"/>
      <c r="D1382" s="1185"/>
      <c r="E1382" s="1185"/>
      <c r="F1382" s="1185"/>
      <c r="G1382" s="1186"/>
      <c r="H1382" s="1186"/>
      <c r="I1382" s="195"/>
      <c r="J1382" s="195"/>
      <c r="K1382" s="195"/>
      <c r="L1382" s="195"/>
      <c r="M1382" s="1185"/>
    </row>
    <row r="1383">
      <c r="A1383" s="1185"/>
      <c r="B1383" s="1185"/>
      <c r="C1383" s="1185"/>
      <c r="D1383" s="1185"/>
      <c r="E1383" s="1185"/>
      <c r="F1383" s="1185"/>
      <c r="G1383" s="1186"/>
      <c r="H1383" s="1186"/>
      <c r="I1383" s="195"/>
      <c r="J1383" s="195"/>
      <c r="K1383" s="195"/>
      <c r="L1383" s="195"/>
      <c r="M1383" s="1185"/>
    </row>
    <row r="1384">
      <c r="A1384" s="1185"/>
      <c r="B1384" s="1185"/>
      <c r="C1384" s="1185"/>
      <c r="D1384" s="1185"/>
      <c r="E1384" s="1185"/>
      <c r="F1384" s="1185"/>
      <c r="G1384" s="1186"/>
      <c r="H1384" s="1186"/>
      <c r="I1384" s="195"/>
      <c r="J1384" s="195"/>
      <c r="K1384" s="195"/>
      <c r="L1384" s="195"/>
      <c r="M1384" s="1185"/>
    </row>
    <row r="1385">
      <c r="A1385" s="1185"/>
      <c r="B1385" s="1185"/>
      <c r="C1385" s="1185"/>
      <c r="D1385" s="1185"/>
      <c r="E1385" s="1185"/>
      <c r="F1385" s="1185"/>
      <c r="G1385" s="1186"/>
      <c r="H1385" s="1186"/>
      <c r="I1385" s="195"/>
      <c r="J1385" s="195"/>
      <c r="K1385" s="195"/>
      <c r="L1385" s="195"/>
      <c r="M1385" s="1185"/>
    </row>
    <row r="1386">
      <c r="A1386" s="1185"/>
      <c r="B1386" s="1185"/>
      <c r="C1386" s="1185"/>
      <c r="D1386" s="1185"/>
      <c r="E1386" s="1185"/>
      <c r="F1386" s="1185"/>
      <c r="G1386" s="1186"/>
      <c r="H1386" s="1186"/>
      <c r="I1386" s="195"/>
      <c r="J1386" s="195"/>
      <c r="K1386" s="195"/>
      <c r="L1386" s="195"/>
      <c r="M1386" s="1185"/>
    </row>
    <row r="1387">
      <c r="A1387" s="1185"/>
      <c r="B1387" s="1185"/>
      <c r="C1387" s="1185"/>
      <c r="D1387" s="1185"/>
      <c r="E1387" s="1185"/>
      <c r="F1387" s="1185"/>
      <c r="G1387" s="1186"/>
      <c r="H1387" s="1186"/>
      <c r="I1387" s="195"/>
      <c r="J1387" s="195"/>
      <c r="K1387" s="195"/>
      <c r="L1387" s="195"/>
      <c r="M1387" s="1185"/>
    </row>
    <row r="1388">
      <c r="A1388" s="1185"/>
      <c r="B1388" s="1185"/>
      <c r="C1388" s="1185"/>
      <c r="D1388" s="1185"/>
      <c r="E1388" s="1185"/>
      <c r="F1388" s="1185"/>
      <c r="G1388" s="1186"/>
      <c r="H1388" s="1186"/>
      <c r="I1388" s="195"/>
      <c r="J1388" s="195"/>
      <c r="K1388" s="195"/>
      <c r="L1388" s="195"/>
      <c r="M1388" s="1185"/>
    </row>
    <row r="1389">
      <c r="A1389" s="1185"/>
      <c r="B1389" s="1185"/>
      <c r="C1389" s="1185"/>
      <c r="D1389" s="1185"/>
      <c r="E1389" s="1185"/>
      <c r="F1389" s="1185"/>
      <c r="G1389" s="1186"/>
      <c r="H1389" s="1186"/>
      <c r="I1389" s="195"/>
      <c r="J1389" s="195"/>
      <c r="K1389" s="195"/>
      <c r="L1389" s="195"/>
      <c r="M1389" s="1185"/>
    </row>
    <row r="1390">
      <c r="A1390" s="1185"/>
      <c r="B1390" s="1185"/>
      <c r="C1390" s="1185"/>
      <c r="D1390" s="1185"/>
      <c r="E1390" s="1185"/>
      <c r="F1390" s="1185"/>
      <c r="G1390" s="1186"/>
      <c r="H1390" s="1186"/>
      <c r="I1390" s="195"/>
      <c r="J1390" s="195"/>
      <c r="K1390" s="195"/>
      <c r="L1390" s="195"/>
      <c r="M1390" s="1185"/>
    </row>
    <row r="1391">
      <c r="A1391" s="1185"/>
      <c r="B1391" s="1185"/>
      <c r="C1391" s="1185"/>
      <c r="D1391" s="1185"/>
      <c r="E1391" s="1185"/>
      <c r="F1391" s="1185"/>
      <c r="G1391" s="1186"/>
      <c r="H1391" s="1186"/>
      <c r="I1391" s="195"/>
      <c r="J1391" s="195"/>
      <c r="K1391" s="195"/>
      <c r="L1391" s="195"/>
      <c r="M1391" s="1185"/>
    </row>
    <row r="1392">
      <c r="A1392" s="1185"/>
      <c r="B1392" s="1185"/>
      <c r="C1392" s="1185"/>
      <c r="D1392" s="1185"/>
      <c r="E1392" s="1185"/>
      <c r="F1392" s="1185"/>
      <c r="G1392" s="1186"/>
      <c r="H1392" s="1186"/>
      <c r="I1392" s="195"/>
      <c r="J1392" s="195"/>
      <c r="K1392" s="195"/>
      <c r="L1392" s="195"/>
      <c r="M1392" s="1185"/>
    </row>
    <row r="1393">
      <c r="A1393" s="1185"/>
      <c r="B1393" s="1185"/>
      <c r="C1393" s="1185"/>
      <c r="D1393" s="1185"/>
      <c r="E1393" s="1185"/>
      <c r="F1393" s="1185"/>
      <c r="G1393" s="1186"/>
      <c r="H1393" s="1186"/>
      <c r="I1393" s="195"/>
      <c r="J1393" s="195"/>
      <c r="K1393" s="195"/>
      <c r="L1393" s="195"/>
      <c r="M1393" s="1185"/>
    </row>
    <row r="1394">
      <c r="A1394" s="1185"/>
      <c r="B1394" s="1185"/>
      <c r="C1394" s="1185"/>
      <c r="D1394" s="1185"/>
      <c r="E1394" s="1185"/>
      <c r="F1394" s="1185"/>
      <c r="G1394" s="1186"/>
      <c r="H1394" s="1186"/>
      <c r="I1394" s="195"/>
      <c r="J1394" s="195"/>
      <c r="K1394" s="195"/>
      <c r="L1394" s="195"/>
      <c r="M1394" s="1185"/>
    </row>
    <row r="1395">
      <c r="A1395" s="1185"/>
      <c r="B1395" s="1185"/>
      <c r="C1395" s="1185"/>
      <c r="D1395" s="1185"/>
      <c r="E1395" s="1185"/>
      <c r="F1395" s="1185"/>
      <c r="G1395" s="1186"/>
      <c r="H1395" s="1186"/>
      <c r="I1395" s="195"/>
      <c r="J1395" s="195"/>
      <c r="K1395" s="195"/>
      <c r="L1395" s="195"/>
      <c r="M1395" s="1185"/>
    </row>
    <row r="1396">
      <c r="A1396" s="1185"/>
      <c r="B1396" s="1185"/>
      <c r="C1396" s="1185"/>
      <c r="D1396" s="1185"/>
      <c r="E1396" s="1185"/>
      <c r="F1396" s="1185"/>
      <c r="G1396" s="1186"/>
      <c r="H1396" s="1186"/>
      <c r="I1396" s="195"/>
      <c r="J1396" s="195"/>
      <c r="K1396" s="195"/>
      <c r="L1396" s="195"/>
      <c r="M1396" s="1185"/>
    </row>
    <row r="1397">
      <c r="A1397" s="1185"/>
      <c r="B1397" s="1185"/>
      <c r="C1397" s="1185"/>
      <c r="D1397" s="1185"/>
      <c r="E1397" s="1185"/>
      <c r="F1397" s="1185"/>
      <c r="G1397" s="1186"/>
      <c r="H1397" s="1186"/>
      <c r="I1397" s="195"/>
      <c r="J1397" s="195"/>
      <c r="K1397" s="195"/>
      <c r="L1397" s="195"/>
      <c r="M1397" s="1185"/>
    </row>
    <row r="1398">
      <c r="A1398" s="1185"/>
      <c r="B1398" s="1185"/>
      <c r="C1398" s="1185"/>
      <c r="D1398" s="1185"/>
      <c r="E1398" s="1185"/>
      <c r="F1398" s="1185"/>
      <c r="G1398" s="1186"/>
      <c r="H1398" s="1186"/>
      <c r="I1398" s="195"/>
      <c r="J1398" s="195"/>
      <c r="K1398" s="195"/>
      <c r="L1398" s="195"/>
      <c r="M1398" s="1185"/>
    </row>
    <row r="1399">
      <c r="A1399" s="1185"/>
      <c r="B1399" s="1185"/>
      <c r="C1399" s="1185"/>
      <c r="D1399" s="1185"/>
      <c r="E1399" s="1185"/>
      <c r="F1399" s="1185"/>
      <c r="G1399" s="1186"/>
      <c r="H1399" s="1186"/>
      <c r="I1399" s="195"/>
      <c r="J1399" s="195"/>
      <c r="K1399" s="195"/>
      <c r="L1399" s="195"/>
      <c r="M1399" s="1185"/>
    </row>
    <row r="1400">
      <c r="A1400" s="1185"/>
      <c r="B1400" s="1185"/>
      <c r="C1400" s="1185"/>
      <c r="D1400" s="1185"/>
      <c r="E1400" s="1185"/>
      <c r="F1400" s="1185"/>
      <c r="G1400" s="1186"/>
      <c r="H1400" s="1186"/>
      <c r="I1400" s="195"/>
      <c r="J1400" s="195"/>
      <c r="K1400" s="195"/>
      <c r="L1400" s="195"/>
      <c r="M1400" s="1185"/>
    </row>
    <row r="1401">
      <c r="A1401" s="1185"/>
      <c r="B1401" s="1185"/>
      <c r="C1401" s="1185"/>
      <c r="D1401" s="1185"/>
      <c r="E1401" s="1185"/>
      <c r="F1401" s="1185"/>
      <c r="G1401" s="1186"/>
      <c r="H1401" s="1186"/>
      <c r="I1401" s="195"/>
      <c r="J1401" s="195"/>
      <c r="K1401" s="195"/>
      <c r="L1401" s="195"/>
      <c r="M1401" s="1185"/>
    </row>
    <row r="1402">
      <c r="A1402" s="1185"/>
      <c r="B1402" s="1185"/>
      <c r="C1402" s="1185"/>
      <c r="D1402" s="1185"/>
      <c r="E1402" s="1185"/>
      <c r="F1402" s="1185"/>
      <c r="G1402" s="1186"/>
      <c r="H1402" s="1186"/>
      <c r="I1402" s="195"/>
      <c r="J1402" s="195"/>
      <c r="K1402" s="195"/>
      <c r="L1402" s="195"/>
      <c r="M1402" s="1185"/>
    </row>
    <row r="1403">
      <c r="A1403" s="1185"/>
      <c r="B1403" s="1185"/>
      <c r="C1403" s="1185"/>
      <c r="D1403" s="1185"/>
      <c r="E1403" s="1185"/>
      <c r="F1403" s="1185"/>
      <c r="G1403" s="1186"/>
      <c r="H1403" s="1186"/>
      <c r="I1403" s="195"/>
      <c r="J1403" s="195"/>
      <c r="K1403" s="195"/>
      <c r="L1403" s="195"/>
      <c r="M1403" s="1185"/>
    </row>
    <row r="1404">
      <c r="A1404" s="1185"/>
      <c r="B1404" s="1185"/>
      <c r="C1404" s="1185"/>
      <c r="D1404" s="1185"/>
      <c r="E1404" s="1185"/>
      <c r="F1404" s="1185"/>
      <c r="G1404" s="1186"/>
      <c r="H1404" s="1186"/>
      <c r="I1404" s="195"/>
      <c r="J1404" s="195"/>
      <c r="K1404" s="195"/>
      <c r="L1404" s="195"/>
      <c r="M1404" s="1185"/>
    </row>
    <row r="1405">
      <c r="A1405" s="1185"/>
      <c r="B1405" s="1185"/>
      <c r="C1405" s="1185"/>
      <c r="D1405" s="1185"/>
      <c r="E1405" s="1185"/>
      <c r="F1405" s="1185"/>
      <c r="G1405" s="1186"/>
      <c r="H1405" s="1186"/>
      <c r="I1405" s="195"/>
      <c r="J1405" s="195"/>
      <c r="K1405" s="195"/>
      <c r="L1405" s="195"/>
      <c r="M1405" s="1185"/>
    </row>
    <row r="1406">
      <c r="A1406" s="1185"/>
      <c r="B1406" s="1185"/>
      <c r="C1406" s="1185"/>
      <c r="D1406" s="1185"/>
      <c r="E1406" s="1185"/>
      <c r="F1406" s="1185"/>
      <c r="G1406" s="1186"/>
      <c r="H1406" s="1186"/>
      <c r="I1406" s="195"/>
      <c r="J1406" s="195"/>
      <c r="K1406" s="195"/>
      <c r="L1406" s="195"/>
      <c r="M1406" s="1185"/>
    </row>
    <row r="1407">
      <c r="A1407" s="1185"/>
      <c r="B1407" s="1185"/>
      <c r="C1407" s="1185"/>
      <c r="D1407" s="1185"/>
      <c r="E1407" s="1185"/>
      <c r="F1407" s="1185"/>
      <c r="G1407" s="1186"/>
      <c r="H1407" s="1186"/>
      <c r="I1407" s="195"/>
      <c r="J1407" s="195"/>
      <c r="K1407" s="195"/>
      <c r="L1407" s="195"/>
      <c r="M1407" s="1185"/>
    </row>
    <row r="1408">
      <c r="A1408" s="1185"/>
      <c r="B1408" s="1185"/>
      <c r="C1408" s="1185"/>
      <c r="D1408" s="1185"/>
      <c r="E1408" s="1185"/>
      <c r="F1408" s="1185"/>
      <c r="G1408" s="1186"/>
      <c r="H1408" s="1186"/>
      <c r="I1408" s="195"/>
      <c r="J1408" s="195"/>
      <c r="K1408" s="195"/>
      <c r="L1408" s="195"/>
      <c r="M1408" s="1185"/>
    </row>
    <row r="1409">
      <c r="A1409" s="1185"/>
      <c r="B1409" s="1185"/>
      <c r="C1409" s="1185"/>
      <c r="D1409" s="1185"/>
      <c r="E1409" s="1185"/>
      <c r="F1409" s="1185"/>
      <c r="G1409" s="1186"/>
      <c r="H1409" s="1186"/>
      <c r="I1409" s="195"/>
      <c r="J1409" s="195"/>
      <c r="K1409" s="195"/>
      <c r="L1409" s="195"/>
      <c r="M1409" s="1185"/>
    </row>
    <row r="1410">
      <c r="A1410" s="1185"/>
      <c r="B1410" s="1185"/>
      <c r="C1410" s="1185"/>
      <c r="D1410" s="1185"/>
      <c r="E1410" s="1185"/>
      <c r="F1410" s="1185"/>
      <c r="G1410" s="1186"/>
      <c r="H1410" s="1186"/>
      <c r="I1410" s="195"/>
      <c r="J1410" s="195"/>
      <c r="K1410" s="195"/>
      <c r="L1410" s="195"/>
      <c r="M1410" s="1185"/>
    </row>
    <row r="1411">
      <c r="A1411" s="1185"/>
      <c r="B1411" s="1185"/>
      <c r="C1411" s="1185"/>
      <c r="D1411" s="1185"/>
      <c r="E1411" s="1185"/>
      <c r="F1411" s="1185"/>
      <c r="G1411" s="1186"/>
      <c r="H1411" s="1186"/>
      <c r="I1411" s="195"/>
      <c r="J1411" s="195"/>
      <c r="K1411" s="195"/>
      <c r="L1411" s="195"/>
      <c r="M1411" s="1185"/>
    </row>
    <row r="1412">
      <c r="A1412" s="1185"/>
      <c r="B1412" s="1185"/>
      <c r="C1412" s="1185"/>
      <c r="D1412" s="1185"/>
      <c r="E1412" s="1185"/>
      <c r="F1412" s="1185"/>
      <c r="G1412" s="1186"/>
      <c r="H1412" s="1186"/>
      <c r="I1412" s="195"/>
      <c r="J1412" s="195"/>
      <c r="K1412" s="195"/>
      <c r="L1412" s="195"/>
      <c r="M1412" s="1185"/>
    </row>
    <row r="1413">
      <c r="A1413" s="1185"/>
      <c r="B1413" s="1185"/>
      <c r="C1413" s="1185"/>
      <c r="D1413" s="1185"/>
      <c r="E1413" s="1185"/>
      <c r="F1413" s="1185"/>
      <c r="G1413" s="1186"/>
      <c r="H1413" s="1186"/>
      <c r="I1413" s="195"/>
      <c r="J1413" s="195"/>
      <c r="K1413" s="195"/>
      <c r="L1413" s="195"/>
      <c r="M1413" s="1185"/>
    </row>
    <row r="1414">
      <c r="A1414" s="1185"/>
      <c r="B1414" s="1185"/>
      <c r="C1414" s="1185"/>
      <c r="D1414" s="1185"/>
      <c r="E1414" s="1185"/>
      <c r="F1414" s="1185"/>
      <c r="G1414" s="1186"/>
      <c r="H1414" s="1186"/>
      <c r="I1414" s="195"/>
      <c r="J1414" s="195"/>
      <c r="K1414" s="195"/>
      <c r="L1414" s="195"/>
      <c r="M1414" s="1185"/>
    </row>
    <row r="1415">
      <c r="A1415" s="1185"/>
      <c r="B1415" s="1185"/>
      <c r="C1415" s="1185"/>
      <c r="D1415" s="1185"/>
      <c r="E1415" s="1185"/>
      <c r="F1415" s="1185"/>
      <c r="G1415" s="1186"/>
      <c r="H1415" s="1186"/>
      <c r="I1415" s="195"/>
      <c r="J1415" s="195"/>
      <c r="K1415" s="195"/>
      <c r="L1415" s="195"/>
      <c r="M1415" s="1185"/>
    </row>
    <row r="1416">
      <c r="A1416" s="1185"/>
      <c r="B1416" s="1185"/>
      <c r="C1416" s="1185"/>
      <c r="D1416" s="1185"/>
      <c r="E1416" s="1185"/>
      <c r="F1416" s="1185"/>
      <c r="G1416" s="1186"/>
      <c r="H1416" s="1186"/>
      <c r="I1416" s="195"/>
      <c r="J1416" s="195"/>
      <c r="K1416" s="195"/>
      <c r="L1416" s="195"/>
      <c r="M1416" s="1185"/>
    </row>
    <row r="1417">
      <c r="A1417" s="1185"/>
      <c r="B1417" s="1185"/>
      <c r="C1417" s="1185"/>
      <c r="D1417" s="1185"/>
      <c r="E1417" s="1185"/>
      <c r="F1417" s="1185"/>
      <c r="G1417" s="1186"/>
      <c r="H1417" s="1186"/>
      <c r="I1417" s="195"/>
      <c r="J1417" s="195"/>
      <c r="K1417" s="195"/>
      <c r="L1417" s="195"/>
      <c r="M1417" s="1185"/>
    </row>
    <row r="1418">
      <c r="A1418" s="1185"/>
      <c r="B1418" s="1185"/>
      <c r="C1418" s="1185"/>
      <c r="D1418" s="1185"/>
      <c r="E1418" s="1185"/>
      <c r="F1418" s="1185"/>
      <c r="G1418" s="1186"/>
      <c r="H1418" s="1186"/>
      <c r="I1418" s="195"/>
      <c r="J1418" s="195"/>
      <c r="K1418" s="195"/>
      <c r="L1418" s="195"/>
      <c r="M1418" s="1185"/>
    </row>
    <row r="1419">
      <c r="A1419" s="1185"/>
      <c r="B1419" s="1185"/>
      <c r="C1419" s="1185"/>
      <c r="D1419" s="1185"/>
      <c r="E1419" s="1185"/>
      <c r="F1419" s="1185"/>
      <c r="G1419" s="1186"/>
      <c r="H1419" s="1186"/>
      <c r="I1419" s="195"/>
      <c r="J1419" s="195"/>
      <c r="K1419" s="195"/>
      <c r="L1419" s="195"/>
      <c r="M1419" s="1185"/>
    </row>
    <row r="1420">
      <c r="A1420" s="1185"/>
      <c r="B1420" s="1185"/>
      <c r="C1420" s="1185"/>
      <c r="D1420" s="1185"/>
      <c r="E1420" s="1185"/>
      <c r="F1420" s="1185"/>
      <c r="G1420" s="1186"/>
      <c r="H1420" s="1186"/>
      <c r="I1420" s="195"/>
      <c r="J1420" s="195"/>
      <c r="K1420" s="195"/>
      <c r="L1420" s="195"/>
      <c r="M1420" s="1185"/>
    </row>
    <row r="1421">
      <c r="A1421" s="1185"/>
      <c r="B1421" s="1185"/>
      <c r="C1421" s="1185"/>
      <c r="D1421" s="1185"/>
      <c r="E1421" s="1185"/>
      <c r="F1421" s="1185"/>
      <c r="G1421" s="1186"/>
      <c r="H1421" s="1186"/>
      <c r="I1421" s="195"/>
      <c r="J1421" s="195"/>
      <c r="K1421" s="195"/>
      <c r="L1421" s="195"/>
      <c r="M1421" s="1185"/>
    </row>
    <row r="1422">
      <c r="A1422" s="1185"/>
      <c r="B1422" s="1185"/>
      <c r="C1422" s="1185"/>
      <c r="D1422" s="1185"/>
      <c r="E1422" s="1185"/>
      <c r="F1422" s="1185"/>
      <c r="G1422" s="1186"/>
      <c r="H1422" s="1186"/>
      <c r="I1422" s="195"/>
      <c r="J1422" s="195"/>
      <c r="K1422" s="195"/>
      <c r="L1422" s="195"/>
      <c r="M1422" s="1185"/>
    </row>
    <row r="1423">
      <c r="A1423" s="1185"/>
      <c r="B1423" s="1185"/>
      <c r="C1423" s="1185"/>
      <c r="D1423" s="1185"/>
      <c r="E1423" s="1185"/>
      <c r="F1423" s="1185"/>
      <c r="G1423" s="1186"/>
      <c r="H1423" s="1186"/>
      <c r="I1423" s="195"/>
      <c r="J1423" s="195"/>
      <c r="K1423" s="195"/>
      <c r="L1423" s="195"/>
      <c r="M1423" s="1185"/>
    </row>
    <row r="1424">
      <c r="A1424" s="1185"/>
      <c r="B1424" s="1185"/>
      <c r="C1424" s="1185"/>
      <c r="D1424" s="1185"/>
      <c r="E1424" s="1185"/>
      <c r="F1424" s="1185"/>
      <c r="G1424" s="1186"/>
      <c r="H1424" s="1186"/>
      <c r="I1424" s="195"/>
      <c r="J1424" s="195"/>
      <c r="K1424" s="195"/>
      <c r="L1424" s="195"/>
      <c r="M1424" s="1185"/>
    </row>
    <row r="1425">
      <c r="A1425" s="1185"/>
      <c r="B1425" s="1185"/>
      <c r="C1425" s="1185"/>
      <c r="D1425" s="1185"/>
      <c r="E1425" s="1185"/>
      <c r="F1425" s="1185"/>
      <c r="G1425" s="1186"/>
      <c r="H1425" s="1186"/>
      <c r="I1425" s="195"/>
      <c r="J1425" s="195"/>
      <c r="K1425" s="195"/>
      <c r="L1425" s="195"/>
      <c r="M1425" s="1185"/>
    </row>
    <row r="1426">
      <c r="A1426" s="1185"/>
      <c r="B1426" s="1185"/>
      <c r="C1426" s="1185"/>
      <c r="D1426" s="1185"/>
      <c r="E1426" s="1185"/>
      <c r="F1426" s="1185"/>
      <c r="G1426" s="1186"/>
      <c r="H1426" s="1186"/>
      <c r="I1426" s="195"/>
      <c r="J1426" s="195"/>
      <c r="K1426" s="195"/>
      <c r="L1426" s="195"/>
      <c r="M1426" s="1185"/>
    </row>
    <row r="1427">
      <c r="A1427" s="1185"/>
      <c r="B1427" s="1185"/>
      <c r="C1427" s="1185"/>
      <c r="D1427" s="1185"/>
      <c r="E1427" s="1185"/>
      <c r="F1427" s="1185"/>
      <c r="G1427" s="1186"/>
      <c r="H1427" s="1186"/>
      <c r="I1427" s="195"/>
      <c r="J1427" s="195"/>
      <c r="K1427" s="195"/>
      <c r="L1427" s="195"/>
      <c r="M1427" s="1185"/>
    </row>
    <row r="1428">
      <c r="A1428" s="1185"/>
      <c r="B1428" s="1185"/>
      <c r="C1428" s="1185"/>
      <c r="D1428" s="1185"/>
      <c r="E1428" s="1185"/>
      <c r="F1428" s="1185"/>
      <c r="G1428" s="1186"/>
      <c r="H1428" s="1186"/>
      <c r="I1428" s="195"/>
      <c r="J1428" s="195"/>
      <c r="K1428" s="195"/>
      <c r="L1428" s="195"/>
      <c r="M1428" s="1185"/>
    </row>
    <row r="1429">
      <c r="A1429" s="1185"/>
      <c r="B1429" s="1185"/>
      <c r="C1429" s="1185"/>
      <c r="D1429" s="1185"/>
      <c r="E1429" s="1185"/>
      <c r="F1429" s="1185"/>
      <c r="G1429" s="1186"/>
      <c r="H1429" s="1186"/>
      <c r="I1429" s="195"/>
      <c r="J1429" s="195"/>
      <c r="K1429" s="195"/>
      <c r="L1429" s="195"/>
      <c r="M1429" s="1185"/>
    </row>
    <row r="1430">
      <c r="A1430" s="1185"/>
      <c r="B1430" s="1185"/>
      <c r="C1430" s="1185"/>
      <c r="D1430" s="1185"/>
      <c r="E1430" s="1185"/>
      <c r="F1430" s="1185"/>
      <c r="G1430" s="1186"/>
      <c r="H1430" s="1186"/>
      <c r="I1430" s="195"/>
      <c r="J1430" s="195"/>
      <c r="K1430" s="195"/>
      <c r="L1430" s="195"/>
      <c r="M1430" s="1185"/>
    </row>
    <row r="1431">
      <c r="A1431" s="1185"/>
      <c r="B1431" s="1185"/>
      <c r="C1431" s="1185"/>
      <c r="D1431" s="1185"/>
      <c r="E1431" s="1185"/>
      <c r="F1431" s="1185"/>
      <c r="G1431" s="1186"/>
      <c r="H1431" s="1186"/>
      <c r="I1431" s="195"/>
      <c r="J1431" s="195"/>
      <c r="K1431" s="195"/>
      <c r="L1431" s="195"/>
      <c r="M1431" s="1185"/>
    </row>
    <row r="1432">
      <c r="A1432" s="1185"/>
      <c r="B1432" s="1185"/>
      <c r="C1432" s="1185"/>
      <c r="D1432" s="1185"/>
      <c r="E1432" s="1185"/>
      <c r="F1432" s="1185"/>
      <c r="G1432" s="1186"/>
      <c r="H1432" s="1186"/>
      <c r="I1432" s="195"/>
      <c r="J1432" s="195"/>
      <c r="K1432" s="195"/>
      <c r="L1432" s="195"/>
      <c r="M1432" s="1185"/>
    </row>
    <row r="1433">
      <c r="A1433" s="1185"/>
      <c r="B1433" s="1185"/>
      <c r="C1433" s="1185"/>
      <c r="D1433" s="1185"/>
      <c r="E1433" s="1185"/>
      <c r="F1433" s="1185"/>
      <c r="G1433" s="1186"/>
      <c r="H1433" s="1186"/>
      <c r="I1433" s="195"/>
      <c r="J1433" s="195"/>
      <c r="K1433" s="195"/>
      <c r="L1433" s="195"/>
      <c r="M1433" s="1185"/>
    </row>
    <row r="1434">
      <c r="A1434" s="1185"/>
      <c r="B1434" s="1185"/>
      <c r="C1434" s="1185"/>
      <c r="D1434" s="1185"/>
      <c r="E1434" s="1185"/>
      <c r="F1434" s="1185"/>
      <c r="G1434" s="1186"/>
      <c r="H1434" s="1186"/>
      <c r="I1434" s="195"/>
      <c r="J1434" s="195"/>
      <c r="K1434" s="195"/>
      <c r="L1434" s="195"/>
      <c r="M1434" s="1185"/>
    </row>
    <row r="1435">
      <c r="A1435" s="1185"/>
      <c r="B1435" s="1185"/>
      <c r="C1435" s="1185"/>
      <c r="D1435" s="1185"/>
      <c r="E1435" s="1185"/>
      <c r="F1435" s="1185"/>
      <c r="G1435" s="1186"/>
      <c r="H1435" s="1186"/>
      <c r="I1435" s="195"/>
      <c r="J1435" s="195"/>
      <c r="K1435" s="195"/>
      <c r="L1435" s="195"/>
      <c r="M1435" s="1185"/>
    </row>
    <row r="1436">
      <c r="A1436" s="1185"/>
      <c r="B1436" s="1185"/>
      <c r="C1436" s="1185"/>
      <c r="D1436" s="1185"/>
      <c r="E1436" s="1185"/>
      <c r="F1436" s="1185"/>
      <c r="G1436" s="1186"/>
      <c r="H1436" s="1186"/>
      <c r="I1436" s="195"/>
      <c r="J1436" s="195"/>
      <c r="K1436" s="195"/>
      <c r="L1436" s="195"/>
      <c r="M1436" s="1185"/>
    </row>
    <row r="1437">
      <c r="A1437" s="1185"/>
      <c r="B1437" s="1185"/>
      <c r="C1437" s="1185"/>
      <c r="D1437" s="1185"/>
      <c r="E1437" s="1185"/>
      <c r="F1437" s="1185"/>
      <c r="G1437" s="1186"/>
      <c r="H1437" s="1186"/>
      <c r="I1437" s="195"/>
      <c r="J1437" s="195"/>
      <c r="K1437" s="195"/>
      <c r="L1437" s="195"/>
      <c r="M1437" s="1185"/>
    </row>
    <row r="1438">
      <c r="A1438" s="1185"/>
      <c r="B1438" s="1185"/>
      <c r="C1438" s="1185"/>
      <c r="D1438" s="1185"/>
      <c r="E1438" s="1185"/>
      <c r="F1438" s="1185"/>
      <c r="G1438" s="1186"/>
      <c r="H1438" s="1186"/>
      <c r="I1438" s="195"/>
      <c r="J1438" s="195"/>
      <c r="K1438" s="195"/>
      <c r="L1438" s="195"/>
      <c r="M1438" s="1185"/>
    </row>
    <row r="1439">
      <c r="A1439" s="1185"/>
      <c r="B1439" s="1185"/>
      <c r="C1439" s="1185"/>
      <c r="D1439" s="1185"/>
      <c r="E1439" s="1185"/>
      <c r="F1439" s="1185"/>
      <c r="G1439" s="1186"/>
      <c r="H1439" s="1186"/>
      <c r="I1439" s="195"/>
      <c r="J1439" s="195"/>
      <c r="K1439" s="195"/>
      <c r="L1439" s="195"/>
      <c r="M1439" s="1185"/>
    </row>
    <row r="1440">
      <c r="A1440" s="1185"/>
      <c r="B1440" s="1185"/>
      <c r="C1440" s="1185"/>
      <c r="D1440" s="1185"/>
      <c r="E1440" s="1185"/>
      <c r="F1440" s="1185"/>
      <c r="G1440" s="1186"/>
      <c r="H1440" s="1186"/>
      <c r="I1440" s="195"/>
      <c r="J1440" s="195"/>
      <c r="K1440" s="195"/>
      <c r="L1440" s="195"/>
      <c r="M1440" s="1185"/>
    </row>
    <row r="1441">
      <c r="A1441" s="1185"/>
      <c r="B1441" s="1185"/>
      <c r="C1441" s="1185"/>
      <c r="D1441" s="1185"/>
      <c r="E1441" s="1185"/>
      <c r="F1441" s="1185"/>
      <c r="G1441" s="1186"/>
      <c r="H1441" s="1186"/>
      <c r="I1441" s="195"/>
      <c r="J1441" s="195"/>
      <c r="K1441" s="195"/>
      <c r="L1441" s="195"/>
      <c r="M1441" s="1185"/>
    </row>
    <row r="1442">
      <c r="A1442" s="1185"/>
      <c r="B1442" s="1185"/>
      <c r="C1442" s="1185"/>
      <c r="D1442" s="1185"/>
      <c r="E1442" s="1185"/>
      <c r="F1442" s="1185"/>
      <c r="G1442" s="1186"/>
      <c r="H1442" s="1186"/>
      <c r="I1442" s="195"/>
      <c r="J1442" s="195"/>
      <c r="K1442" s="195"/>
      <c r="L1442" s="195"/>
      <c r="M1442" s="1185"/>
    </row>
    <row r="1443">
      <c r="A1443" s="1185"/>
      <c r="B1443" s="1185"/>
      <c r="C1443" s="1185"/>
      <c r="D1443" s="1185"/>
      <c r="E1443" s="1185"/>
      <c r="F1443" s="1185"/>
      <c r="G1443" s="1186"/>
      <c r="H1443" s="1186"/>
      <c r="I1443" s="195"/>
      <c r="J1443" s="195"/>
      <c r="K1443" s="195"/>
      <c r="L1443" s="195"/>
      <c r="M1443" s="1185"/>
    </row>
    <row r="1444">
      <c r="A1444" s="1185"/>
      <c r="B1444" s="1185"/>
      <c r="C1444" s="1185"/>
      <c r="D1444" s="1185"/>
      <c r="E1444" s="1185"/>
      <c r="F1444" s="1185"/>
      <c r="G1444" s="1186"/>
      <c r="H1444" s="1186"/>
      <c r="I1444" s="195"/>
      <c r="J1444" s="195"/>
      <c r="K1444" s="195"/>
      <c r="L1444" s="195"/>
      <c r="M1444" s="1185"/>
    </row>
    <row r="1445">
      <c r="A1445" s="1185"/>
      <c r="B1445" s="1185"/>
      <c r="C1445" s="1185"/>
      <c r="D1445" s="1185"/>
      <c r="E1445" s="1185"/>
      <c r="F1445" s="1185"/>
      <c r="G1445" s="1186"/>
      <c r="H1445" s="1186"/>
      <c r="I1445" s="195"/>
      <c r="J1445" s="195"/>
      <c r="K1445" s="195"/>
      <c r="L1445" s="195"/>
      <c r="M1445" s="1185"/>
    </row>
    <row r="1446">
      <c r="A1446" s="1185"/>
      <c r="B1446" s="1185"/>
      <c r="C1446" s="1185"/>
      <c r="D1446" s="1185"/>
      <c r="E1446" s="1185"/>
      <c r="F1446" s="1185"/>
      <c r="G1446" s="1186"/>
      <c r="H1446" s="1186"/>
      <c r="I1446" s="195"/>
      <c r="J1446" s="195"/>
      <c r="K1446" s="195"/>
      <c r="L1446" s="195"/>
      <c r="M1446" s="1185"/>
    </row>
    <row r="1447">
      <c r="A1447" s="1185"/>
      <c r="B1447" s="1185"/>
      <c r="C1447" s="1185"/>
      <c r="D1447" s="1185"/>
      <c r="E1447" s="1185"/>
      <c r="F1447" s="1185"/>
      <c r="G1447" s="1186"/>
      <c r="H1447" s="1186"/>
      <c r="I1447" s="195"/>
      <c r="J1447" s="195"/>
      <c r="K1447" s="195"/>
      <c r="L1447" s="195"/>
      <c r="M1447" s="1185"/>
    </row>
    <row r="1448">
      <c r="A1448" s="1185"/>
      <c r="B1448" s="1185"/>
      <c r="C1448" s="1185"/>
      <c r="D1448" s="1185"/>
      <c r="E1448" s="1185"/>
      <c r="F1448" s="1185"/>
      <c r="G1448" s="1186"/>
      <c r="H1448" s="1186"/>
      <c r="I1448" s="195"/>
      <c r="J1448" s="195"/>
      <c r="K1448" s="195"/>
      <c r="L1448" s="195"/>
      <c r="M1448" s="1185"/>
    </row>
    <row r="1449">
      <c r="A1449" s="1185"/>
      <c r="B1449" s="1185"/>
      <c r="C1449" s="1185"/>
      <c r="D1449" s="1185"/>
      <c r="E1449" s="1185"/>
      <c r="F1449" s="1185"/>
      <c r="G1449" s="1186"/>
      <c r="H1449" s="1186"/>
      <c r="I1449" s="195"/>
      <c r="J1449" s="195"/>
      <c r="K1449" s="195"/>
      <c r="L1449" s="195"/>
      <c r="M1449" s="1185"/>
    </row>
    <row r="1450">
      <c r="A1450" s="1185"/>
      <c r="B1450" s="1185"/>
      <c r="C1450" s="1185"/>
      <c r="D1450" s="1185"/>
      <c r="E1450" s="1185"/>
      <c r="F1450" s="1185"/>
      <c r="G1450" s="1186"/>
      <c r="H1450" s="1186"/>
      <c r="I1450" s="195"/>
      <c r="J1450" s="195"/>
      <c r="K1450" s="195"/>
      <c r="L1450" s="195"/>
      <c r="M1450" s="1185"/>
    </row>
    <row r="1451">
      <c r="A1451" s="1185"/>
      <c r="B1451" s="1185"/>
      <c r="C1451" s="1185"/>
      <c r="D1451" s="1185"/>
      <c r="E1451" s="1185"/>
      <c r="F1451" s="1185"/>
      <c r="G1451" s="1186"/>
      <c r="H1451" s="1186"/>
      <c r="I1451" s="195"/>
      <c r="J1451" s="195"/>
      <c r="K1451" s="195"/>
      <c r="L1451" s="195"/>
      <c r="M1451" s="1185"/>
    </row>
    <row r="1452">
      <c r="A1452" s="1185"/>
      <c r="B1452" s="1185"/>
      <c r="C1452" s="1185"/>
      <c r="D1452" s="1185"/>
      <c r="E1452" s="1185"/>
      <c r="F1452" s="1185"/>
      <c r="G1452" s="1186"/>
      <c r="H1452" s="1186"/>
      <c r="I1452" s="195"/>
      <c r="J1452" s="195"/>
      <c r="K1452" s="195"/>
      <c r="L1452" s="195"/>
      <c r="M1452" s="1185"/>
    </row>
    <row r="1453">
      <c r="A1453" s="1185"/>
      <c r="B1453" s="1185"/>
      <c r="C1453" s="1185"/>
      <c r="D1453" s="1185"/>
      <c r="E1453" s="1185"/>
      <c r="F1453" s="1185"/>
      <c r="G1453" s="1186"/>
      <c r="H1453" s="1186"/>
      <c r="I1453" s="195"/>
      <c r="J1453" s="195"/>
      <c r="K1453" s="195"/>
      <c r="L1453" s="195"/>
      <c r="M1453" s="1185"/>
    </row>
    <row r="1454">
      <c r="A1454" s="1185"/>
      <c r="B1454" s="1185"/>
      <c r="C1454" s="1185"/>
      <c r="D1454" s="1185"/>
      <c r="E1454" s="1185"/>
      <c r="F1454" s="1185"/>
      <c r="G1454" s="1186"/>
      <c r="H1454" s="1186"/>
      <c r="I1454" s="195"/>
      <c r="J1454" s="195"/>
      <c r="K1454" s="195"/>
      <c r="L1454" s="195"/>
      <c r="M1454" s="1185"/>
    </row>
    <row r="1455">
      <c r="A1455" s="1185"/>
      <c r="B1455" s="1185"/>
      <c r="C1455" s="1185"/>
      <c r="D1455" s="1185"/>
      <c r="E1455" s="1185"/>
      <c r="F1455" s="1185"/>
      <c r="G1455" s="1186"/>
      <c r="H1455" s="1186"/>
      <c r="I1455" s="195"/>
      <c r="J1455" s="195"/>
      <c r="K1455" s="195"/>
      <c r="L1455" s="195"/>
      <c r="M1455" s="1185"/>
    </row>
    <row r="1456">
      <c r="A1456" s="1185"/>
      <c r="B1456" s="1185"/>
      <c r="C1456" s="1185"/>
      <c r="D1456" s="1185"/>
      <c r="E1456" s="1185"/>
      <c r="F1456" s="1185"/>
      <c r="G1456" s="1186"/>
      <c r="H1456" s="1186"/>
      <c r="I1456" s="195"/>
      <c r="J1456" s="195"/>
      <c r="K1456" s="195"/>
      <c r="L1456" s="195"/>
      <c r="M1456" s="1185"/>
    </row>
    <row r="1457">
      <c r="A1457" s="1185"/>
      <c r="B1457" s="1185"/>
      <c r="C1457" s="1185"/>
      <c r="D1457" s="1185"/>
      <c r="E1457" s="1185"/>
      <c r="F1457" s="1185"/>
      <c r="G1457" s="1186"/>
      <c r="H1457" s="1186"/>
      <c r="I1457" s="195"/>
      <c r="J1457" s="195"/>
      <c r="K1457" s="195"/>
      <c r="L1457" s="195"/>
      <c r="M1457" s="1185"/>
    </row>
    <row r="1458">
      <c r="A1458" s="1185"/>
      <c r="B1458" s="1185"/>
      <c r="C1458" s="1185"/>
      <c r="D1458" s="1185"/>
      <c r="E1458" s="1185"/>
      <c r="F1458" s="1185"/>
      <c r="G1458" s="1186"/>
      <c r="H1458" s="1186"/>
      <c r="I1458" s="195"/>
      <c r="J1458" s="195"/>
      <c r="K1458" s="195"/>
      <c r="L1458" s="195"/>
      <c r="M1458" s="1185"/>
    </row>
    <row r="1459">
      <c r="A1459" s="1185"/>
      <c r="B1459" s="1185"/>
      <c r="C1459" s="1185"/>
      <c r="D1459" s="1185"/>
      <c r="E1459" s="1185"/>
      <c r="F1459" s="1185"/>
      <c r="G1459" s="1186"/>
      <c r="H1459" s="1186"/>
      <c r="I1459" s="195"/>
      <c r="J1459" s="195"/>
      <c r="K1459" s="195"/>
      <c r="L1459" s="195"/>
      <c r="M1459" s="1185"/>
    </row>
    <row r="1460">
      <c r="A1460" s="1185"/>
      <c r="B1460" s="1185"/>
      <c r="C1460" s="1185"/>
      <c r="D1460" s="1185"/>
      <c r="E1460" s="1185"/>
      <c r="F1460" s="1185"/>
      <c r="G1460" s="1186"/>
      <c r="H1460" s="1186"/>
      <c r="I1460" s="195"/>
      <c r="J1460" s="195"/>
      <c r="K1460" s="195"/>
      <c r="L1460" s="195"/>
      <c r="M1460" s="1185"/>
    </row>
    <row r="1461">
      <c r="A1461" s="1185"/>
      <c r="B1461" s="1185"/>
      <c r="C1461" s="1185"/>
      <c r="D1461" s="1185"/>
      <c r="E1461" s="1185"/>
      <c r="F1461" s="1185"/>
      <c r="G1461" s="1186"/>
      <c r="H1461" s="1186"/>
      <c r="I1461" s="195"/>
      <c r="J1461" s="195"/>
      <c r="K1461" s="195"/>
      <c r="L1461" s="195"/>
      <c r="M1461" s="1185"/>
    </row>
    <row r="1462">
      <c r="A1462" s="1185"/>
      <c r="B1462" s="1185"/>
      <c r="C1462" s="1185"/>
      <c r="D1462" s="1185"/>
      <c r="E1462" s="1185"/>
      <c r="F1462" s="1185"/>
      <c r="G1462" s="1186"/>
      <c r="H1462" s="1186"/>
      <c r="I1462" s="195"/>
      <c r="J1462" s="195"/>
      <c r="K1462" s="195"/>
      <c r="L1462" s="195"/>
      <c r="M1462" s="1185"/>
    </row>
    <row r="1463">
      <c r="A1463" s="1185"/>
      <c r="B1463" s="1185"/>
      <c r="C1463" s="1185"/>
      <c r="D1463" s="1185"/>
      <c r="E1463" s="1185"/>
      <c r="F1463" s="1185"/>
      <c r="G1463" s="1186"/>
      <c r="H1463" s="1186"/>
      <c r="I1463" s="195"/>
      <c r="J1463" s="195"/>
      <c r="K1463" s="195"/>
      <c r="L1463" s="195"/>
      <c r="M1463" s="1185"/>
    </row>
    <row r="1464">
      <c r="A1464" s="1185"/>
      <c r="B1464" s="1185"/>
      <c r="C1464" s="1185"/>
      <c r="D1464" s="1185"/>
      <c r="E1464" s="1185"/>
      <c r="F1464" s="1185"/>
      <c r="G1464" s="1186"/>
      <c r="H1464" s="1186"/>
      <c r="I1464" s="195"/>
      <c r="J1464" s="195"/>
      <c r="K1464" s="195"/>
      <c r="L1464" s="195"/>
      <c r="M1464" s="1185"/>
    </row>
    <row r="1465">
      <c r="A1465" s="1185"/>
      <c r="B1465" s="1185"/>
      <c r="C1465" s="1185"/>
      <c r="D1465" s="1185"/>
      <c r="E1465" s="1185"/>
      <c r="F1465" s="1185"/>
      <c r="G1465" s="1186"/>
      <c r="H1465" s="1186"/>
      <c r="I1465" s="195"/>
      <c r="J1465" s="195"/>
      <c r="K1465" s="195"/>
      <c r="L1465" s="195"/>
      <c r="M1465" s="1185"/>
    </row>
    <row r="1466">
      <c r="A1466" s="1185"/>
      <c r="B1466" s="1185"/>
      <c r="C1466" s="1185"/>
      <c r="D1466" s="1185"/>
      <c r="E1466" s="1185"/>
      <c r="F1466" s="1185"/>
      <c r="G1466" s="1186"/>
      <c r="H1466" s="1186"/>
      <c r="I1466" s="195"/>
      <c r="J1466" s="195"/>
      <c r="K1466" s="195"/>
      <c r="L1466" s="195"/>
      <c r="M1466" s="1185"/>
    </row>
    <row r="1467">
      <c r="A1467" s="1185"/>
      <c r="B1467" s="1185"/>
      <c r="C1467" s="1185"/>
      <c r="D1467" s="1185"/>
      <c r="E1467" s="1185"/>
      <c r="F1467" s="1185"/>
      <c r="G1467" s="1186"/>
      <c r="H1467" s="1186"/>
      <c r="I1467" s="195"/>
      <c r="J1467" s="195"/>
      <c r="K1467" s="195"/>
      <c r="L1467" s="195"/>
      <c r="M1467" s="1185"/>
    </row>
    <row r="1468">
      <c r="A1468" s="1185"/>
      <c r="B1468" s="1185"/>
      <c r="C1468" s="1185"/>
      <c r="D1468" s="1185"/>
      <c r="E1468" s="1185"/>
      <c r="F1468" s="1185"/>
      <c r="G1468" s="1186"/>
      <c r="H1468" s="1186"/>
      <c r="I1468" s="195"/>
      <c r="J1468" s="195"/>
      <c r="K1468" s="195"/>
      <c r="L1468" s="195"/>
      <c r="M1468" s="1185"/>
    </row>
    <row r="1469">
      <c r="A1469" s="1185"/>
      <c r="B1469" s="1185"/>
      <c r="C1469" s="1185"/>
      <c r="D1469" s="1185"/>
      <c r="E1469" s="1185"/>
      <c r="F1469" s="1185"/>
      <c r="G1469" s="1186"/>
      <c r="H1469" s="1186"/>
      <c r="I1469" s="195"/>
      <c r="J1469" s="195"/>
      <c r="K1469" s="195"/>
      <c r="L1469" s="195"/>
      <c r="M1469" s="1185"/>
    </row>
    <row r="1470">
      <c r="A1470" s="1185"/>
      <c r="B1470" s="1185"/>
      <c r="C1470" s="1185"/>
      <c r="D1470" s="1185"/>
      <c r="E1470" s="1185"/>
      <c r="F1470" s="1185"/>
      <c r="G1470" s="1186"/>
      <c r="H1470" s="1186"/>
      <c r="I1470" s="195"/>
      <c r="J1470" s="195"/>
      <c r="K1470" s="195"/>
      <c r="L1470" s="195"/>
      <c r="M1470" s="1185"/>
    </row>
    <row r="1471">
      <c r="A1471" s="1185"/>
      <c r="B1471" s="1185"/>
      <c r="C1471" s="1185"/>
      <c r="D1471" s="1185"/>
      <c r="E1471" s="1185"/>
      <c r="F1471" s="1185"/>
      <c r="G1471" s="1186"/>
      <c r="H1471" s="1186"/>
      <c r="I1471" s="195"/>
      <c r="J1471" s="195"/>
      <c r="K1471" s="195"/>
      <c r="L1471" s="195"/>
      <c r="M1471" s="1185"/>
    </row>
    <row r="1472">
      <c r="A1472" s="1185"/>
      <c r="B1472" s="1185"/>
      <c r="C1472" s="1185"/>
      <c r="D1472" s="1185"/>
      <c r="E1472" s="1185"/>
      <c r="F1472" s="1185"/>
      <c r="G1472" s="1186"/>
      <c r="H1472" s="1186"/>
      <c r="I1472" s="195"/>
      <c r="J1472" s="195"/>
      <c r="K1472" s="195"/>
      <c r="L1472" s="195"/>
      <c r="M1472" s="1185"/>
    </row>
    <row r="1473">
      <c r="A1473" s="1185"/>
      <c r="B1473" s="1185"/>
      <c r="C1473" s="1185"/>
      <c r="D1473" s="1185"/>
      <c r="E1473" s="1185"/>
      <c r="F1473" s="1185"/>
      <c r="G1473" s="1186"/>
      <c r="H1473" s="1186"/>
      <c r="I1473" s="195"/>
      <c r="J1473" s="195"/>
      <c r="K1473" s="195"/>
      <c r="L1473" s="195"/>
      <c r="M1473" s="1185"/>
    </row>
    <row r="1474">
      <c r="A1474" s="1185"/>
      <c r="B1474" s="1185"/>
      <c r="C1474" s="1185"/>
      <c r="D1474" s="1185"/>
      <c r="E1474" s="1185"/>
      <c r="F1474" s="1185"/>
      <c r="G1474" s="1186"/>
      <c r="H1474" s="1186"/>
      <c r="I1474" s="195"/>
      <c r="J1474" s="195"/>
      <c r="K1474" s="195"/>
      <c r="L1474" s="195"/>
      <c r="M1474" s="1185"/>
    </row>
    <row r="1475">
      <c r="A1475" s="1185"/>
      <c r="B1475" s="1185"/>
      <c r="C1475" s="1185"/>
      <c r="D1475" s="1185"/>
      <c r="E1475" s="1185"/>
      <c r="F1475" s="1185"/>
      <c r="G1475" s="1186"/>
      <c r="H1475" s="1186"/>
      <c r="I1475" s="195"/>
      <c r="J1475" s="195"/>
      <c r="K1475" s="195"/>
      <c r="L1475" s="195"/>
      <c r="M1475" s="1185"/>
    </row>
    <row r="1476">
      <c r="A1476" s="1185"/>
      <c r="B1476" s="1185"/>
      <c r="C1476" s="1185"/>
      <c r="D1476" s="1185"/>
      <c r="E1476" s="1185"/>
      <c r="F1476" s="1185"/>
      <c r="G1476" s="1186"/>
      <c r="H1476" s="1186"/>
      <c r="I1476" s="195"/>
      <c r="J1476" s="195"/>
      <c r="K1476" s="195"/>
      <c r="L1476" s="195"/>
      <c r="M1476" s="1185"/>
    </row>
    <row r="1477">
      <c r="A1477" s="1185"/>
      <c r="B1477" s="1185"/>
      <c r="C1477" s="1185"/>
      <c r="D1477" s="1185"/>
      <c r="E1477" s="1185"/>
      <c r="F1477" s="1185"/>
      <c r="G1477" s="1186"/>
      <c r="H1477" s="1186"/>
      <c r="I1477" s="195"/>
      <c r="J1477" s="195"/>
      <c r="K1477" s="195"/>
      <c r="L1477" s="195"/>
      <c r="M1477" s="1185"/>
    </row>
    <row r="1478">
      <c r="A1478" s="1185"/>
      <c r="B1478" s="1185"/>
      <c r="C1478" s="1185"/>
      <c r="D1478" s="1185"/>
      <c r="E1478" s="1185"/>
      <c r="F1478" s="1185"/>
      <c r="G1478" s="1186"/>
      <c r="H1478" s="1186"/>
      <c r="I1478" s="195"/>
      <c r="J1478" s="195"/>
      <c r="K1478" s="195"/>
      <c r="L1478" s="195"/>
      <c r="M1478" s="1185"/>
    </row>
    <row r="1479">
      <c r="A1479" s="1185"/>
      <c r="B1479" s="1185"/>
      <c r="C1479" s="1185"/>
      <c r="D1479" s="1185"/>
      <c r="E1479" s="1185"/>
      <c r="F1479" s="1185"/>
      <c r="G1479" s="1186"/>
      <c r="H1479" s="1186"/>
      <c r="I1479" s="195"/>
      <c r="J1479" s="195"/>
      <c r="K1479" s="195"/>
      <c r="L1479" s="195"/>
      <c r="M1479" s="1185"/>
    </row>
    <row r="1480">
      <c r="A1480" s="1185"/>
      <c r="B1480" s="1185"/>
      <c r="C1480" s="1185"/>
      <c r="D1480" s="1185"/>
      <c r="E1480" s="1185"/>
      <c r="F1480" s="1185"/>
      <c r="G1480" s="1186"/>
      <c r="H1480" s="1186"/>
      <c r="I1480" s="195"/>
      <c r="J1480" s="195"/>
      <c r="K1480" s="195"/>
      <c r="L1480" s="195"/>
      <c r="M1480" s="1185"/>
    </row>
    <row r="1481">
      <c r="A1481" s="1185"/>
      <c r="B1481" s="1185"/>
      <c r="C1481" s="1185"/>
      <c r="D1481" s="1185"/>
      <c r="E1481" s="1185"/>
      <c r="F1481" s="1185"/>
      <c r="G1481" s="1186"/>
      <c r="H1481" s="1186"/>
      <c r="I1481" s="195"/>
      <c r="J1481" s="195"/>
      <c r="K1481" s="195"/>
      <c r="L1481" s="195"/>
      <c r="M1481" s="1185"/>
    </row>
    <row r="1482">
      <c r="A1482" s="1185"/>
      <c r="B1482" s="1185"/>
      <c r="C1482" s="1185"/>
      <c r="D1482" s="1185"/>
      <c r="E1482" s="1185"/>
      <c r="F1482" s="1185"/>
      <c r="G1482" s="1186"/>
      <c r="H1482" s="1186"/>
      <c r="I1482" s="195"/>
      <c r="J1482" s="195"/>
      <c r="K1482" s="195"/>
      <c r="L1482" s="195"/>
      <c r="M1482" s="1185"/>
    </row>
    <row r="1483">
      <c r="A1483" s="1185"/>
      <c r="B1483" s="1185"/>
      <c r="C1483" s="1185"/>
      <c r="D1483" s="1185"/>
      <c r="E1483" s="1185"/>
      <c r="F1483" s="1185"/>
      <c r="G1483" s="1186"/>
      <c r="H1483" s="1186"/>
      <c r="I1483" s="195"/>
      <c r="J1483" s="195"/>
      <c r="K1483" s="195"/>
      <c r="L1483" s="195"/>
      <c r="M1483" s="1185"/>
    </row>
    <row r="1484">
      <c r="A1484" s="1185"/>
      <c r="B1484" s="1185"/>
      <c r="C1484" s="1185"/>
      <c r="D1484" s="1185"/>
      <c r="E1484" s="1185"/>
      <c r="F1484" s="1185"/>
      <c r="G1484" s="1186"/>
      <c r="H1484" s="1186"/>
      <c r="I1484" s="195"/>
      <c r="J1484" s="195"/>
      <c r="K1484" s="195"/>
      <c r="L1484" s="195"/>
      <c r="M1484" s="1185"/>
    </row>
    <row r="1485">
      <c r="A1485" s="1185"/>
      <c r="B1485" s="1185"/>
      <c r="C1485" s="1185"/>
      <c r="D1485" s="1185"/>
      <c r="E1485" s="1185"/>
      <c r="F1485" s="1185"/>
      <c r="G1485" s="1186"/>
      <c r="H1485" s="1186"/>
      <c r="I1485" s="195"/>
      <c r="J1485" s="195"/>
      <c r="K1485" s="195"/>
      <c r="L1485" s="195"/>
      <c r="M1485" s="1185"/>
    </row>
    <row r="1486">
      <c r="A1486" s="1185"/>
      <c r="B1486" s="1185"/>
      <c r="C1486" s="1185"/>
      <c r="D1486" s="1185"/>
      <c r="E1486" s="1185"/>
      <c r="F1486" s="1185"/>
      <c r="G1486" s="1186"/>
      <c r="H1486" s="1186"/>
      <c r="I1486" s="195"/>
      <c r="J1486" s="195"/>
      <c r="K1486" s="195"/>
      <c r="L1486" s="195"/>
      <c r="M1486" s="1185"/>
    </row>
    <row r="1487">
      <c r="A1487" s="1185"/>
      <c r="B1487" s="1185"/>
      <c r="C1487" s="1185"/>
      <c r="D1487" s="1185"/>
      <c r="E1487" s="1185"/>
      <c r="F1487" s="1185"/>
      <c r="G1487" s="1186"/>
      <c r="H1487" s="1186"/>
      <c r="I1487" s="195"/>
      <c r="J1487" s="195"/>
      <c r="K1487" s="195"/>
      <c r="L1487" s="195"/>
      <c r="M1487" s="1185"/>
    </row>
    <row r="1488">
      <c r="A1488" s="1185"/>
      <c r="B1488" s="1185"/>
      <c r="C1488" s="1185"/>
      <c r="D1488" s="1185"/>
      <c r="E1488" s="1185"/>
      <c r="F1488" s="1185"/>
      <c r="G1488" s="1186"/>
      <c r="H1488" s="1186"/>
      <c r="I1488" s="195"/>
      <c r="J1488" s="195"/>
      <c r="K1488" s="195"/>
      <c r="L1488" s="195"/>
      <c r="M1488" s="1185"/>
    </row>
    <row r="1489">
      <c r="A1489" s="1185"/>
      <c r="B1489" s="1185"/>
      <c r="C1489" s="1185"/>
      <c r="D1489" s="1185"/>
      <c r="E1489" s="1185"/>
      <c r="F1489" s="1185"/>
      <c r="G1489" s="1186"/>
      <c r="H1489" s="1186"/>
      <c r="I1489" s="195"/>
      <c r="J1489" s="195"/>
      <c r="K1489" s="195"/>
      <c r="L1489" s="195"/>
      <c r="M1489" s="1185"/>
    </row>
    <row r="1490">
      <c r="A1490" s="1185"/>
      <c r="B1490" s="1185"/>
      <c r="C1490" s="1185"/>
      <c r="D1490" s="1185"/>
      <c r="E1490" s="1185"/>
      <c r="F1490" s="1185"/>
      <c r="G1490" s="1186"/>
      <c r="H1490" s="1186"/>
      <c r="I1490" s="195"/>
      <c r="J1490" s="195"/>
      <c r="K1490" s="195"/>
      <c r="L1490" s="195"/>
      <c r="M1490" s="1185"/>
    </row>
    <row r="1491">
      <c r="A1491" s="1185"/>
      <c r="B1491" s="1185"/>
      <c r="C1491" s="1185"/>
      <c r="D1491" s="1185"/>
      <c r="E1491" s="1185"/>
      <c r="F1491" s="1185"/>
      <c r="G1491" s="1186"/>
      <c r="H1491" s="1186"/>
      <c r="I1491" s="195"/>
      <c r="J1491" s="195"/>
      <c r="K1491" s="195"/>
      <c r="L1491" s="195"/>
      <c r="M1491" s="1185"/>
    </row>
    <row r="1492">
      <c r="A1492" s="1185"/>
      <c r="B1492" s="1185"/>
      <c r="C1492" s="1185"/>
      <c r="D1492" s="1185"/>
      <c r="E1492" s="1185"/>
      <c r="F1492" s="1185"/>
      <c r="G1492" s="1186"/>
      <c r="H1492" s="1186"/>
      <c r="I1492" s="195"/>
      <c r="J1492" s="195"/>
      <c r="K1492" s="195"/>
      <c r="L1492" s="195"/>
      <c r="M1492" s="1185"/>
    </row>
    <row r="1493">
      <c r="A1493" s="1185"/>
      <c r="B1493" s="1185"/>
      <c r="C1493" s="1185"/>
      <c r="D1493" s="1185"/>
      <c r="E1493" s="1185"/>
      <c r="F1493" s="1185"/>
      <c r="G1493" s="1186"/>
      <c r="H1493" s="1186"/>
      <c r="I1493" s="195"/>
      <c r="J1493" s="195"/>
      <c r="K1493" s="195"/>
      <c r="L1493" s="195"/>
      <c r="M1493" s="1185"/>
    </row>
    <row r="1494">
      <c r="A1494" s="1185"/>
      <c r="B1494" s="1185"/>
      <c r="C1494" s="1185"/>
      <c r="D1494" s="1185"/>
      <c r="E1494" s="1185"/>
      <c r="F1494" s="1185"/>
      <c r="G1494" s="1186"/>
      <c r="H1494" s="1186"/>
      <c r="I1494" s="195"/>
      <c r="J1494" s="195"/>
      <c r="K1494" s="195"/>
      <c r="L1494" s="195"/>
      <c r="M1494" s="1185"/>
    </row>
    <row r="1495">
      <c r="A1495" s="1185"/>
      <c r="B1495" s="1185"/>
      <c r="C1495" s="1185"/>
      <c r="D1495" s="1185"/>
      <c r="E1495" s="1185"/>
      <c r="F1495" s="1185"/>
      <c r="G1495" s="1186"/>
      <c r="H1495" s="1186"/>
      <c r="I1495" s="195"/>
      <c r="J1495" s="195"/>
      <c r="K1495" s="195"/>
      <c r="L1495" s="195"/>
      <c r="M1495" s="1185"/>
    </row>
    <row r="1496">
      <c r="A1496" s="1185"/>
      <c r="B1496" s="1185"/>
      <c r="C1496" s="1185"/>
      <c r="D1496" s="1185"/>
      <c r="E1496" s="1185"/>
      <c r="F1496" s="1185"/>
      <c r="G1496" s="1186"/>
      <c r="H1496" s="1186"/>
      <c r="I1496" s="195"/>
      <c r="J1496" s="195"/>
      <c r="K1496" s="195"/>
      <c r="L1496" s="195"/>
      <c r="M1496" s="1185"/>
    </row>
    <row r="1497">
      <c r="A1497" s="1185"/>
      <c r="B1497" s="1185"/>
      <c r="C1497" s="1185"/>
      <c r="D1497" s="1185"/>
      <c r="E1497" s="1185"/>
      <c r="F1497" s="1185"/>
      <c r="G1497" s="1186"/>
      <c r="H1497" s="1186"/>
      <c r="I1497" s="195"/>
      <c r="J1497" s="195"/>
      <c r="K1497" s="195"/>
      <c r="L1497" s="195"/>
      <c r="M1497" s="1185"/>
    </row>
    <row r="1498">
      <c r="A1498" s="1185"/>
      <c r="B1498" s="1185"/>
      <c r="C1498" s="1185"/>
      <c r="D1498" s="1185"/>
      <c r="E1498" s="1185"/>
      <c r="F1498" s="1185"/>
      <c r="G1498" s="1186"/>
      <c r="H1498" s="1186"/>
      <c r="I1498" s="195"/>
      <c r="J1498" s="195"/>
      <c r="K1498" s="195"/>
      <c r="L1498" s="195"/>
      <c r="M1498" s="1185"/>
    </row>
    <row r="1499">
      <c r="A1499" s="1185"/>
      <c r="B1499" s="1185"/>
      <c r="C1499" s="1185"/>
      <c r="D1499" s="1185"/>
      <c r="E1499" s="1185"/>
      <c r="F1499" s="1185"/>
      <c r="G1499" s="1186"/>
      <c r="H1499" s="1186"/>
      <c r="I1499" s="195"/>
      <c r="J1499" s="195"/>
      <c r="K1499" s="195"/>
      <c r="L1499" s="195"/>
      <c r="M1499" s="1185"/>
    </row>
    <row r="1500">
      <c r="A1500" s="1185"/>
      <c r="B1500" s="1185"/>
      <c r="C1500" s="1185"/>
      <c r="D1500" s="1185"/>
      <c r="E1500" s="1185"/>
      <c r="F1500" s="1185"/>
      <c r="G1500" s="1186"/>
      <c r="H1500" s="1186"/>
      <c r="I1500" s="195"/>
      <c r="J1500" s="195"/>
      <c r="K1500" s="195"/>
      <c r="L1500" s="195"/>
      <c r="M1500" s="1185"/>
    </row>
    <row r="1501">
      <c r="A1501" s="1185"/>
      <c r="B1501" s="1185"/>
      <c r="C1501" s="1185"/>
      <c r="D1501" s="1185"/>
      <c r="E1501" s="1185"/>
      <c r="F1501" s="1185"/>
      <c r="G1501" s="1186"/>
      <c r="H1501" s="1186"/>
      <c r="I1501" s="195"/>
      <c r="J1501" s="195"/>
      <c r="K1501" s="195"/>
      <c r="L1501" s="195"/>
      <c r="M1501" s="1185"/>
    </row>
    <row r="1502">
      <c r="A1502" s="1185"/>
      <c r="B1502" s="1185"/>
      <c r="C1502" s="1185"/>
      <c r="D1502" s="1185"/>
      <c r="E1502" s="1185"/>
      <c r="F1502" s="1185"/>
      <c r="G1502" s="1186"/>
      <c r="H1502" s="1186"/>
      <c r="I1502" s="195"/>
      <c r="J1502" s="195"/>
      <c r="K1502" s="195"/>
      <c r="L1502" s="195"/>
      <c r="M1502" s="1185"/>
    </row>
    <row r="1503">
      <c r="A1503" s="1185"/>
      <c r="B1503" s="1185"/>
      <c r="C1503" s="1185"/>
      <c r="D1503" s="1185"/>
      <c r="E1503" s="1185"/>
      <c r="F1503" s="1185"/>
      <c r="G1503" s="1186"/>
      <c r="H1503" s="1186"/>
      <c r="I1503" s="195"/>
      <c r="J1503" s="195"/>
      <c r="K1503" s="195"/>
      <c r="L1503" s="195"/>
      <c r="M1503" s="1185"/>
    </row>
    <row r="1504">
      <c r="A1504" s="1185"/>
      <c r="B1504" s="1185"/>
      <c r="C1504" s="1185"/>
      <c r="D1504" s="1185"/>
      <c r="E1504" s="1185"/>
      <c r="F1504" s="1185"/>
      <c r="G1504" s="1186"/>
      <c r="H1504" s="1186"/>
      <c r="I1504" s="195"/>
      <c r="J1504" s="195"/>
      <c r="K1504" s="195"/>
      <c r="L1504" s="195"/>
      <c r="M1504" s="1185"/>
    </row>
    <row r="1505">
      <c r="A1505" s="1185"/>
      <c r="B1505" s="1185"/>
      <c r="C1505" s="1185"/>
      <c r="D1505" s="1185"/>
      <c r="E1505" s="1185"/>
      <c r="F1505" s="1185"/>
      <c r="G1505" s="1186"/>
      <c r="H1505" s="1186"/>
      <c r="I1505" s="195"/>
      <c r="J1505" s="195"/>
      <c r="K1505" s="195"/>
      <c r="L1505" s="195"/>
      <c r="M1505" s="1185"/>
    </row>
    <row r="1506">
      <c r="A1506" s="1185"/>
      <c r="B1506" s="1185"/>
      <c r="C1506" s="1185"/>
      <c r="D1506" s="1185"/>
      <c r="E1506" s="1185"/>
      <c r="F1506" s="1185"/>
      <c r="G1506" s="1186"/>
      <c r="H1506" s="1186"/>
      <c r="I1506" s="195"/>
      <c r="J1506" s="195"/>
      <c r="K1506" s="195"/>
      <c r="L1506" s="195"/>
      <c r="M1506" s="1185"/>
    </row>
    <row r="1507">
      <c r="A1507" s="1185"/>
      <c r="B1507" s="1185"/>
      <c r="C1507" s="1185"/>
      <c r="D1507" s="1185"/>
      <c r="E1507" s="1185"/>
      <c r="F1507" s="1185"/>
      <c r="G1507" s="1186"/>
      <c r="H1507" s="1186"/>
      <c r="I1507" s="195"/>
      <c r="J1507" s="195"/>
      <c r="K1507" s="195"/>
      <c r="L1507" s="195"/>
      <c r="M1507" s="1185"/>
    </row>
    <row r="1508">
      <c r="A1508" s="1185"/>
      <c r="B1508" s="1185"/>
      <c r="C1508" s="1185"/>
      <c r="D1508" s="1185"/>
      <c r="E1508" s="1185"/>
      <c r="F1508" s="1185"/>
      <c r="G1508" s="1186"/>
      <c r="H1508" s="1186"/>
      <c r="I1508" s="195"/>
      <c r="J1508" s="195"/>
      <c r="K1508" s="195"/>
      <c r="L1508" s="195"/>
      <c r="M1508" s="1185"/>
    </row>
    <row r="1509">
      <c r="A1509" s="1185"/>
      <c r="B1509" s="1185"/>
      <c r="C1509" s="1185"/>
      <c r="D1509" s="1185"/>
      <c r="E1509" s="1185"/>
      <c r="F1509" s="1185"/>
      <c r="G1509" s="1186"/>
      <c r="H1509" s="1186"/>
      <c r="I1509" s="195"/>
      <c r="J1509" s="195"/>
      <c r="K1509" s="195"/>
      <c r="L1509" s="195"/>
      <c r="M1509" s="1185"/>
    </row>
    <row r="1510">
      <c r="A1510" s="1185"/>
      <c r="B1510" s="1185"/>
      <c r="C1510" s="1185"/>
      <c r="D1510" s="1185"/>
      <c r="E1510" s="1185"/>
      <c r="F1510" s="1185"/>
      <c r="G1510" s="1186"/>
      <c r="H1510" s="1186"/>
      <c r="I1510" s="195"/>
      <c r="J1510" s="195"/>
      <c r="K1510" s="195"/>
      <c r="L1510" s="195"/>
      <c r="M1510" s="1185"/>
    </row>
    <row r="1511">
      <c r="A1511" s="1185"/>
      <c r="B1511" s="1185"/>
      <c r="C1511" s="1185"/>
      <c r="D1511" s="1185"/>
      <c r="E1511" s="1185"/>
      <c r="F1511" s="1185"/>
      <c r="G1511" s="1186"/>
      <c r="H1511" s="1186"/>
      <c r="I1511" s="195"/>
      <c r="J1511" s="195"/>
      <c r="K1511" s="195"/>
      <c r="L1511" s="195"/>
      <c r="M1511" s="1185"/>
    </row>
    <row r="1512">
      <c r="A1512" s="1185"/>
      <c r="B1512" s="1185"/>
      <c r="C1512" s="1185"/>
      <c r="D1512" s="1185"/>
      <c r="E1512" s="1185"/>
      <c r="F1512" s="1185"/>
      <c r="G1512" s="1186"/>
      <c r="H1512" s="1186"/>
      <c r="I1512" s="195"/>
      <c r="J1512" s="195"/>
      <c r="K1512" s="195"/>
      <c r="L1512" s="195"/>
      <c r="M1512" s="1185"/>
    </row>
    <row r="1513">
      <c r="A1513" s="1185"/>
      <c r="B1513" s="1185"/>
      <c r="C1513" s="1185"/>
      <c r="D1513" s="1185"/>
      <c r="E1513" s="1185"/>
      <c r="F1513" s="1185"/>
      <c r="G1513" s="1186"/>
      <c r="H1513" s="1186"/>
      <c r="I1513" s="195"/>
      <c r="J1513" s="195"/>
      <c r="K1513" s="195"/>
      <c r="L1513" s="195"/>
      <c r="M1513" s="1185"/>
    </row>
    <row r="1514">
      <c r="A1514" s="1185"/>
      <c r="B1514" s="1185"/>
      <c r="C1514" s="1185"/>
      <c r="D1514" s="1185"/>
      <c r="E1514" s="1185"/>
      <c r="F1514" s="1185"/>
      <c r="G1514" s="1186"/>
      <c r="H1514" s="1186"/>
      <c r="I1514" s="195"/>
      <c r="J1514" s="195"/>
      <c r="K1514" s="195"/>
      <c r="L1514" s="195"/>
      <c r="M1514" s="1185"/>
    </row>
    <row r="1515">
      <c r="A1515" s="1185"/>
      <c r="B1515" s="1185"/>
      <c r="C1515" s="1185"/>
      <c r="D1515" s="1185"/>
      <c r="E1515" s="1185"/>
      <c r="F1515" s="1185"/>
      <c r="G1515" s="1186"/>
      <c r="H1515" s="1186"/>
      <c r="I1515" s="195"/>
      <c r="J1515" s="195"/>
      <c r="K1515" s="195"/>
      <c r="L1515" s="195"/>
      <c r="M1515" s="1185"/>
    </row>
    <row r="1516">
      <c r="A1516" s="1185"/>
      <c r="B1516" s="1185"/>
      <c r="C1516" s="1185"/>
      <c r="D1516" s="1185"/>
      <c r="E1516" s="1185"/>
      <c r="F1516" s="1185"/>
      <c r="G1516" s="1186"/>
      <c r="H1516" s="1186"/>
      <c r="I1516" s="195"/>
      <c r="J1516" s="195"/>
      <c r="K1516" s="195"/>
      <c r="L1516" s="195"/>
      <c r="M1516" s="1185"/>
    </row>
    <row r="1517">
      <c r="A1517" s="1185"/>
      <c r="B1517" s="1185"/>
      <c r="C1517" s="1185"/>
      <c r="D1517" s="1185"/>
      <c r="E1517" s="1185"/>
      <c r="F1517" s="1185"/>
      <c r="G1517" s="1186"/>
      <c r="H1517" s="1186"/>
      <c r="I1517" s="195"/>
      <c r="J1517" s="195"/>
      <c r="K1517" s="195"/>
      <c r="L1517" s="195"/>
      <c r="M1517" s="1185"/>
    </row>
    <row r="1518">
      <c r="A1518" s="1185"/>
      <c r="B1518" s="1185"/>
      <c r="C1518" s="1185"/>
      <c r="D1518" s="1185"/>
      <c r="E1518" s="1185"/>
      <c r="F1518" s="1185"/>
      <c r="G1518" s="1186"/>
      <c r="H1518" s="1186"/>
      <c r="I1518" s="195"/>
      <c r="J1518" s="195"/>
      <c r="K1518" s="195"/>
      <c r="L1518" s="195"/>
      <c r="M1518" s="1185"/>
    </row>
    <row r="1519">
      <c r="A1519" s="1185"/>
      <c r="B1519" s="1185"/>
      <c r="C1519" s="1185"/>
      <c r="D1519" s="1185"/>
      <c r="E1519" s="1185"/>
      <c r="F1519" s="1185"/>
      <c r="G1519" s="1186"/>
      <c r="H1519" s="1186"/>
      <c r="I1519" s="195"/>
      <c r="J1519" s="195"/>
      <c r="K1519" s="195"/>
      <c r="L1519" s="195"/>
      <c r="M1519" s="1185"/>
    </row>
    <row r="1520">
      <c r="A1520" s="1185"/>
      <c r="B1520" s="1185"/>
      <c r="C1520" s="1185"/>
      <c r="D1520" s="1185"/>
      <c r="E1520" s="1185"/>
      <c r="F1520" s="1185"/>
      <c r="G1520" s="1186"/>
      <c r="H1520" s="1186"/>
      <c r="I1520" s="195"/>
      <c r="J1520" s="195"/>
      <c r="K1520" s="195"/>
      <c r="L1520" s="195"/>
      <c r="M1520" s="1185"/>
    </row>
    <row r="1521">
      <c r="A1521" s="1185"/>
      <c r="B1521" s="1185"/>
      <c r="C1521" s="1185"/>
      <c r="D1521" s="1185"/>
      <c r="E1521" s="1185"/>
      <c r="F1521" s="1185"/>
      <c r="G1521" s="1186"/>
      <c r="H1521" s="1186"/>
      <c r="I1521" s="195"/>
      <c r="J1521" s="195"/>
      <c r="K1521" s="195"/>
      <c r="L1521" s="195"/>
      <c r="M1521" s="1185"/>
    </row>
    <row r="1522">
      <c r="A1522" s="1185"/>
      <c r="B1522" s="1185"/>
      <c r="C1522" s="1185"/>
      <c r="D1522" s="1185"/>
      <c r="E1522" s="1185"/>
      <c r="F1522" s="1185"/>
      <c r="G1522" s="1186"/>
      <c r="H1522" s="1186"/>
      <c r="I1522" s="195"/>
      <c r="J1522" s="195"/>
      <c r="K1522" s="195"/>
      <c r="L1522" s="195"/>
      <c r="M1522" s="1185"/>
    </row>
    <row r="1523">
      <c r="A1523" s="1185"/>
      <c r="B1523" s="1185"/>
      <c r="C1523" s="1185"/>
      <c r="D1523" s="1185"/>
      <c r="E1523" s="1185"/>
      <c r="F1523" s="1185"/>
      <c r="G1523" s="1186"/>
      <c r="H1523" s="1186"/>
      <c r="I1523" s="195"/>
      <c r="J1523" s="195"/>
      <c r="K1523" s="195"/>
      <c r="L1523" s="195"/>
      <c r="M1523" s="1185"/>
    </row>
    <row r="1524">
      <c r="A1524" s="1185"/>
      <c r="B1524" s="1185"/>
      <c r="C1524" s="1185"/>
      <c r="D1524" s="1185"/>
      <c r="E1524" s="1185"/>
      <c r="F1524" s="1185"/>
      <c r="G1524" s="1186"/>
      <c r="H1524" s="1186"/>
      <c r="I1524" s="195"/>
      <c r="J1524" s="195"/>
      <c r="K1524" s="195"/>
      <c r="L1524" s="195"/>
      <c r="M1524" s="1185"/>
    </row>
    <row r="1525">
      <c r="A1525" s="1185"/>
      <c r="B1525" s="1185"/>
      <c r="C1525" s="1185"/>
      <c r="D1525" s="1185"/>
      <c r="E1525" s="1185"/>
      <c r="F1525" s="1185"/>
      <c r="G1525" s="1186"/>
      <c r="H1525" s="1186"/>
      <c r="I1525" s="195"/>
      <c r="J1525" s="195"/>
      <c r="K1525" s="195"/>
      <c r="L1525" s="195"/>
      <c r="M1525" s="1185"/>
    </row>
    <row r="1526">
      <c r="A1526" s="1185"/>
      <c r="B1526" s="1185"/>
      <c r="C1526" s="1185"/>
      <c r="D1526" s="1185"/>
      <c r="E1526" s="1185"/>
      <c r="F1526" s="1185"/>
      <c r="G1526" s="1186"/>
      <c r="H1526" s="1186"/>
      <c r="I1526" s="195"/>
      <c r="J1526" s="195"/>
      <c r="K1526" s="195"/>
      <c r="L1526" s="195"/>
      <c r="M1526" s="1185"/>
    </row>
    <row r="1527">
      <c r="A1527" s="1185"/>
      <c r="B1527" s="1185"/>
      <c r="C1527" s="1185"/>
      <c r="D1527" s="1185"/>
      <c r="E1527" s="1185"/>
      <c r="F1527" s="1185"/>
      <c r="G1527" s="1186"/>
      <c r="H1527" s="1186"/>
      <c r="I1527" s="195"/>
      <c r="J1527" s="195"/>
      <c r="K1527" s="195"/>
      <c r="L1527" s="195"/>
      <c r="M1527" s="1185"/>
    </row>
    <row r="1528">
      <c r="A1528" s="1185"/>
      <c r="B1528" s="1185"/>
      <c r="C1528" s="1185"/>
      <c r="D1528" s="1185"/>
      <c r="E1528" s="1185"/>
      <c r="F1528" s="1185"/>
      <c r="G1528" s="1186"/>
      <c r="H1528" s="1186"/>
      <c r="I1528" s="195"/>
      <c r="J1528" s="195"/>
      <c r="K1528" s="195"/>
      <c r="L1528" s="195"/>
      <c r="M1528" s="1185"/>
    </row>
    <row r="1529">
      <c r="A1529" s="1185"/>
      <c r="B1529" s="1185"/>
      <c r="C1529" s="1185"/>
      <c r="D1529" s="1185"/>
      <c r="E1529" s="1185"/>
      <c r="F1529" s="1185"/>
      <c r="G1529" s="1186"/>
      <c r="H1529" s="1186"/>
      <c r="I1529" s="195"/>
      <c r="J1529" s="195"/>
      <c r="K1529" s="195"/>
      <c r="L1529" s="195"/>
      <c r="M1529" s="1185"/>
    </row>
    <row r="1530">
      <c r="A1530" s="1185"/>
      <c r="B1530" s="1185"/>
      <c r="C1530" s="1185"/>
      <c r="D1530" s="1185"/>
      <c r="E1530" s="1185"/>
      <c r="F1530" s="1185"/>
      <c r="G1530" s="1186"/>
      <c r="H1530" s="1186"/>
      <c r="I1530" s="195"/>
      <c r="J1530" s="195"/>
      <c r="K1530" s="195"/>
      <c r="L1530" s="195"/>
      <c r="M1530" s="1185"/>
    </row>
    <row r="1531">
      <c r="A1531" s="1185"/>
      <c r="B1531" s="1185"/>
      <c r="C1531" s="1185"/>
      <c r="D1531" s="1185"/>
      <c r="E1531" s="1185"/>
      <c r="F1531" s="1185"/>
      <c r="G1531" s="1186"/>
      <c r="H1531" s="1186"/>
      <c r="I1531" s="195"/>
      <c r="J1531" s="195"/>
      <c r="K1531" s="195"/>
      <c r="L1531" s="195"/>
      <c r="M1531" s="1185"/>
    </row>
    <row r="1532">
      <c r="A1532" s="1185"/>
      <c r="B1532" s="1185"/>
      <c r="C1532" s="1185"/>
      <c r="D1532" s="1185"/>
      <c r="E1532" s="1185"/>
      <c r="F1532" s="1185"/>
      <c r="G1532" s="1186"/>
      <c r="H1532" s="1186"/>
      <c r="I1532" s="195"/>
      <c r="J1532" s="195"/>
      <c r="K1532" s="195"/>
      <c r="L1532" s="195"/>
      <c r="M1532" s="1185"/>
    </row>
    <row r="1533">
      <c r="A1533" s="1185"/>
      <c r="B1533" s="1185"/>
      <c r="C1533" s="1185"/>
      <c r="D1533" s="1185"/>
      <c r="E1533" s="1185"/>
      <c r="F1533" s="1185"/>
      <c r="G1533" s="1186"/>
      <c r="H1533" s="1186"/>
      <c r="I1533" s="195"/>
      <c r="J1533" s="195"/>
      <c r="K1533" s="195"/>
      <c r="L1533" s="195"/>
      <c r="M1533" s="1185"/>
    </row>
    <row r="1534">
      <c r="A1534" s="1185"/>
      <c r="B1534" s="1185"/>
      <c r="C1534" s="1185"/>
      <c r="D1534" s="1185"/>
      <c r="E1534" s="1185"/>
      <c r="F1534" s="1185"/>
      <c r="G1534" s="1186"/>
      <c r="H1534" s="1186"/>
      <c r="I1534" s="195"/>
      <c r="J1534" s="195"/>
      <c r="K1534" s="195"/>
      <c r="L1534" s="195"/>
      <c r="M1534" s="1185"/>
    </row>
    <row r="1535">
      <c r="A1535" s="1185"/>
      <c r="B1535" s="1185"/>
      <c r="C1535" s="1185"/>
      <c r="D1535" s="1185"/>
      <c r="E1535" s="1185"/>
      <c r="F1535" s="1185"/>
      <c r="G1535" s="1186"/>
      <c r="H1535" s="1186"/>
      <c r="I1535" s="195"/>
      <c r="J1535" s="195"/>
      <c r="K1535" s="195"/>
      <c r="L1535" s="195"/>
      <c r="M1535" s="1185"/>
    </row>
    <row r="1536">
      <c r="A1536" s="1185"/>
      <c r="B1536" s="1185"/>
      <c r="C1536" s="1185"/>
      <c r="D1536" s="1185"/>
      <c r="E1536" s="1185"/>
      <c r="F1536" s="1185"/>
      <c r="G1536" s="1186"/>
      <c r="H1536" s="1186"/>
      <c r="I1536" s="195"/>
      <c r="J1536" s="195"/>
      <c r="K1536" s="195"/>
      <c r="L1536" s="195"/>
      <c r="M1536" s="1185"/>
    </row>
    <row r="1537">
      <c r="A1537" s="1185"/>
      <c r="B1537" s="1185"/>
      <c r="C1537" s="1185"/>
      <c r="D1537" s="1185"/>
      <c r="E1537" s="1185"/>
      <c r="F1537" s="1185"/>
      <c r="G1537" s="1186"/>
      <c r="H1537" s="1186"/>
      <c r="I1537" s="195"/>
      <c r="J1537" s="195"/>
      <c r="K1537" s="195"/>
      <c r="L1537" s="195"/>
      <c r="M1537" s="1185"/>
    </row>
    <row r="1538">
      <c r="A1538" s="1185"/>
      <c r="B1538" s="1185"/>
      <c r="C1538" s="1185"/>
      <c r="D1538" s="1185"/>
      <c r="E1538" s="1185"/>
      <c r="F1538" s="1185"/>
      <c r="G1538" s="1186"/>
      <c r="H1538" s="1186"/>
      <c r="I1538" s="195"/>
      <c r="J1538" s="195"/>
      <c r="K1538" s="195"/>
      <c r="L1538" s="195"/>
      <c r="M1538" s="1185"/>
    </row>
    <row r="1539">
      <c r="A1539" s="1185"/>
      <c r="B1539" s="1185"/>
      <c r="C1539" s="1185"/>
      <c r="D1539" s="1185"/>
      <c r="E1539" s="1185"/>
      <c r="F1539" s="1185"/>
      <c r="G1539" s="1186"/>
      <c r="H1539" s="1186"/>
      <c r="I1539" s="195"/>
      <c r="J1539" s="195"/>
      <c r="K1539" s="195"/>
      <c r="L1539" s="195"/>
      <c r="M1539" s="1185"/>
    </row>
    <row r="1540">
      <c r="A1540" s="1185"/>
      <c r="B1540" s="1185"/>
      <c r="C1540" s="1185"/>
      <c r="D1540" s="1185"/>
      <c r="E1540" s="1185"/>
      <c r="F1540" s="1185"/>
      <c r="G1540" s="1186"/>
      <c r="H1540" s="1186"/>
      <c r="I1540" s="195"/>
      <c r="J1540" s="195"/>
      <c r="K1540" s="195"/>
      <c r="L1540" s="195"/>
      <c r="M1540" s="1185"/>
    </row>
    <row r="1541">
      <c r="A1541" s="1185"/>
      <c r="B1541" s="1185"/>
      <c r="C1541" s="1185"/>
      <c r="D1541" s="1185"/>
      <c r="E1541" s="1185"/>
      <c r="F1541" s="1185"/>
      <c r="G1541" s="1186"/>
      <c r="H1541" s="1186"/>
      <c r="I1541" s="195"/>
      <c r="J1541" s="195"/>
      <c r="K1541" s="195"/>
      <c r="L1541" s="195"/>
      <c r="M1541" s="1185"/>
    </row>
    <row r="1542">
      <c r="A1542" s="1185"/>
      <c r="B1542" s="1185"/>
      <c r="C1542" s="1185"/>
      <c r="D1542" s="1185"/>
      <c r="E1542" s="1185"/>
      <c r="F1542" s="1185"/>
      <c r="G1542" s="1186"/>
      <c r="H1542" s="1186"/>
      <c r="I1542" s="195"/>
      <c r="J1542" s="195"/>
      <c r="K1542" s="195"/>
      <c r="L1542" s="195"/>
      <c r="M1542" s="1185"/>
    </row>
    <row r="1543">
      <c r="A1543" s="1185"/>
      <c r="B1543" s="1185"/>
      <c r="C1543" s="1185"/>
      <c r="D1543" s="1185"/>
      <c r="E1543" s="1185"/>
      <c r="F1543" s="1185"/>
      <c r="G1543" s="1186"/>
      <c r="H1543" s="1186"/>
      <c r="I1543" s="195"/>
      <c r="J1543" s="195"/>
      <c r="K1543" s="195"/>
      <c r="L1543" s="195"/>
      <c r="M1543" s="1185"/>
    </row>
    <row r="1544">
      <c r="A1544" s="1185"/>
      <c r="B1544" s="1185"/>
      <c r="C1544" s="1185"/>
      <c r="D1544" s="1185"/>
      <c r="E1544" s="1185"/>
      <c r="F1544" s="1185"/>
      <c r="G1544" s="1186"/>
      <c r="H1544" s="1186"/>
      <c r="I1544" s="195"/>
      <c r="J1544" s="195"/>
      <c r="K1544" s="195"/>
      <c r="L1544" s="195"/>
      <c r="M1544" s="1185"/>
    </row>
    <row r="1545">
      <c r="A1545" s="1185"/>
      <c r="B1545" s="1185"/>
      <c r="C1545" s="1185"/>
      <c r="D1545" s="1185"/>
      <c r="E1545" s="1185"/>
      <c r="F1545" s="1185"/>
      <c r="G1545" s="1186"/>
      <c r="H1545" s="1186"/>
      <c r="I1545" s="195"/>
      <c r="J1545" s="195"/>
      <c r="K1545" s="195"/>
      <c r="L1545" s="195"/>
      <c r="M1545" s="1185"/>
    </row>
    <row r="1546">
      <c r="A1546" s="1185"/>
      <c r="B1546" s="1185"/>
      <c r="C1546" s="1185"/>
      <c r="D1546" s="1185"/>
      <c r="E1546" s="1185"/>
      <c r="F1546" s="1185"/>
      <c r="G1546" s="1186"/>
      <c r="H1546" s="1186"/>
      <c r="I1546" s="195"/>
      <c r="J1546" s="195"/>
      <c r="K1546" s="195"/>
      <c r="L1546" s="195"/>
      <c r="M1546" s="1185"/>
    </row>
    <row r="1547">
      <c r="A1547" s="1185"/>
      <c r="B1547" s="1185"/>
      <c r="C1547" s="1185"/>
      <c r="D1547" s="1185"/>
      <c r="E1547" s="1185"/>
      <c r="F1547" s="1185"/>
      <c r="G1547" s="1186"/>
      <c r="H1547" s="1186"/>
      <c r="I1547" s="195"/>
      <c r="J1547" s="195"/>
      <c r="K1547" s="195"/>
      <c r="L1547" s="195"/>
      <c r="M1547" s="1185"/>
    </row>
    <row r="1548">
      <c r="A1548" s="1185"/>
      <c r="B1548" s="1185"/>
      <c r="C1548" s="1185"/>
      <c r="D1548" s="1185"/>
      <c r="E1548" s="1185"/>
      <c r="F1548" s="1185"/>
      <c r="G1548" s="1186"/>
      <c r="H1548" s="1186"/>
      <c r="I1548" s="195"/>
      <c r="J1548" s="195"/>
      <c r="K1548" s="195"/>
      <c r="L1548" s="195"/>
      <c r="M1548" s="1185"/>
    </row>
    <row r="1549">
      <c r="A1549" s="1185"/>
      <c r="B1549" s="1185"/>
      <c r="C1549" s="1185"/>
      <c r="D1549" s="1185"/>
      <c r="E1549" s="1185"/>
      <c r="F1549" s="1185"/>
      <c r="G1549" s="1186"/>
      <c r="H1549" s="1186"/>
      <c r="I1549" s="195"/>
      <c r="J1549" s="195"/>
      <c r="K1549" s="195"/>
      <c r="L1549" s="195"/>
      <c r="M1549" s="1185"/>
    </row>
    <row r="1550">
      <c r="A1550" s="1185"/>
      <c r="B1550" s="1185"/>
      <c r="C1550" s="1185"/>
      <c r="D1550" s="1185"/>
      <c r="E1550" s="1185"/>
      <c r="F1550" s="1185"/>
      <c r="G1550" s="1186"/>
      <c r="H1550" s="1186"/>
      <c r="I1550" s="195"/>
      <c r="J1550" s="195"/>
      <c r="K1550" s="195"/>
      <c r="L1550" s="195"/>
      <c r="M1550" s="1185"/>
    </row>
    <row r="1551">
      <c r="A1551" s="1185"/>
      <c r="B1551" s="1185"/>
      <c r="C1551" s="1185"/>
      <c r="D1551" s="1185"/>
      <c r="E1551" s="1185"/>
      <c r="F1551" s="1185"/>
      <c r="G1551" s="1186"/>
      <c r="H1551" s="1186"/>
      <c r="I1551" s="195"/>
      <c r="J1551" s="195"/>
      <c r="K1551" s="195"/>
      <c r="L1551" s="195"/>
      <c r="M1551" s="1185"/>
    </row>
    <row r="1552">
      <c r="A1552" s="1185"/>
      <c r="B1552" s="1185"/>
      <c r="C1552" s="1185"/>
      <c r="D1552" s="1185"/>
      <c r="E1552" s="1185"/>
      <c r="F1552" s="1185"/>
      <c r="G1552" s="1186"/>
      <c r="H1552" s="1186"/>
      <c r="I1552" s="195"/>
      <c r="J1552" s="195"/>
      <c r="K1552" s="195"/>
      <c r="L1552" s="195"/>
      <c r="M1552" s="1185"/>
    </row>
    <row r="1553">
      <c r="A1553" s="1185"/>
      <c r="B1553" s="1185"/>
      <c r="C1553" s="1185"/>
      <c r="D1553" s="1185"/>
      <c r="E1553" s="1185"/>
      <c r="F1553" s="1185"/>
      <c r="G1553" s="1186"/>
      <c r="H1553" s="1186"/>
      <c r="I1553" s="195"/>
      <c r="J1553" s="195"/>
      <c r="K1553" s="195"/>
      <c r="L1553" s="195"/>
      <c r="M1553" s="1185"/>
    </row>
    <row r="1554">
      <c r="A1554" s="1185"/>
      <c r="B1554" s="1185"/>
      <c r="C1554" s="1185"/>
      <c r="D1554" s="1185"/>
      <c r="E1554" s="1185"/>
      <c r="F1554" s="1185"/>
      <c r="G1554" s="1186"/>
      <c r="H1554" s="1186"/>
      <c r="I1554" s="195"/>
      <c r="J1554" s="195"/>
      <c r="K1554" s="195"/>
      <c r="L1554" s="195"/>
      <c r="M1554" s="1185"/>
    </row>
    <row r="1555">
      <c r="A1555" s="1185"/>
      <c r="B1555" s="1185"/>
      <c r="C1555" s="1185"/>
      <c r="D1555" s="1185"/>
      <c r="E1555" s="1185"/>
      <c r="F1555" s="1185"/>
      <c r="G1555" s="1186"/>
      <c r="H1555" s="1186"/>
      <c r="I1555" s="195"/>
      <c r="J1555" s="195"/>
      <c r="K1555" s="195"/>
      <c r="L1555" s="195"/>
      <c r="M1555" s="1185"/>
    </row>
    <row r="1556">
      <c r="A1556" s="1185"/>
      <c r="B1556" s="1185"/>
      <c r="C1556" s="1185"/>
      <c r="D1556" s="1185"/>
      <c r="E1556" s="1185"/>
      <c r="F1556" s="1185"/>
      <c r="G1556" s="1186"/>
      <c r="H1556" s="1186"/>
      <c r="I1556" s="195"/>
      <c r="J1556" s="195"/>
      <c r="K1556" s="195"/>
      <c r="L1556" s="195"/>
      <c r="M1556" s="1185"/>
    </row>
    <row r="1557">
      <c r="A1557" s="1185"/>
      <c r="B1557" s="1185"/>
      <c r="C1557" s="1185"/>
      <c r="D1557" s="1185"/>
      <c r="E1557" s="1185"/>
      <c r="F1557" s="1185"/>
      <c r="G1557" s="1186"/>
      <c r="H1557" s="1186"/>
      <c r="I1557" s="195"/>
      <c r="J1557" s="195"/>
      <c r="K1557" s="195"/>
      <c r="L1557" s="195"/>
      <c r="M1557" s="1185"/>
    </row>
    <row r="1558">
      <c r="A1558" s="1185"/>
      <c r="B1558" s="1185"/>
      <c r="C1558" s="1185"/>
      <c r="D1558" s="1185"/>
      <c r="E1558" s="1185"/>
      <c r="F1558" s="1185"/>
      <c r="G1558" s="1186"/>
      <c r="H1558" s="1186"/>
      <c r="I1558" s="195"/>
      <c r="J1558" s="195"/>
      <c r="K1558" s="195"/>
      <c r="L1558" s="195"/>
      <c r="M1558" s="1185"/>
    </row>
    <row r="1559">
      <c r="A1559" s="1185"/>
      <c r="B1559" s="1185"/>
      <c r="C1559" s="1185"/>
      <c r="D1559" s="1185"/>
      <c r="E1559" s="1185"/>
      <c r="F1559" s="1185"/>
      <c r="G1559" s="1186"/>
      <c r="H1559" s="1186"/>
      <c r="I1559" s="195"/>
      <c r="J1559" s="195"/>
      <c r="K1559" s="195"/>
      <c r="L1559" s="195"/>
      <c r="M1559" s="1185"/>
    </row>
    <row r="1560">
      <c r="A1560" s="1185"/>
      <c r="B1560" s="1185"/>
      <c r="C1560" s="1185"/>
      <c r="D1560" s="1185"/>
      <c r="E1560" s="1185"/>
      <c r="F1560" s="1185"/>
      <c r="G1560" s="1186"/>
      <c r="H1560" s="1186"/>
      <c r="I1560" s="195"/>
      <c r="J1560" s="195"/>
      <c r="K1560" s="195"/>
      <c r="L1560" s="195"/>
      <c r="M1560" s="1185"/>
    </row>
    <row r="1561">
      <c r="A1561" s="1185"/>
      <c r="B1561" s="1185"/>
      <c r="C1561" s="1185"/>
      <c r="D1561" s="1185"/>
      <c r="E1561" s="1185"/>
      <c r="F1561" s="1185"/>
      <c r="G1561" s="1186"/>
      <c r="H1561" s="1186"/>
      <c r="I1561" s="195"/>
      <c r="J1561" s="195"/>
      <c r="K1561" s="195"/>
      <c r="L1561" s="195"/>
      <c r="M1561" s="1185"/>
    </row>
    <row r="1562">
      <c r="A1562" s="1185"/>
      <c r="B1562" s="1185"/>
      <c r="C1562" s="1185"/>
      <c r="D1562" s="1185"/>
      <c r="E1562" s="1185"/>
      <c r="F1562" s="1185"/>
      <c r="G1562" s="1186"/>
      <c r="H1562" s="1186"/>
      <c r="I1562" s="195"/>
      <c r="J1562" s="195"/>
      <c r="K1562" s="195"/>
      <c r="L1562" s="195"/>
      <c r="M1562" s="1185"/>
    </row>
    <row r="1563">
      <c r="A1563" s="1185"/>
      <c r="B1563" s="1185"/>
      <c r="C1563" s="1185"/>
      <c r="D1563" s="1185"/>
      <c r="E1563" s="1185"/>
      <c r="F1563" s="1185"/>
      <c r="G1563" s="1186"/>
      <c r="H1563" s="1186"/>
      <c r="I1563" s="195"/>
      <c r="J1563" s="195"/>
      <c r="K1563" s="195"/>
      <c r="L1563" s="195"/>
      <c r="M1563" s="1185"/>
    </row>
    <row r="1564">
      <c r="A1564" s="1185"/>
      <c r="B1564" s="1185"/>
      <c r="C1564" s="1185"/>
      <c r="D1564" s="1185"/>
      <c r="E1564" s="1185"/>
      <c r="F1564" s="1185"/>
      <c r="G1564" s="1186"/>
      <c r="H1564" s="1186"/>
      <c r="I1564" s="195"/>
      <c r="J1564" s="195"/>
      <c r="K1564" s="195"/>
      <c r="L1564" s="195"/>
      <c r="M1564" s="1185"/>
    </row>
    <row r="1565">
      <c r="A1565" s="1185"/>
      <c r="B1565" s="1185"/>
      <c r="C1565" s="1185"/>
      <c r="D1565" s="1185"/>
      <c r="E1565" s="1185"/>
      <c r="F1565" s="1185"/>
      <c r="G1565" s="1186"/>
      <c r="H1565" s="1186"/>
      <c r="I1565" s="195"/>
      <c r="J1565" s="195"/>
      <c r="K1565" s="195"/>
      <c r="L1565" s="195"/>
      <c r="M1565" s="1185"/>
    </row>
    <row r="1566">
      <c r="A1566" s="1185"/>
      <c r="B1566" s="1185"/>
      <c r="C1566" s="1185"/>
      <c r="D1566" s="1185"/>
      <c r="E1566" s="1185"/>
      <c r="F1566" s="1185"/>
      <c r="G1566" s="1186"/>
      <c r="H1566" s="1186"/>
      <c r="I1566" s="195"/>
      <c r="J1566" s="195"/>
      <c r="K1566" s="195"/>
      <c r="L1566" s="195"/>
      <c r="M1566" s="1185"/>
    </row>
    <row r="1567">
      <c r="A1567" s="1185"/>
      <c r="B1567" s="1185"/>
      <c r="C1567" s="1185"/>
      <c r="D1567" s="1185"/>
      <c r="E1567" s="1185"/>
      <c r="F1567" s="1185"/>
      <c r="G1567" s="1186"/>
      <c r="H1567" s="1186"/>
      <c r="I1567" s="195"/>
      <c r="J1567" s="195"/>
      <c r="K1567" s="195"/>
      <c r="L1567" s="195"/>
      <c r="M1567" s="1185"/>
    </row>
    <row r="1568">
      <c r="A1568" s="1185"/>
      <c r="B1568" s="1185"/>
      <c r="C1568" s="1185"/>
      <c r="D1568" s="1185"/>
      <c r="E1568" s="1185"/>
      <c r="F1568" s="1185"/>
      <c r="G1568" s="1186"/>
      <c r="H1568" s="1186"/>
      <c r="I1568" s="195"/>
      <c r="J1568" s="195"/>
      <c r="K1568" s="195"/>
      <c r="L1568" s="195"/>
      <c r="M1568" s="1185"/>
    </row>
    <row r="1569">
      <c r="A1569" s="1185"/>
      <c r="B1569" s="1185"/>
      <c r="C1569" s="1185"/>
      <c r="D1569" s="1185"/>
      <c r="E1569" s="1185"/>
      <c r="F1569" s="1185"/>
      <c r="G1569" s="1186"/>
      <c r="H1569" s="1186"/>
      <c r="I1569" s="195"/>
      <c r="J1569" s="195"/>
      <c r="K1569" s="195"/>
      <c r="L1569" s="195"/>
      <c r="M1569" s="1185"/>
    </row>
    <row r="1570">
      <c r="A1570" s="1185"/>
      <c r="B1570" s="1185"/>
      <c r="C1570" s="1185"/>
      <c r="D1570" s="1185"/>
      <c r="E1570" s="1185"/>
      <c r="F1570" s="1185"/>
      <c r="G1570" s="1186"/>
      <c r="H1570" s="1186"/>
      <c r="I1570" s="195"/>
      <c r="J1570" s="195"/>
      <c r="K1570" s="195"/>
      <c r="L1570" s="195"/>
      <c r="M1570" s="1185"/>
    </row>
    <row r="1571">
      <c r="A1571" s="1185"/>
      <c r="B1571" s="1185"/>
      <c r="C1571" s="1185"/>
      <c r="D1571" s="1185"/>
      <c r="E1571" s="1185"/>
      <c r="F1571" s="1185"/>
      <c r="G1571" s="1186"/>
      <c r="H1571" s="1186"/>
      <c r="I1571" s="195"/>
      <c r="J1571" s="195"/>
      <c r="K1571" s="195"/>
      <c r="L1571" s="195"/>
      <c r="M1571" s="1185"/>
    </row>
    <row r="1572">
      <c r="A1572" s="1185"/>
      <c r="B1572" s="1185"/>
      <c r="C1572" s="1185"/>
      <c r="D1572" s="1185"/>
      <c r="E1572" s="1185"/>
      <c r="F1572" s="1185"/>
      <c r="G1572" s="1186"/>
      <c r="H1572" s="1186"/>
      <c r="I1572" s="195"/>
      <c r="J1572" s="195"/>
      <c r="K1572" s="195"/>
      <c r="L1572" s="195"/>
      <c r="M1572" s="1185"/>
    </row>
    <row r="1573">
      <c r="A1573" s="1185"/>
      <c r="B1573" s="1185"/>
      <c r="C1573" s="1185"/>
      <c r="D1573" s="1185"/>
      <c r="E1573" s="1185"/>
      <c r="F1573" s="1185"/>
      <c r="G1573" s="1186"/>
      <c r="H1573" s="1186"/>
      <c r="I1573" s="195"/>
      <c r="J1573" s="195"/>
      <c r="K1573" s="195"/>
      <c r="L1573" s="195"/>
      <c r="M1573" s="1185"/>
    </row>
    <row r="1574">
      <c r="A1574" s="1185"/>
      <c r="B1574" s="1185"/>
      <c r="C1574" s="1185"/>
      <c r="D1574" s="1185"/>
      <c r="E1574" s="1185"/>
      <c r="F1574" s="1185"/>
      <c r="G1574" s="1186"/>
      <c r="H1574" s="1186"/>
      <c r="I1574" s="195"/>
      <c r="J1574" s="195"/>
      <c r="K1574" s="195"/>
      <c r="L1574" s="195"/>
      <c r="M1574" s="1185"/>
    </row>
    <row r="1575">
      <c r="A1575" s="1185"/>
      <c r="B1575" s="1185"/>
      <c r="C1575" s="1185"/>
      <c r="D1575" s="1185"/>
      <c r="E1575" s="1185"/>
      <c r="F1575" s="1185"/>
      <c r="G1575" s="1186"/>
      <c r="H1575" s="1186"/>
      <c r="I1575" s="195"/>
      <c r="J1575" s="195"/>
      <c r="K1575" s="195"/>
      <c r="L1575" s="195"/>
      <c r="M1575" s="1185"/>
    </row>
    <row r="1576">
      <c r="A1576" s="1185"/>
      <c r="B1576" s="1185"/>
      <c r="C1576" s="1185"/>
      <c r="D1576" s="1185"/>
      <c r="E1576" s="1185"/>
      <c r="F1576" s="1185"/>
      <c r="G1576" s="1186"/>
      <c r="H1576" s="1186"/>
      <c r="I1576" s="195"/>
      <c r="J1576" s="195"/>
      <c r="K1576" s="195"/>
      <c r="L1576" s="195"/>
      <c r="M1576" s="1185"/>
    </row>
    <row r="1577">
      <c r="A1577" s="1185"/>
      <c r="B1577" s="1185"/>
      <c r="C1577" s="1185"/>
      <c r="D1577" s="1185"/>
      <c r="E1577" s="1185"/>
      <c r="F1577" s="1185"/>
      <c r="G1577" s="1186"/>
      <c r="H1577" s="1186"/>
      <c r="I1577" s="195"/>
      <c r="J1577" s="195"/>
      <c r="K1577" s="195"/>
      <c r="L1577" s="195"/>
      <c r="M1577" s="1185"/>
    </row>
    <row r="1578">
      <c r="A1578" s="1185"/>
      <c r="B1578" s="1185"/>
      <c r="C1578" s="1185"/>
      <c r="D1578" s="1185"/>
      <c r="E1578" s="1185"/>
      <c r="F1578" s="1185"/>
      <c r="G1578" s="1186"/>
      <c r="H1578" s="1186"/>
      <c r="I1578" s="195"/>
      <c r="J1578" s="195"/>
      <c r="K1578" s="195"/>
      <c r="L1578" s="195"/>
      <c r="M1578" s="1185"/>
    </row>
    <row r="1579">
      <c r="A1579" s="1185"/>
      <c r="B1579" s="1185"/>
      <c r="C1579" s="1185"/>
      <c r="D1579" s="1185"/>
      <c r="E1579" s="1185"/>
      <c r="F1579" s="1185"/>
      <c r="G1579" s="1186"/>
      <c r="H1579" s="1186"/>
      <c r="I1579" s="195"/>
      <c r="J1579" s="195"/>
      <c r="K1579" s="195"/>
      <c r="L1579" s="195"/>
      <c r="M1579" s="1185"/>
    </row>
    <row r="1580">
      <c r="A1580" s="1185"/>
      <c r="B1580" s="1185"/>
      <c r="C1580" s="1185"/>
      <c r="D1580" s="1185"/>
      <c r="E1580" s="1185"/>
      <c r="F1580" s="1185"/>
      <c r="G1580" s="1186"/>
      <c r="H1580" s="1186"/>
      <c r="I1580" s="195"/>
      <c r="J1580" s="195"/>
      <c r="K1580" s="195"/>
      <c r="L1580" s="195"/>
      <c r="M1580" s="1185"/>
    </row>
    <row r="1581">
      <c r="A1581" s="1185"/>
      <c r="B1581" s="1185"/>
      <c r="C1581" s="1185"/>
      <c r="D1581" s="1185"/>
      <c r="E1581" s="1185"/>
      <c r="F1581" s="1185"/>
      <c r="G1581" s="1186"/>
      <c r="H1581" s="1186"/>
      <c r="I1581" s="195"/>
      <c r="J1581" s="195"/>
      <c r="K1581" s="195"/>
      <c r="L1581" s="195"/>
      <c r="M1581" s="1185"/>
    </row>
    <row r="1582">
      <c r="A1582" s="1185"/>
      <c r="B1582" s="1185"/>
      <c r="C1582" s="1185"/>
      <c r="D1582" s="1185"/>
      <c r="E1582" s="1185"/>
      <c r="F1582" s="1185"/>
      <c r="G1582" s="1186"/>
      <c r="H1582" s="1186"/>
      <c r="I1582" s="195"/>
      <c r="J1582" s="195"/>
      <c r="K1582" s="195"/>
      <c r="L1582" s="195"/>
      <c r="M1582" s="1185"/>
    </row>
    <row r="1583">
      <c r="A1583" s="1185"/>
      <c r="B1583" s="1185"/>
      <c r="C1583" s="1185"/>
      <c r="D1583" s="1185"/>
      <c r="E1583" s="1185"/>
      <c r="F1583" s="1185"/>
      <c r="G1583" s="1186"/>
      <c r="H1583" s="1186"/>
      <c r="I1583" s="195"/>
      <c r="J1583" s="195"/>
      <c r="K1583" s="195"/>
      <c r="L1583" s="195"/>
      <c r="M1583" s="1185"/>
    </row>
    <row r="1584">
      <c r="A1584" s="1185"/>
      <c r="B1584" s="1185"/>
      <c r="C1584" s="1185"/>
      <c r="D1584" s="1185"/>
      <c r="E1584" s="1185"/>
      <c r="F1584" s="1185"/>
      <c r="G1584" s="1186"/>
      <c r="H1584" s="1186"/>
      <c r="I1584" s="195"/>
      <c r="J1584" s="195"/>
      <c r="K1584" s="195"/>
      <c r="L1584" s="195"/>
      <c r="M1584" s="1185"/>
    </row>
    <row r="1585">
      <c r="A1585" s="1185"/>
      <c r="B1585" s="1185"/>
      <c r="C1585" s="1185"/>
      <c r="D1585" s="1185"/>
      <c r="E1585" s="1185"/>
      <c r="F1585" s="1185"/>
      <c r="G1585" s="1186"/>
      <c r="H1585" s="1186"/>
      <c r="I1585" s="195"/>
      <c r="J1585" s="195"/>
      <c r="K1585" s="195"/>
      <c r="L1585" s="195"/>
      <c r="M1585" s="1185"/>
    </row>
    <row r="1586">
      <c r="A1586" s="1185"/>
      <c r="B1586" s="1185"/>
      <c r="C1586" s="1185"/>
      <c r="D1586" s="1185"/>
      <c r="E1586" s="1185"/>
      <c r="F1586" s="1185"/>
      <c r="G1586" s="1186"/>
      <c r="H1586" s="1186"/>
      <c r="I1586" s="195"/>
      <c r="J1586" s="195"/>
      <c r="K1586" s="195"/>
      <c r="L1586" s="195"/>
      <c r="M1586" s="1185"/>
    </row>
    <row r="1587">
      <c r="A1587" s="1185"/>
      <c r="B1587" s="1185"/>
      <c r="C1587" s="1185"/>
      <c r="D1587" s="1185"/>
      <c r="E1587" s="1185"/>
      <c r="F1587" s="1185"/>
      <c r="G1587" s="1186"/>
      <c r="H1587" s="1186"/>
      <c r="I1587" s="195"/>
      <c r="J1587" s="195"/>
      <c r="K1587" s="195"/>
      <c r="L1587" s="195"/>
      <c r="M1587" s="1185"/>
    </row>
    <row r="1588">
      <c r="A1588" s="1185"/>
      <c r="B1588" s="1185"/>
      <c r="C1588" s="1185"/>
      <c r="D1588" s="1185"/>
      <c r="E1588" s="1185"/>
      <c r="F1588" s="1185"/>
      <c r="G1588" s="1186"/>
      <c r="H1588" s="1186"/>
      <c r="I1588" s="195"/>
      <c r="J1588" s="195"/>
      <c r="K1588" s="195"/>
      <c r="L1588" s="195"/>
      <c r="M1588" s="1185"/>
    </row>
    <row r="1589">
      <c r="A1589" s="1185"/>
      <c r="B1589" s="1185"/>
      <c r="C1589" s="1185"/>
      <c r="D1589" s="1185"/>
      <c r="E1589" s="1185"/>
      <c r="F1589" s="1185"/>
      <c r="G1589" s="1186"/>
      <c r="H1589" s="1186"/>
      <c r="I1589" s="195"/>
      <c r="J1589" s="195"/>
      <c r="K1589" s="195"/>
      <c r="L1589" s="195"/>
      <c r="M1589" s="1185"/>
    </row>
    <row r="1590">
      <c r="A1590" s="1185"/>
      <c r="B1590" s="1185"/>
      <c r="C1590" s="1185"/>
      <c r="D1590" s="1185"/>
      <c r="E1590" s="1185"/>
      <c r="F1590" s="1185"/>
      <c r="G1590" s="1186"/>
      <c r="H1590" s="1186"/>
      <c r="I1590" s="195"/>
      <c r="J1590" s="195"/>
      <c r="K1590" s="195"/>
      <c r="L1590" s="195"/>
      <c r="M1590" s="1185"/>
    </row>
    <row r="1591">
      <c r="A1591" s="1185"/>
      <c r="B1591" s="1185"/>
      <c r="C1591" s="1185"/>
      <c r="D1591" s="1185"/>
      <c r="E1591" s="1185"/>
      <c r="F1591" s="1185"/>
      <c r="G1591" s="1186"/>
      <c r="H1591" s="1186"/>
      <c r="I1591" s="195"/>
      <c r="J1591" s="195"/>
      <c r="K1591" s="195"/>
      <c r="L1591" s="195"/>
      <c r="M1591" s="1185"/>
    </row>
    <row r="1592">
      <c r="A1592" s="1185"/>
      <c r="B1592" s="1185"/>
      <c r="C1592" s="1185"/>
      <c r="D1592" s="1185"/>
      <c r="E1592" s="1185"/>
      <c r="F1592" s="1185"/>
      <c r="G1592" s="1186"/>
      <c r="H1592" s="1186"/>
      <c r="I1592" s="195"/>
      <c r="J1592" s="195"/>
      <c r="K1592" s="195"/>
      <c r="L1592" s="195"/>
      <c r="M1592" s="1185"/>
    </row>
    <row r="1593">
      <c r="A1593" s="1185"/>
      <c r="B1593" s="1185"/>
      <c r="C1593" s="1185"/>
      <c r="D1593" s="1185"/>
      <c r="E1593" s="1185"/>
      <c r="F1593" s="1185"/>
      <c r="G1593" s="1186"/>
      <c r="H1593" s="1186"/>
      <c r="I1593" s="195"/>
      <c r="J1593" s="195"/>
      <c r="K1593" s="195"/>
      <c r="L1593" s="195"/>
      <c r="M1593" s="1185"/>
    </row>
    <row r="1594">
      <c r="A1594" s="1185"/>
      <c r="B1594" s="1185"/>
      <c r="C1594" s="1185"/>
      <c r="D1594" s="1185"/>
      <c r="E1594" s="1185"/>
      <c r="F1594" s="1185"/>
      <c r="G1594" s="1186"/>
      <c r="H1594" s="1186"/>
      <c r="I1594" s="195"/>
      <c r="J1594" s="195"/>
      <c r="K1594" s="195"/>
      <c r="L1594" s="195"/>
      <c r="M1594" s="1185"/>
    </row>
    <row r="1595">
      <c r="A1595" s="1185"/>
      <c r="B1595" s="1185"/>
      <c r="C1595" s="1185"/>
      <c r="D1595" s="1185"/>
      <c r="E1595" s="1185"/>
      <c r="F1595" s="1185"/>
      <c r="G1595" s="1186"/>
      <c r="H1595" s="1186"/>
      <c r="I1595" s="195"/>
      <c r="J1595" s="195"/>
      <c r="K1595" s="195"/>
      <c r="L1595" s="195"/>
      <c r="M1595" s="1185"/>
    </row>
    <row r="1596">
      <c r="A1596" s="1185"/>
      <c r="B1596" s="1185"/>
      <c r="C1596" s="1185"/>
      <c r="D1596" s="1185"/>
      <c r="E1596" s="1185"/>
      <c r="F1596" s="1185"/>
      <c r="G1596" s="1186"/>
      <c r="H1596" s="1186"/>
      <c r="I1596" s="195"/>
      <c r="J1596" s="195"/>
      <c r="K1596" s="195"/>
      <c r="L1596" s="195"/>
      <c r="M1596" s="1185"/>
    </row>
    <row r="1597">
      <c r="A1597" s="1185"/>
      <c r="B1597" s="1185"/>
      <c r="C1597" s="1185"/>
      <c r="D1597" s="1185"/>
      <c r="E1597" s="1185"/>
      <c r="F1597" s="1185"/>
      <c r="G1597" s="1186"/>
      <c r="H1597" s="1186"/>
      <c r="I1597" s="195"/>
      <c r="J1597" s="195"/>
      <c r="K1597" s="195"/>
      <c r="L1597" s="195"/>
      <c r="M1597" s="1185"/>
    </row>
    <row r="1598">
      <c r="A1598" s="1185"/>
      <c r="B1598" s="1185"/>
      <c r="C1598" s="1185"/>
      <c r="D1598" s="1185"/>
      <c r="E1598" s="1185"/>
      <c r="F1598" s="1185"/>
      <c r="G1598" s="1186"/>
      <c r="H1598" s="1186"/>
      <c r="I1598" s="195"/>
      <c r="J1598" s="195"/>
      <c r="K1598" s="195"/>
      <c r="L1598" s="195"/>
      <c r="M1598" s="1185"/>
    </row>
    <row r="1599">
      <c r="A1599" s="1185"/>
      <c r="B1599" s="1185"/>
      <c r="C1599" s="1185"/>
      <c r="D1599" s="1185"/>
      <c r="E1599" s="1185"/>
      <c r="F1599" s="1185"/>
      <c r="G1599" s="1186"/>
      <c r="H1599" s="1186"/>
      <c r="I1599" s="195"/>
      <c r="J1599" s="195"/>
      <c r="K1599" s="195"/>
      <c r="L1599" s="195"/>
      <c r="M1599" s="1185"/>
    </row>
    <row r="1600">
      <c r="A1600" s="1185"/>
      <c r="B1600" s="1185"/>
      <c r="C1600" s="1185"/>
      <c r="D1600" s="1185"/>
      <c r="E1600" s="1185"/>
      <c r="F1600" s="1185"/>
      <c r="G1600" s="1186"/>
      <c r="H1600" s="1186"/>
      <c r="I1600" s="195"/>
      <c r="J1600" s="195"/>
      <c r="K1600" s="195"/>
      <c r="L1600" s="195"/>
      <c r="M1600" s="1185"/>
    </row>
    <row r="1601">
      <c r="A1601" s="1185"/>
      <c r="B1601" s="1185"/>
      <c r="C1601" s="1185"/>
      <c r="D1601" s="1185"/>
      <c r="E1601" s="1185"/>
      <c r="F1601" s="1185"/>
      <c r="G1601" s="1186"/>
      <c r="H1601" s="1186"/>
      <c r="I1601" s="195"/>
      <c r="J1601" s="195"/>
      <c r="K1601" s="195"/>
      <c r="L1601" s="195"/>
      <c r="M1601" s="1185"/>
    </row>
    <row r="1602">
      <c r="A1602" s="1185"/>
      <c r="B1602" s="1185"/>
      <c r="C1602" s="1185"/>
      <c r="D1602" s="1185"/>
      <c r="E1602" s="1185"/>
      <c r="F1602" s="1185"/>
      <c r="G1602" s="1186"/>
      <c r="H1602" s="1186"/>
      <c r="I1602" s="195"/>
      <c r="J1602" s="195"/>
      <c r="K1602" s="195"/>
      <c r="L1602" s="195"/>
      <c r="M1602" s="1185"/>
    </row>
    <row r="1603">
      <c r="A1603" s="1185"/>
      <c r="B1603" s="1185"/>
      <c r="C1603" s="1185"/>
      <c r="D1603" s="1185"/>
      <c r="E1603" s="1185"/>
      <c r="F1603" s="1185"/>
      <c r="G1603" s="1186"/>
      <c r="H1603" s="1186"/>
      <c r="I1603" s="195"/>
      <c r="J1603" s="195"/>
      <c r="K1603" s="195"/>
      <c r="L1603" s="195"/>
      <c r="M1603" s="1185"/>
    </row>
    <row r="1604">
      <c r="A1604" s="1185"/>
      <c r="B1604" s="1185"/>
      <c r="C1604" s="1185"/>
      <c r="D1604" s="1185"/>
      <c r="E1604" s="1185"/>
      <c r="F1604" s="1185"/>
      <c r="G1604" s="1186"/>
      <c r="H1604" s="1186"/>
      <c r="I1604" s="195"/>
      <c r="J1604" s="195"/>
      <c r="K1604" s="195"/>
      <c r="L1604" s="195"/>
      <c r="M1604" s="1185"/>
    </row>
    <row r="1605">
      <c r="A1605" s="1185"/>
      <c r="B1605" s="1185"/>
      <c r="C1605" s="1185"/>
      <c r="D1605" s="1185"/>
      <c r="E1605" s="1185"/>
      <c r="F1605" s="1185"/>
      <c r="G1605" s="1186"/>
      <c r="H1605" s="1186"/>
      <c r="I1605" s="195"/>
      <c r="J1605" s="195"/>
      <c r="K1605" s="195"/>
      <c r="L1605" s="195"/>
      <c r="M1605" s="1185"/>
    </row>
    <row r="1606">
      <c r="A1606" s="1185"/>
      <c r="B1606" s="1185"/>
      <c r="C1606" s="1185"/>
      <c r="D1606" s="1185"/>
      <c r="E1606" s="1185"/>
      <c r="F1606" s="1185"/>
      <c r="G1606" s="1186"/>
      <c r="H1606" s="1186"/>
      <c r="I1606" s="195"/>
      <c r="J1606" s="195"/>
      <c r="K1606" s="195"/>
      <c r="L1606" s="195"/>
      <c r="M1606" s="1185"/>
    </row>
    <row r="1607">
      <c r="A1607" s="1185"/>
      <c r="B1607" s="1185"/>
      <c r="C1607" s="1185"/>
      <c r="D1607" s="1185"/>
      <c r="E1607" s="1185"/>
      <c r="F1607" s="1185"/>
      <c r="G1607" s="1186"/>
      <c r="H1607" s="1186"/>
      <c r="I1607" s="195"/>
      <c r="J1607" s="195"/>
      <c r="K1607" s="195"/>
      <c r="L1607" s="195"/>
      <c r="M1607" s="1185"/>
    </row>
    <row r="1608">
      <c r="A1608" s="1185"/>
      <c r="B1608" s="1185"/>
      <c r="C1608" s="1185"/>
      <c r="D1608" s="1185"/>
      <c r="E1608" s="1185"/>
      <c r="F1608" s="1185"/>
      <c r="G1608" s="1186"/>
      <c r="H1608" s="1186"/>
      <c r="I1608" s="195"/>
      <c r="J1608" s="195"/>
      <c r="K1608" s="195"/>
      <c r="L1608" s="195"/>
      <c r="M1608" s="1185"/>
    </row>
    <row r="1609">
      <c r="A1609" s="1185"/>
      <c r="B1609" s="1185"/>
      <c r="C1609" s="1185"/>
      <c r="D1609" s="1185"/>
      <c r="E1609" s="1185"/>
      <c r="F1609" s="1185"/>
      <c r="G1609" s="1186"/>
      <c r="H1609" s="1186"/>
      <c r="I1609" s="195"/>
      <c r="J1609" s="195"/>
      <c r="K1609" s="195"/>
      <c r="L1609" s="195"/>
      <c r="M1609" s="1185"/>
    </row>
    <row r="1610">
      <c r="A1610" s="1185"/>
      <c r="B1610" s="1185"/>
      <c r="C1610" s="1185"/>
      <c r="D1610" s="1185"/>
      <c r="E1610" s="1185"/>
      <c r="F1610" s="1185"/>
      <c r="G1610" s="1186"/>
      <c r="H1610" s="1186"/>
      <c r="I1610" s="195"/>
      <c r="J1610" s="195"/>
      <c r="K1610" s="195"/>
      <c r="L1610" s="195"/>
      <c r="M1610" s="1185"/>
    </row>
    <row r="1611">
      <c r="A1611" s="1185"/>
      <c r="B1611" s="1185"/>
      <c r="C1611" s="1185"/>
      <c r="D1611" s="1185"/>
      <c r="E1611" s="1185"/>
      <c r="F1611" s="1185"/>
      <c r="G1611" s="1186"/>
      <c r="H1611" s="1186"/>
      <c r="I1611" s="195"/>
      <c r="J1611" s="195"/>
      <c r="K1611" s="195"/>
      <c r="L1611" s="195"/>
      <c r="M1611" s="1185"/>
    </row>
    <row r="1612">
      <c r="A1612" s="1185"/>
      <c r="B1612" s="1185"/>
      <c r="C1612" s="1185"/>
      <c r="D1612" s="1185"/>
      <c r="E1612" s="1185"/>
      <c r="F1612" s="1185"/>
      <c r="G1612" s="1186"/>
      <c r="H1612" s="1186"/>
      <c r="I1612" s="195"/>
      <c r="J1612" s="195"/>
      <c r="K1612" s="195"/>
      <c r="L1612" s="195"/>
      <c r="M1612" s="1185"/>
    </row>
    <row r="1613">
      <c r="A1613" s="1185"/>
      <c r="B1613" s="1185"/>
      <c r="C1613" s="1185"/>
      <c r="D1613" s="1185"/>
      <c r="E1613" s="1185"/>
      <c r="F1613" s="1185"/>
      <c r="G1613" s="1186"/>
      <c r="H1613" s="1186"/>
      <c r="I1613" s="195"/>
      <c r="J1613" s="195"/>
      <c r="K1613" s="195"/>
      <c r="L1613" s="195"/>
      <c r="M1613" s="1185"/>
    </row>
    <row r="1614">
      <c r="A1614" s="1185"/>
      <c r="B1614" s="1185"/>
      <c r="C1614" s="1185"/>
      <c r="D1614" s="1185"/>
      <c r="E1614" s="1185"/>
      <c r="F1614" s="1185"/>
      <c r="G1614" s="1186"/>
      <c r="H1614" s="1186"/>
      <c r="I1614" s="195"/>
      <c r="J1614" s="195"/>
      <c r="K1614" s="195"/>
      <c r="L1614" s="195"/>
      <c r="M1614" s="1185"/>
    </row>
    <row r="1615">
      <c r="A1615" s="1185"/>
      <c r="B1615" s="1185"/>
      <c r="C1615" s="1185"/>
      <c r="D1615" s="1185"/>
      <c r="E1615" s="1185"/>
      <c r="F1615" s="1185"/>
      <c r="G1615" s="1186"/>
      <c r="H1615" s="1186"/>
      <c r="I1615" s="195"/>
      <c r="J1615" s="195"/>
      <c r="K1615" s="195"/>
      <c r="L1615" s="195"/>
      <c r="M1615" s="1185"/>
    </row>
    <row r="1616">
      <c r="A1616" s="1185"/>
      <c r="B1616" s="1185"/>
      <c r="C1616" s="1185"/>
      <c r="D1616" s="1185"/>
      <c r="E1616" s="1185"/>
      <c r="F1616" s="1185"/>
      <c r="G1616" s="1186"/>
      <c r="H1616" s="1186"/>
      <c r="I1616" s="195"/>
      <c r="J1616" s="195"/>
      <c r="K1616" s="195"/>
      <c r="L1616" s="195"/>
      <c r="M1616" s="1185"/>
    </row>
    <row r="1617">
      <c r="A1617" s="1185"/>
      <c r="B1617" s="1185"/>
      <c r="C1617" s="1185"/>
      <c r="D1617" s="1185"/>
      <c r="E1617" s="1185"/>
      <c r="F1617" s="1185"/>
      <c r="G1617" s="1186"/>
      <c r="H1617" s="1186"/>
      <c r="I1617" s="195"/>
      <c r="J1617" s="195"/>
      <c r="K1617" s="195"/>
      <c r="L1617" s="195"/>
      <c r="M1617" s="1185"/>
    </row>
    <row r="1618">
      <c r="A1618" s="1185"/>
      <c r="B1618" s="1185"/>
      <c r="C1618" s="1185"/>
      <c r="D1618" s="1185"/>
      <c r="E1618" s="1185"/>
      <c r="F1618" s="1185"/>
      <c r="G1618" s="1186"/>
      <c r="H1618" s="1186"/>
      <c r="I1618" s="195"/>
      <c r="J1618" s="195"/>
      <c r="K1618" s="195"/>
      <c r="L1618" s="195"/>
      <c r="M1618" s="1185"/>
    </row>
    <row r="1619">
      <c r="A1619" s="1185"/>
      <c r="B1619" s="1185"/>
      <c r="C1619" s="1185"/>
      <c r="D1619" s="1185"/>
      <c r="E1619" s="1185"/>
      <c r="F1619" s="1185"/>
      <c r="G1619" s="1186"/>
      <c r="H1619" s="1186"/>
      <c r="I1619" s="195"/>
      <c r="J1619" s="195"/>
      <c r="K1619" s="195"/>
      <c r="L1619" s="195"/>
      <c r="M1619" s="1185"/>
    </row>
    <row r="1620">
      <c r="A1620" s="1185"/>
      <c r="B1620" s="1185"/>
      <c r="C1620" s="1185"/>
      <c r="D1620" s="1185"/>
      <c r="E1620" s="1185"/>
      <c r="F1620" s="1185"/>
      <c r="G1620" s="1186"/>
      <c r="H1620" s="1186"/>
      <c r="I1620" s="195"/>
      <c r="J1620" s="195"/>
      <c r="K1620" s="195"/>
      <c r="L1620" s="195"/>
      <c r="M1620" s="1185"/>
    </row>
    <row r="1621">
      <c r="A1621" s="1185"/>
      <c r="B1621" s="1185"/>
      <c r="C1621" s="1185"/>
      <c r="D1621" s="1185"/>
      <c r="E1621" s="1185"/>
      <c r="F1621" s="1185"/>
      <c r="G1621" s="1186"/>
      <c r="H1621" s="1186"/>
      <c r="I1621" s="195"/>
      <c r="J1621" s="195"/>
      <c r="K1621" s="195"/>
      <c r="L1621" s="195"/>
      <c r="M1621" s="1185"/>
    </row>
    <row r="1622">
      <c r="A1622" s="1185"/>
      <c r="B1622" s="1185"/>
      <c r="C1622" s="1185"/>
      <c r="D1622" s="1185"/>
      <c r="E1622" s="1185"/>
      <c r="F1622" s="1185"/>
      <c r="G1622" s="1186"/>
      <c r="H1622" s="1186"/>
      <c r="I1622" s="195"/>
      <c r="J1622" s="195"/>
      <c r="K1622" s="195"/>
      <c r="L1622" s="195"/>
      <c r="M1622" s="1185"/>
    </row>
    <row r="1623">
      <c r="A1623" s="1185"/>
      <c r="B1623" s="1185"/>
      <c r="C1623" s="1185"/>
      <c r="D1623" s="1185"/>
      <c r="E1623" s="1185"/>
      <c r="F1623" s="1185"/>
      <c r="G1623" s="1186"/>
      <c r="H1623" s="1186"/>
      <c r="I1623" s="195"/>
      <c r="J1623" s="195"/>
      <c r="K1623" s="195"/>
      <c r="L1623" s="195"/>
      <c r="M1623" s="1185"/>
    </row>
    <row r="1624">
      <c r="A1624" s="1185"/>
      <c r="B1624" s="1185"/>
      <c r="C1624" s="1185"/>
      <c r="D1624" s="1185"/>
      <c r="E1624" s="1185"/>
      <c r="F1624" s="1185"/>
      <c r="G1624" s="1186"/>
      <c r="H1624" s="1186"/>
      <c r="I1624" s="195"/>
      <c r="J1624" s="195"/>
      <c r="K1624" s="195"/>
      <c r="L1624" s="195"/>
      <c r="M1624" s="1185"/>
    </row>
    <row r="1625">
      <c r="A1625" s="1185"/>
      <c r="B1625" s="1185"/>
      <c r="C1625" s="1185"/>
      <c r="D1625" s="1185"/>
      <c r="E1625" s="1185"/>
      <c r="F1625" s="1185"/>
      <c r="G1625" s="1186"/>
      <c r="H1625" s="1186"/>
      <c r="I1625" s="195"/>
      <c r="J1625" s="195"/>
      <c r="K1625" s="195"/>
      <c r="L1625" s="195"/>
      <c r="M1625" s="1185"/>
    </row>
    <row r="1626">
      <c r="A1626" s="1185"/>
      <c r="B1626" s="1185"/>
      <c r="C1626" s="1185"/>
      <c r="D1626" s="1185"/>
      <c r="E1626" s="1185"/>
      <c r="F1626" s="1185"/>
      <c r="G1626" s="1186"/>
      <c r="H1626" s="1186"/>
      <c r="I1626" s="195"/>
      <c r="J1626" s="195"/>
      <c r="K1626" s="195"/>
      <c r="L1626" s="195"/>
      <c r="M1626" s="1185"/>
    </row>
    <row r="1627">
      <c r="A1627" s="1185"/>
      <c r="B1627" s="1185"/>
      <c r="C1627" s="1185"/>
      <c r="D1627" s="1185"/>
      <c r="E1627" s="1185"/>
      <c r="F1627" s="1185"/>
      <c r="G1627" s="1186"/>
      <c r="H1627" s="1186"/>
      <c r="I1627" s="195"/>
      <c r="J1627" s="195"/>
      <c r="K1627" s="195"/>
      <c r="L1627" s="195"/>
      <c r="M1627" s="1185"/>
    </row>
    <row r="1628">
      <c r="A1628" s="1185"/>
      <c r="B1628" s="1185"/>
      <c r="C1628" s="1185"/>
      <c r="D1628" s="1185"/>
      <c r="E1628" s="1185"/>
      <c r="F1628" s="1185"/>
      <c r="G1628" s="1186"/>
      <c r="H1628" s="1186"/>
      <c r="I1628" s="195"/>
      <c r="J1628" s="195"/>
      <c r="K1628" s="195"/>
      <c r="L1628" s="195"/>
      <c r="M1628" s="1185"/>
    </row>
    <row r="1629">
      <c r="A1629" s="1185"/>
      <c r="B1629" s="1185"/>
      <c r="C1629" s="1185"/>
      <c r="D1629" s="1185"/>
      <c r="E1629" s="1185"/>
      <c r="F1629" s="1185"/>
      <c r="G1629" s="1186"/>
      <c r="H1629" s="1186"/>
      <c r="I1629" s="195"/>
      <c r="J1629" s="195"/>
      <c r="K1629" s="195"/>
      <c r="L1629" s="195"/>
      <c r="M1629" s="1185"/>
    </row>
    <row r="1630">
      <c r="A1630" s="1185"/>
      <c r="B1630" s="1185"/>
      <c r="C1630" s="1185"/>
      <c r="D1630" s="1185"/>
      <c r="E1630" s="1185"/>
      <c r="F1630" s="1185"/>
      <c r="G1630" s="1186"/>
      <c r="H1630" s="1186"/>
      <c r="I1630" s="195"/>
      <c r="J1630" s="195"/>
      <c r="K1630" s="195"/>
      <c r="L1630" s="195"/>
      <c r="M1630" s="1185"/>
    </row>
    <row r="1631">
      <c r="A1631" s="1185"/>
      <c r="B1631" s="1185"/>
      <c r="C1631" s="1185"/>
      <c r="D1631" s="1185"/>
      <c r="E1631" s="1185"/>
      <c r="F1631" s="1185"/>
      <c r="G1631" s="1186"/>
      <c r="H1631" s="1186"/>
      <c r="I1631" s="195"/>
      <c r="J1631" s="195"/>
      <c r="K1631" s="195"/>
      <c r="L1631" s="195"/>
      <c r="M1631" s="1185"/>
    </row>
    <row r="1632">
      <c r="A1632" s="1185"/>
      <c r="B1632" s="1185"/>
      <c r="C1632" s="1185"/>
      <c r="D1632" s="1185"/>
      <c r="E1632" s="1185"/>
      <c r="F1632" s="1185"/>
      <c r="G1632" s="1186"/>
      <c r="H1632" s="1186"/>
      <c r="I1632" s="195"/>
      <c r="J1632" s="195"/>
      <c r="K1632" s="195"/>
      <c r="L1632" s="195"/>
      <c r="M1632" s="1185"/>
    </row>
    <row r="1633">
      <c r="A1633" s="1185"/>
      <c r="B1633" s="1185"/>
      <c r="C1633" s="1185"/>
      <c r="D1633" s="1185"/>
      <c r="E1633" s="1185"/>
      <c r="F1633" s="1185"/>
      <c r="G1633" s="1186"/>
      <c r="H1633" s="1186"/>
      <c r="I1633" s="195"/>
      <c r="J1633" s="195"/>
      <c r="K1633" s="195"/>
      <c r="L1633" s="195"/>
      <c r="M1633" s="1185"/>
    </row>
    <row r="1634">
      <c r="A1634" s="1185"/>
      <c r="B1634" s="1185"/>
      <c r="C1634" s="1185"/>
      <c r="D1634" s="1185"/>
      <c r="E1634" s="1185"/>
      <c r="F1634" s="1185"/>
      <c r="G1634" s="1186"/>
      <c r="H1634" s="1186"/>
      <c r="I1634" s="195"/>
      <c r="J1634" s="195"/>
      <c r="K1634" s="195"/>
      <c r="L1634" s="195"/>
      <c r="M1634" s="1185"/>
    </row>
    <row r="1635">
      <c r="A1635" s="1185"/>
      <c r="B1635" s="1185"/>
      <c r="C1635" s="1185"/>
      <c r="D1635" s="1185"/>
      <c r="E1635" s="1185"/>
      <c r="F1635" s="1185"/>
      <c r="G1635" s="1186"/>
      <c r="H1635" s="1186"/>
      <c r="I1635" s="195"/>
      <c r="J1635" s="195"/>
      <c r="K1635" s="195"/>
      <c r="L1635" s="195"/>
      <c r="M1635" s="1185"/>
    </row>
    <row r="1636">
      <c r="A1636" s="1185"/>
      <c r="B1636" s="1185"/>
      <c r="C1636" s="1185"/>
      <c r="D1636" s="1185"/>
      <c r="E1636" s="1185"/>
      <c r="F1636" s="1185"/>
      <c r="G1636" s="1186"/>
      <c r="H1636" s="1186"/>
      <c r="I1636" s="195"/>
      <c r="J1636" s="195"/>
      <c r="K1636" s="195"/>
      <c r="L1636" s="195"/>
      <c r="M1636" s="1185"/>
    </row>
    <row r="1637">
      <c r="A1637" s="1185"/>
      <c r="B1637" s="1185"/>
      <c r="C1637" s="1185"/>
      <c r="D1637" s="1185"/>
      <c r="E1637" s="1185"/>
      <c r="F1637" s="1185"/>
      <c r="G1637" s="1186"/>
      <c r="H1637" s="1186"/>
      <c r="I1637" s="195"/>
      <c r="J1637" s="195"/>
      <c r="K1637" s="195"/>
      <c r="L1637" s="195"/>
      <c r="M1637" s="1185"/>
    </row>
    <row r="1638">
      <c r="A1638" s="1185"/>
      <c r="B1638" s="1185"/>
      <c r="C1638" s="1185"/>
      <c r="D1638" s="1185"/>
      <c r="E1638" s="1185"/>
      <c r="F1638" s="1185"/>
      <c r="G1638" s="1186"/>
      <c r="H1638" s="1186"/>
      <c r="I1638" s="195"/>
      <c r="J1638" s="195"/>
      <c r="K1638" s="195"/>
      <c r="L1638" s="195"/>
      <c r="M1638" s="1185"/>
    </row>
    <row r="1639">
      <c r="A1639" s="1185"/>
      <c r="B1639" s="1185"/>
      <c r="C1639" s="1185"/>
      <c r="D1639" s="1185"/>
      <c r="E1639" s="1185"/>
      <c r="F1639" s="1185"/>
      <c r="G1639" s="1186"/>
      <c r="H1639" s="1186"/>
      <c r="I1639" s="195"/>
      <c r="J1639" s="195"/>
      <c r="K1639" s="195"/>
      <c r="L1639" s="195"/>
      <c r="M1639" s="1185"/>
    </row>
    <row r="1640">
      <c r="A1640" s="1185"/>
      <c r="B1640" s="1185"/>
      <c r="C1640" s="1185"/>
      <c r="D1640" s="1185"/>
      <c r="E1640" s="1185"/>
      <c r="F1640" s="1185"/>
      <c r="G1640" s="1186"/>
      <c r="H1640" s="1186"/>
      <c r="I1640" s="195"/>
      <c r="J1640" s="195"/>
      <c r="K1640" s="195"/>
      <c r="L1640" s="195"/>
      <c r="M1640" s="1185"/>
    </row>
    <row r="1641">
      <c r="A1641" s="1185"/>
      <c r="B1641" s="1185"/>
      <c r="C1641" s="1185"/>
      <c r="D1641" s="1185"/>
      <c r="E1641" s="1185"/>
      <c r="F1641" s="1185"/>
      <c r="G1641" s="1186"/>
      <c r="H1641" s="1186"/>
      <c r="I1641" s="195"/>
      <c r="J1641" s="195"/>
      <c r="K1641" s="195"/>
      <c r="L1641" s="195"/>
      <c r="M1641" s="1185"/>
    </row>
    <row r="1642">
      <c r="A1642" s="1185"/>
      <c r="B1642" s="1185"/>
      <c r="C1642" s="1185"/>
      <c r="D1642" s="1185"/>
      <c r="E1642" s="1185"/>
      <c r="F1642" s="1185"/>
      <c r="G1642" s="1186"/>
      <c r="H1642" s="1186"/>
      <c r="I1642" s="195"/>
      <c r="J1642" s="195"/>
      <c r="K1642" s="195"/>
      <c r="L1642" s="195"/>
      <c r="M1642" s="1185"/>
    </row>
    <row r="1643">
      <c r="A1643" s="1185"/>
      <c r="B1643" s="1185"/>
      <c r="C1643" s="1185"/>
      <c r="D1643" s="1185"/>
      <c r="E1643" s="1185"/>
      <c r="F1643" s="1185"/>
      <c r="G1643" s="1186"/>
      <c r="H1643" s="1186"/>
      <c r="I1643" s="195"/>
      <c r="J1643" s="195"/>
      <c r="K1643" s="195"/>
      <c r="L1643" s="195"/>
      <c r="M1643" s="1185"/>
    </row>
    <row r="1644">
      <c r="A1644" s="1185"/>
      <c r="B1644" s="1185"/>
      <c r="C1644" s="1185"/>
      <c r="D1644" s="1185"/>
      <c r="E1644" s="1185"/>
      <c r="F1644" s="1185"/>
      <c r="G1644" s="1186"/>
      <c r="H1644" s="1186"/>
      <c r="I1644" s="195"/>
      <c r="J1644" s="195"/>
      <c r="K1644" s="195"/>
      <c r="L1644" s="195"/>
      <c r="M1644" s="1185"/>
    </row>
    <row r="1645">
      <c r="A1645" s="1185"/>
      <c r="B1645" s="1185"/>
      <c r="C1645" s="1185"/>
      <c r="D1645" s="1185"/>
      <c r="E1645" s="1185"/>
      <c r="F1645" s="1185"/>
      <c r="G1645" s="1186"/>
      <c r="H1645" s="1186"/>
      <c r="I1645" s="195"/>
      <c r="J1645" s="195"/>
      <c r="K1645" s="195"/>
      <c r="L1645" s="195"/>
      <c r="M1645" s="1185"/>
    </row>
    <row r="1646">
      <c r="A1646" s="1185"/>
      <c r="B1646" s="1185"/>
      <c r="C1646" s="1185"/>
      <c r="D1646" s="1185"/>
      <c r="E1646" s="1185"/>
      <c r="F1646" s="1185"/>
      <c r="G1646" s="1186"/>
      <c r="H1646" s="1186"/>
      <c r="I1646" s="195"/>
      <c r="J1646" s="195"/>
      <c r="K1646" s="195"/>
      <c r="L1646" s="195"/>
      <c r="M1646" s="1185"/>
    </row>
    <row r="1647">
      <c r="A1647" s="1185"/>
      <c r="B1647" s="1185"/>
      <c r="C1647" s="1185"/>
      <c r="D1647" s="1185"/>
      <c r="E1647" s="1185"/>
      <c r="F1647" s="1185"/>
      <c r="G1647" s="1186"/>
      <c r="H1647" s="1186"/>
      <c r="I1647" s="195"/>
      <c r="J1647" s="195"/>
      <c r="K1647" s="195"/>
      <c r="L1647" s="195"/>
      <c r="M1647" s="1185"/>
    </row>
    <row r="1648">
      <c r="A1648" s="1185"/>
      <c r="B1648" s="1185"/>
      <c r="C1648" s="1185"/>
      <c r="D1648" s="1185"/>
      <c r="E1648" s="1185"/>
      <c r="F1648" s="1185"/>
      <c r="G1648" s="1186"/>
      <c r="H1648" s="1186"/>
      <c r="I1648" s="195"/>
      <c r="J1648" s="195"/>
      <c r="K1648" s="195"/>
      <c r="L1648" s="195"/>
      <c r="M1648" s="1185"/>
    </row>
    <row r="1649">
      <c r="A1649" s="1185"/>
      <c r="B1649" s="1185"/>
      <c r="C1649" s="1185"/>
      <c r="D1649" s="1185"/>
      <c r="E1649" s="1185"/>
      <c r="F1649" s="1185"/>
      <c r="G1649" s="1186"/>
      <c r="H1649" s="1186"/>
      <c r="I1649" s="195"/>
      <c r="J1649" s="195"/>
      <c r="K1649" s="195"/>
      <c r="L1649" s="195"/>
      <c r="M1649" s="1185"/>
    </row>
    <row r="1650">
      <c r="A1650" s="1185"/>
      <c r="B1650" s="1185"/>
      <c r="C1650" s="1185"/>
      <c r="D1650" s="1185"/>
      <c r="E1650" s="1185"/>
      <c r="F1650" s="1185"/>
      <c r="G1650" s="1186"/>
      <c r="H1650" s="1186"/>
      <c r="I1650" s="195"/>
      <c r="J1650" s="195"/>
      <c r="K1650" s="195"/>
      <c r="L1650" s="195"/>
      <c r="M1650" s="1185"/>
    </row>
    <row r="1651">
      <c r="A1651" s="1185"/>
      <c r="B1651" s="1185"/>
      <c r="C1651" s="1185"/>
      <c r="D1651" s="1185"/>
      <c r="E1651" s="1185"/>
      <c r="F1651" s="1185"/>
      <c r="G1651" s="1186"/>
      <c r="H1651" s="1186"/>
      <c r="I1651" s="195"/>
      <c r="J1651" s="195"/>
      <c r="K1651" s="195"/>
      <c r="L1651" s="195"/>
      <c r="M1651" s="1185"/>
    </row>
    <row r="1652">
      <c r="A1652" s="1185"/>
      <c r="B1652" s="1185"/>
      <c r="C1652" s="1185"/>
      <c r="D1652" s="1185"/>
      <c r="E1652" s="1185"/>
      <c r="F1652" s="1185"/>
      <c r="G1652" s="1186"/>
      <c r="H1652" s="1186"/>
      <c r="I1652" s="195"/>
      <c r="J1652" s="195"/>
      <c r="K1652" s="195"/>
      <c r="L1652" s="195"/>
      <c r="M1652" s="1185"/>
    </row>
    <row r="1653">
      <c r="A1653" s="1185"/>
      <c r="B1653" s="1185"/>
      <c r="C1653" s="1185"/>
      <c r="D1653" s="1185"/>
      <c r="E1653" s="1185"/>
      <c r="F1653" s="1185"/>
      <c r="G1653" s="1186"/>
      <c r="H1653" s="1186"/>
      <c r="I1653" s="195"/>
      <c r="J1653" s="195"/>
      <c r="K1653" s="195"/>
      <c r="L1653" s="195"/>
      <c r="M1653" s="1185"/>
    </row>
    <row r="1654">
      <c r="A1654" s="1185"/>
      <c r="B1654" s="1185"/>
      <c r="C1654" s="1185"/>
      <c r="D1654" s="1185"/>
      <c r="E1654" s="1185"/>
      <c r="F1654" s="1185"/>
      <c r="G1654" s="1186"/>
      <c r="H1654" s="1186"/>
      <c r="I1654" s="195"/>
      <c r="J1654" s="195"/>
      <c r="K1654" s="195"/>
      <c r="L1654" s="195"/>
      <c r="M1654" s="1185"/>
    </row>
    <row r="1655">
      <c r="A1655" s="1185"/>
      <c r="B1655" s="1185"/>
      <c r="C1655" s="1185"/>
      <c r="D1655" s="1185"/>
      <c r="E1655" s="1185"/>
      <c r="F1655" s="1185"/>
      <c r="G1655" s="1186"/>
      <c r="H1655" s="1186"/>
      <c r="I1655" s="195"/>
      <c r="J1655" s="195"/>
      <c r="K1655" s="195"/>
      <c r="L1655" s="195"/>
      <c r="M1655" s="1185"/>
    </row>
    <row r="1656">
      <c r="A1656" s="1185"/>
      <c r="B1656" s="1185"/>
      <c r="C1656" s="1185"/>
      <c r="D1656" s="1185"/>
      <c r="E1656" s="1185"/>
      <c r="F1656" s="1185"/>
      <c r="G1656" s="1186"/>
      <c r="H1656" s="1186"/>
      <c r="I1656" s="195"/>
      <c r="J1656" s="195"/>
      <c r="K1656" s="195"/>
      <c r="L1656" s="195"/>
      <c r="M1656" s="1185"/>
    </row>
    <row r="1657">
      <c r="A1657" s="1185"/>
      <c r="B1657" s="1185"/>
      <c r="C1657" s="1185"/>
      <c r="D1657" s="1185"/>
      <c r="E1657" s="1185"/>
      <c r="F1657" s="1185"/>
      <c r="G1657" s="1186"/>
      <c r="H1657" s="1186"/>
      <c r="I1657" s="195"/>
      <c r="J1657" s="195"/>
      <c r="K1657" s="195"/>
      <c r="L1657" s="195"/>
      <c r="M1657" s="1185"/>
    </row>
    <row r="1658">
      <c r="A1658" s="1185"/>
      <c r="B1658" s="1185"/>
      <c r="C1658" s="1185"/>
      <c r="D1658" s="1185"/>
      <c r="E1658" s="1185"/>
      <c r="F1658" s="1185"/>
      <c r="G1658" s="1186"/>
      <c r="H1658" s="1186"/>
      <c r="I1658" s="195"/>
      <c r="J1658" s="195"/>
      <c r="K1658" s="195"/>
      <c r="L1658" s="195"/>
      <c r="M1658" s="1185"/>
    </row>
    <row r="1659">
      <c r="A1659" s="1185"/>
      <c r="B1659" s="1185"/>
      <c r="C1659" s="1185"/>
      <c r="D1659" s="1185"/>
      <c r="E1659" s="1185"/>
      <c r="F1659" s="1185"/>
      <c r="G1659" s="1186"/>
      <c r="H1659" s="1186"/>
      <c r="I1659" s="195"/>
      <c r="J1659" s="195"/>
      <c r="K1659" s="195"/>
      <c r="L1659" s="195"/>
      <c r="M1659" s="1185"/>
    </row>
    <row r="1660">
      <c r="A1660" s="1185"/>
      <c r="B1660" s="1185"/>
      <c r="C1660" s="1185"/>
      <c r="D1660" s="1185"/>
      <c r="E1660" s="1185"/>
      <c r="F1660" s="1185"/>
      <c r="G1660" s="1186"/>
      <c r="H1660" s="1186"/>
      <c r="I1660" s="195"/>
      <c r="J1660" s="195"/>
      <c r="K1660" s="195"/>
      <c r="L1660" s="195"/>
      <c r="M1660" s="1185"/>
    </row>
    <row r="1661">
      <c r="A1661" s="1185"/>
      <c r="B1661" s="1185"/>
      <c r="C1661" s="1185"/>
      <c r="D1661" s="1185"/>
      <c r="E1661" s="1185"/>
      <c r="F1661" s="1185"/>
      <c r="G1661" s="1186"/>
      <c r="H1661" s="1186"/>
      <c r="I1661" s="195"/>
      <c r="J1661" s="195"/>
      <c r="K1661" s="195"/>
      <c r="L1661" s="195"/>
      <c r="M1661" s="1185"/>
    </row>
    <row r="1662">
      <c r="A1662" s="1185"/>
      <c r="B1662" s="1185"/>
      <c r="C1662" s="1185"/>
      <c r="D1662" s="1185"/>
      <c r="E1662" s="1185"/>
      <c r="F1662" s="1185"/>
      <c r="G1662" s="1186"/>
      <c r="H1662" s="1186"/>
      <c r="I1662" s="195"/>
      <c r="J1662" s="195"/>
      <c r="K1662" s="195"/>
      <c r="L1662" s="195"/>
      <c r="M1662" s="1185"/>
    </row>
    <row r="1663">
      <c r="A1663" s="1185"/>
      <c r="B1663" s="1185"/>
      <c r="C1663" s="1185"/>
      <c r="D1663" s="1185"/>
      <c r="E1663" s="1185"/>
      <c r="F1663" s="1185"/>
      <c r="G1663" s="1186"/>
      <c r="H1663" s="1186"/>
      <c r="I1663" s="195"/>
      <c r="J1663" s="195"/>
      <c r="K1663" s="195"/>
      <c r="L1663" s="195"/>
      <c r="M1663" s="1185"/>
    </row>
    <row r="1664">
      <c r="A1664" s="1185"/>
      <c r="B1664" s="1185"/>
      <c r="C1664" s="1185"/>
      <c r="D1664" s="1185"/>
      <c r="E1664" s="1185"/>
      <c r="F1664" s="1185"/>
      <c r="G1664" s="1186"/>
      <c r="H1664" s="1186"/>
      <c r="I1664" s="195"/>
      <c r="J1664" s="195"/>
      <c r="K1664" s="195"/>
      <c r="L1664" s="195"/>
      <c r="M1664" s="1185"/>
    </row>
    <row r="1665">
      <c r="A1665" s="1185"/>
      <c r="B1665" s="1185"/>
      <c r="C1665" s="1185"/>
      <c r="D1665" s="1185"/>
      <c r="E1665" s="1185"/>
      <c r="F1665" s="1185"/>
      <c r="G1665" s="1186"/>
      <c r="H1665" s="1186"/>
      <c r="I1665" s="195"/>
      <c r="J1665" s="195"/>
      <c r="K1665" s="195"/>
      <c r="L1665" s="195"/>
      <c r="M1665" s="1185"/>
    </row>
    <row r="1666">
      <c r="A1666" s="1185"/>
      <c r="B1666" s="1185"/>
      <c r="C1666" s="1185"/>
      <c r="D1666" s="1185"/>
      <c r="E1666" s="1185"/>
      <c r="F1666" s="1185"/>
      <c r="G1666" s="1186"/>
      <c r="H1666" s="1186"/>
      <c r="I1666" s="195"/>
      <c r="J1666" s="195"/>
      <c r="K1666" s="195"/>
      <c r="L1666" s="195"/>
      <c r="M1666" s="1185"/>
    </row>
    <row r="1667">
      <c r="A1667" s="1185"/>
      <c r="B1667" s="1185"/>
      <c r="C1667" s="1185"/>
      <c r="D1667" s="1185"/>
      <c r="E1667" s="1185"/>
      <c r="F1667" s="1185"/>
      <c r="G1667" s="1186"/>
      <c r="H1667" s="1186"/>
      <c r="I1667" s="195"/>
      <c r="J1667" s="195"/>
      <c r="K1667" s="195"/>
      <c r="L1667" s="195"/>
      <c r="M1667" s="1185"/>
    </row>
    <row r="1668">
      <c r="A1668" s="1185"/>
      <c r="B1668" s="1185"/>
      <c r="C1668" s="1185"/>
      <c r="D1668" s="1185"/>
      <c r="E1668" s="1185"/>
      <c r="F1668" s="1185"/>
      <c r="G1668" s="1186"/>
      <c r="H1668" s="1186"/>
      <c r="I1668" s="195"/>
      <c r="J1668" s="195"/>
      <c r="K1668" s="195"/>
      <c r="L1668" s="195"/>
      <c r="M1668" s="1185"/>
    </row>
    <row r="1669">
      <c r="A1669" s="1185"/>
      <c r="B1669" s="1185"/>
      <c r="C1669" s="1185"/>
      <c r="D1669" s="1185"/>
      <c r="E1669" s="1185"/>
      <c r="F1669" s="1185"/>
      <c r="G1669" s="1186"/>
      <c r="H1669" s="1186"/>
      <c r="I1669" s="195"/>
      <c r="J1669" s="195"/>
      <c r="K1669" s="195"/>
      <c r="L1669" s="195"/>
      <c r="M1669" s="1185"/>
    </row>
    <row r="1670">
      <c r="A1670" s="1185"/>
      <c r="B1670" s="1185"/>
      <c r="C1670" s="1185"/>
      <c r="D1670" s="1185"/>
      <c r="E1670" s="1185"/>
      <c r="F1670" s="1185"/>
      <c r="G1670" s="1186"/>
      <c r="H1670" s="1186"/>
      <c r="I1670" s="195"/>
      <c r="J1670" s="195"/>
      <c r="K1670" s="195"/>
      <c r="L1670" s="195"/>
      <c r="M1670" s="1185"/>
    </row>
    <row r="1671">
      <c r="A1671" s="1185"/>
      <c r="B1671" s="1185"/>
      <c r="C1671" s="1185"/>
      <c r="D1671" s="1185"/>
      <c r="E1671" s="1185"/>
      <c r="F1671" s="1185"/>
      <c r="G1671" s="1186"/>
      <c r="H1671" s="1186"/>
      <c r="I1671" s="195"/>
      <c r="J1671" s="195"/>
      <c r="K1671" s="195"/>
      <c r="L1671" s="195"/>
      <c r="M1671" s="1185"/>
    </row>
    <row r="1672">
      <c r="A1672" s="1185"/>
      <c r="B1672" s="1185"/>
      <c r="C1672" s="1185"/>
      <c r="D1672" s="1185"/>
      <c r="E1672" s="1185"/>
      <c r="F1672" s="1185"/>
      <c r="G1672" s="1186"/>
      <c r="H1672" s="1186"/>
      <c r="I1672" s="195"/>
      <c r="J1672" s="195"/>
      <c r="K1672" s="195"/>
      <c r="L1672" s="195"/>
      <c r="M1672" s="1185"/>
    </row>
    <row r="1673">
      <c r="A1673" s="1185"/>
      <c r="B1673" s="1185"/>
      <c r="C1673" s="1185"/>
      <c r="D1673" s="1185"/>
      <c r="E1673" s="1185"/>
      <c r="F1673" s="1185"/>
      <c r="G1673" s="1186"/>
      <c r="H1673" s="1186"/>
      <c r="I1673" s="195"/>
      <c r="J1673" s="195"/>
      <c r="K1673" s="195"/>
      <c r="L1673" s="195"/>
      <c r="M1673" s="1185"/>
    </row>
    <row r="1674">
      <c r="A1674" s="1185"/>
      <c r="B1674" s="1185"/>
      <c r="C1674" s="1185"/>
      <c r="D1674" s="1185"/>
      <c r="E1674" s="1185"/>
      <c r="F1674" s="1185"/>
      <c r="G1674" s="1186"/>
      <c r="H1674" s="1186"/>
      <c r="I1674" s="195"/>
      <c r="J1674" s="195"/>
      <c r="K1674" s="195"/>
      <c r="L1674" s="195"/>
      <c r="M1674" s="1185"/>
    </row>
    <row r="1675">
      <c r="A1675" s="1185"/>
      <c r="B1675" s="1185"/>
      <c r="C1675" s="1185"/>
      <c r="D1675" s="1185"/>
      <c r="E1675" s="1185"/>
      <c r="F1675" s="1185"/>
      <c r="G1675" s="1186"/>
      <c r="H1675" s="1186"/>
      <c r="I1675" s="195"/>
      <c r="J1675" s="195"/>
      <c r="K1675" s="195"/>
      <c r="L1675" s="195"/>
      <c r="M1675" s="1185"/>
    </row>
    <row r="1676">
      <c r="A1676" s="1185"/>
      <c r="B1676" s="1185"/>
      <c r="C1676" s="1185"/>
      <c r="D1676" s="1185"/>
      <c r="E1676" s="1185"/>
      <c r="F1676" s="1185"/>
      <c r="G1676" s="1186"/>
      <c r="H1676" s="1186"/>
      <c r="I1676" s="195"/>
      <c r="J1676" s="195"/>
      <c r="K1676" s="195"/>
      <c r="L1676" s="195"/>
      <c r="M1676" s="1185"/>
    </row>
    <row r="1677">
      <c r="A1677" s="1185"/>
      <c r="B1677" s="1185"/>
      <c r="C1677" s="1185"/>
      <c r="D1677" s="1185"/>
      <c r="E1677" s="1185"/>
      <c r="F1677" s="1185"/>
      <c r="G1677" s="1186"/>
      <c r="H1677" s="1186"/>
      <c r="I1677" s="195"/>
      <c r="J1677" s="195"/>
      <c r="K1677" s="195"/>
      <c r="L1677" s="195"/>
      <c r="M1677" s="1185"/>
    </row>
    <row r="1678">
      <c r="A1678" s="1185"/>
      <c r="B1678" s="1185"/>
      <c r="C1678" s="1185"/>
      <c r="D1678" s="1185"/>
      <c r="E1678" s="1185"/>
      <c r="F1678" s="1185"/>
      <c r="G1678" s="1186"/>
      <c r="H1678" s="1186"/>
      <c r="I1678" s="195"/>
      <c r="J1678" s="195"/>
      <c r="K1678" s="195"/>
      <c r="L1678" s="195"/>
      <c r="M1678" s="1185"/>
    </row>
    <row r="1679">
      <c r="A1679" s="1185"/>
      <c r="B1679" s="1185"/>
      <c r="C1679" s="1185"/>
      <c r="D1679" s="1185"/>
      <c r="E1679" s="1185"/>
      <c r="F1679" s="1185"/>
      <c r="G1679" s="1186"/>
      <c r="H1679" s="1186"/>
      <c r="I1679" s="195"/>
      <c r="J1679" s="195"/>
      <c r="K1679" s="195"/>
      <c r="L1679" s="195"/>
      <c r="M1679" s="1185"/>
    </row>
    <row r="1680">
      <c r="A1680" s="1185"/>
      <c r="B1680" s="1185"/>
      <c r="C1680" s="1185"/>
      <c r="D1680" s="1185"/>
      <c r="E1680" s="1185"/>
      <c r="F1680" s="1185"/>
      <c r="G1680" s="1186"/>
      <c r="H1680" s="1186"/>
      <c r="I1680" s="195"/>
      <c r="J1680" s="195"/>
      <c r="K1680" s="195"/>
      <c r="L1680" s="195"/>
      <c r="M1680" s="1185"/>
    </row>
    <row r="1681">
      <c r="A1681" s="1185"/>
      <c r="B1681" s="1185"/>
      <c r="C1681" s="1185"/>
      <c r="D1681" s="1185"/>
      <c r="E1681" s="1185"/>
      <c r="F1681" s="1185"/>
      <c r="G1681" s="1186"/>
      <c r="H1681" s="1186"/>
      <c r="I1681" s="195"/>
      <c r="J1681" s="195"/>
      <c r="K1681" s="195"/>
      <c r="L1681" s="195"/>
      <c r="M1681" s="1185"/>
    </row>
    <row r="1682">
      <c r="A1682" s="1185"/>
      <c r="B1682" s="1185"/>
      <c r="C1682" s="1185"/>
      <c r="D1682" s="1185"/>
      <c r="E1682" s="1185"/>
      <c r="F1682" s="1185"/>
      <c r="G1682" s="1186"/>
      <c r="H1682" s="1186"/>
      <c r="I1682" s="195"/>
      <c r="J1682" s="195"/>
      <c r="K1682" s="195"/>
      <c r="L1682" s="195"/>
      <c r="M1682" s="1185"/>
    </row>
    <row r="1683">
      <c r="A1683" s="1185"/>
      <c r="B1683" s="1185"/>
      <c r="C1683" s="1185"/>
      <c r="D1683" s="1185"/>
      <c r="E1683" s="1185"/>
      <c r="F1683" s="1185"/>
      <c r="G1683" s="1186"/>
      <c r="H1683" s="1186"/>
      <c r="I1683" s="195"/>
      <c r="J1683" s="195"/>
      <c r="K1683" s="195"/>
      <c r="L1683" s="195"/>
      <c r="M1683" s="1185"/>
    </row>
    <row r="1684">
      <c r="A1684" s="1185"/>
      <c r="B1684" s="1185"/>
      <c r="C1684" s="1185"/>
      <c r="D1684" s="1185"/>
      <c r="E1684" s="1185"/>
      <c r="F1684" s="1185"/>
      <c r="G1684" s="1186"/>
      <c r="H1684" s="1186"/>
      <c r="I1684" s="195"/>
      <c r="J1684" s="195"/>
      <c r="K1684" s="195"/>
      <c r="L1684" s="195"/>
      <c r="M1684" s="1185"/>
    </row>
    <row r="1685">
      <c r="A1685" s="1185"/>
      <c r="B1685" s="1185"/>
      <c r="C1685" s="1185"/>
      <c r="D1685" s="1185"/>
      <c r="E1685" s="1185"/>
      <c r="F1685" s="1185"/>
      <c r="G1685" s="1186"/>
      <c r="H1685" s="1186"/>
      <c r="I1685" s="195"/>
      <c r="J1685" s="195"/>
      <c r="K1685" s="195"/>
      <c r="L1685" s="195"/>
      <c r="M1685" s="1185"/>
    </row>
    <row r="1686">
      <c r="A1686" s="1185"/>
      <c r="B1686" s="1185"/>
      <c r="C1686" s="1185"/>
      <c r="D1686" s="1185"/>
      <c r="E1686" s="1185"/>
      <c r="F1686" s="1185"/>
      <c r="G1686" s="1186"/>
      <c r="H1686" s="1186"/>
      <c r="I1686" s="195"/>
      <c r="J1686" s="195"/>
      <c r="K1686" s="195"/>
      <c r="L1686" s="195"/>
      <c r="M1686" s="1185"/>
    </row>
    <row r="1687">
      <c r="A1687" s="1185"/>
      <c r="B1687" s="1185"/>
      <c r="C1687" s="1185"/>
      <c r="D1687" s="1185"/>
      <c r="E1687" s="1185"/>
      <c r="F1687" s="1185"/>
      <c r="G1687" s="1186"/>
      <c r="H1687" s="1186"/>
      <c r="I1687" s="195"/>
      <c r="J1687" s="195"/>
      <c r="K1687" s="195"/>
      <c r="L1687" s="195"/>
      <c r="M1687" s="1185"/>
    </row>
    <row r="1688">
      <c r="A1688" s="1185"/>
      <c r="B1688" s="1185"/>
      <c r="C1688" s="1185"/>
      <c r="D1688" s="1185"/>
      <c r="E1688" s="1185"/>
      <c r="F1688" s="1185"/>
      <c r="G1688" s="1186"/>
      <c r="H1688" s="1186"/>
      <c r="I1688" s="195"/>
      <c r="J1688" s="195"/>
      <c r="K1688" s="195"/>
      <c r="L1688" s="195"/>
      <c r="M1688" s="1185"/>
    </row>
    <row r="1689">
      <c r="A1689" s="1185"/>
      <c r="B1689" s="1185"/>
      <c r="C1689" s="1185"/>
      <c r="D1689" s="1185"/>
      <c r="E1689" s="1185"/>
      <c r="F1689" s="1185"/>
      <c r="G1689" s="1186"/>
      <c r="H1689" s="1186"/>
      <c r="I1689" s="195"/>
      <c r="J1689" s="195"/>
      <c r="K1689" s="195"/>
      <c r="L1689" s="195"/>
      <c r="M1689" s="1185"/>
    </row>
    <row r="1690">
      <c r="A1690" s="1185"/>
      <c r="B1690" s="1185"/>
      <c r="C1690" s="1185"/>
      <c r="D1690" s="1185"/>
      <c r="E1690" s="1185"/>
      <c r="F1690" s="1185"/>
      <c r="G1690" s="1186"/>
      <c r="H1690" s="1186"/>
      <c r="I1690" s="195"/>
      <c r="J1690" s="195"/>
      <c r="K1690" s="195"/>
      <c r="L1690" s="195"/>
      <c r="M1690" s="1185"/>
    </row>
    <row r="1691">
      <c r="A1691" s="1185"/>
      <c r="B1691" s="1185"/>
      <c r="C1691" s="1185"/>
      <c r="D1691" s="1185"/>
      <c r="E1691" s="1185"/>
      <c r="F1691" s="1185"/>
      <c r="G1691" s="1186"/>
      <c r="H1691" s="1186"/>
      <c r="I1691" s="195"/>
      <c r="J1691" s="195"/>
      <c r="K1691" s="195"/>
      <c r="L1691" s="195"/>
      <c r="M1691" s="1185"/>
    </row>
    <row r="1692">
      <c r="A1692" s="1185"/>
      <c r="B1692" s="1185"/>
      <c r="C1692" s="1185"/>
      <c r="D1692" s="1185"/>
      <c r="E1692" s="1185"/>
      <c r="F1692" s="1185"/>
      <c r="G1692" s="1186"/>
      <c r="H1692" s="1186"/>
      <c r="I1692" s="195"/>
      <c r="J1692" s="195"/>
      <c r="K1692" s="195"/>
      <c r="L1692" s="195"/>
      <c r="M1692" s="1185"/>
    </row>
    <row r="1693">
      <c r="A1693" s="1185"/>
      <c r="B1693" s="1185"/>
      <c r="C1693" s="1185"/>
      <c r="D1693" s="1185"/>
      <c r="E1693" s="1185"/>
      <c r="F1693" s="1185"/>
      <c r="G1693" s="1186"/>
      <c r="H1693" s="1186"/>
      <c r="I1693" s="195"/>
      <c r="J1693" s="195"/>
      <c r="K1693" s="195"/>
      <c r="L1693" s="195"/>
      <c r="M1693" s="1185"/>
    </row>
    <row r="1694">
      <c r="A1694" s="1185"/>
      <c r="B1694" s="1185"/>
      <c r="C1694" s="1185"/>
      <c r="D1694" s="1185"/>
      <c r="E1694" s="1185"/>
      <c r="F1694" s="1185"/>
      <c r="G1694" s="1186"/>
      <c r="H1694" s="1186"/>
      <c r="I1694" s="195"/>
      <c r="J1694" s="195"/>
      <c r="K1694" s="195"/>
      <c r="L1694" s="195"/>
      <c r="M1694" s="1185"/>
    </row>
    <row r="1695">
      <c r="A1695" s="1185"/>
      <c r="B1695" s="1185"/>
      <c r="C1695" s="1185"/>
      <c r="D1695" s="1185"/>
      <c r="E1695" s="1185"/>
      <c r="F1695" s="1185"/>
      <c r="G1695" s="1186"/>
      <c r="H1695" s="1186"/>
      <c r="I1695" s="195"/>
      <c r="J1695" s="195"/>
      <c r="K1695" s="195"/>
      <c r="L1695" s="195"/>
      <c r="M1695" s="1185"/>
    </row>
    <row r="1696">
      <c r="A1696" s="1185"/>
      <c r="B1696" s="1185"/>
      <c r="C1696" s="1185"/>
      <c r="D1696" s="1185"/>
      <c r="E1696" s="1185"/>
      <c r="F1696" s="1185"/>
      <c r="G1696" s="1186"/>
      <c r="H1696" s="1186"/>
      <c r="I1696" s="195"/>
      <c r="J1696" s="195"/>
      <c r="K1696" s="195"/>
      <c r="L1696" s="195"/>
      <c r="M1696" s="1185"/>
    </row>
    <row r="1697">
      <c r="A1697" s="1185"/>
      <c r="B1697" s="1185"/>
      <c r="C1697" s="1185"/>
      <c r="D1697" s="1185"/>
      <c r="E1697" s="1185"/>
      <c r="F1697" s="1185"/>
      <c r="G1697" s="1186"/>
      <c r="H1697" s="1186"/>
      <c r="I1697" s="195"/>
      <c r="J1697" s="195"/>
      <c r="K1697" s="195"/>
      <c r="L1697" s="195"/>
      <c r="M1697" s="1185"/>
    </row>
    <row r="1698">
      <c r="A1698" s="1185"/>
      <c r="B1698" s="1185"/>
      <c r="C1698" s="1185"/>
      <c r="D1698" s="1185"/>
      <c r="E1698" s="1185"/>
      <c r="F1698" s="1185"/>
      <c r="G1698" s="1186"/>
      <c r="H1698" s="1186"/>
      <c r="I1698" s="195"/>
      <c r="J1698" s="195"/>
      <c r="K1698" s="195"/>
      <c r="L1698" s="195"/>
      <c r="M1698" s="1185"/>
    </row>
    <row r="1699">
      <c r="A1699" s="1185"/>
      <c r="B1699" s="1185"/>
      <c r="C1699" s="1185"/>
      <c r="D1699" s="1185"/>
      <c r="E1699" s="1185"/>
      <c r="F1699" s="1185"/>
      <c r="G1699" s="1186"/>
      <c r="H1699" s="1186"/>
      <c r="I1699" s="195"/>
      <c r="J1699" s="195"/>
      <c r="K1699" s="195"/>
      <c r="L1699" s="195"/>
      <c r="M1699" s="1185"/>
    </row>
    <row r="1700">
      <c r="A1700" s="1185"/>
      <c r="B1700" s="1185"/>
      <c r="C1700" s="1185"/>
      <c r="D1700" s="1185"/>
      <c r="E1700" s="1185"/>
      <c r="F1700" s="1185"/>
      <c r="G1700" s="1186"/>
      <c r="H1700" s="1186"/>
      <c r="I1700" s="195"/>
      <c r="J1700" s="195"/>
      <c r="K1700" s="195"/>
      <c r="L1700" s="195"/>
      <c r="M1700" s="1185"/>
    </row>
    <row r="1701">
      <c r="A1701" s="1185"/>
      <c r="B1701" s="1185"/>
      <c r="C1701" s="1185"/>
      <c r="D1701" s="1185"/>
      <c r="E1701" s="1185"/>
      <c r="F1701" s="1185"/>
      <c r="G1701" s="1186"/>
      <c r="H1701" s="1186"/>
      <c r="I1701" s="195"/>
      <c r="J1701" s="195"/>
      <c r="K1701" s="195"/>
      <c r="L1701" s="195"/>
      <c r="M1701" s="1185"/>
    </row>
    <row r="1702">
      <c r="A1702" s="1185"/>
      <c r="B1702" s="1185"/>
      <c r="C1702" s="1185"/>
      <c r="D1702" s="1185"/>
      <c r="E1702" s="1185"/>
      <c r="F1702" s="1185"/>
      <c r="G1702" s="1186"/>
      <c r="H1702" s="1186"/>
      <c r="I1702" s="195"/>
      <c r="J1702" s="195"/>
      <c r="K1702" s="195"/>
      <c r="L1702" s="195"/>
      <c r="M1702" s="1185"/>
    </row>
    <row r="1703">
      <c r="A1703" s="1185"/>
      <c r="B1703" s="1185"/>
      <c r="C1703" s="1185"/>
      <c r="D1703" s="1185"/>
      <c r="E1703" s="1185"/>
      <c r="F1703" s="1185"/>
      <c r="G1703" s="1186"/>
      <c r="H1703" s="1186"/>
      <c r="I1703" s="195"/>
      <c r="J1703" s="195"/>
      <c r="K1703" s="195"/>
      <c r="L1703" s="195"/>
      <c r="M1703" s="1185"/>
    </row>
    <row r="1704">
      <c r="A1704" s="1185"/>
      <c r="B1704" s="1185"/>
      <c r="C1704" s="1185"/>
      <c r="D1704" s="1185"/>
      <c r="E1704" s="1185"/>
      <c r="F1704" s="1185"/>
      <c r="G1704" s="1186"/>
      <c r="H1704" s="1186"/>
      <c r="I1704" s="195"/>
      <c r="J1704" s="195"/>
      <c r="K1704" s="195"/>
      <c r="L1704" s="195"/>
      <c r="M1704" s="1185"/>
    </row>
    <row r="1705">
      <c r="A1705" s="1185"/>
      <c r="B1705" s="1185"/>
      <c r="C1705" s="1185"/>
      <c r="D1705" s="1185"/>
      <c r="E1705" s="1185"/>
      <c r="F1705" s="1185"/>
      <c r="G1705" s="1186"/>
      <c r="H1705" s="1186"/>
      <c r="I1705" s="195"/>
      <c r="J1705" s="195"/>
      <c r="K1705" s="195"/>
      <c r="L1705" s="195"/>
      <c r="M1705" s="1185"/>
    </row>
    <row r="1706">
      <c r="A1706" s="1185"/>
      <c r="B1706" s="1185"/>
      <c r="C1706" s="1185"/>
      <c r="D1706" s="1185"/>
      <c r="E1706" s="1185"/>
      <c r="F1706" s="1185"/>
      <c r="G1706" s="1186"/>
      <c r="H1706" s="1186"/>
      <c r="I1706" s="195"/>
      <c r="J1706" s="195"/>
      <c r="K1706" s="195"/>
      <c r="L1706" s="195"/>
      <c r="M1706" s="1185"/>
    </row>
    <row r="1707">
      <c r="A1707" s="1185"/>
      <c r="B1707" s="1185"/>
      <c r="C1707" s="1185"/>
      <c r="D1707" s="1185"/>
      <c r="E1707" s="1185"/>
      <c r="F1707" s="1185"/>
      <c r="G1707" s="1186"/>
      <c r="H1707" s="1186"/>
      <c r="I1707" s="195"/>
      <c r="J1707" s="195"/>
      <c r="K1707" s="195"/>
      <c r="L1707" s="195"/>
      <c r="M1707" s="1185"/>
    </row>
    <row r="1708">
      <c r="A1708" s="1185"/>
      <c r="B1708" s="1185"/>
      <c r="C1708" s="1185"/>
      <c r="D1708" s="1185"/>
      <c r="E1708" s="1185"/>
      <c r="F1708" s="1185"/>
      <c r="G1708" s="1186"/>
      <c r="H1708" s="1186"/>
      <c r="I1708" s="195"/>
      <c r="J1708" s="195"/>
      <c r="K1708" s="195"/>
      <c r="L1708" s="195"/>
      <c r="M1708" s="1185"/>
    </row>
    <row r="1709">
      <c r="A1709" s="1185"/>
      <c r="B1709" s="1185"/>
      <c r="C1709" s="1185"/>
      <c r="D1709" s="1185"/>
      <c r="E1709" s="1185"/>
      <c r="F1709" s="1185"/>
      <c r="G1709" s="1186"/>
      <c r="H1709" s="1186"/>
      <c r="I1709" s="195"/>
      <c r="J1709" s="195"/>
      <c r="K1709" s="195"/>
      <c r="L1709" s="195"/>
      <c r="M1709" s="1185"/>
    </row>
    <row r="1710">
      <c r="A1710" s="1185"/>
      <c r="B1710" s="1185"/>
      <c r="C1710" s="1185"/>
      <c r="D1710" s="1185"/>
      <c r="E1710" s="1185"/>
      <c r="F1710" s="1185"/>
      <c r="G1710" s="1186"/>
      <c r="H1710" s="1186"/>
      <c r="I1710" s="195"/>
      <c r="J1710" s="195"/>
      <c r="K1710" s="195"/>
      <c r="L1710" s="195"/>
      <c r="M1710" s="1185"/>
    </row>
    <row r="1711">
      <c r="A1711" s="1185"/>
      <c r="B1711" s="1185"/>
      <c r="C1711" s="1185"/>
      <c r="D1711" s="1185"/>
      <c r="E1711" s="1185"/>
      <c r="F1711" s="1185"/>
      <c r="G1711" s="1186"/>
      <c r="H1711" s="1186"/>
      <c r="I1711" s="195"/>
      <c r="J1711" s="195"/>
      <c r="K1711" s="195"/>
      <c r="L1711" s="195"/>
      <c r="M1711" s="1185"/>
    </row>
    <row r="1712">
      <c r="A1712" s="1185"/>
      <c r="B1712" s="1185"/>
      <c r="C1712" s="1185"/>
      <c r="D1712" s="1185"/>
      <c r="E1712" s="1185"/>
      <c r="F1712" s="1185"/>
      <c r="G1712" s="1186"/>
      <c r="H1712" s="1186"/>
      <c r="I1712" s="195"/>
      <c r="J1712" s="195"/>
      <c r="K1712" s="195"/>
      <c r="L1712" s="195"/>
      <c r="M1712" s="1185"/>
    </row>
    <row r="1713">
      <c r="A1713" s="1185"/>
      <c r="B1713" s="1185"/>
      <c r="C1713" s="1185"/>
      <c r="D1713" s="1185"/>
      <c r="E1713" s="1185"/>
      <c r="F1713" s="1185"/>
      <c r="G1713" s="1186"/>
      <c r="H1713" s="1186"/>
      <c r="I1713" s="195"/>
      <c r="J1713" s="195"/>
      <c r="K1713" s="195"/>
      <c r="L1713" s="195"/>
      <c r="M1713" s="1185"/>
    </row>
    <row r="1714">
      <c r="A1714" s="1185"/>
      <c r="B1714" s="1185"/>
      <c r="C1714" s="1185"/>
      <c r="D1714" s="1185"/>
      <c r="E1714" s="1185"/>
      <c r="F1714" s="1185"/>
      <c r="G1714" s="1186"/>
      <c r="H1714" s="1186"/>
      <c r="I1714" s="195"/>
      <c r="J1714" s="195"/>
      <c r="K1714" s="195"/>
      <c r="L1714" s="195"/>
      <c r="M1714" s="1185"/>
    </row>
    <row r="1715">
      <c r="A1715" s="1185"/>
      <c r="B1715" s="1185"/>
      <c r="C1715" s="1185"/>
      <c r="D1715" s="1185"/>
      <c r="E1715" s="1185"/>
      <c r="F1715" s="1185"/>
      <c r="G1715" s="1186"/>
      <c r="H1715" s="1186"/>
      <c r="I1715" s="195"/>
      <c r="J1715" s="195"/>
      <c r="K1715" s="195"/>
      <c r="L1715" s="195"/>
      <c r="M1715" s="1185"/>
    </row>
    <row r="1716">
      <c r="A1716" s="1185"/>
      <c r="B1716" s="1185"/>
      <c r="C1716" s="1185"/>
      <c r="D1716" s="1185"/>
      <c r="E1716" s="1185"/>
      <c r="F1716" s="1185"/>
      <c r="G1716" s="1186"/>
      <c r="H1716" s="1186"/>
      <c r="I1716" s="195"/>
      <c r="J1716" s="195"/>
      <c r="K1716" s="195"/>
      <c r="L1716" s="195"/>
      <c r="M1716" s="1185"/>
    </row>
    <row r="1717">
      <c r="A1717" s="1185"/>
      <c r="B1717" s="1185"/>
      <c r="C1717" s="1185"/>
      <c r="D1717" s="1185"/>
      <c r="E1717" s="1185"/>
      <c r="F1717" s="1185"/>
      <c r="G1717" s="1186"/>
      <c r="H1717" s="1186"/>
      <c r="I1717" s="195"/>
      <c r="J1717" s="195"/>
      <c r="K1717" s="195"/>
      <c r="L1717" s="195"/>
      <c r="M1717" s="1185"/>
    </row>
    <row r="1718">
      <c r="A1718" s="1185"/>
      <c r="B1718" s="1185"/>
      <c r="C1718" s="1185"/>
      <c r="D1718" s="1185"/>
      <c r="E1718" s="1185"/>
      <c r="F1718" s="1185"/>
      <c r="G1718" s="1186"/>
      <c r="H1718" s="1186"/>
      <c r="I1718" s="195"/>
      <c r="J1718" s="195"/>
      <c r="K1718" s="195"/>
      <c r="L1718" s="195"/>
      <c r="M1718" s="1185"/>
    </row>
    <row r="1719">
      <c r="A1719" s="1185"/>
      <c r="B1719" s="1185"/>
      <c r="C1719" s="1185"/>
      <c r="D1719" s="1185"/>
      <c r="E1719" s="1185"/>
      <c r="F1719" s="1185"/>
      <c r="G1719" s="1186"/>
      <c r="H1719" s="1186"/>
      <c r="I1719" s="195"/>
      <c r="J1719" s="195"/>
      <c r="K1719" s="195"/>
      <c r="L1719" s="195"/>
      <c r="M1719" s="1185"/>
    </row>
    <row r="1720">
      <c r="A1720" s="1185"/>
      <c r="B1720" s="1185"/>
      <c r="C1720" s="1185"/>
      <c r="D1720" s="1185"/>
      <c r="E1720" s="1185"/>
      <c r="F1720" s="1185"/>
      <c r="G1720" s="1186"/>
      <c r="H1720" s="1186"/>
      <c r="I1720" s="195"/>
      <c r="J1720" s="195"/>
      <c r="K1720" s="195"/>
      <c r="L1720" s="195"/>
      <c r="M1720" s="1185"/>
    </row>
    <row r="1721">
      <c r="A1721" s="1185"/>
      <c r="B1721" s="1185"/>
      <c r="C1721" s="1185"/>
      <c r="D1721" s="1185"/>
      <c r="E1721" s="1185"/>
      <c r="F1721" s="1185"/>
      <c r="G1721" s="1186"/>
      <c r="H1721" s="1186"/>
      <c r="I1721" s="195"/>
      <c r="J1721" s="195"/>
      <c r="K1721" s="195"/>
      <c r="L1721" s="195"/>
      <c r="M1721" s="1185"/>
    </row>
    <row r="1722">
      <c r="A1722" s="1185"/>
      <c r="B1722" s="1185"/>
      <c r="C1722" s="1185"/>
      <c r="D1722" s="1185"/>
      <c r="E1722" s="1185"/>
      <c r="F1722" s="1185"/>
      <c r="G1722" s="1186"/>
      <c r="H1722" s="1186"/>
      <c r="I1722" s="195"/>
      <c r="J1722" s="195"/>
      <c r="K1722" s="195"/>
      <c r="L1722" s="195"/>
      <c r="M1722" s="1185"/>
    </row>
    <row r="1723">
      <c r="A1723" s="1185"/>
      <c r="B1723" s="1185"/>
      <c r="C1723" s="1185"/>
      <c r="D1723" s="1185"/>
      <c r="E1723" s="1185"/>
      <c r="F1723" s="1185"/>
      <c r="G1723" s="1186"/>
      <c r="H1723" s="1186"/>
      <c r="I1723" s="195"/>
      <c r="J1723" s="195"/>
      <c r="K1723" s="195"/>
      <c r="L1723" s="195"/>
      <c r="M1723" s="1185"/>
    </row>
    <row r="1724">
      <c r="A1724" s="1185"/>
      <c r="B1724" s="1185"/>
      <c r="C1724" s="1185"/>
      <c r="D1724" s="1185"/>
      <c r="E1724" s="1185"/>
      <c r="F1724" s="1185"/>
      <c r="G1724" s="1186"/>
      <c r="H1724" s="1186"/>
      <c r="I1724" s="195"/>
      <c r="J1724" s="195"/>
      <c r="K1724" s="195"/>
      <c r="L1724" s="195"/>
      <c r="M1724" s="1185"/>
    </row>
    <row r="1725">
      <c r="A1725" s="1185"/>
      <c r="B1725" s="1185"/>
      <c r="C1725" s="1185"/>
      <c r="D1725" s="1185"/>
      <c r="E1725" s="1185"/>
      <c r="F1725" s="1185"/>
      <c r="G1725" s="1186"/>
      <c r="H1725" s="1186"/>
      <c r="I1725" s="195"/>
      <c r="J1725" s="195"/>
      <c r="K1725" s="195"/>
      <c r="L1725" s="195"/>
      <c r="M1725" s="1185"/>
    </row>
    <row r="1726">
      <c r="A1726" s="1185"/>
      <c r="B1726" s="1185"/>
      <c r="C1726" s="1185"/>
      <c r="D1726" s="1185"/>
      <c r="E1726" s="1185"/>
      <c r="F1726" s="1185"/>
      <c r="G1726" s="1186"/>
      <c r="H1726" s="1186"/>
      <c r="I1726" s="195"/>
      <c r="J1726" s="195"/>
      <c r="K1726" s="195"/>
      <c r="L1726" s="195"/>
      <c r="M1726" s="1185"/>
    </row>
    <row r="1727">
      <c r="A1727" s="1185"/>
      <c r="B1727" s="1185"/>
      <c r="C1727" s="1185"/>
      <c r="D1727" s="1185"/>
      <c r="E1727" s="1185"/>
      <c r="F1727" s="1185"/>
      <c r="G1727" s="1186"/>
      <c r="H1727" s="1186"/>
      <c r="I1727" s="195"/>
      <c r="J1727" s="195"/>
      <c r="K1727" s="195"/>
      <c r="L1727" s="195"/>
      <c r="M1727" s="1185"/>
    </row>
    <row r="1728">
      <c r="A1728" s="1185"/>
      <c r="B1728" s="1185"/>
      <c r="C1728" s="1185"/>
      <c r="D1728" s="1185"/>
      <c r="E1728" s="1185"/>
      <c r="F1728" s="1185"/>
      <c r="G1728" s="1186"/>
      <c r="H1728" s="1186"/>
      <c r="I1728" s="195"/>
      <c r="J1728" s="195"/>
      <c r="K1728" s="195"/>
      <c r="L1728" s="195"/>
      <c r="M1728" s="1185"/>
    </row>
    <row r="1729">
      <c r="A1729" s="1185"/>
      <c r="B1729" s="1185"/>
      <c r="C1729" s="1185"/>
      <c r="D1729" s="1185"/>
      <c r="E1729" s="1185"/>
      <c r="F1729" s="1185"/>
      <c r="G1729" s="1186"/>
      <c r="H1729" s="1186"/>
      <c r="I1729" s="195"/>
      <c r="J1729" s="195"/>
      <c r="K1729" s="195"/>
      <c r="L1729" s="195"/>
      <c r="M1729" s="1185"/>
    </row>
    <row r="1730">
      <c r="A1730" s="1185"/>
      <c r="B1730" s="1185"/>
      <c r="C1730" s="1185"/>
      <c r="D1730" s="1185"/>
      <c r="E1730" s="1185"/>
      <c r="F1730" s="1185"/>
      <c r="G1730" s="1186"/>
      <c r="H1730" s="1186"/>
      <c r="I1730" s="195"/>
      <c r="J1730" s="195"/>
      <c r="K1730" s="195"/>
      <c r="L1730" s="195"/>
      <c r="M1730" s="1185"/>
    </row>
    <row r="1731">
      <c r="A1731" s="1185"/>
      <c r="B1731" s="1185"/>
      <c r="C1731" s="1185"/>
      <c r="D1731" s="1185"/>
      <c r="E1731" s="1185"/>
      <c r="F1731" s="1185"/>
      <c r="G1731" s="1186"/>
      <c r="H1731" s="1186"/>
      <c r="I1731" s="195"/>
      <c r="J1731" s="195"/>
      <c r="K1731" s="195"/>
      <c r="L1731" s="195"/>
      <c r="M1731" s="1185"/>
    </row>
    <row r="1732">
      <c r="A1732" s="1185"/>
      <c r="B1732" s="1185"/>
      <c r="C1732" s="1185"/>
      <c r="D1732" s="1185"/>
      <c r="E1732" s="1185"/>
      <c r="F1732" s="1185"/>
      <c r="G1732" s="1186"/>
      <c r="H1732" s="1186"/>
      <c r="I1732" s="195"/>
      <c r="J1732" s="195"/>
      <c r="K1732" s="195"/>
      <c r="L1732" s="195"/>
      <c r="M1732" s="1185"/>
    </row>
    <row r="1733">
      <c r="A1733" s="1185"/>
      <c r="B1733" s="1185"/>
      <c r="C1733" s="1185"/>
      <c r="D1733" s="1185"/>
      <c r="E1733" s="1185"/>
      <c r="F1733" s="1185"/>
      <c r="G1733" s="1186"/>
      <c r="H1733" s="1186"/>
      <c r="I1733" s="195"/>
      <c r="J1733" s="195"/>
      <c r="K1733" s="195"/>
      <c r="L1733" s="195"/>
      <c r="M1733" s="1185"/>
    </row>
    <row r="1734">
      <c r="A1734" s="1185"/>
      <c r="B1734" s="1185"/>
      <c r="C1734" s="1185"/>
      <c r="D1734" s="1185"/>
      <c r="E1734" s="1185"/>
      <c r="F1734" s="1185"/>
      <c r="G1734" s="1186"/>
      <c r="H1734" s="1186"/>
      <c r="I1734" s="195"/>
      <c r="J1734" s="195"/>
      <c r="K1734" s="195"/>
      <c r="L1734" s="195"/>
      <c r="M1734" s="1185"/>
    </row>
    <row r="1735">
      <c r="A1735" s="1185"/>
      <c r="B1735" s="1185"/>
      <c r="C1735" s="1185"/>
      <c r="D1735" s="1185"/>
      <c r="E1735" s="1185"/>
      <c r="F1735" s="1185"/>
      <c r="G1735" s="1186"/>
      <c r="H1735" s="1186"/>
      <c r="I1735" s="195"/>
      <c r="J1735" s="195"/>
      <c r="K1735" s="195"/>
      <c r="L1735" s="195"/>
      <c r="M1735" s="1185"/>
    </row>
    <row r="1736">
      <c r="A1736" s="1185"/>
      <c r="B1736" s="1185"/>
      <c r="C1736" s="1185"/>
      <c r="D1736" s="1185"/>
      <c r="E1736" s="1185"/>
      <c r="F1736" s="1185"/>
      <c r="G1736" s="1186"/>
      <c r="H1736" s="1186"/>
      <c r="I1736" s="195"/>
      <c r="J1736" s="195"/>
      <c r="K1736" s="195"/>
      <c r="L1736" s="195"/>
      <c r="M1736" s="1185"/>
    </row>
    <row r="1737">
      <c r="A1737" s="1185"/>
      <c r="B1737" s="1185"/>
      <c r="C1737" s="1185"/>
      <c r="D1737" s="1185"/>
      <c r="E1737" s="1185"/>
      <c r="F1737" s="1185"/>
      <c r="G1737" s="1186"/>
      <c r="H1737" s="1186"/>
      <c r="I1737" s="195"/>
      <c r="J1737" s="195"/>
      <c r="K1737" s="195"/>
      <c r="L1737" s="195"/>
      <c r="M1737" s="1185"/>
    </row>
    <row r="1738">
      <c r="A1738" s="1185"/>
      <c r="B1738" s="1185"/>
      <c r="C1738" s="1185"/>
      <c r="D1738" s="1185"/>
      <c r="E1738" s="1185"/>
      <c r="F1738" s="1185"/>
      <c r="G1738" s="1186"/>
      <c r="H1738" s="1186"/>
      <c r="I1738" s="195"/>
      <c r="J1738" s="195"/>
      <c r="K1738" s="195"/>
      <c r="L1738" s="195"/>
      <c r="M1738" s="1185"/>
    </row>
    <row r="1739">
      <c r="A1739" s="1185"/>
      <c r="B1739" s="1185"/>
      <c r="C1739" s="1185"/>
      <c r="D1739" s="1185"/>
      <c r="E1739" s="1185"/>
      <c r="F1739" s="1185"/>
      <c r="G1739" s="1186"/>
      <c r="H1739" s="1186"/>
      <c r="I1739" s="195"/>
      <c r="J1739" s="195"/>
      <c r="K1739" s="195"/>
      <c r="L1739" s="195"/>
      <c r="M1739" s="1185"/>
    </row>
    <row r="1740">
      <c r="A1740" s="1185"/>
      <c r="B1740" s="1185"/>
      <c r="C1740" s="1185"/>
      <c r="D1740" s="1185"/>
      <c r="E1740" s="1185"/>
      <c r="F1740" s="1185"/>
      <c r="G1740" s="1186"/>
      <c r="H1740" s="1186"/>
      <c r="I1740" s="195"/>
      <c r="J1740" s="195"/>
      <c r="K1740" s="195"/>
      <c r="L1740" s="195"/>
      <c r="M1740" s="1185"/>
    </row>
    <row r="1741">
      <c r="A1741" s="1185"/>
      <c r="B1741" s="1185"/>
      <c r="C1741" s="1185"/>
      <c r="D1741" s="1185"/>
      <c r="E1741" s="1185"/>
      <c r="F1741" s="1185"/>
      <c r="G1741" s="1186"/>
      <c r="H1741" s="1186"/>
      <c r="I1741" s="195"/>
      <c r="J1741" s="195"/>
      <c r="K1741" s="195"/>
      <c r="L1741" s="195"/>
      <c r="M1741" s="1185"/>
    </row>
    <row r="1742">
      <c r="A1742" s="1185"/>
      <c r="B1742" s="1185"/>
      <c r="C1742" s="1185"/>
      <c r="D1742" s="1185"/>
      <c r="E1742" s="1185"/>
      <c r="F1742" s="1185"/>
      <c r="G1742" s="1186"/>
      <c r="H1742" s="1186"/>
      <c r="I1742" s="195"/>
      <c r="J1742" s="195"/>
      <c r="K1742" s="195"/>
      <c r="L1742" s="195"/>
      <c r="M1742" s="1185"/>
    </row>
    <row r="1743">
      <c r="A1743" s="1185"/>
      <c r="B1743" s="1185"/>
      <c r="C1743" s="1185"/>
      <c r="D1743" s="1185"/>
      <c r="E1743" s="1185"/>
      <c r="F1743" s="1185"/>
      <c r="G1743" s="1186"/>
      <c r="H1743" s="1186"/>
      <c r="I1743" s="195"/>
      <c r="J1743" s="195"/>
      <c r="K1743" s="195"/>
      <c r="L1743" s="195"/>
      <c r="M1743" s="1185"/>
    </row>
    <row r="1744">
      <c r="A1744" s="1185"/>
      <c r="B1744" s="1185"/>
      <c r="C1744" s="1185"/>
      <c r="D1744" s="1185"/>
      <c r="E1744" s="1185"/>
      <c r="F1744" s="1185"/>
      <c r="G1744" s="1186"/>
      <c r="H1744" s="1186"/>
      <c r="I1744" s="195"/>
      <c r="J1744" s="195"/>
      <c r="K1744" s="195"/>
      <c r="L1744" s="195"/>
      <c r="M1744" s="1185"/>
    </row>
    <row r="1745">
      <c r="A1745" s="1185"/>
      <c r="B1745" s="1185"/>
      <c r="C1745" s="1185"/>
      <c r="D1745" s="1185"/>
      <c r="E1745" s="1185"/>
      <c r="F1745" s="1185"/>
      <c r="G1745" s="1186"/>
      <c r="H1745" s="1186"/>
      <c r="I1745" s="195"/>
      <c r="J1745" s="195"/>
      <c r="K1745" s="195"/>
      <c r="L1745" s="195"/>
      <c r="M1745" s="1185"/>
    </row>
    <row r="1746">
      <c r="A1746" s="1185"/>
      <c r="B1746" s="1185"/>
      <c r="C1746" s="1185"/>
      <c r="D1746" s="1185"/>
      <c r="E1746" s="1185"/>
      <c r="F1746" s="1185"/>
      <c r="G1746" s="1186"/>
      <c r="H1746" s="1186"/>
      <c r="I1746" s="195"/>
      <c r="J1746" s="195"/>
      <c r="K1746" s="195"/>
      <c r="L1746" s="195"/>
      <c r="M1746" s="1185"/>
    </row>
    <row r="1747">
      <c r="A1747" s="1185"/>
      <c r="B1747" s="1185"/>
      <c r="C1747" s="1185"/>
      <c r="D1747" s="1185"/>
      <c r="E1747" s="1185"/>
      <c r="F1747" s="1185"/>
      <c r="G1747" s="1186"/>
      <c r="H1747" s="1186"/>
      <c r="I1747" s="195"/>
      <c r="J1747" s="195"/>
      <c r="K1747" s="195"/>
      <c r="L1747" s="195"/>
      <c r="M1747" s="1185"/>
    </row>
    <row r="1748">
      <c r="A1748" s="1185"/>
      <c r="B1748" s="1185"/>
      <c r="C1748" s="1185"/>
      <c r="D1748" s="1185"/>
      <c r="E1748" s="1185"/>
      <c r="F1748" s="1185"/>
      <c r="G1748" s="1186"/>
      <c r="H1748" s="1186"/>
      <c r="I1748" s="195"/>
      <c r="J1748" s="195"/>
      <c r="K1748" s="195"/>
      <c r="L1748" s="195"/>
      <c r="M1748" s="1185"/>
    </row>
    <row r="1749">
      <c r="A1749" s="1185"/>
      <c r="B1749" s="1185"/>
      <c r="C1749" s="1185"/>
      <c r="D1749" s="1185"/>
      <c r="E1749" s="1185"/>
      <c r="F1749" s="1185"/>
      <c r="G1749" s="1186"/>
      <c r="H1749" s="1186"/>
      <c r="I1749" s="195"/>
      <c r="J1749" s="195"/>
      <c r="K1749" s="195"/>
      <c r="L1749" s="195"/>
      <c r="M1749" s="1185"/>
    </row>
    <row r="1750">
      <c r="A1750" s="1185"/>
      <c r="B1750" s="1185"/>
      <c r="C1750" s="1185"/>
      <c r="D1750" s="1185"/>
      <c r="E1750" s="1185"/>
      <c r="F1750" s="1185"/>
      <c r="G1750" s="1186"/>
      <c r="H1750" s="1186"/>
      <c r="I1750" s="195"/>
      <c r="J1750" s="195"/>
      <c r="K1750" s="195"/>
      <c r="L1750" s="195"/>
      <c r="M1750" s="1185"/>
    </row>
    <row r="1751">
      <c r="A1751" s="1185"/>
      <c r="B1751" s="1185"/>
      <c r="C1751" s="1185"/>
      <c r="D1751" s="1185"/>
      <c r="E1751" s="1185"/>
      <c r="F1751" s="1185"/>
      <c r="G1751" s="1186"/>
      <c r="H1751" s="1186"/>
      <c r="I1751" s="195"/>
      <c r="J1751" s="195"/>
      <c r="K1751" s="195"/>
      <c r="L1751" s="195"/>
      <c r="M1751" s="1185"/>
    </row>
    <row r="1752">
      <c r="A1752" s="1185"/>
      <c r="B1752" s="1185"/>
      <c r="C1752" s="1185"/>
      <c r="D1752" s="1185"/>
      <c r="E1752" s="1185"/>
      <c r="F1752" s="1185"/>
      <c r="G1752" s="1186"/>
      <c r="H1752" s="1186"/>
      <c r="I1752" s="195"/>
      <c r="J1752" s="195"/>
      <c r="K1752" s="195"/>
      <c r="L1752" s="195"/>
      <c r="M1752" s="1185"/>
    </row>
    <row r="1753">
      <c r="A1753" s="1185"/>
      <c r="B1753" s="1185"/>
      <c r="C1753" s="1185"/>
      <c r="D1753" s="1185"/>
      <c r="E1753" s="1185"/>
      <c r="F1753" s="1185"/>
      <c r="G1753" s="1186"/>
      <c r="H1753" s="1186"/>
      <c r="I1753" s="195"/>
      <c r="J1753" s="195"/>
      <c r="K1753" s="195"/>
      <c r="L1753" s="195"/>
      <c r="M1753" s="1185"/>
    </row>
    <row r="1754">
      <c r="A1754" s="1185"/>
      <c r="B1754" s="1185"/>
      <c r="C1754" s="1185"/>
      <c r="D1754" s="1185"/>
      <c r="E1754" s="1185"/>
      <c r="F1754" s="1185"/>
      <c r="G1754" s="1186"/>
      <c r="H1754" s="1186"/>
      <c r="I1754" s="195"/>
      <c r="J1754" s="195"/>
      <c r="K1754" s="195"/>
      <c r="L1754" s="195"/>
      <c r="M1754" s="1185"/>
    </row>
    <row r="1755">
      <c r="A1755" s="1185"/>
      <c r="B1755" s="1185"/>
      <c r="C1755" s="1185"/>
      <c r="D1755" s="1185"/>
      <c r="E1755" s="1185"/>
      <c r="F1755" s="1185"/>
      <c r="G1755" s="1186"/>
      <c r="H1755" s="1186"/>
      <c r="I1755" s="195"/>
      <c r="J1755" s="195"/>
      <c r="K1755" s="195"/>
      <c r="L1755" s="195"/>
      <c r="M1755" s="1185"/>
    </row>
    <row r="1756">
      <c r="A1756" s="1185"/>
      <c r="B1756" s="1185"/>
      <c r="C1756" s="1185"/>
      <c r="D1756" s="1185"/>
      <c r="E1756" s="1185"/>
      <c r="F1756" s="1185"/>
      <c r="G1756" s="1186"/>
      <c r="H1756" s="1186"/>
      <c r="I1756" s="195"/>
      <c r="J1756" s="195"/>
      <c r="K1756" s="195"/>
      <c r="L1756" s="195"/>
      <c r="M1756" s="1185"/>
    </row>
    <row r="1757">
      <c r="A1757" s="1185"/>
      <c r="B1757" s="1185"/>
      <c r="C1757" s="1185"/>
      <c r="D1757" s="1185"/>
      <c r="E1757" s="1185"/>
      <c r="F1757" s="1185"/>
      <c r="G1757" s="1186"/>
      <c r="H1757" s="1186"/>
      <c r="I1757" s="195"/>
      <c r="J1757" s="195"/>
      <c r="K1757" s="195"/>
      <c r="L1757" s="195"/>
      <c r="M1757" s="1185"/>
    </row>
    <row r="1758">
      <c r="A1758" s="1185"/>
      <c r="B1758" s="1185"/>
      <c r="C1758" s="1185"/>
      <c r="D1758" s="1185"/>
      <c r="E1758" s="1185"/>
      <c r="F1758" s="1185"/>
      <c r="G1758" s="1186"/>
      <c r="H1758" s="1186"/>
      <c r="I1758" s="195"/>
      <c r="J1758" s="195"/>
      <c r="K1758" s="195"/>
      <c r="L1758" s="195"/>
      <c r="M1758" s="1185"/>
    </row>
    <row r="1759">
      <c r="A1759" s="1185"/>
      <c r="B1759" s="1185"/>
      <c r="C1759" s="1185"/>
      <c r="D1759" s="1185"/>
      <c r="E1759" s="1185"/>
      <c r="F1759" s="1185"/>
      <c r="G1759" s="1186"/>
      <c r="H1759" s="1186"/>
      <c r="I1759" s="195"/>
      <c r="J1759" s="195"/>
      <c r="K1759" s="195"/>
      <c r="L1759" s="195"/>
      <c r="M1759" s="1185"/>
    </row>
    <row r="1760">
      <c r="A1760" s="1185"/>
      <c r="B1760" s="1185"/>
      <c r="C1760" s="1185"/>
      <c r="D1760" s="1185"/>
      <c r="E1760" s="1185"/>
      <c r="F1760" s="1185"/>
      <c r="G1760" s="1186"/>
      <c r="H1760" s="1186"/>
      <c r="I1760" s="195"/>
      <c r="J1760" s="195"/>
      <c r="K1760" s="195"/>
      <c r="L1760" s="195"/>
      <c r="M1760" s="1185"/>
    </row>
    <row r="1761">
      <c r="A1761" s="1185"/>
      <c r="B1761" s="1185"/>
      <c r="C1761" s="1185"/>
      <c r="D1761" s="1185"/>
      <c r="E1761" s="1185"/>
      <c r="F1761" s="1185"/>
      <c r="G1761" s="1186"/>
      <c r="H1761" s="1186"/>
      <c r="I1761" s="195"/>
      <c r="J1761" s="195"/>
      <c r="K1761" s="195"/>
      <c r="L1761" s="195"/>
      <c r="M1761" s="1185"/>
    </row>
    <row r="1762">
      <c r="A1762" s="1185"/>
      <c r="B1762" s="1185"/>
      <c r="C1762" s="1185"/>
      <c r="D1762" s="1185"/>
      <c r="E1762" s="1185"/>
      <c r="F1762" s="1185"/>
      <c r="G1762" s="1186"/>
      <c r="H1762" s="1186"/>
      <c r="I1762" s="195"/>
      <c r="J1762" s="195"/>
      <c r="K1762" s="195"/>
      <c r="L1762" s="195"/>
      <c r="M1762" s="1185"/>
    </row>
    <row r="1763">
      <c r="A1763" s="1185"/>
      <c r="B1763" s="1185"/>
      <c r="C1763" s="1185"/>
      <c r="D1763" s="1185"/>
      <c r="E1763" s="1185"/>
      <c r="F1763" s="1185"/>
      <c r="G1763" s="1186"/>
      <c r="H1763" s="1186"/>
      <c r="I1763" s="195"/>
      <c r="J1763" s="195"/>
      <c r="K1763" s="195"/>
      <c r="L1763" s="195"/>
      <c r="M1763" s="1185"/>
    </row>
    <row r="1764">
      <c r="A1764" s="1185"/>
      <c r="B1764" s="1185"/>
      <c r="C1764" s="1185"/>
      <c r="D1764" s="1185"/>
      <c r="E1764" s="1185"/>
      <c r="F1764" s="1185"/>
      <c r="G1764" s="1186"/>
      <c r="H1764" s="1186"/>
      <c r="I1764" s="195"/>
      <c r="J1764" s="195"/>
      <c r="K1764" s="195"/>
      <c r="L1764" s="195"/>
      <c r="M1764" s="1185"/>
    </row>
    <row r="1765">
      <c r="A1765" s="1185"/>
      <c r="B1765" s="1185"/>
      <c r="C1765" s="1185"/>
      <c r="D1765" s="1185"/>
      <c r="E1765" s="1185"/>
      <c r="F1765" s="1185"/>
      <c r="G1765" s="1186"/>
      <c r="H1765" s="1186"/>
      <c r="I1765" s="195"/>
      <c r="J1765" s="195"/>
      <c r="K1765" s="195"/>
      <c r="L1765" s="195"/>
      <c r="M1765" s="1185"/>
    </row>
    <row r="1766">
      <c r="A1766" s="1185"/>
      <c r="B1766" s="1185"/>
      <c r="C1766" s="1185"/>
      <c r="D1766" s="1185"/>
      <c r="E1766" s="1185"/>
      <c r="F1766" s="1185"/>
      <c r="G1766" s="1186"/>
      <c r="H1766" s="1186"/>
      <c r="I1766" s="195"/>
      <c r="J1766" s="195"/>
      <c r="K1766" s="195"/>
      <c r="L1766" s="195"/>
      <c r="M1766" s="1185"/>
    </row>
    <row r="1767">
      <c r="A1767" s="1185"/>
      <c r="B1767" s="1185"/>
      <c r="C1767" s="1185"/>
      <c r="D1767" s="1185"/>
      <c r="E1767" s="1185"/>
      <c r="F1767" s="1185"/>
      <c r="G1767" s="1186"/>
      <c r="H1767" s="1186"/>
      <c r="I1767" s="195"/>
      <c r="J1767" s="195"/>
      <c r="K1767" s="195"/>
      <c r="L1767" s="195"/>
      <c r="M1767" s="1185"/>
    </row>
    <row r="1768">
      <c r="A1768" s="1185"/>
      <c r="B1768" s="1185"/>
      <c r="C1768" s="1185"/>
      <c r="D1768" s="1185"/>
      <c r="E1768" s="1185"/>
      <c r="F1768" s="1185"/>
      <c r="G1768" s="1186"/>
      <c r="H1768" s="1186"/>
      <c r="I1768" s="195"/>
      <c r="J1768" s="195"/>
      <c r="K1768" s="195"/>
      <c r="L1768" s="195"/>
      <c r="M1768" s="1185"/>
    </row>
    <row r="1769">
      <c r="A1769" s="1185"/>
      <c r="B1769" s="1185"/>
      <c r="C1769" s="1185"/>
      <c r="D1769" s="1185"/>
      <c r="E1769" s="1185"/>
      <c r="F1769" s="1185"/>
      <c r="G1769" s="1186"/>
      <c r="H1769" s="1186"/>
      <c r="I1769" s="195"/>
      <c r="J1769" s="195"/>
      <c r="K1769" s="195"/>
      <c r="L1769" s="195"/>
      <c r="M1769" s="1185"/>
    </row>
    <row r="1770">
      <c r="A1770" s="1185"/>
      <c r="B1770" s="1185"/>
      <c r="C1770" s="1185"/>
      <c r="D1770" s="1185"/>
      <c r="E1770" s="1185"/>
      <c r="F1770" s="1185"/>
      <c r="G1770" s="1186"/>
      <c r="H1770" s="1186"/>
      <c r="I1770" s="195"/>
      <c r="J1770" s="195"/>
      <c r="K1770" s="195"/>
      <c r="L1770" s="195"/>
      <c r="M1770" s="1185"/>
    </row>
    <row r="1771">
      <c r="A1771" s="1185"/>
      <c r="B1771" s="1185"/>
      <c r="C1771" s="1185"/>
      <c r="D1771" s="1185"/>
      <c r="E1771" s="1185"/>
      <c r="F1771" s="1185"/>
      <c r="G1771" s="1186"/>
      <c r="H1771" s="1186"/>
      <c r="I1771" s="195"/>
      <c r="J1771" s="195"/>
      <c r="K1771" s="195"/>
      <c r="L1771" s="195"/>
      <c r="M1771" s="1185"/>
    </row>
    <row r="1772">
      <c r="A1772" s="1185"/>
      <c r="B1772" s="1185"/>
      <c r="C1772" s="1185"/>
      <c r="D1772" s="1185"/>
      <c r="E1772" s="1185"/>
      <c r="F1772" s="1185"/>
      <c r="G1772" s="1186"/>
      <c r="H1772" s="1186"/>
      <c r="I1772" s="195"/>
      <c r="J1772" s="195"/>
      <c r="K1772" s="195"/>
      <c r="L1772" s="195"/>
      <c r="M1772" s="1185"/>
    </row>
    <row r="1773">
      <c r="A1773" s="1185"/>
      <c r="B1773" s="1185"/>
      <c r="C1773" s="1185"/>
      <c r="D1773" s="1185"/>
      <c r="E1773" s="1185"/>
      <c r="F1773" s="1185"/>
      <c r="G1773" s="1186"/>
      <c r="H1773" s="1186"/>
      <c r="I1773" s="195"/>
      <c r="J1773" s="195"/>
      <c r="K1773" s="195"/>
      <c r="L1773" s="195"/>
      <c r="M1773" s="1185"/>
    </row>
    <row r="1774">
      <c r="A1774" s="1185"/>
      <c r="B1774" s="1185"/>
      <c r="C1774" s="1185"/>
      <c r="D1774" s="1185"/>
      <c r="E1774" s="1185"/>
      <c r="F1774" s="1185"/>
      <c r="G1774" s="1186"/>
      <c r="H1774" s="1186"/>
      <c r="I1774" s="195"/>
      <c r="J1774" s="195"/>
      <c r="K1774" s="195"/>
      <c r="L1774" s="195"/>
      <c r="M1774" s="1185"/>
    </row>
    <row r="1775">
      <c r="A1775" s="1185"/>
      <c r="B1775" s="1185"/>
      <c r="C1775" s="1185"/>
      <c r="D1775" s="1185"/>
      <c r="E1775" s="1185"/>
      <c r="F1775" s="1185"/>
      <c r="G1775" s="1186"/>
      <c r="H1775" s="1186"/>
      <c r="I1775" s="195"/>
      <c r="J1775" s="195"/>
      <c r="K1775" s="195"/>
      <c r="L1775" s="195"/>
      <c r="M1775" s="1185"/>
    </row>
    <row r="1776">
      <c r="A1776" s="1185"/>
      <c r="B1776" s="1185"/>
      <c r="C1776" s="1185"/>
      <c r="D1776" s="1185"/>
      <c r="E1776" s="1185"/>
      <c r="F1776" s="1185"/>
      <c r="G1776" s="1186"/>
      <c r="H1776" s="1186"/>
      <c r="I1776" s="195"/>
      <c r="J1776" s="195"/>
      <c r="K1776" s="195"/>
      <c r="L1776" s="195"/>
      <c r="M1776" s="1185"/>
    </row>
    <row r="1777">
      <c r="A1777" s="1185"/>
      <c r="B1777" s="1185"/>
      <c r="C1777" s="1185"/>
      <c r="D1777" s="1185"/>
      <c r="E1777" s="1185"/>
      <c r="F1777" s="1185"/>
      <c r="G1777" s="1186"/>
      <c r="H1777" s="1186"/>
      <c r="I1777" s="195"/>
      <c r="J1777" s="195"/>
      <c r="K1777" s="195"/>
      <c r="L1777" s="195"/>
      <c r="M1777" s="1185"/>
    </row>
    <row r="1778">
      <c r="A1778" s="1185"/>
      <c r="B1778" s="1185"/>
      <c r="C1778" s="1185"/>
      <c r="D1778" s="1185"/>
      <c r="E1778" s="1185"/>
      <c r="F1778" s="1185"/>
      <c r="G1778" s="1186"/>
      <c r="H1778" s="1186"/>
      <c r="I1778" s="195"/>
      <c r="J1778" s="195"/>
      <c r="K1778" s="195"/>
      <c r="L1778" s="195"/>
      <c r="M1778" s="1185"/>
    </row>
    <row r="1779">
      <c r="A1779" s="1185"/>
      <c r="B1779" s="1185"/>
      <c r="C1779" s="1185"/>
      <c r="D1779" s="1185"/>
      <c r="E1779" s="1185"/>
      <c r="F1779" s="1185"/>
      <c r="G1779" s="1186"/>
      <c r="H1779" s="1186"/>
      <c r="I1779" s="195"/>
      <c r="J1779" s="195"/>
      <c r="K1779" s="195"/>
      <c r="L1779" s="195"/>
      <c r="M1779" s="1185"/>
    </row>
    <row r="1780">
      <c r="A1780" s="1185"/>
      <c r="B1780" s="1185"/>
      <c r="C1780" s="1185"/>
      <c r="D1780" s="1185"/>
      <c r="E1780" s="1185"/>
      <c r="F1780" s="1185"/>
      <c r="G1780" s="1186"/>
      <c r="H1780" s="1186"/>
      <c r="I1780" s="195"/>
      <c r="J1780" s="195"/>
      <c r="K1780" s="195"/>
      <c r="L1780" s="195"/>
      <c r="M1780" s="1185"/>
    </row>
    <row r="1781">
      <c r="A1781" s="1185"/>
      <c r="B1781" s="1185"/>
      <c r="C1781" s="1185"/>
      <c r="D1781" s="1185"/>
      <c r="E1781" s="1185"/>
      <c r="F1781" s="1185"/>
      <c r="G1781" s="1186"/>
      <c r="H1781" s="1186"/>
      <c r="I1781" s="195"/>
      <c r="J1781" s="195"/>
      <c r="K1781" s="195"/>
      <c r="L1781" s="195"/>
      <c r="M1781" s="1185"/>
    </row>
    <row r="1782">
      <c r="A1782" s="1185"/>
      <c r="B1782" s="1185"/>
      <c r="C1782" s="1185"/>
      <c r="D1782" s="1185"/>
      <c r="E1782" s="1185"/>
      <c r="F1782" s="1185"/>
      <c r="G1782" s="1186"/>
      <c r="H1782" s="1186"/>
      <c r="I1782" s="195"/>
      <c r="J1782" s="195"/>
      <c r="K1782" s="195"/>
      <c r="L1782" s="195"/>
      <c r="M1782" s="1185"/>
    </row>
    <row r="1783">
      <c r="A1783" s="1185"/>
      <c r="B1783" s="1185"/>
      <c r="C1783" s="1185"/>
      <c r="D1783" s="1185"/>
      <c r="E1783" s="1185"/>
      <c r="F1783" s="1185"/>
      <c r="G1783" s="1186"/>
      <c r="H1783" s="1186"/>
      <c r="I1783" s="195"/>
      <c r="J1783" s="195"/>
      <c r="K1783" s="195"/>
      <c r="L1783" s="195"/>
      <c r="M1783" s="1185"/>
    </row>
    <row r="1784">
      <c r="A1784" s="1185"/>
      <c r="B1784" s="1185"/>
      <c r="C1784" s="1185"/>
      <c r="D1784" s="1185"/>
      <c r="E1784" s="1185"/>
      <c r="F1784" s="1185"/>
      <c r="G1784" s="1186"/>
      <c r="H1784" s="1186"/>
      <c r="I1784" s="195"/>
      <c r="J1784" s="195"/>
      <c r="K1784" s="195"/>
      <c r="L1784" s="195"/>
      <c r="M1784" s="1185"/>
    </row>
    <row r="1785">
      <c r="A1785" s="1185"/>
      <c r="B1785" s="1185"/>
      <c r="C1785" s="1185"/>
      <c r="D1785" s="1185"/>
      <c r="E1785" s="1185"/>
      <c r="F1785" s="1185"/>
      <c r="G1785" s="1186"/>
      <c r="H1785" s="1186"/>
      <c r="I1785" s="195"/>
      <c r="J1785" s="195"/>
      <c r="K1785" s="195"/>
      <c r="L1785" s="195"/>
      <c r="M1785" s="1185"/>
    </row>
    <row r="1786">
      <c r="A1786" s="1185"/>
      <c r="B1786" s="1185"/>
      <c r="C1786" s="1185"/>
      <c r="D1786" s="1185"/>
      <c r="E1786" s="1185"/>
      <c r="F1786" s="1185"/>
      <c r="G1786" s="1186"/>
      <c r="H1786" s="1186"/>
      <c r="I1786" s="195"/>
      <c r="J1786" s="195"/>
      <c r="K1786" s="195"/>
      <c r="L1786" s="195"/>
      <c r="M1786" s="1185"/>
    </row>
    <row r="1787">
      <c r="A1787" s="1185"/>
      <c r="B1787" s="1185"/>
      <c r="C1787" s="1185"/>
      <c r="D1787" s="1185"/>
      <c r="E1787" s="1185"/>
      <c r="F1787" s="1185"/>
      <c r="G1787" s="1186"/>
      <c r="H1787" s="1186"/>
      <c r="I1787" s="195"/>
      <c r="J1787" s="195"/>
      <c r="K1787" s="195"/>
      <c r="L1787" s="195"/>
      <c r="M1787" s="1185"/>
    </row>
    <row r="1788">
      <c r="A1788" s="1185"/>
      <c r="B1788" s="1185"/>
      <c r="C1788" s="1185"/>
      <c r="D1788" s="1185"/>
      <c r="E1788" s="1185"/>
      <c r="F1788" s="1185"/>
      <c r="G1788" s="1186"/>
      <c r="H1788" s="1186"/>
      <c r="I1788" s="195"/>
      <c r="J1788" s="195"/>
      <c r="K1788" s="195"/>
      <c r="L1788" s="195"/>
      <c r="M1788" s="1185"/>
    </row>
    <row r="1789">
      <c r="A1789" s="1185"/>
      <c r="B1789" s="1185"/>
      <c r="C1789" s="1185"/>
      <c r="D1789" s="1185"/>
      <c r="E1789" s="1185"/>
      <c r="F1789" s="1185"/>
      <c r="G1789" s="1186"/>
      <c r="H1789" s="1186"/>
      <c r="I1789" s="195"/>
      <c r="J1789" s="195"/>
      <c r="K1789" s="195"/>
      <c r="L1789" s="195"/>
      <c r="M1789" s="1185"/>
    </row>
    <row r="1790">
      <c r="A1790" s="1185"/>
      <c r="B1790" s="1185"/>
      <c r="C1790" s="1185"/>
      <c r="D1790" s="1185"/>
      <c r="E1790" s="1185"/>
      <c r="F1790" s="1185"/>
      <c r="G1790" s="1186"/>
      <c r="H1790" s="1186"/>
      <c r="I1790" s="195"/>
      <c r="J1790" s="195"/>
      <c r="K1790" s="195"/>
      <c r="L1790" s="195"/>
      <c r="M1790" s="1185"/>
    </row>
    <row r="1791">
      <c r="A1791" s="1185"/>
      <c r="B1791" s="1185"/>
      <c r="C1791" s="1185"/>
      <c r="D1791" s="1185"/>
      <c r="E1791" s="1185"/>
      <c r="F1791" s="1185"/>
      <c r="G1791" s="1186"/>
      <c r="H1791" s="1186"/>
      <c r="I1791" s="195"/>
      <c r="J1791" s="195"/>
      <c r="K1791" s="195"/>
      <c r="L1791" s="195"/>
      <c r="M1791" s="1185"/>
    </row>
    <row r="1792">
      <c r="A1792" s="1185"/>
      <c r="B1792" s="1185"/>
      <c r="C1792" s="1185"/>
      <c r="D1792" s="1185"/>
      <c r="E1792" s="1185"/>
      <c r="F1792" s="1185"/>
      <c r="G1792" s="1186"/>
      <c r="H1792" s="1186"/>
      <c r="I1792" s="195"/>
      <c r="J1792" s="195"/>
      <c r="K1792" s="195"/>
      <c r="L1792" s="195"/>
      <c r="M1792" s="1185"/>
    </row>
    <row r="1793">
      <c r="A1793" s="1185"/>
      <c r="B1793" s="1185"/>
      <c r="C1793" s="1185"/>
      <c r="D1793" s="1185"/>
      <c r="E1793" s="1185"/>
      <c r="F1793" s="1185"/>
      <c r="G1793" s="1186"/>
      <c r="H1793" s="1186"/>
      <c r="I1793" s="195"/>
      <c r="J1793" s="195"/>
      <c r="K1793" s="195"/>
      <c r="L1793" s="195"/>
      <c r="M1793" s="1185"/>
    </row>
    <row r="1794">
      <c r="A1794" s="1185"/>
      <c r="B1794" s="1185"/>
      <c r="C1794" s="1185"/>
      <c r="D1794" s="1185"/>
      <c r="E1794" s="1185"/>
      <c r="F1794" s="1185"/>
      <c r="G1794" s="1186"/>
      <c r="H1794" s="1186"/>
      <c r="I1794" s="195"/>
      <c r="J1794" s="195"/>
      <c r="K1794" s="195"/>
      <c r="L1794" s="195"/>
      <c r="M1794" s="1185"/>
    </row>
    <row r="1795">
      <c r="A1795" s="1185"/>
      <c r="B1795" s="1185"/>
      <c r="C1795" s="1185"/>
      <c r="D1795" s="1185"/>
      <c r="E1795" s="1185"/>
      <c r="F1795" s="1185"/>
      <c r="G1795" s="1186"/>
      <c r="H1795" s="1186"/>
      <c r="I1795" s="195"/>
      <c r="J1795" s="195"/>
      <c r="K1795" s="195"/>
      <c r="L1795" s="195"/>
      <c r="M1795" s="1185"/>
    </row>
    <row r="1796">
      <c r="A1796" s="1185"/>
      <c r="B1796" s="1185"/>
      <c r="C1796" s="1185"/>
      <c r="D1796" s="1185"/>
      <c r="E1796" s="1185"/>
      <c r="F1796" s="1185"/>
      <c r="G1796" s="1186"/>
      <c r="H1796" s="1186"/>
      <c r="I1796" s="195"/>
      <c r="J1796" s="195"/>
      <c r="K1796" s="195"/>
      <c r="L1796" s="195"/>
      <c r="M1796" s="1185"/>
    </row>
    <row r="1797">
      <c r="A1797" s="1185"/>
      <c r="B1797" s="1185"/>
      <c r="C1797" s="1185"/>
      <c r="D1797" s="1185"/>
      <c r="E1797" s="1185"/>
      <c r="F1797" s="1185"/>
      <c r="G1797" s="1186"/>
      <c r="H1797" s="1186"/>
      <c r="I1797" s="195"/>
      <c r="J1797" s="195"/>
      <c r="K1797" s="195"/>
      <c r="L1797" s="195"/>
      <c r="M1797" s="1185"/>
    </row>
    <row r="1798">
      <c r="A1798" s="1185"/>
      <c r="B1798" s="1185"/>
      <c r="C1798" s="1185"/>
      <c r="D1798" s="1185"/>
      <c r="E1798" s="1185"/>
      <c r="F1798" s="1185"/>
      <c r="G1798" s="1186"/>
      <c r="H1798" s="1186"/>
      <c r="I1798" s="195"/>
      <c r="J1798" s="195"/>
      <c r="K1798" s="195"/>
      <c r="L1798" s="195"/>
      <c r="M1798" s="1185"/>
    </row>
    <row r="1799">
      <c r="A1799" s="1185"/>
      <c r="B1799" s="1185"/>
      <c r="C1799" s="1185"/>
      <c r="D1799" s="1185"/>
      <c r="E1799" s="1185"/>
      <c r="F1799" s="1185"/>
      <c r="G1799" s="1186"/>
      <c r="H1799" s="1186"/>
      <c r="I1799" s="195"/>
      <c r="J1799" s="195"/>
      <c r="K1799" s="195"/>
      <c r="L1799" s="195"/>
      <c r="M1799" s="1185"/>
    </row>
    <row r="1800">
      <c r="A1800" s="1185"/>
      <c r="B1800" s="1185"/>
      <c r="C1800" s="1185"/>
      <c r="D1800" s="1185"/>
      <c r="E1800" s="1185"/>
      <c r="F1800" s="1185"/>
      <c r="G1800" s="1186"/>
      <c r="H1800" s="1186"/>
      <c r="I1800" s="195"/>
      <c r="J1800" s="195"/>
      <c r="K1800" s="195"/>
      <c r="L1800" s="195"/>
      <c r="M1800" s="1185"/>
    </row>
    <row r="1801">
      <c r="A1801" s="1185"/>
      <c r="B1801" s="1185"/>
      <c r="C1801" s="1185"/>
      <c r="D1801" s="1185"/>
      <c r="E1801" s="1185"/>
      <c r="F1801" s="1185"/>
      <c r="G1801" s="1186"/>
      <c r="H1801" s="1186"/>
      <c r="I1801" s="195"/>
      <c r="J1801" s="195"/>
      <c r="K1801" s="195"/>
      <c r="L1801" s="195"/>
      <c r="M1801" s="1185"/>
    </row>
    <row r="1802">
      <c r="A1802" s="1185"/>
      <c r="B1802" s="1185"/>
      <c r="C1802" s="1185"/>
      <c r="D1802" s="1185"/>
      <c r="E1802" s="1185"/>
      <c r="F1802" s="1185"/>
      <c r="G1802" s="1186"/>
      <c r="H1802" s="1186"/>
      <c r="I1802" s="195"/>
      <c r="J1802" s="195"/>
      <c r="K1802" s="195"/>
      <c r="L1802" s="195"/>
      <c r="M1802" s="1185"/>
    </row>
    <row r="1803">
      <c r="A1803" s="1185"/>
      <c r="B1803" s="1185"/>
      <c r="C1803" s="1185"/>
      <c r="D1803" s="1185"/>
      <c r="E1803" s="1185"/>
      <c r="F1803" s="1185"/>
      <c r="G1803" s="1186"/>
      <c r="H1803" s="1186"/>
      <c r="I1803" s="195"/>
      <c r="J1803" s="195"/>
      <c r="K1803" s="195"/>
      <c r="L1803" s="195"/>
      <c r="M1803" s="1185"/>
    </row>
    <row r="1804">
      <c r="A1804" s="1185"/>
      <c r="B1804" s="1185"/>
      <c r="C1804" s="1185"/>
      <c r="D1804" s="1185"/>
      <c r="E1804" s="1185"/>
      <c r="F1804" s="1185"/>
      <c r="G1804" s="1186"/>
      <c r="H1804" s="1186"/>
      <c r="I1804" s="195"/>
      <c r="J1804" s="195"/>
      <c r="K1804" s="195"/>
      <c r="L1804" s="195"/>
      <c r="M1804" s="1185"/>
    </row>
    <row r="1805">
      <c r="A1805" s="1185"/>
      <c r="B1805" s="1185"/>
      <c r="C1805" s="1185"/>
      <c r="D1805" s="1185"/>
      <c r="E1805" s="1185"/>
      <c r="F1805" s="1185"/>
      <c r="G1805" s="1186"/>
      <c r="H1805" s="1186"/>
      <c r="I1805" s="195"/>
      <c r="J1805" s="195"/>
      <c r="K1805" s="195"/>
      <c r="L1805" s="195"/>
      <c r="M1805" s="1185"/>
    </row>
    <row r="1806">
      <c r="A1806" s="1185"/>
      <c r="B1806" s="1185"/>
      <c r="C1806" s="1185"/>
      <c r="D1806" s="1185"/>
      <c r="E1806" s="1185"/>
      <c r="F1806" s="1185"/>
      <c r="G1806" s="1186"/>
      <c r="H1806" s="1186"/>
      <c r="I1806" s="195"/>
      <c r="J1806" s="195"/>
      <c r="K1806" s="195"/>
      <c r="L1806" s="195"/>
      <c r="M1806" s="1185"/>
    </row>
    <row r="1807">
      <c r="A1807" s="1185"/>
      <c r="B1807" s="1185"/>
      <c r="C1807" s="1185"/>
      <c r="D1807" s="1185"/>
      <c r="E1807" s="1185"/>
      <c r="F1807" s="1185"/>
      <c r="G1807" s="1186"/>
      <c r="H1807" s="1186"/>
      <c r="I1807" s="195"/>
      <c r="J1807" s="195"/>
      <c r="K1807" s="195"/>
      <c r="L1807" s="195"/>
      <c r="M1807" s="1185"/>
    </row>
    <row r="1808">
      <c r="A1808" s="1185"/>
      <c r="B1808" s="1185"/>
      <c r="C1808" s="1185"/>
      <c r="D1808" s="1185"/>
      <c r="E1808" s="1185"/>
      <c r="F1808" s="1185"/>
      <c r="G1808" s="1186"/>
      <c r="H1808" s="1186"/>
      <c r="I1808" s="195"/>
      <c r="J1808" s="195"/>
      <c r="K1808" s="195"/>
      <c r="L1808" s="195"/>
      <c r="M1808" s="1185"/>
    </row>
    <row r="1809">
      <c r="A1809" s="1185"/>
      <c r="B1809" s="1185"/>
      <c r="C1809" s="1185"/>
      <c r="D1809" s="1185"/>
      <c r="E1809" s="1185"/>
      <c r="F1809" s="1185"/>
      <c r="G1809" s="1186"/>
      <c r="H1809" s="1186"/>
      <c r="I1809" s="195"/>
      <c r="J1809" s="195"/>
      <c r="K1809" s="195"/>
      <c r="L1809" s="195"/>
      <c r="M1809" s="1185"/>
    </row>
    <row r="1810">
      <c r="A1810" s="1185"/>
      <c r="B1810" s="1185"/>
      <c r="C1810" s="1185"/>
      <c r="D1810" s="1185"/>
      <c r="E1810" s="1185"/>
      <c r="F1810" s="1185"/>
      <c r="G1810" s="1186"/>
      <c r="H1810" s="1186"/>
      <c r="I1810" s="195"/>
      <c r="J1810" s="195"/>
      <c r="K1810" s="195"/>
      <c r="L1810" s="195"/>
      <c r="M1810" s="1185"/>
    </row>
    <row r="1811">
      <c r="A1811" s="1185"/>
      <c r="B1811" s="1185"/>
      <c r="C1811" s="1185"/>
      <c r="D1811" s="1185"/>
      <c r="E1811" s="1185"/>
      <c r="F1811" s="1185"/>
      <c r="G1811" s="1186"/>
      <c r="H1811" s="1186"/>
      <c r="I1811" s="195"/>
      <c r="J1811" s="195"/>
      <c r="K1811" s="195"/>
      <c r="L1811" s="195"/>
      <c r="M1811" s="1185"/>
    </row>
    <row r="1812">
      <c r="A1812" s="1185"/>
      <c r="B1812" s="1185"/>
      <c r="C1812" s="1185"/>
      <c r="D1812" s="1185"/>
      <c r="E1812" s="1185"/>
      <c r="F1812" s="1185"/>
      <c r="G1812" s="1186"/>
      <c r="H1812" s="1186"/>
      <c r="I1812" s="195"/>
      <c r="J1812" s="195"/>
      <c r="K1812" s="195"/>
      <c r="L1812" s="195"/>
      <c r="M1812" s="1185"/>
    </row>
    <row r="1813">
      <c r="A1813" s="1185"/>
      <c r="B1813" s="1185"/>
      <c r="C1813" s="1185"/>
      <c r="D1813" s="1185"/>
      <c r="E1813" s="1185"/>
      <c r="F1813" s="1185"/>
      <c r="G1813" s="1186"/>
      <c r="H1813" s="1186"/>
      <c r="I1813" s="195"/>
      <c r="J1813" s="195"/>
      <c r="K1813" s="195"/>
      <c r="L1813" s="195"/>
      <c r="M1813" s="1185"/>
    </row>
    <row r="1814">
      <c r="A1814" s="1185"/>
      <c r="B1814" s="1185"/>
      <c r="C1814" s="1185"/>
      <c r="D1814" s="1185"/>
      <c r="E1814" s="1185"/>
      <c r="F1814" s="1185"/>
      <c r="G1814" s="1186"/>
      <c r="H1814" s="1186"/>
      <c r="I1814" s="195"/>
      <c r="J1814" s="195"/>
      <c r="K1814" s="195"/>
      <c r="L1814" s="195"/>
      <c r="M1814" s="1185"/>
    </row>
    <row r="1815">
      <c r="A1815" s="1185"/>
      <c r="B1815" s="1185"/>
      <c r="C1815" s="1185"/>
      <c r="D1815" s="1185"/>
      <c r="E1815" s="1185"/>
      <c r="F1815" s="1185"/>
      <c r="G1815" s="1186"/>
      <c r="H1815" s="1186"/>
      <c r="I1815" s="195"/>
      <c r="J1815" s="195"/>
      <c r="K1815" s="195"/>
      <c r="L1815" s="195"/>
      <c r="M1815" s="1185"/>
    </row>
    <row r="1816">
      <c r="A1816" s="1185"/>
      <c r="B1816" s="1185"/>
      <c r="C1816" s="1185"/>
      <c r="D1816" s="1185"/>
      <c r="E1816" s="1185"/>
      <c r="F1816" s="1185"/>
      <c r="G1816" s="1186"/>
      <c r="H1816" s="1186"/>
      <c r="I1816" s="195"/>
      <c r="J1816" s="195"/>
      <c r="K1816" s="195"/>
      <c r="L1816" s="195"/>
      <c r="M1816" s="1185"/>
    </row>
    <row r="1817">
      <c r="A1817" s="1185"/>
      <c r="B1817" s="1185"/>
      <c r="C1817" s="1185"/>
      <c r="D1817" s="1185"/>
      <c r="E1817" s="1185"/>
      <c r="F1817" s="1185"/>
      <c r="G1817" s="1186"/>
      <c r="H1817" s="1186"/>
      <c r="I1817" s="195"/>
      <c r="J1817" s="195"/>
      <c r="K1817" s="195"/>
      <c r="L1817" s="195"/>
      <c r="M1817" s="1185"/>
    </row>
    <row r="1818">
      <c r="A1818" s="1185"/>
      <c r="B1818" s="1185"/>
      <c r="C1818" s="1185"/>
      <c r="D1818" s="1185"/>
      <c r="E1818" s="1185"/>
      <c r="F1818" s="1185"/>
      <c r="G1818" s="1186"/>
      <c r="H1818" s="1186"/>
      <c r="I1818" s="195"/>
      <c r="J1818" s="195"/>
      <c r="K1818" s="195"/>
      <c r="L1818" s="195"/>
      <c r="M1818" s="1185"/>
    </row>
    <row r="1819">
      <c r="A1819" s="1185"/>
      <c r="B1819" s="1185"/>
      <c r="C1819" s="1185"/>
      <c r="D1819" s="1185"/>
      <c r="E1819" s="1185"/>
      <c r="F1819" s="1185"/>
      <c r="G1819" s="1186"/>
      <c r="H1819" s="1186"/>
      <c r="I1819" s="195"/>
      <c r="J1819" s="195"/>
      <c r="K1819" s="195"/>
      <c r="L1819" s="195"/>
      <c r="M1819" s="1185"/>
    </row>
    <row r="1820">
      <c r="A1820" s="1185"/>
      <c r="B1820" s="1185"/>
      <c r="C1820" s="1185"/>
      <c r="D1820" s="1185"/>
      <c r="E1820" s="1185"/>
      <c r="F1820" s="1185"/>
      <c r="G1820" s="1186"/>
      <c r="H1820" s="1186"/>
      <c r="I1820" s="195"/>
      <c r="J1820" s="195"/>
      <c r="K1820" s="195"/>
      <c r="L1820" s="195"/>
      <c r="M1820" s="1185"/>
    </row>
    <row r="1821">
      <c r="A1821" s="1185"/>
      <c r="B1821" s="1185"/>
      <c r="C1821" s="1185"/>
      <c r="D1821" s="1185"/>
      <c r="E1821" s="1185"/>
      <c r="F1821" s="1185"/>
      <c r="G1821" s="1186"/>
      <c r="H1821" s="1186"/>
      <c r="I1821" s="195"/>
      <c r="J1821" s="195"/>
      <c r="K1821" s="195"/>
      <c r="L1821" s="195"/>
      <c r="M1821" s="1185"/>
    </row>
    <row r="1822">
      <c r="A1822" s="1185"/>
      <c r="B1822" s="1185"/>
      <c r="C1822" s="1185"/>
      <c r="D1822" s="1185"/>
      <c r="E1822" s="1185"/>
      <c r="F1822" s="1185"/>
      <c r="G1822" s="1186"/>
      <c r="H1822" s="1186"/>
      <c r="I1822" s="195"/>
      <c r="J1822" s="195"/>
      <c r="K1822" s="195"/>
      <c r="L1822" s="195"/>
      <c r="M1822" s="1185"/>
    </row>
    <row r="1823">
      <c r="A1823" s="1185"/>
      <c r="B1823" s="1185"/>
      <c r="C1823" s="1185"/>
      <c r="D1823" s="1185"/>
      <c r="E1823" s="1185"/>
      <c r="F1823" s="1185"/>
      <c r="G1823" s="1186"/>
      <c r="H1823" s="1186"/>
      <c r="I1823" s="195"/>
      <c r="J1823" s="195"/>
      <c r="K1823" s="195"/>
      <c r="L1823" s="195"/>
      <c r="M1823" s="1185"/>
    </row>
    <row r="1824">
      <c r="A1824" s="1185"/>
      <c r="B1824" s="1185"/>
      <c r="C1824" s="1185"/>
      <c r="D1824" s="1185"/>
      <c r="E1824" s="1185"/>
      <c r="F1824" s="1185"/>
      <c r="G1824" s="1186"/>
      <c r="H1824" s="1186"/>
      <c r="I1824" s="195"/>
      <c r="J1824" s="195"/>
      <c r="K1824" s="195"/>
      <c r="L1824" s="195"/>
      <c r="M1824" s="1185"/>
    </row>
    <row r="1825">
      <c r="A1825" s="1185"/>
      <c r="B1825" s="1185"/>
      <c r="C1825" s="1185"/>
      <c r="D1825" s="1185"/>
      <c r="E1825" s="1185"/>
      <c r="F1825" s="1185"/>
      <c r="G1825" s="1186"/>
      <c r="H1825" s="1186"/>
      <c r="I1825" s="195"/>
      <c r="J1825" s="195"/>
      <c r="K1825" s="195"/>
      <c r="L1825" s="195"/>
      <c r="M1825" s="1185"/>
    </row>
    <row r="1826">
      <c r="A1826" s="1185"/>
      <c r="B1826" s="1185"/>
      <c r="C1826" s="1185"/>
      <c r="D1826" s="1185"/>
      <c r="E1826" s="1185"/>
      <c r="F1826" s="1185"/>
      <c r="G1826" s="1186"/>
      <c r="H1826" s="1186"/>
      <c r="I1826" s="195"/>
      <c r="J1826" s="195"/>
      <c r="K1826" s="195"/>
      <c r="L1826" s="195"/>
      <c r="M1826" s="1185"/>
    </row>
    <row r="1827">
      <c r="A1827" s="1185"/>
      <c r="B1827" s="1185"/>
      <c r="C1827" s="1185"/>
      <c r="D1827" s="1185"/>
      <c r="E1827" s="1185"/>
      <c r="F1827" s="1185"/>
      <c r="G1827" s="1186"/>
      <c r="H1827" s="1186"/>
      <c r="I1827" s="195"/>
      <c r="J1827" s="195"/>
      <c r="K1827" s="195"/>
      <c r="L1827" s="195"/>
      <c r="M1827" s="1185"/>
    </row>
    <row r="1828">
      <c r="A1828" s="1185"/>
      <c r="B1828" s="1185"/>
      <c r="C1828" s="1185"/>
      <c r="D1828" s="1185"/>
      <c r="E1828" s="1185"/>
      <c r="F1828" s="1185"/>
      <c r="G1828" s="1186"/>
      <c r="H1828" s="1186"/>
      <c r="I1828" s="195"/>
      <c r="J1828" s="195"/>
      <c r="K1828" s="195"/>
      <c r="L1828" s="195"/>
      <c r="M1828" s="1185"/>
    </row>
    <row r="1829">
      <c r="A1829" s="1185"/>
      <c r="B1829" s="1185"/>
      <c r="C1829" s="1185"/>
      <c r="D1829" s="1185"/>
      <c r="E1829" s="1185"/>
      <c r="F1829" s="1185"/>
      <c r="G1829" s="1186"/>
      <c r="H1829" s="1186"/>
      <c r="I1829" s="195"/>
      <c r="J1829" s="195"/>
      <c r="K1829" s="195"/>
      <c r="L1829" s="195"/>
      <c r="M1829" s="1185"/>
    </row>
    <row r="1830">
      <c r="A1830" s="1185"/>
      <c r="B1830" s="1185"/>
      <c r="C1830" s="1185"/>
      <c r="D1830" s="1185"/>
      <c r="E1830" s="1185"/>
      <c r="F1830" s="1185"/>
      <c r="G1830" s="1186"/>
      <c r="H1830" s="1186"/>
      <c r="I1830" s="195"/>
      <c r="J1830" s="195"/>
      <c r="K1830" s="195"/>
      <c r="L1830" s="195"/>
      <c r="M1830" s="1185"/>
    </row>
    <row r="1831">
      <c r="A1831" s="1185"/>
      <c r="B1831" s="1185"/>
      <c r="C1831" s="1185"/>
      <c r="D1831" s="1185"/>
      <c r="E1831" s="1185"/>
      <c r="F1831" s="1185"/>
      <c r="G1831" s="1186"/>
      <c r="H1831" s="1186"/>
      <c r="I1831" s="195"/>
      <c r="J1831" s="195"/>
      <c r="K1831" s="195"/>
      <c r="L1831" s="195"/>
      <c r="M1831" s="1185"/>
    </row>
    <row r="1832">
      <c r="A1832" s="1185"/>
      <c r="B1832" s="1185"/>
      <c r="C1832" s="1185"/>
      <c r="D1832" s="1185"/>
      <c r="E1832" s="1185"/>
      <c r="F1832" s="1185"/>
      <c r="G1832" s="1186"/>
      <c r="H1832" s="1186"/>
      <c r="I1832" s="195"/>
      <c r="J1832" s="195"/>
      <c r="K1832" s="195"/>
      <c r="L1832" s="195"/>
      <c r="M1832" s="1185"/>
    </row>
    <row r="1833">
      <c r="A1833" s="1185"/>
      <c r="B1833" s="1185"/>
      <c r="C1833" s="1185"/>
      <c r="D1833" s="1185"/>
      <c r="E1833" s="1185"/>
      <c r="F1833" s="1185"/>
      <c r="G1833" s="1186"/>
      <c r="H1833" s="1186"/>
      <c r="I1833" s="195"/>
      <c r="J1833" s="195"/>
      <c r="K1833" s="195"/>
      <c r="L1833" s="195"/>
      <c r="M1833" s="1185"/>
    </row>
    <row r="1834">
      <c r="A1834" s="1185"/>
      <c r="B1834" s="1185"/>
      <c r="C1834" s="1185"/>
      <c r="D1834" s="1185"/>
      <c r="E1834" s="1185"/>
      <c r="F1834" s="1185"/>
      <c r="G1834" s="1186"/>
      <c r="H1834" s="1186"/>
      <c r="I1834" s="195"/>
      <c r="J1834" s="195"/>
      <c r="K1834" s="195"/>
      <c r="L1834" s="195"/>
      <c r="M1834" s="1185"/>
    </row>
    <row r="1835">
      <c r="A1835" s="1185"/>
      <c r="B1835" s="1185"/>
      <c r="C1835" s="1185"/>
      <c r="D1835" s="1185"/>
      <c r="E1835" s="1185"/>
      <c r="F1835" s="1185"/>
      <c r="G1835" s="1186"/>
      <c r="H1835" s="1186"/>
      <c r="I1835" s="195"/>
      <c r="J1835" s="195"/>
      <c r="K1835" s="195"/>
      <c r="L1835" s="195"/>
      <c r="M1835" s="1185"/>
    </row>
    <row r="1836">
      <c r="A1836" s="1185"/>
      <c r="B1836" s="1185"/>
      <c r="C1836" s="1185"/>
      <c r="D1836" s="1185"/>
      <c r="E1836" s="1185"/>
      <c r="F1836" s="1185"/>
      <c r="G1836" s="1186"/>
      <c r="H1836" s="1186"/>
      <c r="I1836" s="195"/>
      <c r="J1836" s="195"/>
      <c r="K1836" s="195"/>
      <c r="L1836" s="195"/>
      <c r="M1836" s="1185"/>
    </row>
    <row r="1837">
      <c r="A1837" s="1185"/>
      <c r="B1837" s="1185"/>
      <c r="C1837" s="1185"/>
      <c r="D1837" s="1185"/>
      <c r="E1837" s="1185"/>
      <c r="F1837" s="1185"/>
      <c r="G1837" s="1186"/>
      <c r="H1837" s="1186"/>
      <c r="I1837" s="195"/>
      <c r="J1837" s="195"/>
      <c r="K1837" s="195"/>
      <c r="L1837" s="195"/>
      <c r="M1837" s="1185"/>
    </row>
    <row r="1838">
      <c r="A1838" s="1185"/>
      <c r="B1838" s="1185"/>
      <c r="C1838" s="1185"/>
      <c r="D1838" s="1185"/>
      <c r="E1838" s="1185"/>
      <c r="F1838" s="1185"/>
      <c r="G1838" s="1186"/>
      <c r="H1838" s="1186"/>
      <c r="I1838" s="195"/>
      <c r="J1838" s="195"/>
      <c r="K1838" s="195"/>
      <c r="L1838" s="195"/>
      <c r="M1838" s="1185"/>
    </row>
    <row r="1839">
      <c r="A1839" s="1185"/>
      <c r="B1839" s="1185"/>
      <c r="C1839" s="1185"/>
      <c r="D1839" s="1185"/>
      <c r="E1839" s="1185"/>
      <c r="F1839" s="1185"/>
      <c r="G1839" s="1186"/>
      <c r="H1839" s="1186"/>
      <c r="I1839" s="195"/>
      <c r="J1839" s="195"/>
      <c r="K1839" s="195"/>
      <c r="L1839" s="195"/>
      <c r="M1839" s="1185"/>
    </row>
    <row r="1840">
      <c r="A1840" s="1185"/>
      <c r="B1840" s="1185"/>
      <c r="C1840" s="1185"/>
      <c r="D1840" s="1185"/>
      <c r="E1840" s="1185"/>
      <c r="F1840" s="1185"/>
      <c r="G1840" s="1186"/>
      <c r="H1840" s="1186"/>
      <c r="I1840" s="195"/>
      <c r="J1840" s="195"/>
      <c r="K1840" s="195"/>
      <c r="L1840" s="195"/>
      <c r="M1840" s="1185"/>
    </row>
    <row r="1841">
      <c r="A1841" s="1185"/>
      <c r="B1841" s="1185"/>
      <c r="C1841" s="1185"/>
      <c r="D1841" s="1185"/>
      <c r="E1841" s="1185"/>
      <c r="F1841" s="1185"/>
      <c r="G1841" s="1186"/>
      <c r="H1841" s="1186"/>
      <c r="I1841" s="195"/>
      <c r="J1841" s="195"/>
      <c r="K1841" s="195"/>
      <c r="L1841" s="195"/>
      <c r="M1841" s="1185"/>
    </row>
    <row r="1842">
      <c r="A1842" s="1185"/>
      <c r="B1842" s="1185"/>
      <c r="C1842" s="1185"/>
      <c r="D1842" s="1185"/>
      <c r="E1842" s="1185"/>
      <c r="F1842" s="1185"/>
      <c r="G1842" s="1186"/>
      <c r="H1842" s="1186"/>
      <c r="I1842" s="195"/>
      <c r="J1842" s="195"/>
      <c r="K1842" s="195"/>
      <c r="L1842" s="195"/>
      <c r="M1842" s="1185"/>
    </row>
    <row r="1843">
      <c r="A1843" s="1185"/>
      <c r="B1843" s="1185"/>
      <c r="C1843" s="1185"/>
      <c r="D1843" s="1185"/>
      <c r="E1843" s="1185"/>
      <c r="F1843" s="1185"/>
      <c r="G1843" s="1186"/>
      <c r="H1843" s="1186"/>
      <c r="I1843" s="195"/>
      <c r="J1843" s="195"/>
      <c r="K1843" s="195"/>
      <c r="L1843" s="195"/>
      <c r="M1843" s="1185"/>
    </row>
    <row r="1844">
      <c r="A1844" s="1185"/>
      <c r="B1844" s="1185"/>
      <c r="C1844" s="1185"/>
      <c r="D1844" s="1185"/>
      <c r="E1844" s="1185"/>
      <c r="F1844" s="1185"/>
      <c r="G1844" s="1186"/>
      <c r="H1844" s="1186"/>
      <c r="I1844" s="195"/>
      <c r="J1844" s="195"/>
      <c r="K1844" s="195"/>
      <c r="L1844" s="195"/>
      <c r="M1844" s="1185"/>
    </row>
    <row r="1845">
      <c r="A1845" s="1185"/>
      <c r="B1845" s="1185"/>
      <c r="C1845" s="1185"/>
      <c r="D1845" s="1185"/>
      <c r="E1845" s="1185"/>
      <c r="F1845" s="1185"/>
      <c r="G1845" s="1186"/>
      <c r="H1845" s="1186"/>
      <c r="I1845" s="195"/>
      <c r="J1845" s="195"/>
      <c r="K1845" s="195"/>
      <c r="L1845" s="195"/>
      <c r="M1845" s="1185"/>
    </row>
    <row r="1846">
      <c r="A1846" s="1185"/>
      <c r="B1846" s="1185"/>
      <c r="C1846" s="1185"/>
      <c r="D1846" s="1185"/>
      <c r="E1846" s="1185"/>
      <c r="F1846" s="1185"/>
      <c r="G1846" s="1186"/>
      <c r="H1846" s="1186"/>
      <c r="I1846" s="195"/>
      <c r="J1846" s="195"/>
      <c r="K1846" s="195"/>
      <c r="L1846" s="195"/>
      <c r="M1846" s="1185"/>
    </row>
    <row r="1847">
      <c r="A1847" s="1185"/>
      <c r="B1847" s="1185"/>
      <c r="C1847" s="1185"/>
      <c r="D1847" s="1185"/>
      <c r="E1847" s="1185"/>
      <c r="F1847" s="1185"/>
      <c r="G1847" s="1186"/>
      <c r="H1847" s="1186"/>
      <c r="I1847" s="195"/>
      <c r="J1847" s="195"/>
      <c r="K1847" s="195"/>
      <c r="L1847" s="195"/>
      <c r="M1847" s="1185"/>
    </row>
    <row r="1848">
      <c r="A1848" s="1185"/>
      <c r="B1848" s="1185"/>
      <c r="C1848" s="1185"/>
      <c r="D1848" s="1185"/>
      <c r="E1848" s="1185"/>
      <c r="F1848" s="1185"/>
      <c r="G1848" s="1186"/>
      <c r="H1848" s="1186"/>
      <c r="I1848" s="195"/>
      <c r="J1848" s="195"/>
      <c r="K1848" s="195"/>
      <c r="L1848" s="195"/>
      <c r="M1848" s="1185"/>
    </row>
    <row r="1849">
      <c r="A1849" s="1185"/>
      <c r="B1849" s="1185"/>
      <c r="C1849" s="1185"/>
      <c r="D1849" s="1185"/>
      <c r="E1849" s="1185"/>
      <c r="F1849" s="1185"/>
      <c r="G1849" s="1186"/>
      <c r="H1849" s="1186"/>
      <c r="I1849" s="195"/>
      <c r="J1849" s="195"/>
      <c r="K1849" s="195"/>
      <c r="L1849" s="195"/>
      <c r="M1849" s="1185"/>
    </row>
    <row r="1850">
      <c r="A1850" s="1185"/>
      <c r="B1850" s="1185"/>
      <c r="C1850" s="1185"/>
      <c r="D1850" s="1185"/>
      <c r="E1850" s="1185"/>
      <c r="F1850" s="1185"/>
      <c r="G1850" s="1186"/>
      <c r="H1850" s="1186"/>
      <c r="I1850" s="195"/>
      <c r="J1850" s="195"/>
      <c r="K1850" s="195"/>
      <c r="L1850" s="195"/>
      <c r="M1850" s="1185"/>
    </row>
    <row r="1851">
      <c r="A1851" s="1185"/>
      <c r="B1851" s="1185"/>
      <c r="C1851" s="1185"/>
      <c r="D1851" s="1185"/>
      <c r="E1851" s="1185"/>
      <c r="F1851" s="1185"/>
      <c r="G1851" s="1186"/>
      <c r="H1851" s="1186"/>
      <c r="I1851" s="195"/>
      <c r="J1851" s="195"/>
      <c r="K1851" s="195"/>
      <c r="L1851" s="195"/>
      <c r="M1851" s="1185"/>
    </row>
    <row r="1852">
      <c r="A1852" s="1185"/>
      <c r="B1852" s="1185"/>
      <c r="C1852" s="1185"/>
      <c r="D1852" s="1185"/>
      <c r="E1852" s="1185"/>
      <c r="F1852" s="1185"/>
      <c r="G1852" s="1186"/>
      <c r="H1852" s="1186"/>
      <c r="I1852" s="195"/>
      <c r="J1852" s="195"/>
      <c r="K1852" s="195"/>
      <c r="L1852" s="195"/>
      <c r="M1852" s="1185"/>
    </row>
    <row r="1853">
      <c r="A1853" s="1185"/>
      <c r="B1853" s="1185"/>
      <c r="C1853" s="1185"/>
      <c r="D1853" s="1185"/>
      <c r="E1853" s="1185"/>
      <c r="F1853" s="1185"/>
      <c r="G1853" s="1186"/>
      <c r="H1853" s="1186"/>
      <c r="I1853" s="195"/>
      <c r="J1853" s="195"/>
      <c r="K1853" s="195"/>
      <c r="L1853" s="195"/>
      <c r="M1853" s="1185"/>
    </row>
    <row r="1854">
      <c r="A1854" s="1185"/>
      <c r="B1854" s="1185"/>
      <c r="C1854" s="1185"/>
      <c r="D1854" s="1185"/>
      <c r="E1854" s="1185"/>
      <c r="F1854" s="1185"/>
      <c r="G1854" s="1186"/>
      <c r="H1854" s="1186"/>
      <c r="I1854" s="195"/>
      <c r="J1854" s="195"/>
      <c r="K1854" s="195"/>
      <c r="L1854" s="195"/>
      <c r="M1854" s="1185"/>
    </row>
    <row r="1855">
      <c r="A1855" s="1185"/>
      <c r="B1855" s="1185"/>
      <c r="C1855" s="1185"/>
      <c r="D1855" s="1185"/>
      <c r="E1855" s="1185"/>
      <c r="F1855" s="1185"/>
      <c r="G1855" s="1186"/>
      <c r="H1855" s="1186"/>
      <c r="I1855" s="195"/>
      <c r="J1855" s="195"/>
      <c r="K1855" s="195"/>
      <c r="L1855" s="195"/>
      <c r="M1855" s="1185"/>
    </row>
    <row r="1856">
      <c r="A1856" s="1185"/>
      <c r="B1856" s="1185"/>
      <c r="C1856" s="1185"/>
      <c r="D1856" s="1185"/>
      <c r="E1856" s="1185"/>
      <c r="F1856" s="1185"/>
      <c r="G1856" s="1186"/>
      <c r="H1856" s="1186"/>
      <c r="I1856" s="195"/>
      <c r="J1856" s="195"/>
      <c r="K1856" s="195"/>
      <c r="L1856" s="195"/>
      <c r="M1856" s="1185"/>
    </row>
    <row r="1857">
      <c r="A1857" s="1185"/>
      <c r="B1857" s="1185"/>
      <c r="C1857" s="1185"/>
      <c r="D1857" s="1185"/>
      <c r="E1857" s="1185"/>
      <c r="F1857" s="1185"/>
      <c r="G1857" s="1186"/>
      <c r="H1857" s="1186"/>
      <c r="I1857" s="195"/>
      <c r="J1857" s="195"/>
      <c r="K1857" s="195"/>
      <c r="L1857" s="195"/>
      <c r="M1857" s="1185"/>
    </row>
    <row r="1858">
      <c r="A1858" s="1185"/>
      <c r="B1858" s="1185"/>
      <c r="C1858" s="1185"/>
      <c r="D1858" s="1185"/>
      <c r="E1858" s="1185"/>
      <c r="F1858" s="1185"/>
      <c r="G1858" s="1186"/>
      <c r="H1858" s="1186"/>
      <c r="I1858" s="195"/>
      <c r="J1858" s="195"/>
      <c r="K1858" s="195"/>
      <c r="L1858" s="195"/>
      <c r="M1858" s="1185"/>
    </row>
    <row r="1859">
      <c r="A1859" s="1185"/>
      <c r="B1859" s="1185"/>
      <c r="C1859" s="1185"/>
      <c r="D1859" s="1185"/>
      <c r="E1859" s="1185"/>
      <c r="F1859" s="1185"/>
      <c r="G1859" s="1186"/>
      <c r="H1859" s="1186"/>
      <c r="I1859" s="195"/>
      <c r="J1859" s="195"/>
      <c r="K1859" s="195"/>
      <c r="L1859" s="195"/>
      <c r="M1859" s="1185"/>
    </row>
    <row r="1860">
      <c r="A1860" s="1185"/>
      <c r="B1860" s="1185"/>
      <c r="C1860" s="1185"/>
      <c r="D1860" s="1185"/>
      <c r="E1860" s="1185"/>
      <c r="F1860" s="1185"/>
      <c r="G1860" s="1186"/>
      <c r="H1860" s="1186"/>
      <c r="I1860" s="195"/>
      <c r="J1860" s="195"/>
      <c r="K1860" s="195"/>
      <c r="L1860" s="195"/>
      <c r="M1860" s="1185"/>
    </row>
    <row r="1861">
      <c r="A1861" s="1185"/>
      <c r="B1861" s="1185"/>
      <c r="C1861" s="1185"/>
      <c r="D1861" s="1185"/>
      <c r="E1861" s="1185"/>
      <c r="F1861" s="1185"/>
      <c r="G1861" s="1186"/>
      <c r="H1861" s="1186"/>
      <c r="I1861" s="195"/>
      <c r="J1861" s="195"/>
      <c r="K1861" s="195"/>
      <c r="L1861" s="195"/>
      <c r="M1861" s="1185"/>
    </row>
    <row r="1862">
      <c r="A1862" s="1185"/>
      <c r="B1862" s="1185"/>
      <c r="C1862" s="1185"/>
      <c r="D1862" s="1185"/>
      <c r="E1862" s="1185"/>
      <c r="F1862" s="1185"/>
      <c r="G1862" s="1186"/>
      <c r="H1862" s="1186"/>
      <c r="I1862" s="195"/>
      <c r="J1862" s="195"/>
      <c r="K1862" s="195"/>
      <c r="L1862" s="195"/>
      <c r="M1862" s="1185"/>
    </row>
    <row r="1863">
      <c r="A1863" s="1185"/>
      <c r="B1863" s="1185"/>
      <c r="C1863" s="1185"/>
      <c r="D1863" s="1185"/>
      <c r="E1863" s="1185"/>
      <c r="F1863" s="1185"/>
      <c r="G1863" s="1186"/>
      <c r="H1863" s="1186"/>
      <c r="I1863" s="195"/>
      <c r="J1863" s="195"/>
      <c r="K1863" s="195"/>
      <c r="L1863" s="195"/>
      <c r="M1863" s="1185"/>
    </row>
    <row r="1864">
      <c r="A1864" s="1185"/>
      <c r="B1864" s="1185"/>
      <c r="C1864" s="1185"/>
      <c r="D1864" s="1185"/>
      <c r="E1864" s="1185"/>
      <c r="F1864" s="1185"/>
      <c r="G1864" s="1186"/>
      <c r="H1864" s="1186"/>
      <c r="I1864" s="195"/>
      <c r="J1864" s="195"/>
      <c r="K1864" s="195"/>
      <c r="L1864" s="195"/>
      <c r="M1864" s="1185"/>
    </row>
    <row r="1865">
      <c r="A1865" s="1185"/>
      <c r="B1865" s="1185"/>
      <c r="C1865" s="1185"/>
      <c r="D1865" s="1185"/>
      <c r="E1865" s="1185"/>
      <c r="F1865" s="1185"/>
      <c r="G1865" s="1186"/>
      <c r="H1865" s="1186"/>
      <c r="I1865" s="195"/>
      <c r="J1865" s="195"/>
      <c r="K1865" s="195"/>
      <c r="L1865" s="195"/>
      <c r="M1865" s="1185"/>
    </row>
    <row r="1866">
      <c r="A1866" s="1185"/>
      <c r="B1866" s="1185"/>
      <c r="C1866" s="1185"/>
      <c r="D1866" s="1185"/>
      <c r="E1866" s="1185"/>
      <c r="F1866" s="1185"/>
      <c r="G1866" s="1186"/>
      <c r="H1866" s="1186"/>
      <c r="I1866" s="195"/>
      <c r="J1866" s="195"/>
      <c r="K1866" s="195"/>
      <c r="L1866" s="195"/>
      <c r="M1866" s="1185"/>
    </row>
    <row r="1867">
      <c r="A1867" s="1185"/>
      <c r="B1867" s="1185"/>
      <c r="C1867" s="1185"/>
      <c r="D1867" s="1185"/>
      <c r="E1867" s="1185"/>
      <c r="F1867" s="1185"/>
      <c r="G1867" s="1186"/>
      <c r="H1867" s="1186"/>
      <c r="I1867" s="195"/>
      <c r="J1867" s="195"/>
      <c r="K1867" s="195"/>
      <c r="L1867" s="195"/>
      <c r="M1867" s="1185"/>
    </row>
    <row r="1868">
      <c r="A1868" s="1185"/>
      <c r="B1868" s="1185"/>
      <c r="C1868" s="1185"/>
      <c r="D1868" s="1185"/>
      <c r="E1868" s="1185"/>
      <c r="F1868" s="1185"/>
      <c r="G1868" s="1186"/>
      <c r="H1868" s="1186"/>
      <c r="I1868" s="195"/>
      <c r="J1868" s="195"/>
      <c r="K1868" s="195"/>
      <c r="L1868" s="195"/>
      <c r="M1868" s="1185"/>
    </row>
    <row r="1869">
      <c r="A1869" s="1185"/>
      <c r="B1869" s="1185"/>
      <c r="C1869" s="1185"/>
      <c r="D1869" s="1185"/>
      <c r="E1869" s="1185"/>
      <c r="F1869" s="1185"/>
      <c r="G1869" s="1186"/>
      <c r="H1869" s="1186"/>
      <c r="I1869" s="195"/>
      <c r="J1869" s="195"/>
      <c r="K1869" s="195"/>
      <c r="L1869" s="195"/>
      <c r="M1869" s="1185"/>
    </row>
    <row r="1870">
      <c r="A1870" s="1185"/>
      <c r="B1870" s="1185"/>
      <c r="C1870" s="1185"/>
      <c r="D1870" s="1185"/>
      <c r="E1870" s="1185"/>
      <c r="F1870" s="1185"/>
      <c r="G1870" s="1186"/>
      <c r="H1870" s="1186"/>
      <c r="I1870" s="195"/>
      <c r="J1870" s="195"/>
      <c r="K1870" s="195"/>
      <c r="L1870" s="195"/>
      <c r="M1870" s="1185"/>
    </row>
    <row r="1871">
      <c r="A1871" s="1185"/>
      <c r="B1871" s="1185"/>
      <c r="C1871" s="1185"/>
      <c r="D1871" s="1185"/>
      <c r="E1871" s="1185"/>
      <c r="F1871" s="1185"/>
      <c r="G1871" s="1186"/>
      <c r="H1871" s="1186"/>
      <c r="I1871" s="195"/>
      <c r="J1871" s="195"/>
      <c r="K1871" s="195"/>
      <c r="L1871" s="195"/>
      <c r="M1871" s="1185"/>
    </row>
    <row r="1872">
      <c r="A1872" s="1185"/>
      <c r="B1872" s="1185"/>
      <c r="C1872" s="1185"/>
      <c r="D1872" s="1185"/>
      <c r="E1872" s="1185"/>
      <c r="F1872" s="1185"/>
      <c r="G1872" s="1186"/>
      <c r="H1872" s="1186"/>
      <c r="I1872" s="195"/>
      <c r="J1872" s="195"/>
      <c r="K1872" s="195"/>
      <c r="L1872" s="195"/>
      <c r="M1872" s="1185"/>
    </row>
    <row r="1873">
      <c r="A1873" s="1185"/>
      <c r="B1873" s="1185"/>
      <c r="C1873" s="1185"/>
      <c r="D1873" s="1185"/>
      <c r="E1873" s="1185"/>
      <c r="F1873" s="1185"/>
      <c r="G1873" s="1186"/>
      <c r="H1873" s="1186"/>
      <c r="I1873" s="195"/>
      <c r="J1873" s="195"/>
      <c r="K1873" s="195"/>
      <c r="L1873" s="195"/>
      <c r="M1873" s="1185"/>
    </row>
    <row r="1874">
      <c r="A1874" s="1185"/>
      <c r="B1874" s="1185"/>
      <c r="C1874" s="1185"/>
      <c r="D1874" s="1185"/>
      <c r="E1874" s="1185"/>
      <c r="F1874" s="1185"/>
      <c r="G1874" s="1186"/>
      <c r="H1874" s="1186"/>
      <c r="I1874" s="195"/>
      <c r="J1874" s="195"/>
      <c r="K1874" s="195"/>
      <c r="L1874" s="195"/>
      <c r="M1874" s="1185"/>
    </row>
    <row r="1875">
      <c r="A1875" s="1185"/>
      <c r="B1875" s="1185"/>
      <c r="C1875" s="1185"/>
      <c r="D1875" s="1185"/>
      <c r="E1875" s="1185"/>
      <c r="F1875" s="1185"/>
      <c r="G1875" s="1186"/>
      <c r="H1875" s="1186"/>
      <c r="I1875" s="195"/>
      <c r="J1875" s="195"/>
      <c r="K1875" s="195"/>
      <c r="L1875" s="195"/>
      <c r="M1875" s="1185"/>
    </row>
    <row r="1876">
      <c r="A1876" s="1185"/>
      <c r="B1876" s="1185"/>
      <c r="C1876" s="1185"/>
      <c r="D1876" s="1185"/>
      <c r="E1876" s="1185"/>
      <c r="F1876" s="1185"/>
      <c r="G1876" s="1186"/>
      <c r="H1876" s="1186"/>
      <c r="I1876" s="195"/>
      <c r="J1876" s="195"/>
      <c r="K1876" s="195"/>
      <c r="L1876" s="195"/>
      <c r="M1876" s="1185"/>
    </row>
    <row r="1877">
      <c r="A1877" s="1185"/>
      <c r="B1877" s="1185"/>
      <c r="C1877" s="1185"/>
      <c r="D1877" s="1185"/>
      <c r="E1877" s="1185"/>
      <c r="F1877" s="1185"/>
      <c r="G1877" s="1186"/>
      <c r="H1877" s="1186"/>
      <c r="I1877" s="195"/>
      <c r="J1877" s="195"/>
      <c r="K1877" s="195"/>
      <c r="L1877" s="195"/>
      <c r="M1877" s="1185"/>
    </row>
    <row r="1878">
      <c r="A1878" s="1185"/>
      <c r="B1878" s="1185"/>
      <c r="C1878" s="1185"/>
      <c r="D1878" s="1185"/>
      <c r="E1878" s="1185"/>
      <c r="F1878" s="1185"/>
      <c r="G1878" s="1186"/>
      <c r="H1878" s="1186"/>
      <c r="I1878" s="195"/>
      <c r="J1878" s="195"/>
      <c r="K1878" s="195"/>
      <c r="L1878" s="195"/>
      <c r="M1878" s="1185"/>
    </row>
    <row r="1879">
      <c r="A1879" s="1185"/>
      <c r="B1879" s="1185"/>
      <c r="C1879" s="1185"/>
      <c r="D1879" s="1185"/>
      <c r="E1879" s="1185"/>
      <c r="F1879" s="1185"/>
      <c r="G1879" s="1186"/>
      <c r="H1879" s="1186"/>
      <c r="I1879" s="195"/>
      <c r="J1879" s="195"/>
      <c r="K1879" s="195"/>
      <c r="L1879" s="195"/>
      <c r="M1879" s="1185"/>
    </row>
    <row r="1880">
      <c r="A1880" s="1185"/>
      <c r="B1880" s="1185"/>
      <c r="C1880" s="1185"/>
      <c r="D1880" s="1185"/>
      <c r="E1880" s="1185"/>
      <c r="F1880" s="1185"/>
      <c r="G1880" s="1186"/>
      <c r="H1880" s="1186"/>
      <c r="I1880" s="195"/>
      <c r="J1880" s="195"/>
      <c r="K1880" s="195"/>
      <c r="L1880" s="195"/>
      <c r="M1880" s="1185"/>
    </row>
    <row r="1881">
      <c r="A1881" s="1185"/>
      <c r="B1881" s="1185"/>
      <c r="C1881" s="1185"/>
      <c r="D1881" s="1185"/>
      <c r="E1881" s="1185"/>
      <c r="F1881" s="1185"/>
      <c r="G1881" s="1186"/>
      <c r="H1881" s="1186"/>
      <c r="I1881" s="195"/>
      <c r="J1881" s="195"/>
      <c r="K1881" s="195"/>
      <c r="L1881" s="195"/>
      <c r="M1881" s="1185"/>
    </row>
    <row r="1882">
      <c r="A1882" s="1185"/>
      <c r="B1882" s="1185"/>
      <c r="C1882" s="1185"/>
      <c r="D1882" s="1185"/>
      <c r="E1882" s="1185"/>
      <c r="F1882" s="1185"/>
      <c r="G1882" s="1186"/>
      <c r="H1882" s="1186"/>
      <c r="I1882" s="195"/>
      <c r="J1882" s="195"/>
      <c r="K1882" s="195"/>
      <c r="L1882" s="195"/>
      <c r="M1882" s="1185"/>
    </row>
    <row r="1883">
      <c r="A1883" s="1185"/>
      <c r="B1883" s="1185"/>
      <c r="C1883" s="1185"/>
      <c r="D1883" s="1185"/>
      <c r="E1883" s="1185"/>
      <c r="F1883" s="1185"/>
      <c r="G1883" s="1186"/>
      <c r="H1883" s="1186"/>
      <c r="I1883" s="195"/>
      <c r="J1883" s="195"/>
      <c r="K1883" s="195"/>
      <c r="L1883" s="195"/>
      <c r="M1883" s="1185"/>
    </row>
    <row r="1884">
      <c r="A1884" s="1185"/>
      <c r="B1884" s="1185"/>
      <c r="C1884" s="1185"/>
      <c r="D1884" s="1185"/>
      <c r="E1884" s="1185"/>
      <c r="F1884" s="1185"/>
      <c r="G1884" s="1186"/>
      <c r="H1884" s="1186"/>
      <c r="I1884" s="195"/>
      <c r="J1884" s="195"/>
      <c r="K1884" s="195"/>
      <c r="L1884" s="195"/>
      <c r="M1884" s="1185"/>
    </row>
    <row r="1885">
      <c r="A1885" s="1185"/>
      <c r="B1885" s="1185"/>
      <c r="C1885" s="1185"/>
      <c r="D1885" s="1185"/>
      <c r="E1885" s="1185"/>
      <c r="F1885" s="1185"/>
      <c r="G1885" s="1186"/>
      <c r="H1885" s="1186"/>
      <c r="I1885" s="195"/>
      <c r="J1885" s="195"/>
      <c r="K1885" s="195"/>
      <c r="L1885" s="195"/>
      <c r="M1885" s="1185"/>
    </row>
    <row r="1886">
      <c r="A1886" s="1185"/>
      <c r="B1886" s="1185"/>
      <c r="C1886" s="1185"/>
      <c r="D1886" s="1185"/>
      <c r="E1886" s="1185"/>
      <c r="F1886" s="1185"/>
      <c r="G1886" s="1186"/>
      <c r="H1886" s="1186"/>
      <c r="I1886" s="195"/>
      <c r="J1886" s="195"/>
      <c r="K1886" s="195"/>
      <c r="L1886" s="195"/>
      <c r="M1886" s="1185"/>
    </row>
    <row r="1887">
      <c r="A1887" s="1185"/>
      <c r="B1887" s="1185"/>
      <c r="C1887" s="1185"/>
      <c r="D1887" s="1185"/>
      <c r="E1887" s="1185"/>
      <c r="F1887" s="1185"/>
      <c r="G1887" s="1186"/>
      <c r="H1887" s="1186"/>
      <c r="I1887" s="195"/>
      <c r="J1887" s="195"/>
      <c r="K1887" s="195"/>
      <c r="L1887" s="195"/>
      <c r="M1887" s="1185"/>
    </row>
    <row r="1888">
      <c r="A1888" s="1185"/>
      <c r="B1888" s="1185"/>
      <c r="C1888" s="1185"/>
      <c r="D1888" s="1185"/>
      <c r="E1888" s="1185"/>
      <c r="F1888" s="1185"/>
      <c r="G1888" s="1186"/>
      <c r="H1888" s="1186"/>
      <c r="I1888" s="195"/>
      <c r="J1888" s="195"/>
      <c r="K1888" s="195"/>
      <c r="L1888" s="195"/>
      <c r="M1888" s="1185"/>
    </row>
    <row r="1889">
      <c r="A1889" s="1185"/>
      <c r="B1889" s="1185"/>
      <c r="C1889" s="1185"/>
      <c r="D1889" s="1185"/>
      <c r="E1889" s="1185"/>
      <c r="F1889" s="1185"/>
      <c r="G1889" s="1186"/>
      <c r="H1889" s="1186"/>
      <c r="I1889" s="195"/>
      <c r="J1889" s="195"/>
      <c r="K1889" s="195"/>
      <c r="L1889" s="195"/>
      <c r="M1889" s="1185"/>
    </row>
    <row r="1890">
      <c r="A1890" s="1185"/>
      <c r="B1890" s="1185"/>
      <c r="C1890" s="1185"/>
      <c r="D1890" s="1185"/>
      <c r="E1890" s="1185"/>
      <c r="F1890" s="1185"/>
      <c r="G1890" s="1186"/>
      <c r="H1890" s="1186"/>
      <c r="I1890" s="195"/>
      <c r="J1890" s="195"/>
      <c r="K1890" s="195"/>
      <c r="L1890" s="195"/>
      <c r="M1890" s="1185"/>
    </row>
    <row r="1891">
      <c r="A1891" s="1185"/>
      <c r="B1891" s="1185"/>
      <c r="C1891" s="1185"/>
      <c r="D1891" s="1185"/>
      <c r="E1891" s="1185"/>
      <c r="F1891" s="1185"/>
      <c r="G1891" s="1186"/>
      <c r="H1891" s="1186"/>
      <c r="I1891" s="195"/>
      <c r="J1891" s="195"/>
      <c r="K1891" s="195"/>
      <c r="L1891" s="195"/>
      <c r="M1891" s="1185"/>
    </row>
    <row r="1892">
      <c r="A1892" s="1185"/>
      <c r="B1892" s="1185"/>
      <c r="C1892" s="1185"/>
      <c r="D1892" s="1185"/>
      <c r="E1892" s="1185"/>
      <c r="F1892" s="1185"/>
      <c r="G1892" s="1186"/>
      <c r="H1892" s="1186"/>
      <c r="I1892" s="195"/>
      <c r="J1892" s="195"/>
      <c r="K1892" s="195"/>
      <c r="L1892" s="195"/>
      <c r="M1892" s="1185"/>
    </row>
    <row r="1893">
      <c r="A1893" s="1185"/>
      <c r="B1893" s="1185"/>
      <c r="C1893" s="1185"/>
      <c r="D1893" s="1185"/>
      <c r="E1893" s="1185"/>
      <c r="F1893" s="1185"/>
      <c r="G1893" s="1186"/>
      <c r="H1893" s="1186"/>
      <c r="I1893" s="195"/>
      <c r="J1893" s="195"/>
      <c r="K1893" s="195"/>
      <c r="L1893" s="195"/>
      <c r="M1893" s="1185"/>
    </row>
    <row r="1894">
      <c r="A1894" s="1185"/>
      <c r="B1894" s="1185"/>
      <c r="C1894" s="1185"/>
      <c r="D1894" s="1185"/>
      <c r="E1894" s="1185"/>
      <c r="F1894" s="1185"/>
      <c r="G1894" s="1186"/>
      <c r="H1894" s="1186"/>
      <c r="I1894" s="195"/>
      <c r="J1894" s="195"/>
      <c r="K1894" s="195"/>
      <c r="L1894" s="195"/>
      <c r="M1894" s="1185"/>
    </row>
    <row r="1895">
      <c r="A1895" s="1185"/>
      <c r="B1895" s="1185"/>
      <c r="C1895" s="1185"/>
      <c r="D1895" s="1185"/>
      <c r="E1895" s="1185"/>
      <c r="F1895" s="1185"/>
      <c r="G1895" s="1186"/>
      <c r="H1895" s="1186"/>
      <c r="I1895" s="195"/>
      <c r="J1895" s="195"/>
      <c r="K1895" s="195"/>
      <c r="L1895" s="195"/>
      <c r="M1895" s="1185"/>
    </row>
    <row r="1896">
      <c r="A1896" s="1185"/>
      <c r="B1896" s="1185"/>
      <c r="C1896" s="1185"/>
      <c r="D1896" s="1185"/>
      <c r="E1896" s="1185"/>
      <c r="F1896" s="1185"/>
      <c r="G1896" s="1186"/>
      <c r="H1896" s="1186"/>
      <c r="I1896" s="195"/>
      <c r="J1896" s="195"/>
      <c r="K1896" s="195"/>
      <c r="L1896" s="195"/>
      <c r="M1896" s="1185"/>
    </row>
    <row r="1897">
      <c r="A1897" s="1185"/>
      <c r="B1897" s="1185"/>
      <c r="C1897" s="1185"/>
      <c r="D1897" s="1185"/>
      <c r="E1897" s="1185"/>
      <c r="F1897" s="1185"/>
      <c r="G1897" s="1186"/>
      <c r="H1897" s="1186"/>
      <c r="I1897" s="195"/>
      <c r="J1897" s="195"/>
      <c r="K1897" s="195"/>
      <c r="L1897" s="195"/>
      <c r="M1897" s="1185"/>
    </row>
    <row r="1898">
      <c r="A1898" s="1185"/>
      <c r="B1898" s="1185"/>
      <c r="C1898" s="1185"/>
      <c r="D1898" s="1185"/>
      <c r="E1898" s="1185"/>
      <c r="F1898" s="1185"/>
      <c r="G1898" s="1186"/>
      <c r="H1898" s="1186"/>
      <c r="I1898" s="195"/>
      <c r="J1898" s="195"/>
      <c r="K1898" s="195"/>
      <c r="L1898" s="195"/>
      <c r="M1898" s="1185"/>
    </row>
    <row r="1899">
      <c r="A1899" s="1185"/>
      <c r="B1899" s="1185"/>
      <c r="C1899" s="1185"/>
      <c r="D1899" s="1185"/>
      <c r="E1899" s="1185"/>
      <c r="F1899" s="1185"/>
      <c r="G1899" s="1186"/>
      <c r="H1899" s="1186"/>
      <c r="I1899" s="195"/>
      <c r="J1899" s="195"/>
      <c r="K1899" s="195"/>
      <c r="L1899" s="195"/>
      <c r="M1899" s="1185"/>
    </row>
    <row r="1900">
      <c r="A1900" s="1185"/>
      <c r="B1900" s="1185"/>
      <c r="C1900" s="1185"/>
      <c r="D1900" s="1185"/>
      <c r="E1900" s="1185"/>
      <c r="F1900" s="1185"/>
      <c r="G1900" s="1186"/>
      <c r="H1900" s="1186"/>
      <c r="I1900" s="195"/>
      <c r="J1900" s="195"/>
      <c r="K1900" s="195"/>
      <c r="L1900" s="195"/>
      <c r="M1900" s="1185"/>
    </row>
    <row r="1901">
      <c r="A1901" s="1185"/>
      <c r="B1901" s="1185"/>
      <c r="C1901" s="1185"/>
      <c r="D1901" s="1185"/>
      <c r="E1901" s="1185"/>
      <c r="F1901" s="1185"/>
      <c r="G1901" s="1186"/>
      <c r="H1901" s="1186"/>
      <c r="I1901" s="195"/>
      <c r="J1901" s="195"/>
      <c r="K1901" s="195"/>
      <c r="L1901" s="195"/>
      <c r="M1901" s="1185"/>
    </row>
    <row r="1902">
      <c r="A1902" s="1185"/>
      <c r="B1902" s="1185"/>
      <c r="C1902" s="1185"/>
      <c r="D1902" s="1185"/>
      <c r="E1902" s="1185"/>
      <c r="F1902" s="1185"/>
      <c r="G1902" s="1186"/>
      <c r="H1902" s="1186"/>
      <c r="I1902" s="195"/>
      <c r="J1902" s="195"/>
      <c r="K1902" s="195"/>
      <c r="L1902" s="195"/>
      <c r="M1902" s="1185"/>
    </row>
    <row r="1903">
      <c r="A1903" s="1185"/>
      <c r="B1903" s="1185"/>
      <c r="C1903" s="1185"/>
      <c r="D1903" s="1185"/>
      <c r="E1903" s="1185"/>
      <c r="F1903" s="1185"/>
      <c r="G1903" s="1186"/>
      <c r="H1903" s="1186"/>
      <c r="I1903" s="195"/>
      <c r="J1903" s="195"/>
      <c r="K1903" s="195"/>
      <c r="L1903" s="195"/>
      <c r="M1903" s="1185"/>
    </row>
    <row r="1904">
      <c r="A1904" s="1185"/>
      <c r="B1904" s="1185"/>
      <c r="C1904" s="1185"/>
      <c r="D1904" s="1185"/>
      <c r="E1904" s="1185"/>
      <c r="F1904" s="1185"/>
      <c r="G1904" s="1186"/>
      <c r="H1904" s="1186"/>
      <c r="I1904" s="195"/>
      <c r="J1904" s="195"/>
      <c r="K1904" s="195"/>
      <c r="L1904" s="195"/>
      <c r="M1904" s="1185"/>
    </row>
    <row r="1905">
      <c r="A1905" s="1185"/>
      <c r="B1905" s="1185"/>
      <c r="C1905" s="1185"/>
      <c r="D1905" s="1185"/>
      <c r="E1905" s="1185"/>
      <c r="F1905" s="1185"/>
      <c r="G1905" s="1186"/>
      <c r="H1905" s="1186"/>
      <c r="I1905" s="195"/>
      <c r="J1905" s="195"/>
      <c r="K1905" s="195"/>
      <c r="L1905" s="195"/>
      <c r="M1905" s="1185"/>
    </row>
    <row r="1906">
      <c r="A1906" s="1185"/>
      <c r="B1906" s="1185"/>
      <c r="C1906" s="1185"/>
      <c r="D1906" s="1185"/>
      <c r="E1906" s="1185"/>
      <c r="F1906" s="1185"/>
      <c r="G1906" s="1186"/>
      <c r="H1906" s="1186"/>
      <c r="I1906" s="195"/>
      <c r="J1906" s="195"/>
      <c r="K1906" s="195"/>
      <c r="L1906" s="195"/>
      <c r="M1906" s="1185"/>
    </row>
    <row r="1907">
      <c r="A1907" s="1185"/>
      <c r="B1907" s="1185"/>
      <c r="C1907" s="1185"/>
      <c r="D1907" s="1185"/>
      <c r="E1907" s="1185"/>
      <c r="F1907" s="1185"/>
      <c r="G1907" s="1186"/>
      <c r="H1907" s="1186"/>
      <c r="I1907" s="195"/>
      <c r="J1907" s="195"/>
      <c r="K1907" s="195"/>
      <c r="L1907" s="195"/>
      <c r="M1907" s="1185"/>
    </row>
    <row r="1908">
      <c r="A1908" s="1185"/>
      <c r="B1908" s="1185"/>
      <c r="C1908" s="1185"/>
      <c r="D1908" s="1185"/>
      <c r="E1908" s="1185"/>
      <c r="F1908" s="1185"/>
      <c r="G1908" s="1186"/>
      <c r="H1908" s="1186"/>
      <c r="I1908" s="195"/>
      <c r="J1908" s="195"/>
      <c r="K1908" s="195"/>
      <c r="L1908" s="195"/>
      <c r="M1908" s="1185"/>
    </row>
    <row r="1909">
      <c r="A1909" s="1185"/>
      <c r="B1909" s="1185"/>
      <c r="C1909" s="1185"/>
      <c r="D1909" s="1185"/>
      <c r="E1909" s="1185"/>
      <c r="F1909" s="1185"/>
      <c r="G1909" s="1186"/>
      <c r="H1909" s="1186"/>
      <c r="I1909" s="195"/>
      <c r="J1909" s="195"/>
      <c r="K1909" s="195"/>
      <c r="L1909" s="195"/>
      <c r="M1909" s="1185"/>
    </row>
    <row r="1910">
      <c r="A1910" s="1185"/>
      <c r="B1910" s="1185"/>
      <c r="C1910" s="1185"/>
      <c r="D1910" s="1185"/>
      <c r="E1910" s="1185"/>
      <c r="F1910" s="1185"/>
      <c r="G1910" s="1186"/>
      <c r="H1910" s="1186"/>
      <c r="I1910" s="195"/>
      <c r="J1910" s="195"/>
      <c r="K1910" s="195"/>
      <c r="L1910" s="195"/>
      <c r="M1910" s="1185"/>
    </row>
    <row r="1911">
      <c r="A1911" s="1185"/>
      <c r="B1911" s="1185"/>
      <c r="C1911" s="1185"/>
      <c r="D1911" s="1185"/>
      <c r="E1911" s="1185"/>
      <c r="F1911" s="1185"/>
      <c r="G1911" s="1186"/>
      <c r="H1911" s="1186"/>
      <c r="I1911" s="195"/>
      <c r="J1911" s="195"/>
      <c r="K1911" s="195"/>
      <c r="L1911" s="195"/>
      <c r="M1911" s="1185"/>
    </row>
    <row r="1912">
      <c r="A1912" s="1185"/>
      <c r="B1912" s="1185"/>
      <c r="C1912" s="1185"/>
      <c r="D1912" s="1185"/>
      <c r="E1912" s="1185"/>
      <c r="F1912" s="1185"/>
      <c r="G1912" s="1186"/>
      <c r="H1912" s="1186"/>
      <c r="I1912" s="195"/>
      <c r="J1912" s="195"/>
      <c r="K1912" s="195"/>
      <c r="L1912" s="195"/>
      <c r="M1912" s="1185"/>
    </row>
    <row r="1913">
      <c r="A1913" s="1185"/>
      <c r="B1913" s="1185"/>
      <c r="C1913" s="1185"/>
      <c r="D1913" s="1185"/>
      <c r="E1913" s="1185"/>
      <c r="F1913" s="1185"/>
      <c r="G1913" s="1186"/>
      <c r="H1913" s="1186"/>
      <c r="I1913" s="195"/>
      <c r="J1913" s="195"/>
      <c r="K1913" s="195"/>
      <c r="L1913" s="195"/>
      <c r="M1913" s="1185"/>
    </row>
    <row r="1914">
      <c r="A1914" s="1185"/>
      <c r="B1914" s="1185"/>
      <c r="C1914" s="1185"/>
      <c r="D1914" s="1185"/>
      <c r="E1914" s="1185"/>
      <c r="F1914" s="1185"/>
      <c r="G1914" s="1186"/>
      <c r="H1914" s="1186"/>
      <c r="I1914" s="195"/>
      <c r="J1914" s="195"/>
      <c r="K1914" s="195"/>
      <c r="L1914" s="195"/>
      <c r="M1914" s="1185"/>
    </row>
    <row r="1915">
      <c r="A1915" s="1185"/>
      <c r="B1915" s="1185"/>
      <c r="C1915" s="1185"/>
      <c r="D1915" s="1185"/>
      <c r="E1915" s="1185"/>
      <c r="F1915" s="1185"/>
      <c r="G1915" s="1186"/>
      <c r="H1915" s="1186"/>
      <c r="I1915" s="195"/>
      <c r="J1915" s="195"/>
      <c r="K1915" s="195"/>
      <c r="L1915" s="195"/>
      <c r="M1915" s="1185"/>
    </row>
    <row r="1916">
      <c r="A1916" s="1185"/>
      <c r="B1916" s="1185"/>
      <c r="C1916" s="1185"/>
      <c r="D1916" s="1185"/>
      <c r="E1916" s="1185"/>
      <c r="F1916" s="1185"/>
      <c r="G1916" s="1186"/>
      <c r="H1916" s="1186"/>
      <c r="I1916" s="195"/>
      <c r="J1916" s="195"/>
      <c r="K1916" s="195"/>
      <c r="L1916" s="195"/>
      <c r="M1916" s="1185"/>
    </row>
    <row r="1917">
      <c r="A1917" s="1185"/>
      <c r="B1917" s="1185"/>
      <c r="C1917" s="1185"/>
      <c r="D1917" s="1185"/>
      <c r="E1917" s="1185"/>
      <c r="F1917" s="1185"/>
      <c r="G1917" s="1186"/>
      <c r="H1917" s="1186"/>
      <c r="I1917" s="195"/>
      <c r="J1917" s="195"/>
      <c r="K1917" s="195"/>
      <c r="L1917" s="195"/>
      <c r="M1917" s="1185"/>
    </row>
    <row r="1918">
      <c r="A1918" s="1185"/>
      <c r="B1918" s="1185"/>
      <c r="C1918" s="1185"/>
      <c r="D1918" s="1185"/>
      <c r="E1918" s="1185"/>
      <c r="F1918" s="1185"/>
      <c r="G1918" s="1186"/>
      <c r="H1918" s="1186"/>
      <c r="I1918" s="195"/>
      <c r="J1918" s="195"/>
      <c r="K1918" s="195"/>
      <c r="L1918" s="195"/>
      <c r="M1918" s="1185"/>
    </row>
    <row r="1919">
      <c r="A1919" s="1185"/>
      <c r="B1919" s="1185"/>
      <c r="C1919" s="1185"/>
      <c r="D1919" s="1185"/>
      <c r="E1919" s="1185"/>
      <c r="F1919" s="1185"/>
      <c r="G1919" s="1186"/>
      <c r="H1919" s="1186"/>
      <c r="I1919" s="195"/>
      <c r="J1919" s="195"/>
      <c r="K1919" s="195"/>
      <c r="L1919" s="195"/>
      <c r="M1919" s="1185"/>
    </row>
    <row r="1920">
      <c r="A1920" s="1185"/>
      <c r="B1920" s="1185"/>
      <c r="C1920" s="1185"/>
      <c r="D1920" s="1185"/>
      <c r="E1920" s="1185"/>
      <c r="F1920" s="1185"/>
      <c r="G1920" s="1186"/>
      <c r="H1920" s="1186"/>
      <c r="I1920" s="195"/>
      <c r="J1920" s="195"/>
      <c r="K1920" s="195"/>
      <c r="L1920" s="195"/>
      <c r="M1920" s="1185"/>
    </row>
    <row r="1921">
      <c r="A1921" s="1185"/>
      <c r="B1921" s="1185"/>
      <c r="C1921" s="1185"/>
      <c r="D1921" s="1185"/>
      <c r="E1921" s="1185"/>
      <c r="F1921" s="1185"/>
      <c r="G1921" s="1186"/>
      <c r="H1921" s="1186"/>
      <c r="I1921" s="195"/>
      <c r="J1921" s="195"/>
      <c r="K1921" s="195"/>
      <c r="L1921" s="195"/>
      <c r="M1921" s="1185"/>
    </row>
    <row r="1922">
      <c r="A1922" s="1185"/>
      <c r="B1922" s="1185"/>
      <c r="C1922" s="1185"/>
      <c r="D1922" s="1185"/>
      <c r="E1922" s="1185"/>
      <c r="F1922" s="1185"/>
      <c r="G1922" s="1186"/>
      <c r="H1922" s="1186"/>
      <c r="I1922" s="195"/>
      <c r="J1922" s="195"/>
      <c r="K1922" s="195"/>
      <c r="L1922" s="195"/>
      <c r="M1922" s="1185"/>
    </row>
    <row r="1923">
      <c r="A1923" s="1185"/>
      <c r="B1923" s="1185"/>
      <c r="C1923" s="1185"/>
      <c r="D1923" s="1185"/>
      <c r="E1923" s="1185"/>
      <c r="F1923" s="1185"/>
      <c r="G1923" s="1186"/>
      <c r="H1923" s="1186"/>
      <c r="I1923" s="195"/>
      <c r="J1923" s="195"/>
      <c r="K1923" s="195"/>
      <c r="L1923" s="195"/>
      <c r="M1923" s="1185"/>
    </row>
    <row r="1924">
      <c r="A1924" s="1185"/>
      <c r="B1924" s="1185"/>
      <c r="C1924" s="1185"/>
      <c r="D1924" s="1185"/>
      <c r="E1924" s="1185"/>
      <c r="F1924" s="1185"/>
      <c r="G1924" s="1186"/>
      <c r="H1924" s="1186"/>
      <c r="I1924" s="195"/>
      <c r="J1924" s="195"/>
      <c r="K1924" s="195"/>
      <c r="L1924" s="195"/>
      <c r="M1924" s="1185"/>
    </row>
    <row r="1925">
      <c r="A1925" s="1185"/>
      <c r="B1925" s="1185"/>
      <c r="C1925" s="1185"/>
      <c r="D1925" s="1185"/>
      <c r="E1925" s="1185"/>
      <c r="F1925" s="1185"/>
      <c r="G1925" s="1186"/>
      <c r="H1925" s="1186"/>
      <c r="I1925" s="195"/>
      <c r="J1925" s="195"/>
      <c r="K1925" s="195"/>
      <c r="L1925" s="195"/>
      <c r="M1925" s="1185"/>
    </row>
    <row r="1926">
      <c r="A1926" s="1185"/>
      <c r="B1926" s="1185"/>
      <c r="C1926" s="1185"/>
      <c r="D1926" s="1185"/>
      <c r="E1926" s="1185"/>
      <c r="F1926" s="1185"/>
      <c r="G1926" s="1186"/>
      <c r="H1926" s="1186"/>
      <c r="I1926" s="195"/>
      <c r="J1926" s="195"/>
      <c r="K1926" s="195"/>
      <c r="L1926" s="195"/>
      <c r="M1926" s="1185"/>
    </row>
    <row r="1927">
      <c r="A1927" s="1185"/>
      <c r="B1927" s="1185"/>
      <c r="C1927" s="1185"/>
      <c r="D1927" s="1185"/>
      <c r="E1927" s="1185"/>
      <c r="F1927" s="1185"/>
      <c r="G1927" s="1186"/>
      <c r="H1927" s="1186"/>
      <c r="I1927" s="195"/>
      <c r="J1927" s="195"/>
      <c r="K1927" s="195"/>
      <c r="L1927" s="195"/>
      <c r="M1927" s="1185"/>
    </row>
    <row r="1928">
      <c r="A1928" s="1185"/>
      <c r="B1928" s="1185"/>
      <c r="C1928" s="1185"/>
      <c r="D1928" s="1185"/>
      <c r="E1928" s="1185"/>
      <c r="F1928" s="1185"/>
      <c r="G1928" s="1186"/>
      <c r="H1928" s="1186"/>
      <c r="I1928" s="195"/>
      <c r="J1928" s="195"/>
      <c r="K1928" s="195"/>
      <c r="L1928" s="195"/>
      <c r="M1928" s="1185"/>
    </row>
    <row r="1929">
      <c r="A1929" s="1185"/>
      <c r="B1929" s="1185"/>
      <c r="C1929" s="1185"/>
      <c r="D1929" s="1185"/>
      <c r="E1929" s="1185"/>
      <c r="F1929" s="1185"/>
      <c r="G1929" s="1186"/>
      <c r="H1929" s="1186"/>
      <c r="I1929" s="195"/>
      <c r="J1929" s="195"/>
      <c r="K1929" s="195"/>
      <c r="L1929" s="195"/>
      <c r="M1929" s="1185"/>
    </row>
    <row r="1930">
      <c r="A1930" s="1185"/>
      <c r="B1930" s="1185"/>
      <c r="C1930" s="1185"/>
      <c r="D1930" s="1185"/>
      <c r="E1930" s="1185"/>
      <c r="F1930" s="1185"/>
      <c r="G1930" s="1186"/>
      <c r="H1930" s="1186"/>
      <c r="I1930" s="195"/>
      <c r="J1930" s="195"/>
      <c r="K1930" s="195"/>
      <c r="L1930" s="195"/>
      <c r="M1930" s="1185"/>
    </row>
    <row r="1931">
      <c r="A1931" s="1185"/>
      <c r="B1931" s="1185"/>
      <c r="C1931" s="1185"/>
      <c r="D1931" s="1185"/>
      <c r="E1931" s="1185"/>
      <c r="F1931" s="1185"/>
      <c r="G1931" s="1186"/>
      <c r="H1931" s="1186"/>
      <c r="I1931" s="195"/>
      <c r="J1931" s="195"/>
      <c r="K1931" s="195"/>
      <c r="L1931" s="195"/>
      <c r="M1931" s="1185"/>
    </row>
    <row r="1932">
      <c r="A1932" s="1185"/>
      <c r="B1932" s="1185"/>
      <c r="C1932" s="1185"/>
      <c r="D1932" s="1185"/>
      <c r="E1932" s="1185"/>
      <c r="F1932" s="1185"/>
      <c r="G1932" s="1186"/>
      <c r="H1932" s="1186"/>
      <c r="I1932" s="195"/>
      <c r="J1932" s="195"/>
      <c r="K1932" s="195"/>
      <c r="L1932" s="195"/>
      <c r="M1932" s="1185"/>
    </row>
    <row r="1933">
      <c r="A1933" s="1185"/>
      <c r="B1933" s="1185"/>
      <c r="C1933" s="1185"/>
      <c r="D1933" s="1185"/>
      <c r="E1933" s="1185"/>
      <c r="F1933" s="1185"/>
      <c r="G1933" s="1186"/>
      <c r="H1933" s="1186"/>
      <c r="I1933" s="195"/>
      <c r="J1933" s="195"/>
      <c r="K1933" s="195"/>
      <c r="L1933" s="195"/>
      <c r="M1933" s="1185"/>
    </row>
    <row r="1934">
      <c r="A1934" s="1185"/>
      <c r="B1934" s="1185"/>
      <c r="C1934" s="1185"/>
      <c r="D1934" s="1185"/>
      <c r="E1934" s="1185"/>
      <c r="F1934" s="1185"/>
      <c r="G1934" s="1186"/>
      <c r="H1934" s="1186"/>
      <c r="I1934" s="195"/>
      <c r="J1934" s="195"/>
      <c r="K1934" s="195"/>
      <c r="L1934" s="195"/>
      <c r="M1934" s="1185"/>
    </row>
    <row r="1935">
      <c r="A1935" s="1185"/>
      <c r="B1935" s="1185"/>
      <c r="C1935" s="1185"/>
      <c r="D1935" s="1185"/>
      <c r="E1935" s="1185"/>
      <c r="F1935" s="1185"/>
      <c r="G1935" s="1186"/>
      <c r="H1935" s="1186"/>
      <c r="I1935" s="195"/>
      <c r="J1935" s="195"/>
      <c r="K1935" s="195"/>
      <c r="L1935" s="195"/>
      <c r="M1935" s="1185"/>
    </row>
    <row r="1936">
      <c r="A1936" s="1185"/>
      <c r="B1936" s="1185"/>
      <c r="C1936" s="1185"/>
      <c r="D1936" s="1185"/>
      <c r="E1936" s="1185"/>
      <c r="F1936" s="1185"/>
      <c r="G1936" s="1186"/>
      <c r="H1936" s="1186"/>
      <c r="I1936" s="195"/>
      <c r="J1936" s="195"/>
      <c r="K1936" s="195"/>
      <c r="L1936" s="195"/>
      <c r="M1936" s="1185"/>
    </row>
    <row r="1937">
      <c r="A1937" s="1185"/>
      <c r="B1937" s="1185"/>
      <c r="C1937" s="1185"/>
      <c r="D1937" s="1185"/>
      <c r="E1937" s="1185"/>
      <c r="F1937" s="1185"/>
      <c r="G1937" s="1186"/>
      <c r="H1937" s="1186"/>
      <c r="I1937" s="195"/>
      <c r="J1937" s="195"/>
      <c r="K1937" s="195"/>
      <c r="L1937" s="195"/>
      <c r="M1937" s="1185"/>
    </row>
    <row r="1938">
      <c r="A1938" s="1185"/>
      <c r="B1938" s="1185"/>
      <c r="C1938" s="1185"/>
      <c r="D1938" s="1185"/>
      <c r="E1938" s="1185"/>
      <c r="F1938" s="1185"/>
      <c r="G1938" s="1186"/>
      <c r="H1938" s="1186"/>
      <c r="I1938" s="195"/>
      <c r="J1938" s="195"/>
      <c r="K1938" s="195"/>
      <c r="L1938" s="195"/>
      <c r="M1938" s="1185"/>
    </row>
    <row r="1939">
      <c r="A1939" s="1185"/>
      <c r="B1939" s="1185"/>
      <c r="C1939" s="1185"/>
      <c r="D1939" s="1185"/>
      <c r="E1939" s="1185"/>
      <c r="F1939" s="1185"/>
      <c r="G1939" s="1186"/>
      <c r="H1939" s="1186"/>
      <c r="I1939" s="195"/>
      <c r="J1939" s="195"/>
      <c r="K1939" s="195"/>
      <c r="L1939" s="195"/>
      <c r="M1939" s="1185"/>
    </row>
    <row r="1940">
      <c r="A1940" s="1185"/>
      <c r="B1940" s="1185"/>
      <c r="C1940" s="1185"/>
      <c r="D1940" s="1185"/>
      <c r="E1940" s="1185"/>
      <c r="F1940" s="1185"/>
      <c r="G1940" s="1186"/>
      <c r="H1940" s="1186"/>
      <c r="I1940" s="195"/>
      <c r="J1940" s="195"/>
      <c r="K1940" s="195"/>
      <c r="L1940" s="195"/>
      <c r="M1940" s="1185"/>
    </row>
    <row r="1941">
      <c r="A1941" s="1185"/>
      <c r="B1941" s="1185"/>
      <c r="C1941" s="1185"/>
      <c r="D1941" s="1185"/>
      <c r="E1941" s="1185"/>
      <c r="F1941" s="1185"/>
      <c r="G1941" s="1186"/>
      <c r="H1941" s="1186"/>
      <c r="I1941" s="195"/>
      <c r="J1941" s="195"/>
      <c r="K1941" s="195"/>
      <c r="L1941" s="195"/>
      <c r="M1941" s="1185"/>
    </row>
    <row r="1942">
      <c r="A1942" s="1185"/>
      <c r="B1942" s="1185"/>
      <c r="C1942" s="1185"/>
      <c r="D1942" s="1185"/>
      <c r="E1942" s="1185"/>
      <c r="F1942" s="1185"/>
      <c r="G1942" s="1186"/>
      <c r="H1942" s="1186"/>
      <c r="I1942" s="195"/>
      <c r="J1942" s="195"/>
      <c r="K1942" s="195"/>
      <c r="L1942" s="195"/>
      <c r="M1942" s="1185"/>
    </row>
    <row r="1943">
      <c r="A1943" s="1185"/>
      <c r="B1943" s="1185"/>
      <c r="C1943" s="1185"/>
      <c r="D1943" s="1185"/>
      <c r="E1943" s="1185"/>
      <c r="F1943" s="1185"/>
      <c r="G1943" s="1186"/>
      <c r="H1943" s="1186"/>
      <c r="I1943" s="195"/>
      <c r="J1943" s="195"/>
      <c r="K1943" s="195"/>
      <c r="L1943" s="195"/>
      <c r="M1943" s="1185"/>
    </row>
    <row r="1944">
      <c r="A1944" s="1185"/>
      <c r="B1944" s="1185"/>
      <c r="C1944" s="1185"/>
      <c r="D1944" s="1185"/>
      <c r="E1944" s="1185"/>
      <c r="F1944" s="1185"/>
      <c r="G1944" s="1186"/>
      <c r="H1944" s="1186"/>
      <c r="I1944" s="195"/>
      <c r="J1944" s="195"/>
      <c r="K1944" s="195"/>
      <c r="L1944" s="195"/>
      <c r="M1944" s="1185"/>
    </row>
    <row r="1945">
      <c r="A1945" s="1185"/>
      <c r="B1945" s="1185"/>
      <c r="C1945" s="1185"/>
      <c r="D1945" s="1185"/>
      <c r="E1945" s="1185"/>
      <c r="F1945" s="1185"/>
      <c r="G1945" s="1186"/>
      <c r="H1945" s="1186"/>
      <c r="I1945" s="195"/>
      <c r="J1945" s="195"/>
      <c r="K1945" s="195"/>
      <c r="L1945" s="195"/>
      <c r="M1945" s="1185"/>
    </row>
    <row r="1946">
      <c r="A1946" s="1185"/>
      <c r="B1946" s="1185"/>
      <c r="C1946" s="1185"/>
      <c r="D1946" s="1185"/>
      <c r="E1946" s="1185"/>
      <c r="F1946" s="1185"/>
      <c r="G1946" s="1186"/>
      <c r="H1946" s="1186"/>
      <c r="I1946" s="195"/>
      <c r="J1946" s="195"/>
      <c r="K1946" s="195"/>
      <c r="L1946" s="195"/>
      <c r="M1946" s="1185"/>
    </row>
    <row r="1947">
      <c r="A1947" s="1185"/>
      <c r="B1947" s="1185"/>
      <c r="C1947" s="1185"/>
      <c r="D1947" s="1185"/>
      <c r="E1947" s="1185"/>
      <c r="F1947" s="1185"/>
      <c r="G1947" s="1186"/>
      <c r="H1947" s="1186"/>
      <c r="I1947" s="195"/>
      <c r="J1947" s="195"/>
      <c r="K1947" s="195"/>
      <c r="L1947" s="195"/>
      <c r="M1947" s="1185"/>
    </row>
    <row r="1948">
      <c r="A1948" s="1185"/>
      <c r="B1948" s="1185"/>
      <c r="C1948" s="1185"/>
      <c r="D1948" s="1185"/>
      <c r="E1948" s="1185"/>
      <c r="F1948" s="1185"/>
      <c r="G1948" s="1186"/>
      <c r="H1948" s="1186"/>
      <c r="I1948" s="195"/>
      <c r="J1948" s="195"/>
      <c r="K1948" s="195"/>
      <c r="L1948" s="195"/>
      <c r="M1948" s="1185"/>
    </row>
    <row r="1949">
      <c r="A1949" s="1185"/>
      <c r="B1949" s="1185"/>
      <c r="C1949" s="1185"/>
      <c r="D1949" s="1185"/>
      <c r="E1949" s="1185"/>
      <c r="F1949" s="1185"/>
      <c r="G1949" s="1186"/>
      <c r="H1949" s="1186"/>
      <c r="I1949" s="195"/>
      <c r="J1949" s="195"/>
      <c r="K1949" s="195"/>
      <c r="L1949" s="195"/>
      <c r="M1949" s="1185"/>
    </row>
    <row r="1950">
      <c r="A1950" s="1185"/>
      <c r="B1950" s="1185"/>
      <c r="C1950" s="1185"/>
      <c r="D1950" s="1185"/>
      <c r="E1950" s="1185"/>
      <c r="F1950" s="1185"/>
      <c r="G1950" s="1186"/>
      <c r="H1950" s="1186"/>
      <c r="I1950" s="195"/>
      <c r="J1950" s="195"/>
      <c r="K1950" s="195"/>
      <c r="L1950" s="195"/>
      <c r="M1950" s="1185"/>
    </row>
    <row r="1951">
      <c r="A1951" s="1185"/>
      <c r="B1951" s="1185"/>
      <c r="C1951" s="1185"/>
      <c r="D1951" s="1185"/>
      <c r="E1951" s="1185"/>
      <c r="F1951" s="1185"/>
      <c r="G1951" s="1186"/>
      <c r="H1951" s="1186"/>
      <c r="I1951" s="195"/>
      <c r="J1951" s="195"/>
      <c r="K1951" s="195"/>
      <c r="L1951" s="195"/>
      <c r="M1951" s="1185"/>
    </row>
    <row r="1952">
      <c r="A1952" s="1185"/>
      <c r="B1952" s="1185"/>
      <c r="C1952" s="1185"/>
      <c r="D1952" s="1185"/>
      <c r="E1952" s="1185"/>
      <c r="F1952" s="1185"/>
      <c r="G1952" s="1186"/>
      <c r="H1952" s="1186"/>
      <c r="I1952" s="195"/>
      <c r="J1952" s="195"/>
      <c r="K1952" s="195"/>
      <c r="L1952" s="195"/>
      <c r="M1952" s="1185"/>
    </row>
    <row r="1953">
      <c r="A1953" s="1185"/>
      <c r="B1953" s="1185"/>
      <c r="C1953" s="1185"/>
      <c r="D1953" s="1185"/>
      <c r="E1953" s="1185"/>
      <c r="F1953" s="1185"/>
      <c r="G1953" s="1186"/>
      <c r="H1953" s="1186"/>
      <c r="I1953" s="195"/>
      <c r="J1953" s="195"/>
      <c r="K1953" s="195"/>
      <c r="L1953" s="195"/>
      <c r="M1953" s="1185"/>
    </row>
    <row r="1954">
      <c r="A1954" s="1185"/>
      <c r="B1954" s="1185"/>
      <c r="C1954" s="1185"/>
      <c r="D1954" s="1185"/>
      <c r="E1954" s="1185"/>
      <c r="F1954" s="1185"/>
      <c r="G1954" s="1186"/>
      <c r="H1954" s="1186"/>
      <c r="I1954" s="195"/>
      <c r="J1954" s="195"/>
      <c r="K1954" s="195"/>
      <c r="L1954" s="195"/>
      <c r="M1954" s="1185"/>
    </row>
    <row r="1955">
      <c r="A1955" s="1185"/>
      <c r="B1955" s="1185"/>
      <c r="C1955" s="1185"/>
      <c r="D1955" s="1185"/>
      <c r="E1955" s="1185"/>
      <c r="F1955" s="1185"/>
      <c r="G1955" s="1186"/>
      <c r="H1955" s="1186"/>
      <c r="I1955" s="195"/>
      <c r="J1955" s="195"/>
      <c r="K1955" s="195"/>
      <c r="L1955" s="195"/>
      <c r="M1955" s="1185"/>
    </row>
    <row r="1956">
      <c r="A1956" s="1185"/>
      <c r="B1956" s="1185"/>
      <c r="C1956" s="1185"/>
      <c r="D1956" s="1185"/>
      <c r="E1956" s="1185"/>
      <c r="F1956" s="1185"/>
      <c r="G1956" s="1186"/>
      <c r="H1956" s="1186"/>
      <c r="I1956" s="195"/>
      <c r="J1956" s="195"/>
      <c r="K1956" s="195"/>
      <c r="L1956" s="195"/>
      <c r="M1956" s="1185"/>
    </row>
    <row r="1957">
      <c r="A1957" s="1185"/>
      <c r="B1957" s="1185"/>
      <c r="C1957" s="1185"/>
      <c r="D1957" s="1185"/>
      <c r="E1957" s="1185"/>
      <c r="F1957" s="1185"/>
      <c r="G1957" s="1186"/>
      <c r="H1957" s="1186"/>
      <c r="I1957" s="195"/>
      <c r="J1957" s="195"/>
      <c r="K1957" s="195"/>
      <c r="L1957" s="195"/>
      <c r="M1957" s="1185"/>
    </row>
    <row r="1958">
      <c r="A1958" s="1185"/>
      <c r="B1958" s="1185"/>
      <c r="C1958" s="1185"/>
      <c r="D1958" s="1185"/>
      <c r="E1958" s="1185"/>
      <c r="F1958" s="1185"/>
      <c r="G1958" s="1186"/>
      <c r="H1958" s="1186"/>
      <c r="I1958" s="195"/>
      <c r="J1958" s="195"/>
      <c r="K1958" s="195"/>
      <c r="L1958" s="195"/>
      <c r="M1958" s="1185"/>
    </row>
    <row r="1959">
      <c r="A1959" s="1185"/>
      <c r="B1959" s="1185"/>
      <c r="C1959" s="1185"/>
      <c r="D1959" s="1185"/>
      <c r="E1959" s="1185"/>
      <c r="F1959" s="1185"/>
      <c r="G1959" s="1186"/>
      <c r="H1959" s="1186"/>
      <c r="I1959" s="195"/>
      <c r="J1959" s="195"/>
      <c r="K1959" s="195"/>
      <c r="L1959" s="195"/>
      <c r="M1959" s="1185"/>
    </row>
    <row r="1960">
      <c r="A1960" s="1185"/>
      <c r="B1960" s="1185"/>
      <c r="C1960" s="1185"/>
      <c r="D1960" s="1185"/>
      <c r="E1960" s="1185"/>
      <c r="F1960" s="1185"/>
      <c r="G1960" s="1186"/>
      <c r="H1960" s="1186"/>
      <c r="I1960" s="195"/>
      <c r="J1960" s="195"/>
      <c r="K1960" s="195"/>
      <c r="L1960" s="195"/>
      <c r="M1960" s="1185"/>
    </row>
    <row r="1961">
      <c r="A1961" s="1185"/>
      <c r="B1961" s="1185"/>
      <c r="C1961" s="1185"/>
      <c r="D1961" s="1185"/>
      <c r="E1961" s="1185"/>
      <c r="F1961" s="1185"/>
      <c r="G1961" s="1186"/>
      <c r="H1961" s="1186"/>
      <c r="I1961" s="195"/>
      <c r="J1961" s="195"/>
      <c r="K1961" s="195"/>
      <c r="L1961" s="195"/>
      <c r="M1961" s="1185"/>
    </row>
    <row r="1962">
      <c r="A1962" s="1185"/>
      <c r="B1962" s="1185"/>
      <c r="C1962" s="1185"/>
      <c r="D1962" s="1185"/>
      <c r="E1962" s="1185"/>
      <c r="F1962" s="1185"/>
      <c r="G1962" s="1186"/>
      <c r="H1962" s="1186"/>
      <c r="I1962" s="195"/>
      <c r="J1962" s="195"/>
      <c r="K1962" s="195"/>
      <c r="L1962" s="195"/>
      <c r="M1962" s="1185"/>
    </row>
    <row r="1963">
      <c r="A1963" s="1185"/>
      <c r="B1963" s="1185"/>
      <c r="C1963" s="1185"/>
      <c r="D1963" s="1185"/>
      <c r="E1963" s="1185"/>
      <c r="F1963" s="1185"/>
      <c r="G1963" s="1186"/>
      <c r="H1963" s="1186"/>
      <c r="I1963" s="195"/>
      <c r="J1963" s="195"/>
      <c r="K1963" s="195"/>
      <c r="L1963" s="195"/>
      <c r="M1963" s="1185"/>
    </row>
    <row r="1964">
      <c r="A1964" s="1185"/>
      <c r="B1964" s="1185"/>
      <c r="C1964" s="1185"/>
      <c r="D1964" s="1185"/>
      <c r="E1964" s="1185"/>
      <c r="F1964" s="1185"/>
      <c r="G1964" s="1186"/>
      <c r="H1964" s="1186"/>
      <c r="I1964" s="195"/>
      <c r="J1964" s="195"/>
      <c r="K1964" s="195"/>
      <c r="L1964" s="195"/>
      <c r="M1964" s="1185"/>
    </row>
    <row r="1965">
      <c r="A1965" s="1185"/>
      <c r="B1965" s="1185"/>
      <c r="C1965" s="1185"/>
      <c r="D1965" s="1185"/>
      <c r="E1965" s="1185"/>
      <c r="F1965" s="1185"/>
      <c r="G1965" s="1186"/>
      <c r="H1965" s="1186"/>
      <c r="I1965" s="195"/>
      <c r="J1965" s="195"/>
      <c r="K1965" s="195"/>
      <c r="L1965" s="195"/>
      <c r="M1965" s="1185"/>
    </row>
    <row r="1966">
      <c r="A1966" s="1185"/>
      <c r="B1966" s="1185"/>
      <c r="C1966" s="1185"/>
      <c r="D1966" s="1185"/>
      <c r="E1966" s="1185"/>
      <c r="F1966" s="1185"/>
      <c r="G1966" s="1186"/>
      <c r="H1966" s="1186"/>
      <c r="I1966" s="195"/>
      <c r="J1966" s="195"/>
      <c r="K1966" s="195"/>
      <c r="L1966" s="195"/>
      <c r="M1966" s="1185"/>
    </row>
    <row r="1967">
      <c r="A1967" s="1185"/>
      <c r="B1967" s="1185"/>
      <c r="C1967" s="1185"/>
      <c r="D1967" s="1185"/>
      <c r="E1967" s="1185"/>
      <c r="F1967" s="1185"/>
      <c r="G1967" s="1186"/>
      <c r="H1967" s="1186"/>
      <c r="I1967" s="195"/>
      <c r="J1967" s="195"/>
      <c r="K1967" s="195"/>
      <c r="L1967" s="195"/>
      <c r="M1967" s="1185"/>
    </row>
    <row r="1968">
      <c r="A1968" s="1185"/>
      <c r="B1968" s="1185"/>
      <c r="C1968" s="1185"/>
      <c r="D1968" s="1185"/>
      <c r="E1968" s="1185"/>
      <c r="F1968" s="1185"/>
      <c r="G1968" s="1186"/>
      <c r="H1968" s="1186"/>
      <c r="I1968" s="195"/>
      <c r="J1968" s="195"/>
      <c r="K1968" s="195"/>
      <c r="L1968" s="195"/>
      <c r="M1968" s="1185"/>
    </row>
    <row r="1969">
      <c r="A1969" s="1185"/>
      <c r="B1969" s="1185"/>
      <c r="C1969" s="1185"/>
      <c r="D1969" s="1185"/>
      <c r="E1969" s="1185"/>
      <c r="F1969" s="1185"/>
      <c r="G1969" s="1186"/>
      <c r="H1969" s="1186"/>
      <c r="I1969" s="195"/>
      <c r="J1969" s="195"/>
      <c r="K1969" s="195"/>
      <c r="L1969" s="195"/>
      <c r="M1969" s="1185"/>
    </row>
    <row r="1970">
      <c r="A1970" s="1185"/>
      <c r="B1970" s="1185"/>
      <c r="C1970" s="1185"/>
      <c r="D1970" s="1185"/>
      <c r="E1970" s="1185"/>
      <c r="F1970" s="1185"/>
      <c r="G1970" s="1186"/>
      <c r="H1970" s="1186"/>
      <c r="I1970" s="195"/>
      <c r="J1970" s="195"/>
      <c r="K1970" s="195"/>
      <c r="L1970" s="195"/>
      <c r="M1970" s="1185"/>
    </row>
    <row r="1971">
      <c r="A1971" s="1185"/>
      <c r="B1971" s="1185"/>
      <c r="C1971" s="1185"/>
      <c r="D1971" s="1185"/>
      <c r="E1971" s="1185"/>
      <c r="F1971" s="1185"/>
      <c r="G1971" s="1186"/>
      <c r="H1971" s="1186"/>
      <c r="I1971" s="195"/>
      <c r="J1971" s="195"/>
      <c r="K1971" s="195"/>
      <c r="L1971" s="195"/>
      <c r="M1971" s="1185"/>
    </row>
    <row r="1972">
      <c r="A1972" s="1185"/>
      <c r="B1972" s="1185"/>
      <c r="C1972" s="1185"/>
      <c r="D1972" s="1185"/>
      <c r="E1972" s="1185"/>
      <c r="F1972" s="1185"/>
      <c r="G1972" s="1186"/>
      <c r="H1972" s="1186"/>
      <c r="I1972" s="195"/>
      <c r="J1972" s="195"/>
      <c r="K1972" s="195"/>
      <c r="L1972" s="195"/>
      <c r="M1972" s="1185"/>
    </row>
    <row r="1973">
      <c r="A1973" s="1185"/>
      <c r="B1973" s="1185"/>
      <c r="C1973" s="1185"/>
      <c r="D1973" s="1185"/>
      <c r="E1973" s="1185"/>
      <c r="F1973" s="1185"/>
      <c r="G1973" s="1186"/>
      <c r="H1973" s="1186"/>
      <c r="I1973" s="195"/>
      <c r="J1973" s="195"/>
      <c r="K1973" s="195"/>
      <c r="L1973" s="195"/>
      <c r="M1973" s="1185"/>
    </row>
    <row r="1974">
      <c r="A1974" s="1185"/>
      <c r="B1974" s="1185"/>
      <c r="C1974" s="1185"/>
      <c r="D1974" s="1185"/>
      <c r="E1974" s="1185"/>
      <c r="F1974" s="1185"/>
      <c r="G1974" s="1186"/>
      <c r="H1974" s="1186"/>
      <c r="I1974" s="195"/>
      <c r="J1974" s="195"/>
      <c r="K1974" s="195"/>
      <c r="L1974" s="195"/>
      <c r="M1974" s="1185"/>
    </row>
    <row r="1975">
      <c r="A1975" s="1185"/>
      <c r="B1975" s="1185"/>
      <c r="C1975" s="1185"/>
      <c r="D1975" s="1185"/>
      <c r="E1975" s="1185"/>
      <c r="F1975" s="1185"/>
      <c r="G1975" s="1186"/>
      <c r="H1975" s="1186"/>
      <c r="I1975" s="195"/>
      <c r="J1975" s="195"/>
      <c r="K1975" s="195"/>
      <c r="L1975" s="195"/>
      <c r="M1975" s="1185"/>
    </row>
    <row r="1976">
      <c r="A1976" s="1185"/>
      <c r="B1976" s="1185"/>
      <c r="C1976" s="1185"/>
      <c r="D1976" s="1185"/>
      <c r="E1976" s="1185"/>
      <c r="F1976" s="1185"/>
      <c r="G1976" s="1186"/>
      <c r="H1976" s="1186"/>
      <c r="I1976" s="195"/>
      <c r="J1976" s="195"/>
      <c r="K1976" s="195"/>
      <c r="L1976" s="195"/>
      <c r="M1976" s="1185"/>
    </row>
    <row r="1977">
      <c r="A1977" s="1185"/>
      <c r="B1977" s="1185"/>
      <c r="C1977" s="1185"/>
      <c r="D1977" s="1185"/>
      <c r="E1977" s="1185"/>
      <c r="F1977" s="1185"/>
      <c r="G1977" s="1186"/>
      <c r="H1977" s="1186"/>
      <c r="I1977" s="195"/>
      <c r="J1977" s="195"/>
      <c r="K1977" s="195"/>
      <c r="L1977" s="195"/>
      <c r="M1977" s="1185"/>
    </row>
    <row r="1978">
      <c r="A1978" s="1185"/>
      <c r="B1978" s="1185"/>
      <c r="C1978" s="1185"/>
      <c r="D1978" s="1185"/>
      <c r="E1978" s="1185"/>
      <c r="F1978" s="1185"/>
      <c r="G1978" s="1186"/>
      <c r="H1978" s="1186"/>
      <c r="I1978" s="195"/>
      <c r="J1978" s="195"/>
      <c r="K1978" s="195"/>
      <c r="L1978" s="195"/>
      <c r="M1978" s="1185"/>
    </row>
    <row r="1979">
      <c r="A1979" s="1185"/>
      <c r="B1979" s="1185"/>
      <c r="C1979" s="1185"/>
      <c r="D1979" s="1185"/>
      <c r="E1979" s="1185"/>
      <c r="F1979" s="1185"/>
      <c r="G1979" s="1186"/>
      <c r="H1979" s="1186"/>
      <c r="I1979" s="195"/>
      <c r="J1979" s="195"/>
      <c r="K1979" s="195"/>
      <c r="L1979" s="195"/>
      <c r="M1979" s="1185"/>
    </row>
    <row r="1980">
      <c r="A1980" s="1185"/>
      <c r="B1980" s="1185"/>
      <c r="C1980" s="1185"/>
      <c r="D1980" s="1185"/>
      <c r="E1980" s="1185"/>
      <c r="F1980" s="1185"/>
      <c r="G1980" s="1186"/>
      <c r="H1980" s="1186"/>
      <c r="I1980" s="195"/>
      <c r="J1980" s="195"/>
      <c r="K1980" s="195"/>
      <c r="L1980" s="195"/>
      <c r="M1980" s="1185"/>
    </row>
    <row r="1981">
      <c r="A1981" s="1185"/>
      <c r="B1981" s="1185"/>
      <c r="C1981" s="1185"/>
      <c r="D1981" s="1185"/>
      <c r="E1981" s="1185"/>
      <c r="F1981" s="1185"/>
      <c r="G1981" s="1186"/>
      <c r="H1981" s="1186"/>
      <c r="I1981" s="195"/>
      <c r="J1981" s="195"/>
      <c r="K1981" s="195"/>
      <c r="L1981" s="195"/>
      <c r="M1981" s="1185"/>
    </row>
    <row r="1982">
      <c r="A1982" s="1185"/>
      <c r="B1982" s="1185"/>
      <c r="C1982" s="1185"/>
      <c r="D1982" s="1185"/>
      <c r="E1982" s="1185"/>
      <c r="F1982" s="1185"/>
      <c r="G1982" s="1186"/>
      <c r="H1982" s="1186"/>
      <c r="I1982" s="195"/>
      <c r="J1982" s="195"/>
      <c r="K1982" s="195"/>
      <c r="L1982" s="195"/>
      <c r="M1982" s="1185"/>
    </row>
    <row r="1983">
      <c r="A1983" s="1185"/>
      <c r="B1983" s="1185"/>
      <c r="C1983" s="1185"/>
      <c r="D1983" s="1185"/>
      <c r="E1983" s="1185"/>
      <c r="F1983" s="1185"/>
      <c r="G1983" s="1186"/>
      <c r="H1983" s="1186"/>
      <c r="I1983" s="195"/>
      <c r="J1983" s="195"/>
      <c r="K1983" s="195"/>
      <c r="L1983" s="195"/>
      <c r="M1983" s="1185"/>
    </row>
    <row r="1984">
      <c r="A1984" s="1185"/>
      <c r="B1984" s="1185"/>
      <c r="C1984" s="1185"/>
      <c r="D1984" s="1185"/>
      <c r="E1984" s="1185"/>
      <c r="F1984" s="1185"/>
      <c r="G1984" s="1186"/>
      <c r="H1984" s="1186"/>
      <c r="I1984" s="195"/>
      <c r="J1984" s="195"/>
      <c r="K1984" s="195"/>
      <c r="L1984" s="195"/>
      <c r="M1984" s="1185"/>
    </row>
    <row r="1985">
      <c r="A1985" s="1185"/>
      <c r="B1985" s="1185"/>
      <c r="C1985" s="1185"/>
      <c r="D1985" s="1185"/>
      <c r="E1985" s="1185"/>
      <c r="F1985" s="1185"/>
      <c r="G1985" s="1186"/>
      <c r="H1985" s="1186"/>
      <c r="I1985" s="195"/>
      <c r="J1985" s="195"/>
      <c r="K1985" s="195"/>
      <c r="L1985" s="195"/>
      <c r="M1985" s="1185"/>
    </row>
    <row r="1986">
      <c r="A1986" s="1185"/>
      <c r="B1986" s="1185"/>
      <c r="C1986" s="1185"/>
      <c r="D1986" s="1185"/>
      <c r="E1986" s="1185"/>
      <c r="F1986" s="1185"/>
      <c r="G1986" s="1186"/>
      <c r="H1986" s="1186"/>
      <c r="I1986" s="195"/>
      <c r="J1986" s="195"/>
      <c r="K1986" s="195"/>
      <c r="L1986" s="195"/>
      <c r="M1986" s="1185"/>
    </row>
    <row r="1987">
      <c r="A1987" s="1185"/>
      <c r="B1987" s="1185"/>
      <c r="C1987" s="1185"/>
      <c r="D1987" s="1185"/>
      <c r="E1987" s="1185"/>
      <c r="F1987" s="1185"/>
      <c r="G1987" s="1186"/>
      <c r="H1987" s="1186"/>
      <c r="I1987" s="195"/>
      <c r="J1987" s="195"/>
      <c r="K1987" s="195"/>
      <c r="L1987" s="195"/>
      <c r="M1987" s="1185"/>
    </row>
    <row r="1988">
      <c r="A1988" s="1185"/>
      <c r="B1988" s="1185"/>
      <c r="C1988" s="1185"/>
      <c r="D1988" s="1185"/>
      <c r="E1988" s="1185"/>
      <c r="F1988" s="1185"/>
      <c r="G1988" s="1186"/>
      <c r="H1988" s="1186"/>
      <c r="I1988" s="195"/>
      <c r="J1988" s="195"/>
      <c r="K1988" s="195"/>
      <c r="L1988" s="195"/>
      <c r="M1988" s="1185"/>
    </row>
    <row r="1989">
      <c r="A1989" s="1185"/>
      <c r="B1989" s="1185"/>
      <c r="C1989" s="1185"/>
      <c r="D1989" s="1185"/>
      <c r="E1989" s="1185"/>
      <c r="F1989" s="1185"/>
      <c r="G1989" s="1186"/>
      <c r="H1989" s="1186"/>
      <c r="I1989" s="195"/>
      <c r="J1989" s="195"/>
      <c r="K1989" s="195"/>
      <c r="L1989" s="195"/>
      <c r="M1989" s="1185"/>
    </row>
    <row r="1990">
      <c r="A1990" s="1185"/>
      <c r="B1990" s="1185"/>
      <c r="C1990" s="1185"/>
      <c r="D1990" s="1185"/>
      <c r="E1990" s="1185"/>
      <c r="F1990" s="1185"/>
      <c r="G1990" s="1186"/>
      <c r="H1990" s="1186"/>
      <c r="I1990" s="195"/>
      <c r="J1990" s="195"/>
      <c r="K1990" s="195"/>
      <c r="L1990" s="195"/>
      <c r="M1990" s="1185"/>
    </row>
    <row r="1991">
      <c r="A1991" s="1185"/>
      <c r="B1991" s="1185"/>
      <c r="C1991" s="1185"/>
      <c r="D1991" s="1185"/>
      <c r="E1991" s="1185"/>
      <c r="F1991" s="1185"/>
      <c r="G1991" s="1186"/>
      <c r="H1991" s="1186"/>
      <c r="I1991" s="195"/>
      <c r="J1991" s="195"/>
      <c r="K1991" s="195"/>
      <c r="L1991" s="195"/>
      <c r="M1991" s="1185"/>
    </row>
    <row r="1992">
      <c r="A1992" s="1185"/>
      <c r="B1992" s="1185"/>
      <c r="C1992" s="1185"/>
      <c r="D1992" s="1185"/>
      <c r="E1992" s="1185"/>
      <c r="F1992" s="1185"/>
      <c r="G1992" s="1186"/>
      <c r="H1992" s="1186"/>
      <c r="I1992" s="195"/>
      <c r="J1992" s="195"/>
      <c r="K1992" s="195"/>
      <c r="L1992" s="195"/>
      <c r="M1992" s="1185"/>
    </row>
    <row r="1993">
      <c r="A1993" s="1185"/>
      <c r="B1993" s="1185"/>
      <c r="C1993" s="1185"/>
      <c r="D1993" s="1185"/>
      <c r="E1993" s="1185"/>
      <c r="F1993" s="1185"/>
      <c r="G1993" s="1186"/>
      <c r="H1993" s="1186"/>
      <c r="I1993" s="195"/>
      <c r="J1993" s="195"/>
      <c r="K1993" s="195"/>
      <c r="L1993" s="195"/>
      <c r="M1993" s="1185"/>
    </row>
    <row r="1994">
      <c r="A1994" s="1185"/>
      <c r="B1994" s="1185"/>
      <c r="C1994" s="1185"/>
      <c r="D1994" s="1185"/>
      <c r="E1994" s="1185"/>
      <c r="F1994" s="1185"/>
      <c r="G1994" s="1186"/>
      <c r="H1994" s="1186"/>
      <c r="I1994" s="195"/>
      <c r="J1994" s="195"/>
      <c r="K1994" s="195"/>
      <c r="L1994" s="195"/>
      <c r="M1994" s="1185"/>
    </row>
    <row r="1995">
      <c r="A1995" s="1185"/>
      <c r="B1995" s="1185"/>
      <c r="C1995" s="1185"/>
      <c r="D1995" s="1185"/>
      <c r="E1995" s="1185"/>
      <c r="F1995" s="1185"/>
      <c r="G1995" s="1186"/>
      <c r="H1995" s="1186"/>
      <c r="I1995" s="195"/>
      <c r="J1995" s="195"/>
      <c r="K1995" s="195"/>
      <c r="L1995" s="195"/>
      <c r="M1995" s="1185"/>
    </row>
    <row r="1996">
      <c r="A1996" s="1185"/>
      <c r="B1996" s="1185"/>
      <c r="C1996" s="1185"/>
      <c r="D1996" s="1185"/>
      <c r="E1996" s="1185"/>
      <c r="F1996" s="1185"/>
      <c r="G1996" s="1186"/>
      <c r="H1996" s="1186"/>
      <c r="I1996" s="195"/>
      <c r="J1996" s="195"/>
      <c r="K1996" s="195"/>
      <c r="L1996" s="195"/>
      <c r="M1996" s="1185"/>
    </row>
    <row r="1997">
      <c r="A1997" s="1185"/>
      <c r="B1997" s="1185"/>
      <c r="C1997" s="1185"/>
      <c r="D1997" s="1185"/>
      <c r="E1997" s="1185"/>
      <c r="F1997" s="1185"/>
      <c r="G1997" s="1186"/>
      <c r="H1997" s="1186"/>
      <c r="I1997" s="195"/>
      <c r="J1997" s="195"/>
      <c r="K1997" s="195"/>
      <c r="L1997" s="195"/>
      <c r="M1997" s="1185"/>
    </row>
    <row r="1998">
      <c r="A1998" s="1185"/>
      <c r="B1998" s="1185"/>
      <c r="C1998" s="1185"/>
      <c r="D1998" s="1185"/>
      <c r="E1998" s="1185"/>
      <c r="F1998" s="1185"/>
      <c r="G1998" s="1186"/>
      <c r="H1998" s="1186"/>
      <c r="I1998" s="195"/>
      <c r="J1998" s="195"/>
      <c r="K1998" s="195"/>
      <c r="L1998" s="195"/>
      <c r="M1998" s="1185"/>
    </row>
    <row r="1999">
      <c r="A1999" s="1185"/>
      <c r="B1999" s="1185"/>
      <c r="C1999" s="1185"/>
      <c r="D1999" s="1185"/>
      <c r="E1999" s="1185"/>
      <c r="F1999" s="1185"/>
      <c r="G1999" s="1186"/>
      <c r="H1999" s="1186"/>
      <c r="I1999" s="195"/>
      <c r="J1999" s="195"/>
      <c r="K1999" s="195"/>
      <c r="L1999" s="195"/>
      <c r="M1999" s="1185"/>
    </row>
    <row r="2000">
      <c r="A2000" s="1185"/>
      <c r="B2000" s="1185"/>
      <c r="C2000" s="1185"/>
      <c r="D2000" s="1185"/>
      <c r="E2000" s="1185"/>
      <c r="F2000" s="1185"/>
      <c r="G2000" s="1186"/>
      <c r="H2000" s="1186"/>
      <c r="I2000" s="195"/>
      <c r="J2000" s="195"/>
      <c r="K2000" s="195"/>
      <c r="L2000" s="195"/>
      <c r="M2000" s="1185"/>
    </row>
    <row r="2001">
      <c r="A2001" s="1185"/>
      <c r="B2001" s="1185"/>
      <c r="C2001" s="1185"/>
      <c r="D2001" s="1185"/>
      <c r="E2001" s="1185"/>
      <c r="F2001" s="1185"/>
      <c r="G2001" s="1186"/>
      <c r="H2001" s="1186"/>
      <c r="I2001" s="195"/>
      <c r="J2001" s="195"/>
      <c r="K2001" s="195"/>
      <c r="L2001" s="195"/>
      <c r="M2001" s="1185"/>
    </row>
    <row r="2002">
      <c r="A2002" s="1185"/>
      <c r="B2002" s="1185"/>
      <c r="C2002" s="1185"/>
      <c r="D2002" s="1185"/>
      <c r="E2002" s="1185"/>
      <c r="F2002" s="1185"/>
      <c r="G2002" s="1186"/>
      <c r="H2002" s="1186"/>
      <c r="I2002" s="195"/>
      <c r="J2002" s="195"/>
      <c r="K2002" s="195"/>
      <c r="L2002" s="195"/>
      <c r="M2002" s="1185"/>
    </row>
    <row r="2003">
      <c r="A2003" s="1185"/>
      <c r="B2003" s="1185"/>
      <c r="C2003" s="1185"/>
      <c r="D2003" s="1185"/>
      <c r="E2003" s="1185"/>
      <c r="F2003" s="1185"/>
      <c r="G2003" s="1186"/>
      <c r="H2003" s="1186"/>
      <c r="I2003" s="195"/>
      <c r="J2003" s="195"/>
      <c r="K2003" s="195"/>
      <c r="L2003" s="195"/>
      <c r="M2003" s="1185"/>
    </row>
    <row r="2004">
      <c r="A2004" s="1185"/>
      <c r="B2004" s="1185"/>
      <c r="C2004" s="1185"/>
      <c r="D2004" s="1185"/>
      <c r="E2004" s="1185"/>
      <c r="F2004" s="1185"/>
      <c r="G2004" s="1186"/>
      <c r="H2004" s="1186"/>
      <c r="I2004" s="195"/>
      <c r="J2004" s="195"/>
      <c r="K2004" s="195"/>
      <c r="L2004" s="195"/>
      <c r="M2004" s="1185"/>
    </row>
    <row r="2005">
      <c r="A2005" s="1185"/>
      <c r="B2005" s="1185"/>
      <c r="C2005" s="1185"/>
      <c r="D2005" s="1185"/>
      <c r="E2005" s="1185"/>
      <c r="F2005" s="1185"/>
      <c r="G2005" s="1186"/>
      <c r="H2005" s="1186"/>
      <c r="I2005" s="195"/>
      <c r="J2005" s="195"/>
      <c r="K2005" s="195"/>
      <c r="L2005" s="195"/>
      <c r="M2005" s="1185"/>
    </row>
    <row r="2006">
      <c r="A2006" s="1185"/>
      <c r="B2006" s="1185"/>
      <c r="C2006" s="1185"/>
      <c r="D2006" s="1185"/>
      <c r="E2006" s="1185"/>
      <c r="F2006" s="1185"/>
      <c r="G2006" s="1186"/>
      <c r="H2006" s="1186"/>
      <c r="I2006" s="195"/>
      <c r="J2006" s="195"/>
      <c r="K2006" s="195"/>
      <c r="L2006" s="195"/>
      <c r="M2006" s="1185"/>
    </row>
    <row r="2007">
      <c r="A2007" s="1185"/>
      <c r="B2007" s="1185"/>
      <c r="C2007" s="1185"/>
      <c r="D2007" s="1185"/>
      <c r="E2007" s="1185"/>
      <c r="F2007" s="1185"/>
      <c r="G2007" s="1186"/>
      <c r="H2007" s="1186"/>
      <c r="I2007" s="195"/>
      <c r="J2007" s="195"/>
      <c r="K2007" s="195"/>
      <c r="L2007" s="195"/>
      <c r="M2007" s="1185"/>
    </row>
    <row r="2008">
      <c r="A2008" s="1185"/>
      <c r="B2008" s="1185"/>
      <c r="C2008" s="1185"/>
      <c r="D2008" s="1185"/>
      <c r="E2008" s="1185"/>
      <c r="F2008" s="1185"/>
      <c r="G2008" s="1186"/>
      <c r="H2008" s="1186"/>
      <c r="I2008" s="195"/>
      <c r="J2008" s="195"/>
      <c r="K2008" s="195"/>
      <c r="L2008" s="195"/>
      <c r="M2008" s="1185"/>
    </row>
    <row r="2009">
      <c r="A2009" s="1185"/>
      <c r="B2009" s="1185"/>
      <c r="C2009" s="1185"/>
      <c r="D2009" s="1185"/>
      <c r="E2009" s="1185"/>
      <c r="F2009" s="1185"/>
      <c r="G2009" s="1186"/>
      <c r="H2009" s="1186"/>
      <c r="I2009" s="195"/>
      <c r="J2009" s="195"/>
      <c r="K2009" s="195"/>
      <c r="L2009" s="195"/>
      <c r="M2009" s="1185"/>
    </row>
    <row r="2010">
      <c r="A2010" s="1185"/>
      <c r="B2010" s="1185"/>
      <c r="C2010" s="1185"/>
      <c r="D2010" s="1185"/>
      <c r="E2010" s="1185"/>
      <c r="F2010" s="1185"/>
      <c r="G2010" s="1186"/>
      <c r="H2010" s="1186"/>
      <c r="I2010" s="195"/>
      <c r="J2010" s="195"/>
      <c r="K2010" s="195"/>
      <c r="L2010" s="195"/>
      <c r="M2010" s="1185"/>
    </row>
    <row r="2011">
      <c r="A2011" s="1185"/>
      <c r="B2011" s="1185"/>
      <c r="C2011" s="1185"/>
      <c r="D2011" s="1185"/>
      <c r="E2011" s="1185"/>
      <c r="F2011" s="1185"/>
      <c r="G2011" s="1186"/>
      <c r="H2011" s="1186"/>
      <c r="I2011" s="195"/>
      <c r="J2011" s="195"/>
      <c r="K2011" s="195"/>
      <c r="L2011" s="195"/>
      <c r="M2011" s="1185"/>
    </row>
    <row r="2012">
      <c r="A2012" s="1185"/>
      <c r="B2012" s="1185"/>
      <c r="C2012" s="1185"/>
      <c r="D2012" s="1185"/>
      <c r="E2012" s="1185"/>
      <c r="F2012" s="1185"/>
      <c r="G2012" s="1186"/>
      <c r="H2012" s="1186"/>
      <c r="I2012" s="195"/>
      <c r="J2012" s="195"/>
      <c r="K2012" s="195"/>
      <c r="L2012" s="195"/>
      <c r="M2012" s="1185"/>
    </row>
    <row r="2013">
      <c r="A2013" s="1185"/>
      <c r="B2013" s="1185"/>
      <c r="C2013" s="1185"/>
      <c r="D2013" s="1185"/>
      <c r="E2013" s="1185"/>
      <c r="F2013" s="1185"/>
      <c r="G2013" s="1186"/>
      <c r="H2013" s="1186"/>
      <c r="I2013" s="195"/>
      <c r="J2013" s="195"/>
      <c r="K2013" s="195"/>
      <c r="L2013" s="195"/>
      <c r="M2013" s="1185"/>
    </row>
    <row r="2014">
      <c r="A2014" s="1185"/>
      <c r="B2014" s="1185"/>
      <c r="C2014" s="1185"/>
      <c r="D2014" s="1185"/>
      <c r="E2014" s="1185"/>
      <c r="F2014" s="1185"/>
      <c r="G2014" s="1186"/>
      <c r="H2014" s="1186"/>
      <c r="I2014" s="195"/>
      <c r="J2014" s="195"/>
      <c r="K2014" s="195"/>
      <c r="L2014" s="195"/>
      <c r="M2014" s="1185"/>
    </row>
    <row r="2015">
      <c r="A2015" s="1185"/>
      <c r="B2015" s="1185"/>
      <c r="C2015" s="1185"/>
      <c r="D2015" s="1185"/>
      <c r="E2015" s="1185"/>
      <c r="F2015" s="1185"/>
      <c r="G2015" s="1186"/>
      <c r="H2015" s="1186"/>
      <c r="I2015" s="195"/>
      <c r="J2015" s="195"/>
      <c r="K2015" s="195"/>
      <c r="L2015" s="195"/>
      <c r="M2015" s="1185"/>
    </row>
    <row r="2016">
      <c r="A2016" s="1185"/>
      <c r="B2016" s="1185"/>
      <c r="C2016" s="1185"/>
      <c r="D2016" s="1185"/>
      <c r="E2016" s="1185"/>
      <c r="F2016" s="1185"/>
      <c r="G2016" s="1186"/>
      <c r="H2016" s="1186"/>
      <c r="I2016" s="195"/>
      <c r="J2016" s="195"/>
      <c r="K2016" s="195"/>
      <c r="L2016" s="195"/>
      <c r="M2016" s="1185"/>
    </row>
    <row r="2017">
      <c r="A2017" s="1185"/>
      <c r="B2017" s="1185"/>
      <c r="C2017" s="1185"/>
      <c r="D2017" s="1185"/>
      <c r="E2017" s="1185"/>
      <c r="F2017" s="1185"/>
      <c r="G2017" s="1186"/>
      <c r="H2017" s="1186"/>
      <c r="I2017" s="195"/>
      <c r="J2017" s="195"/>
      <c r="K2017" s="195"/>
      <c r="L2017" s="195"/>
      <c r="M2017" s="1185"/>
    </row>
    <row r="2018">
      <c r="A2018" s="1185"/>
      <c r="B2018" s="1185"/>
      <c r="C2018" s="1185"/>
      <c r="D2018" s="1185"/>
      <c r="E2018" s="1185"/>
      <c r="F2018" s="1185"/>
      <c r="G2018" s="1186"/>
      <c r="H2018" s="1186"/>
      <c r="I2018" s="195"/>
      <c r="J2018" s="195"/>
      <c r="K2018" s="195"/>
      <c r="L2018" s="195"/>
      <c r="M2018" s="1185"/>
    </row>
    <row r="2019">
      <c r="A2019" s="1185"/>
      <c r="B2019" s="1185"/>
      <c r="C2019" s="1185"/>
      <c r="D2019" s="1185"/>
      <c r="E2019" s="1185"/>
      <c r="F2019" s="1185"/>
      <c r="G2019" s="1186"/>
      <c r="H2019" s="1186"/>
      <c r="I2019" s="195"/>
      <c r="J2019" s="195"/>
      <c r="K2019" s="195"/>
      <c r="L2019" s="195"/>
      <c r="M2019" s="1185"/>
    </row>
    <row r="2020">
      <c r="A2020" s="1185"/>
      <c r="B2020" s="1185"/>
      <c r="C2020" s="1185"/>
      <c r="D2020" s="1185"/>
      <c r="E2020" s="1185"/>
      <c r="F2020" s="1185"/>
      <c r="G2020" s="1186"/>
      <c r="H2020" s="1186"/>
      <c r="I2020" s="195"/>
      <c r="J2020" s="195"/>
      <c r="K2020" s="195"/>
      <c r="L2020" s="195"/>
      <c r="M2020" s="1185"/>
    </row>
    <row r="2021">
      <c r="A2021" s="1185"/>
      <c r="B2021" s="1185"/>
      <c r="C2021" s="1185"/>
      <c r="D2021" s="1185"/>
      <c r="E2021" s="1185"/>
      <c r="F2021" s="1185"/>
      <c r="G2021" s="1186"/>
      <c r="H2021" s="1186"/>
      <c r="I2021" s="195"/>
      <c r="J2021" s="195"/>
      <c r="K2021" s="195"/>
      <c r="L2021" s="195"/>
      <c r="M2021" s="1185"/>
    </row>
    <row r="2022">
      <c r="A2022" s="1185"/>
      <c r="B2022" s="1185"/>
      <c r="C2022" s="1185"/>
      <c r="D2022" s="1185"/>
      <c r="E2022" s="1185"/>
      <c r="F2022" s="1185"/>
      <c r="G2022" s="1186"/>
      <c r="H2022" s="1186"/>
      <c r="I2022" s="195"/>
      <c r="J2022" s="195"/>
      <c r="K2022" s="195"/>
      <c r="L2022" s="195"/>
      <c r="M2022" s="1185"/>
    </row>
    <row r="2023">
      <c r="A2023" s="1185"/>
      <c r="B2023" s="1185"/>
      <c r="C2023" s="1185"/>
      <c r="D2023" s="1185"/>
      <c r="E2023" s="1185"/>
      <c r="F2023" s="1185"/>
      <c r="G2023" s="1186"/>
      <c r="H2023" s="1186"/>
      <c r="I2023" s="195"/>
      <c r="J2023" s="195"/>
      <c r="K2023" s="195"/>
      <c r="L2023" s="195"/>
      <c r="M2023" s="1185"/>
    </row>
    <row r="2024">
      <c r="A2024" s="1185"/>
      <c r="B2024" s="1185"/>
      <c r="C2024" s="1185"/>
      <c r="D2024" s="1185"/>
      <c r="E2024" s="1185"/>
      <c r="F2024" s="1185"/>
      <c r="G2024" s="1186"/>
      <c r="H2024" s="1186"/>
      <c r="I2024" s="195"/>
      <c r="J2024" s="195"/>
      <c r="K2024" s="195"/>
      <c r="L2024" s="195"/>
      <c r="M2024" s="1185"/>
    </row>
    <row r="2025">
      <c r="A2025" s="1185"/>
      <c r="B2025" s="1185"/>
      <c r="C2025" s="1185"/>
      <c r="D2025" s="1185"/>
      <c r="E2025" s="1185"/>
      <c r="F2025" s="1185"/>
      <c r="G2025" s="1186"/>
      <c r="H2025" s="1186"/>
      <c r="I2025" s="195"/>
      <c r="J2025" s="195"/>
      <c r="K2025" s="195"/>
      <c r="L2025" s="195"/>
      <c r="M2025" s="1185"/>
    </row>
    <row r="2026">
      <c r="A2026" s="1185"/>
      <c r="B2026" s="1185"/>
      <c r="C2026" s="1185"/>
      <c r="D2026" s="1185"/>
      <c r="E2026" s="1185"/>
      <c r="F2026" s="1185"/>
      <c r="G2026" s="1186"/>
      <c r="H2026" s="1186"/>
      <c r="I2026" s="195"/>
      <c r="J2026" s="195"/>
      <c r="K2026" s="195"/>
      <c r="L2026" s="195"/>
      <c r="M2026" s="1185"/>
    </row>
    <row r="2027">
      <c r="A2027" s="1185"/>
      <c r="B2027" s="1185"/>
      <c r="C2027" s="1185"/>
      <c r="D2027" s="1185"/>
      <c r="E2027" s="1185"/>
      <c r="F2027" s="1185"/>
      <c r="G2027" s="1186"/>
      <c r="H2027" s="1186"/>
      <c r="I2027" s="195"/>
      <c r="J2027" s="195"/>
      <c r="K2027" s="195"/>
      <c r="L2027" s="195"/>
      <c r="M2027" s="1185"/>
    </row>
    <row r="2028">
      <c r="A2028" s="1185"/>
      <c r="B2028" s="1185"/>
      <c r="C2028" s="1185"/>
      <c r="D2028" s="1185"/>
      <c r="E2028" s="1185"/>
      <c r="F2028" s="1185"/>
      <c r="G2028" s="1186"/>
      <c r="H2028" s="1186"/>
      <c r="I2028" s="195"/>
      <c r="J2028" s="195"/>
      <c r="K2028" s="195"/>
      <c r="L2028" s="195"/>
      <c r="M2028" s="1185"/>
    </row>
    <row r="2029">
      <c r="A2029" s="1185"/>
      <c r="B2029" s="1185"/>
      <c r="C2029" s="1185"/>
      <c r="D2029" s="1185"/>
      <c r="E2029" s="1185"/>
      <c r="F2029" s="1185"/>
      <c r="G2029" s="1186"/>
      <c r="H2029" s="1186"/>
      <c r="I2029" s="195"/>
      <c r="J2029" s="195"/>
      <c r="K2029" s="195"/>
      <c r="L2029" s="195"/>
      <c r="M2029" s="1185"/>
    </row>
    <row r="2030">
      <c r="A2030" s="1185"/>
      <c r="B2030" s="1185"/>
      <c r="C2030" s="1185"/>
      <c r="D2030" s="1185"/>
      <c r="E2030" s="1185"/>
      <c r="F2030" s="1185"/>
      <c r="G2030" s="1186"/>
      <c r="H2030" s="1186"/>
      <c r="I2030" s="195"/>
      <c r="J2030" s="195"/>
      <c r="K2030" s="195"/>
      <c r="L2030" s="195"/>
      <c r="M2030" s="1185"/>
    </row>
    <row r="2031">
      <c r="A2031" s="1185"/>
      <c r="B2031" s="1185"/>
      <c r="C2031" s="1185"/>
      <c r="D2031" s="1185"/>
      <c r="E2031" s="1185"/>
      <c r="F2031" s="1185"/>
      <c r="G2031" s="1186"/>
      <c r="H2031" s="1186"/>
      <c r="I2031" s="195"/>
      <c r="J2031" s="195"/>
      <c r="K2031" s="195"/>
      <c r="L2031" s="195"/>
      <c r="M2031" s="1185"/>
    </row>
    <row r="2032">
      <c r="A2032" s="1185"/>
      <c r="B2032" s="1185"/>
      <c r="C2032" s="1185"/>
      <c r="D2032" s="1185"/>
      <c r="E2032" s="1185"/>
      <c r="F2032" s="1185"/>
      <c r="G2032" s="1186"/>
      <c r="H2032" s="1186"/>
      <c r="I2032" s="195"/>
      <c r="J2032" s="195"/>
      <c r="K2032" s="195"/>
      <c r="L2032" s="195"/>
      <c r="M2032" s="1185"/>
    </row>
    <row r="2033">
      <c r="A2033" s="1185"/>
      <c r="B2033" s="1185"/>
      <c r="C2033" s="1185"/>
      <c r="D2033" s="1185"/>
      <c r="E2033" s="1185"/>
      <c r="F2033" s="1185"/>
      <c r="G2033" s="1186"/>
      <c r="H2033" s="1186"/>
      <c r="I2033" s="195"/>
      <c r="J2033" s="195"/>
      <c r="K2033" s="195"/>
      <c r="L2033" s="195"/>
      <c r="M2033" s="1185"/>
    </row>
    <row r="2034">
      <c r="A2034" s="1185"/>
      <c r="B2034" s="1185"/>
      <c r="C2034" s="1185"/>
      <c r="D2034" s="1185"/>
      <c r="E2034" s="1185"/>
      <c r="F2034" s="1185"/>
      <c r="G2034" s="1186"/>
      <c r="H2034" s="1186"/>
      <c r="I2034" s="195"/>
      <c r="J2034" s="195"/>
      <c r="K2034" s="195"/>
      <c r="L2034" s="195"/>
      <c r="M2034" s="1185"/>
    </row>
    <row r="2035">
      <c r="A2035" s="1185"/>
      <c r="B2035" s="1185"/>
      <c r="C2035" s="1185"/>
      <c r="D2035" s="1185"/>
      <c r="E2035" s="1185"/>
      <c r="F2035" s="1185"/>
      <c r="G2035" s="1186"/>
      <c r="H2035" s="1186"/>
      <c r="I2035" s="195"/>
      <c r="J2035" s="195"/>
      <c r="K2035" s="195"/>
      <c r="L2035" s="195"/>
      <c r="M2035" s="1185"/>
    </row>
    <row r="2036">
      <c r="A2036" s="1185"/>
      <c r="B2036" s="1185"/>
      <c r="C2036" s="1185"/>
      <c r="D2036" s="1185"/>
      <c r="E2036" s="1185"/>
      <c r="F2036" s="1185"/>
      <c r="G2036" s="1186"/>
      <c r="H2036" s="1186"/>
      <c r="I2036" s="195"/>
      <c r="J2036" s="195"/>
      <c r="K2036" s="195"/>
      <c r="L2036" s="195"/>
      <c r="M2036" s="1185"/>
    </row>
    <row r="2037">
      <c r="A2037" s="1185"/>
      <c r="B2037" s="1185"/>
      <c r="C2037" s="1185"/>
      <c r="D2037" s="1185"/>
      <c r="E2037" s="1185"/>
      <c r="F2037" s="1185"/>
      <c r="G2037" s="1186"/>
      <c r="H2037" s="1186"/>
      <c r="I2037" s="195"/>
      <c r="J2037" s="195"/>
      <c r="K2037" s="195"/>
      <c r="L2037" s="195"/>
      <c r="M2037" s="1185"/>
    </row>
    <row r="2038">
      <c r="A2038" s="1185"/>
      <c r="B2038" s="1185"/>
      <c r="C2038" s="1185"/>
      <c r="D2038" s="1185"/>
      <c r="E2038" s="1185"/>
      <c r="F2038" s="1185"/>
      <c r="G2038" s="1186"/>
      <c r="H2038" s="1186"/>
      <c r="I2038" s="195"/>
      <c r="J2038" s="195"/>
      <c r="K2038" s="195"/>
      <c r="L2038" s="195"/>
      <c r="M2038" s="1185"/>
    </row>
    <row r="2039">
      <c r="A2039" s="1185"/>
      <c r="B2039" s="1185"/>
      <c r="C2039" s="1185"/>
      <c r="D2039" s="1185"/>
      <c r="E2039" s="1185"/>
      <c r="F2039" s="1185"/>
      <c r="G2039" s="1186"/>
      <c r="H2039" s="1186"/>
      <c r="I2039" s="195"/>
      <c r="J2039" s="195"/>
      <c r="K2039" s="195"/>
      <c r="L2039" s="195"/>
      <c r="M2039" s="1185"/>
    </row>
    <row r="2040">
      <c r="A2040" s="1185"/>
      <c r="B2040" s="1185"/>
      <c r="C2040" s="1185"/>
      <c r="D2040" s="1185"/>
      <c r="E2040" s="1185"/>
      <c r="F2040" s="1185"/>
      <c r="G2040" s="1186"/>
      <c r="H2040" s="1186"/>
      <c r="I2040" s="195"/>
      <c r="J2040" s="195"/>
      <c r="K2040" s="195"/>
      <c r="L2040" s="195"/>
      <c r="M2040" s="1185"/>
    </row>
    <row r="2041">
      <c r="A2041" s="1185"/>
      <c r="B2041" s="1185"/>
      <c r="C2041" s="1185"/>
      <c r="D2041" s="1185"/>
      <c r="E2041" s="1185"/>
      <c r="F2041" s="1185"/>
      <c r="G2041" s="1186"/>
      <c r="H2041" s="1186"/>
      <c r="I2041" s="195"/>
      <c r="J2041" s="195"/>
      <c r="K2041" s="195"/>
      <c r="L2041" s="195"/>
      <c r="M2041" s="1185"/>
    </row>
    <row r="2042">
      <c r="A2042" s="1185"/>
      <c r="B2042" s="1185"/>
      <c r="C2042" s="1185"/>
      <c r="D2042" s="1185"/>
      <c r="E2042" s="1185"/>
      <c r="F2042" s="1185"/>
      <c r="G2042" s="1186"/>
      <c r="H2042" s="1186"/>
      <c r="I2042" s="195"/>
      <c r="J2042" s="195"/>
      <c r="K2042" s="195"/>
      <c r="L2042" s="195"/>
      <c r="M2042" s="1185"/>
    </row>
    <row r="2043">
      <c r="A2043" s="1185"/>
      <c r="B2043" s="1185"/>
      <c r="C2043" s="1185"/>
      <c r="D2043" s="1185"/>
      <c r="E2043" s="1185"/>
      <c r="F2043" s="1185"/>
      <c r="G2043" s="1186"/>
      <c r="H2043" s="1186"/>
      <c r="I2043" s="195"/>
      <c r="J2043" s="195"/>
      <c r="K2043" s="195"/>
      <c r="L2043" s="195"/>
      <c r="M2043" s="1185"/>
    </row>
    <row r="2044">
      <c r="A2044" s="1185"/>
      <c r="B2044" s="1185"/>
      <c r="C2044" s="1185"/>
      <c r="D2044" s="1185"/>
      <c r="E2044" s="1185"/>
      <c r="F2044" s="1185"/>
      <c r="G2044" s="1186"/>
      <c r="H2044" s="1186"/>
      <c r="I2044" s="195"/>
      <c r="J2044" s="195"/>
      <c r="K2044" s="195"/>
      <c r="L2044" s="195"/>
      <c r="M2044" s="1185"/>
    </row>
    <row r="2045">
      <c r="A2045" s="1185"/>
      <c r="B2045" s="1185"/>
      <c r="C2045" s="1185"/>
      <c r="D2045" s="1185"/>
      <c r="E2045" s="1185"/>
      <c r="F2045" s="1185"/>
      <c r="G2045" s="1186"/>
      <c r="H2045" s="1186"/>
      <c r="I2045" s="195"/>
      <c r="J2045" s="195"/>
      <c r="K2045" s="195"/>
      <c r="L2045" s="195"/>
      <c r="M2045" s="1185"/>
    </row>
    <row r="2046">
      <c r="A2046" s="1185"/>
      <c r="B2046" s="1185"/>
      <c r="C2046" s="1185"/>
      <c r="D2046" s="1185"/>
      <c r="E2046" s="1185"/>
      <c r="F2046" s="1185"/>
      <c r="G2046" s="1186"/>
      <c r="H2046" s="1186"/>
      <c r="I2046" s="195"/>
      <c r="J2046" s="195"/>
      <c r="K2046" s="195"/>
      <c r="L2046" s="195"/>
      <c r="M2046" s="1185"/>
    </row>
    <row r="2047">
      <c r="A2047" s="1185"/>
      <c r="B2047" s="1185"/>
      <c r="C2047" s="1185"/>
      <c r="D2047" s="1185"/>
      <c r="E2047" s="1185"/>
      <c r="F2047" s="1185"/>
      <c r="G2047" s="1186"/>
      <c r="H2047" s="1186"/>
      <c r="I2047" s="195"/>
      <c r="J2047" s="195"/>
      <c r="K2047" s="195"/>
      <c r="L2047" s="195"/>
      <c r="M2047" s="1185"/>
    </row>
    <row r="2048">
      <c r="A2048" s="1185"/>
      <c r="B2048" s="1185"/>
      <c r="C2048" s="1185"/>
      <c r="D2048" s="1185"/>
      <c r="E2048" s="1185"/>
      <c r="F2048" s="1185"/>
      <c r="G2048" s="1186"/>
      <c r="H2048" s="1186"/>
      <c r="I2048" s="195"/>
      <c r="J2048" s="195"/>
      <c r="K2048" s="195"/>
      <c r="L2048" s="195"/>
      <c r="M2048" s="1185"/>
    </row>
    <row r="2049">
      <c r="A2049" s="1185"/>
      <c r="B2049" s="1185"/>
      <c r="C2049" s="1185"/>
      <c r="D2049" s="1185"/>
      <c r="E2049" s="1185"/>
      <c r="F2049" s="1185"/>
      <c r="G2049" s="1186"/>
      <c r="H2049" s="1186"/>
      <c r="I2049" s="195"/>
      <c r="J2049" s="195"/>
      <c r="K2049" s="195"/>
      <c r="L2049" s="195"/>
      <c r="M2049" s="1185"/>
    </row>
    <row r="2050">
      <c r="A2050" s="1185"/>
      <c r="B2050" s="1185"/>
      <c r="C2050" s="1185"/>
      <c r="D2050" s="1185"/>
      <c r="E2050" s="1185"/>
      <c r="F2050" s="1185"/>
      <c r="G2050" s="1186"/>
      <c r="H2050" s="1186"/>
      <c r="I2050" s="195"/>
      <c r="J2050" s="195"/>
      <c r="K2050" s="195"/>
      <c r="L2050" s="195"/>
      <c r="M2050" s="1185"/>
    </row>
    <row r="2051">
      <c r="A2051" s="1185"/>
      <c r="B2051" s="1185"/>
      <c r="C2051" s="1185"/>
      <c r="D2051" s="1185"/>
      <c r="E2051" s="1185"/>
      <c r="F2051" s="1185"/>
      <c r="G2051" s="1186"/>
      <c r="H2051" s="1186"/>
      <c r="I2051" s="195"/>
      <c r="J2051" s="195"/>
      <c r="K2051" s="195"/>
      <c r="L2051" s="195"/>
      <c r="M2051" s="1185"/>
    </row>
    <row r="2052">
      <c r="A2052" s="1185"/>
      <c r="B2052" s="1185"/>
      <c r="C2052" s="1185"/>
      <c r="D2052" s="1185"/>
      <c r="E2052" s="1185"/>
      <c r="F2052" s="1185"/>
      <c r="G2052" s="1186"/>
      <c r="H2052" s="1186"/>
      <c r="I2052" s="195"/>
      <c r="J2052" s="195"/>
      <c r="K2052" s="195"/>
      <c r="L2052" s="195"/>
      <c r="M2052" s="1185"/>
    </row>
    <row r="2053">
      <c r="A2053" s="1185"/>
      <c r="B2053" s="1185"/>
      <c r="C2053" s="1185"/>
      <c r="D2053" s="1185"/>
      <c r="E2053" s="1185"/>
      <c r="F2053" s="1185"/>
      <c r="G2053" s="1186"/>
      <c r="H2053" s="1186"/>
      <c r="I2053" s="195"/>
      <c r="J2053" s="195"/>
      <c r="K2053" s="195"/>
      <c r="L2053" s="195"/>
      <c r="M2053" s="1185"/>
    </row>
    <row r="2054">
      <c r="A2054" s="1185"/>
      <c r="B2054" s="1185"/>
      <c r="C2054" s="1185"/>
      <c r="D2054" s="1185"/>
      <c r="E2054" s="1185"/>
      <c r="F2054" s="1185"/>
      <c r="G2054" s="1186"/>
      <c r="H2054" s="1186"/>
      <c r="I2054" s="195"/>
      <c r="J2054" s="195"/>
      <c r="K2054" s="195"/>
      <c r="L2054" s="195"/>
      <c r="M2054" s="1185"/>
    </row>
    <row r="2055">
      <c r="A2055" s="1185"/>
      <c r="B2055" s="1185"/>
      <c r="C2055" s="1185"/>
      <c r="D2055" s="1185"/>
      <c r="E2055" s="1185"/>
      <c r="F2055" s="1185"/>
      <c r="G2055" s="1186"/>
      <c r="H2055" s="1186"/>
      <c r="I2055" s="195"/>
      <c r="J2055" s="195"/>
      <c r="K2055" s="195"/>
      <c r="L2055" s="195"/>
      <c r="M2055" s="1185"/>
    </row>
    <row r="2056">
      <c r="A2056" s="1185"/>
      <c r="B2056" s="1185"/>
      <c r="C2056" s="1185"/>
      <c r="D2056" s="1185"/>
      <c r="E2056" s="1185"/>
      <c r="F2056" s="1185"/>
      <c r="G2056" s="1186"/>
      <c r="H2056" s="1186"/>
      <c r="I2056" s="195"/>
      <c r="J2056" s="195"/>
      <c r="K2056" s="195"/>
      <c r="L2056" s="195"/>
      <c r="M2056" s="1185"/>
    </row>
    <row r="2057">
      <c r="A2057" s="1185"/>
      <c r="B2057" s="1185"/>
      <c r="C2057" s="1185"/>
      <c r="D2057" s="1185"/>
      <c r="E2057" s="1185"/>
      <c r="F2057" s="1185"/>
      <c r="G2057" s="1186"/>
      <c r="H2057" s="1186"/>
      <c r="I2057" s="195"/>
      <c r="J2057" s="195"/>
      <c r="K2057" s="195"/>
      <c r="L2057" s="195"/>
      <c r="M2057" s="1185"/>
    </row>
    <row r="2058">
      <c r="A2058" s="1185"/>
      <c r="B2058" s="1185"/>
      <c r="C2058" s="1185"/>
      <c r="D2058" s="1185"/>
      <c r="E2058" s="1185"/>
      <c r="F2058" s="1185"/>
      <c r="G2058" s="1186"/>
      <c r="H2058" s="1186"/>
      <c r="I2058" s="195"/>
      <c r="J2058" s="195"/>
      <c r="K2058" s="195"/>
      <c r="L2058" s="195"/>
      <c r="M2058" s="1185"/>
    </row>
    <row r="2059">
      <c r="A2059" s="1185"/>
      <c r="B2059" s="1185"/>
      <c r="C2059" s="1185"/>
      <c r="D2059" s="1185"/>
      <c r="E2059" s="1185"/>
      <c r="F2059" s="1185"/>
      <c r="G2059" s="1186"/>
      <c r="H2059" s="1186"/>
      <c r="I2059" s="195"/>
      <c r="J2059" s="195"/>
      <c r="K2059" s="195"/>
      <c r="L2059" s="195"/>
      <c r="M2059" s="1185"/>
    </row>
    <row r="2060">
      <c r="A2060" s="1185"/>
      <c r="B2060" s="1185"/>
      <c r="C2060" s="1185"/>
      <c r="D2060" s="1185"/>
      <c r="E2060" s="1185"/>
      <c r="F2060" s="1185"/>
      <c r="G2060" s="1186"/>
      <c r="H2060" s="1186"/>
      <c r="I2060" s="195"/>
      <c r="J2060" s="195"/>
      <c r="K2060" s="195"/>
      <c r="L2060" s="195"/>
      <c r="M2060" s="1185"/>
    </row>
    <row r="2061">
      <c r="A2061" s="1185"/>
      <c r="B2061" s="1185"/>
      <c r="C2061" s="1185"/>
      <c r="D2061" s="1185"/>
      <c r="E2061" s="1185"/>
      <c r="F2061" s="1185"/>
      <c r="G2061" s="1186"/>
      <c r="H2061" s="1186"/>
      <c r="I2061" s="195"/>
      <c r="J2061" s="195"/>
      <c r="K2061" s="195"/>
      <c r="L2061" s="195"/>
      <c r="M2061" s="1185"/>
    </row>
    <row r="2062">
      <c r="A2062" s="1185"/>
      <c r="B2062" s="1185"/>
      <c r="C2062" s="1185"/>
      <c r="D2062" s="1185"/>
      <c r="E2062" s="1185"/>
      <c r="F2062" s="1185"/>
      <c r="G2062" s="1186"/>
      <c r="H2062" s="1186"/>
      <c r="I2062" s="195"/>
      <c r="J2062" s="195"/>
      <c r="K2062" s="195"/>
      <c r="L2062" s="195"/>
      <c r="M2062" s="1185"/>
    </row>
    <row r="2063">
      <c r="A2063" s="1185"/>
      <c r="B2063" s="1185"/>
      <c r="C2063" s="1185"/>
      <c r="D2063" s="1185"/>
      <c r="E2063" s="1185"/>
      <c r="F2063" s="1185"/>
      <c r="G2063" s="1186"/>
      <c r="H2063" s="1186"/>
      <c r="I2063" s="195"/>
      <c r="J2063" s="195"/>
      <c r="K2063" s="195"/>
      <c r="L2063" s="195"/>
      <c r="M2063" s="1185"/>
    </row>
    <row r="2064">
      <c r="A2064" s="1185"/>
      <c r="B2064" s="1185"/>
      <c r="C2064" s="1185"/>
      <c r="D2064" s="1185"/>
      <c r="E2064" s="1185"/>
      <c r="F2064" s="1185"/>
      <c r="G2064" s="1186"/>
      <c r="H2064" s="1186"/>
      <c r="I2064" s="195"/>
      <c r="J2064" s="195"/>
      <c r="K2064" s="195"/>
      <c r="L2064" s="195"/>
      <c r="M2064" s="1185"/>
    </row>
    <row r="2065">
      <c r="A2065" s="1185"/>
      <c r="B2065" s="1185"/>
      <c r="C2065" s="1185"/>
      <c r="D2065" s="1185"/>
      <c r="E2065" s="1185"/>
      <c r="F2065" s="1185"/>
      <c r="G2065" s="1186"/>
      <c r="H2065" s="1186"/>
      <c r="I2065" s="195"/>
      <c r="J2065" s="195"/>
      <c r="K2065" s="195"/>
      <c r="L2065" s="195"/>
      <c r="M2065" s="1185"/>
    </row>
    <row r="2066">
      <c r="A2066" s="1185"/>
      <c r="B2066" s="1185"/>
      <c r="C2066" s="1185"/>
      <c r="D2066" s="1185"/>
      <c r="E2066" s="1185"/>
      <c r="F2066" s="1185"/>
      <c r="G2066" s="1186"/>
      <c r="H2066" s="1186"/>
      <c r="I2066" s="195"/>
      <c r="J2066" s="195"/>
      <c r="K2066" s="195"/>
      <c r="L2066" s="195"/>
      <c r="M2066" s="1185"/>
    </row>
    <row r="2067">
      <c r="A2067" s="1185"/>
      <c r="B2067" s="1185"/>
      <c r="C2067" s="1185"/>
      <c r="D2067" s="1185"/>
      <c r="E2067" s="1185"/>
      <c r="F2067" s="1185"/>
      <c r="G2067" s="1186"/>
      <c r="H2067" s="1186"/>
      <c r="I2067" s="195"/>
      <c r="J2067" s="195"/>
      <c r="K2067" s="195"/>
      <c r="L2067" s="195"/>
      <c r="M2067" s="1185"/>
    </row>
    <row r="2068">
      <c r="A2068" s="1185"/>
      <c r="B2068" s="1185"/>
      <c r="C2068" s="1185"/>
      <c r="D2068" s="1185"/>
      <c r="E2068" s="1185"/>
      <c r="F2068" s="1185"/>
      <c r="G2068" s="1186"/>
      <c r="H2068" s="1186"/>
      <c r="I2068" s="195"/>
      <c r="J2068" s="195"/>
      <c r="K2068" s="195"/>
      <c r="L2068" s="195"/>
      <c r="M2068" s="1185"/>
    </row>
    <row r="2069">
      <c r="A2069" s="1185"/>
      <c r="B2069" s="1185"/>
      <c r="C2069" s="1185"/>
      <c r="D2069" s="1185"/>
      <c r="E2069" s="1185"/>
      <c r="F2069" s="1185"/>
      <c r="G2069" s="1186"/>
      <c r="H2069" s="1186"/>
      <c r="I2069" s="195"/>
      <c r="J2069" s="195"/>
      <c r="K2069" s="195"/>
      <c r="L2069" s="195"/>
      <c r="M2069" s="1185"/>
    </row>
    <row r="2070">
      <c r="A2070" s="1185"/>
      <c r="B2070" s="1185"/>
      <c r="C2070" s="1185"/>
      <c r="D2070" s="1185"/>
      <c r="E2070" s="1185"/>
      <c r="F2070" s="1185"/>
      <c r="G2070" s="1186"/>
      <c r="H2070" s="1186"/>
      <c r="I2070" s="195"/>
      <c r="J2070" s="195"/>
      <c r="K2070" s="195"/>
      <c r="L2070" s="195"/>
      <c r="M2070" s="1185"/>
    </row>
    <row r="2071">
      <c r="A2071" s="1185"/>
      <c r="B2071" s="1185"/>
      <c r="C2071" s="1185"/>
      <c r="D2071" s="1185"/>
      <c r="E2071" s="1185"/>
      <c r="F2071" s="1185"/>
      <c r="G2071" s="1186"/>
      <c r="H2071" s="1186"/>
      <c r="I2071" s="195"/>
      <c r="J2071" s="195"/>
      <c r="K2071" s="195"/>
      <c r="L2071" s="195"/>
      <c r="M2071" s="1185"/>
    </row>
    <row r="2072">
      <c r="A2072" s="1185"/>
      <c r="B2072" s="1185"/>
      <c r="C2072" s="1185"/>
      <c r="D2072" s="1185"/>
      <c r="E2072" s="1185"/>
      <c r="F2072" s="1185"/>
      <c r="G2072" s="1186"/>
      <c r="H2072" s="1186"/>
      <c r="I2072" s="195"/>
      <c r="J2072" s="195"/>
      <c r="K2072" s="195"/>
      <c r="L2072" s="195"/>
      <c r="M2072" s="1185"/>
    </row>
    <row r="2073">
      <c r="A2073" s="1185"/>
      <c r="B2073" s="1185"/>
      <c r="C2073" s="1185"/>
      <c r="D2073" s="1185"/>
      <c r="E2073" s="1185"/>
      <c r="F2073" s="1185"/>
      <c r="G2073" s="1186"/>
      <c r="H2073" s="1186"/>
      <c r="I2073" s="195"/>
      <c r="J2073" s="195"/>
      <c r="K2073" s="195"/>
      <c r="L2073" s="195"/>
      <c r="M2073" s="1185"/>
    </row>
    <row r="2074">
      <c r="A2074" s="1185"/>
      <c r="B2074" s="1185"/>
      <c r="C2074" s="1185"/>
      <c r="D2074" s="1185"/>
      <c r="E2074" s="1185"/>
      <c r="F2074" s="1185"/>
      <c r="G2074" s="1186"/>
      <c r="H2074" s="1186"/>
      <c r="I2074" s="195"/>
      <c r="J2074" s="195"/>
      <c r="K2074" s="195"/>
      <c r="L2074" s="195"/>
      <c r="M2074" s="1185"/>
    </row>
    <row r="2075">
      <c r="A2075" s="1185"/>
      <c r="B2075" s="1185"/>
      <c r="C2075" s="1185"/>
      <c r="D2075" s="1185"/>
      <c r="E2075" s="1185"/>
      <c r="F2075" s="1185"/>
      <c r="G2075" s="1186"/>
      <c r="H2075" s="1186"/>
      <c r="I2075" s="195"/>
      <c r="J2075" s="195"/>
      <c r="K2075" s="195"/>
      <c r="L2075" s="195"/>
      <c r="M2075" s="1185"/>
    </row>
    <row r="2076">
      <c r="A2076" s="1185"/>
      <c r="B2076" s="1185"/>
      <c r="C2076" s="1185"/>
      <c r="D2076" s="1185"/>
      <c r="E2076" s="1185"/>
      <c r="F2076" s="1185"/>
      <c r="G2076" s="1186"/>
      <c r="H2076" s="1186"/>
      <c r="I2076" s="195"/>
      <c r="J2076" s="195"/>
      <c r="K2076" s="195"/>
      <c r="L2076" s="195"/>
      <c r="M2076" s="1185"/>
    </row>
    <row r="2077">
      <c r="A2077" s="1185"/>
      <c r="B2077" s="1185"/>
      <c r="C2077" s="1185"/>
      <c r="D2077" s="1185"/>
      <c r="E2077" s="1185"/>
      <c r="F2077" s="1185"/>
      <c r="G2077" s="1186"/>
      <c r="H2077" s="1186"/>
      <c r="I2077" s="195"/>
      <c r="J2077" s="195"/>
      <c r="K2077" s="195"/>
      <c r="L2077" s="195"/>
      <c r="M2077" s="1185"/>
    </row>
    <row r="2078">
      <c r="A2078" s="1185"/>
      <c r="B2078" s="1185"/>
      <c r="C2078" s="1185"/>
      <c r="D2078" s="1185"/>
      <c r="E2078" s="1185"/>
      <c r="F2078" s="1185"/>
      <c r="G2078" s="1186"/>
      <c r="H2078" s="1186"/>
      <c r="I2078" s="195"/>
      <c r="J2078" s="195"/>
      <c r="K2078" s="195"/>
      <c r="L2078" s="195"/>
      <c r="M2078" s="1185"/>
    </row>
    <row r="2079">
      <c r="A2079" s="1185"/>
      <c r="B2079" s="1185"/>
      <c r="C2079" s="1185"/>
      <c r="D2079" s="1185"/>
      <c r="E2079" s="1185"/>
      <c r="F2079" s="1185"/>
      <c r="G2079" s="1186"/>
      <c r="H2079" s="1186"/>
      <c r="I2079" s="195"/>
      <c r="J2079" s="195"/>
      <c r="K2079" s="195"/>
      <c r="L2079" s="195"/>
      <c r="M2079" s="1185"/>
    </row>
    <row r="2080">
      <c r="A2080" s="1185"/>
      <c r="B2080" s="1185"/>
      <c r="C2080" s="1185"/>
      <c r="D2080" s="1185"/>
      <c r="E2080" s="1185"/>
      <c r="F2080" s="1185"/>
      <c r="G2080" s="1186"/>
      <c r="H2080" s="1186"/>
      <c r="I2080" s="195"/>
      <c r="J2080" s="195"/>
      <c r="K2080" s="195"/>
      <c r="L2080" s="195"/>
      <c r="M2080" s="1185"/>
    </row>
    <row r="2081">
      <c r="A2081" s="1185"/>
      <c r="B2081" s="1185"/>
      <c r="C2081" s="1185"/>
      <c r="D2081" s="1185"/>
      <c r="E2081" s="1185"/>
      <c r="F2081" s="1185"/>
      <c r="G2081" s="1186"/>
      <c r="H2081" s="1186"/>
      <c r="I2081" s="195"/>
      <c r="J2081" s="195"/>
      <c r="K2081" s="195"/>
      <c r="L2081" s="195"/>
      <c r="M2081" s="1185"/>
    </row>
    <row r="2082">
      <c r="A2082" s="1185"/>
      <c r="B2082" s="1185"/>
      <c r="C2082" s="1185"/>
      <c r="D2082" s="1185"/>
      <c r="E2082" s="1185"/>
      <c r="F2082" s="1185"/>
      <c r="G2082" s="1186"/>
      <c r="H2082" s="1186"/>
      <c r="I2082" s="195"/>
      <c r="J2082" s="195"/>
      <c r="K2082" s="195"/>
      <c r="L2082" s="195"/>
      <c r="M2082" s="1185"/>
    </row>
    <row r="2083">
      <c r="A2083" s="1185"/>
      <c r="B2083" s="1185"/>
      <c r="C2083" s="1185"/>
      <c r="D2083" s="1185"/>
      <c r="E2083" s="1185"/>
      <c r="F2083" s="1185"/>
      <c r="G2083" s="1186"/>
      <c r="H2083" s="1186"/>
      <c r="I2083" s="195"/>
      <c r="J2083" s="195"/>
      <c r="K2083" s="195"/>
      <c r="L2083" s="195"/>
      <c r="M2083" s="1185"/>
    </row>
    <row r="2084">
      <c r="A2084" s="1185"/>
      <c r="B2084" s="1185"/>
      <c r="C2084" s="1185"/>
      <c r="D2084" s="1185"/>
      <c r="E2084" s="1185"/>
      <c r="F2084" s="1185"/>
      <c r="G2084" s="1186"/>
      <c r="H2084" s="1186"/>
      <c r="I2084" s="195"/>
      <c r="J2084" s="195"/>
      <c r="K2084" s="195"/>
      <c r="L2084" s="195"/>
      <c r="M2084" s="1185"/>
    </row>
    <row r="2085">
      <c r="A2085" s="1185"/>
      <c r="B2085" s="1185"/>
      <c r="C2085" s="1185"/>
      <c r="D2085" s="1185"/>
      <c r="E2085" s="1185"/>
      <c r="F2085" s="1185"/>
      <c r="G2085" s="1186"/>
      <c r="H2085" s="1186"/>
      <c r="I2085" s="195"/>
      <c r="J2085" s="195"/>
      <c r="K2085" s="195"/>
      <c r="L2085" s="195"/>
      <c r="M2085" s="1185"/>
    </row>
    <row r="2086">
      <c r="A2086" s="1185"/>
      <c r="B2086" s="1185"/>
      <c r="C2086" s="1185"/>
      <c r="D2086" s="1185"/>
      <c r="E2086" s="1185"/>
      <c r="F2086" s="1185"/>
      <c r="G2086" s="1186"/>
      <c r="H2086" s="1186"/>
      <c r="I2086" s="195"/>
      <c r="J2086" s="195"/>
      <c r="K2086" s="195"/>
      <c r="L2086" s="195"/>
      <c r="M2086" s="1185"/>
    </row>
    <row r="2087">
      <c r="A2087" s="1185"/>
      <c r="B2087" s="1185"/>
      <c r="C2087" s="1185"/>
      <c r="D2087" s="1185"/>
      <c r="E2087" s="1185"/>
      <c r="F2087" s="1185"/>
      <c r="G2087" s="1186"/>
      <c r="H2087" s="1186"/>
      <c r="I2087" s="195"/>
      <c r="J2087" s="195"/>
      <c r="K2087" s="195"/>
      <c r="L2087" s="195"/>
      <c r="M2087" s="1185"/>
    </row>
    <row r="2088">
      <c r="A2088" s="1185"/>
      <c r="B2088" s="1185"/>
      <c r="C2088" s="1185"/>
      <c r="D2088" s="1185"/>
      <c r="E2088" s="1185"/>
      <c r="F2088" s="1185"/>
      <c r="G2088" s="1186"/>
      <c r="H2088" s="1186"/>
      <c r="I2088" s="195"/>
      <c r="J2088" s="195"/>
      <c r="K2088" s="195"/>
      <c r="L2088" s="195"/>
      <c r="M2088" s="1185"/>
    </row>
    <row r="2089">
      <c r="A2089" s="1185"/>
      <c r="B2089" s="1185"/>
      <c r="C2089" s="1185"/>
      <c r="D2089" s="1185"/>
      <c r="E2089" s="1185"/>
      <c r="F2089" s="1185"/>
      <c r="G2089" s="1186"/>
      <c r="H2089" s="1186"/>
      <c r="I2089" s="195"/>
      <c r="J2089" s="195"/>
      <c r="K2089" s="195"/>
      <c r="L2089" s="195"/>
      <c r="M2089" s="1185"/>
    </row>
    <row r="2090">
      <c r="A2090" s="1185"/>
      <c r="B2090" s="1185"/>
      <c r="C2090" s="1185"/>
      <c r="D2090" s="1185"/>
      <c r="E2090" s="1185"/>
      <c r="F2090" s="1185"/>
      <c r="G2090" s="1186"/>
      <c r="H2090" s="1186"/>
      <c r="I2090" s="195"/>
      <c r="J2090" s="195"/>
      <c r="K2090" s="195"/>
      <c r="L2090" s="195"/>
      <c r="M2090" s="1185"/>
    </row>
    <row r="2091">
      <c r="A2091" s="1185"/>
      <c r="B2091" s="1185"/>
      <c r="C2091" s="1185"/>
      <c r="D2091" s="1185"/>
      <c r="E2091" s="1185"/>
      <c r="F2091" s="1185"/>
      <c r="G2091" s="1186"/>
      <c r="H2091" s="1186"/>
      <c r="I2091" s="195"/>
      <c r="J2091" s="195"/>
      <c r="K2091" s="195"/>
      <c r="L2091" s="195"/>
      <c r="M2091" s="1185"/>
    </row>
    <row r="2092">
      <c r="A2092" s="1185"/>
      <c r="B2092" s="1185"/>
      <c r="C2092" s="1185"/>
      <c r="D2092" s="1185"/>
      <c r="E2092" s="1185"/>
      <c r="F2092" s="1185"/>
      <c r="G2092" s="1186"/>
      <c r="H2092" s="1186"/>
      <c r="I2092" s="195"/>
      <c r="J2092" s="195"/>
      <c r="K2092" s="195"/>
      <c r="L2092" s="195"/>
      <c r="M2092" s="1185"/>
    </row>
    <row r="2093">
      <c r="A2093" s="1185"/>
      <c r="B2093" s="1185"/>
      <c r="C2093" s="1185"/>
      <c r="D2093" s="1185"/>
      <c r="E2093" s="1185"/>
      <c r="F2093" s="1185"/>
      <c r="G2093" s="1186"/>
      <c r="H2093" s="1186"/>
      <c r="I2093" s="195"/>
      <c r="J2093" s="195"/>
      <c r="K2093" s="195"/>
      <c r="L2093" s="195"/>
      <c r="M2093" s="1185"/>
    </row>
    <row r="2094">
      <c r="A2094" s="1185"/>
      <c r="B2094" s="1185"/>
      <c r="C2094" s="1185"/>
      <c r="D2094" s="1185"/>
      <c r="E2094" s="1185"/>
      <c r="F2094" s="1185"/>
      <c r="G2094" s="1186"/>
      <c r="H2094" s="1186"/>
      <c r="I2094" s="195"/>
      <c r="J2094" s="195"/>
      <c r="K2094" s="195"/>
      <c r="L2094" s="195"/>
      <c r="M2094" s="1185"/>
    </row>
    <row r="2095">
      <c r="A2095" s="1185"/>
      <c r="B2095" s="1185"/>
      <c r="C2095" s="1185"/>
      <c r="D2095" s="1185"/>
      <c r="E2095" s="1185"/>
      <c r="F2095" s="1185"/>
      <c r="G2095" s="1186"/>
      <c r="H2095" s="1186"/>
      <c r="I2095" s="195"/>
      <c r="J2095" s="195"/>
      <c r="K2095" s="195"/>
      <c r="L2095" s="195"/>
      <c r="M2095" s="1185"/>
    </row>
    <row r="2096">
      <c r="A2096" s="1185"/>
      <c r="B2096" s="1185"/>
      <c r="C2096" s="1185"/>
      <c r="D2096" s="1185"/>
      <c r="E2096" s="1185"/>
      <c r="F2096" s="1185"/>
      <c r="G2096" s="1186"/>
      <c r="H2096" s="1186"/>
      <c r="I2096" s="195"/>
      <c r="J2096" s="195"/>
      <c r="K2096" s="195"/>
      <c r="L2096" s="195"/>
      <c r="M2096" s="1185"/>
    </row>
    <row r="2097">
      <c r="A2097" s="1185"/>
      <c r="B2097" s="1185"/>
      <c r="C2097" s="1185"/>
      <c r="D2097" s="1185"/>
      <c r="E2097" s="1185"/>
      <c r="F2097" s="1185"/>
      <c r="G2097" s="1186"/>
      <c r="H2097" s="1186"/>
      <c r="I2097" s="195"/>
      <c r="J2097" s="195"/>
      <c r="K2097" s="195"/>
      <c r="L2097" s="195"/>
      <c r="M2097" s="1185"/>
    </row>
    <row r="2098">
      <c r="A2098" s="1185"/>
      <c r="B2098" s="1185"/>
      <c r="C2098" s="1185"/>
      <c r="D2098" s="1185"/>
      <c r="E2098" s="1185"/>
      <c r="F2098" s="1185"/>
      <c r="G2098" s="1186"/>
      <c r="H2098" s="1186"/>
      <c r="I2098" s="195"/>
      <c r="J2098" s="195"/>
      <c r="K2098" s="195"/>
      <c r="L2098" s="195"/>
      <c r="M2098" s="1185"/>
    </row>
    <row r="2099">
      <c r="A2099" s="1185"/>
      <c r="B2099" s="1185"/>
      <c r="C2099" s="1185"/>
      <c r="D2099" s="1185"/>
      <c r="E2099" s="1185"/>
      <c r="F2099" s="1185"/>
      <c r="G2099" s="1186"/>
      <c r="H2099" s="1186"/>
      <c r="I2099" s="195"/>
      <c r="J2099" s="195"/>
      <c r="K2099" s="195"/>
      <c r="L2099" s="195"/>
      <c r="M2099" s="1185"/>
    </row>
    <row r="2100">
      <c r="A2100" s="1185"/>
      <c r="B2100" s="1185"/>
      <c r="C2100" s="1185"/>
      <c r="D2100" s="1185"/>
      <c r="E2100" s="1185"/>
      <c r="F2100" s="1185"/>
      <c r="G2100" s="1186"/>
      <c r="H2100" s="1186"/>
      <c r="I2100" s="195"/>
      <c r="J2100" s="195"/>
      <c r="K2100" s="195"/>
      <c r="L2100" s="195"/>
      <c r="M2100" s="1185"/>
    </row>
    <row r="2101">
      <c r="A2101" s="1185"/>
      <c r="B2101" s="1185"/>
      <c r="C2101" s="1185"/>
      <c r="D2101" s="1185"/>
      <c r="E2101" s="1185"/>
      <c r="F2101" s="1185"/>
      <c r="G2101" s="1186"/>
      <c r="H2101" s="1186"/>
      <c r="I2101" s="195"/>
      <c r="J2101" s="195"/>
      <c r="K2101" s="195"/>
      <c r="L2101" s="195"/>
      <c r="M2101" s="1185"/>
    </row>
    <row r="2102">
      <c r="A2102" s="1185"/>
      <c r="B2102" s="1185"/>
      <c r="C2102" s="1185"/>
      <c r="D2102" s="1185"/>
      <c r="E2102" s="1185"/>
      <c r="F2102" s="1185"/>
      <c r="G2102" s="1186"/>
      <c r="H2102" s="1186"/>
      <c r="I2102" s="195"/>
      <c r="J2102" s="195"/>
      <c r="K2102" s="195"/>
      <c r="L2102" s="195"/>
      <c r="M2102" s="1185"/>
    </row>
    <row r="2103">
      <c r="A2103" s="1185"/>
      <c r="B2103" s="1185"/>
      <c r="C2103" s="1185"/>
      <c r="D2103" s="1185"/>
      <c r="E2103" s="1185"/>
      <c r="F2103" s="1185"/>
      <c r="G2103" s="1186"/>
      <c r="H2103" s="1186"/>
      <c r="I2103" s="195"/>
      <c r="J2103" s="195"/>
      <c r="K2103" s="195"/>
      <c r="L2103" s="195"/>
      <c r="M2103" s="1185"/>
    </row>
    <row r="2104">
      <c r="A2104" s="1185"/>
      <c r="B2104" s="1185"/>
      <c r="C2104" s="1185"/>
      <c r="D2104" s="1185"/>
      <c r="E2104" s="1185"/>
      <c r="F2104" s="1185"/>
      <c r="G2104" s="1186"/>
      <c r="H2104" s="1186"/>
      <c r="I2104" s="195"/>
      <c r="J2104" s="195"/>
      <c r="K2104" s="195"/>
      <c r="L2104" s="195"/>
      <c r="M2104" s="1185"/>
    </row>
    <row r="2105">
      <c r="A2105" s="1185"/>
      <c r="B2105" s="1185"/>
      <c r="C2105" s="1185"/>
      <c r="D2105" s="1185"/>
      <c r="E2105" s="1185"/>
      <c r="F2105" s="1185"/>
      <c r="G2105" s="1186"/>
      <c r="H2105" s="1186"/>
      <c r="I2105" s="195"/>
      <c r="J2105" s="195"/>
      <c r="K2105" s="195"/>
      <c r="L2105" s="195"/>
      <c r="M2105" s="1185"/>
    </row>
    <row r="2106">
      <c r="A2106" s="1185"/>
      <c r="B2106" s="1185"/>
      <c r="C2106" s="1185"/>
      <c r="D2106" s="1185"/>
      <c r="E2106" s="1185"/>
      <c r="F2106" s="1185"/>
      <c r="G2106" s="1186"/>
      <c r="H2106" s="1186"/>
      <c r="I2106" s="195"/>
      <c r="J2106" s="195"/>
      <c r="K2106" s="195"/>
      <c r="L2106" s="195"/>
      <c r="M2106" s="1185"/>
    </row>
    <row r="2107">
      <c r="A2107" s="1185"/>
      <c r="B2107" s="1185"/>
      <c r="C2107" s="1185"/>
      <c r="D2107" s="1185"/>
      <c r="E2107" s="1185"/>
      <c r="F2107" s="1185"/>
      <c r="G2107" s="1186"/>
      <c r="H2107" s="1186"/>
      <c r="I2107" s="195"/>
      <c r="J2107" s="195"/>
      <c r="K2107" s="195"/>
      <c r="L2107" s="195"/>
      <c r="M2107" s="1185"/>
    </row>
    <row r="2108">
      <c r="A2108" s="1185"/>
      <c r="B2108" s="1185"/>
      <c r="C2108" s="1185"/>
      <c r="D2108" s="1185"/>
      <c r="E2108" s="1185"/>
      <c r="F2108" s="1185"/>
      <c r="G2108" s="1186"/>
      <c r="H2108" s="1186"/>
      <c r="I2108" s="195"/>
      <c r="J2108" s="195"/>
      <c r="K2108" s="195"/>
      <c r="L2108" s="195"/>
      <c r="M2108" s="1185"/>
    </row>
    <row r="2109">
      <c r="A2109" s="1185"/>
      <c r="B2109" s="1185"/>
      <c r="C2109" s="1185"/>
      <c r="D2109" s="1185"/>
      <c r="E2109" s="1185"/>
      <c r="F2109" s="1185"/>
      <c r="G2109" s="1186"/>
      <c r="H2109" s="1186"/>
      <c r="I2109" s="195"/>
      <c r="J2109" s="195"/>
      <c r="K2109" s="195"/>
      <c r="L2109" s="195"/>
      <c r="M2109" s="1185"/>
    </row>
    <row r="2110">
      <c r="A2110" s="1185"/>
      <c r="B2110" s="1185"/>
      <c r="C2110" s="1185"/>
      <c r="D2110" s="1185"/>
      <c r="E2110" s="1185"/>
      <c r="F2110" s="1185"/>
      <c r="G2110" s="1186"/>
      <c r="H2110" s="1186"/>
      <c r="I2110" s="195"/>
      <c r="J2110" s="195"/>
      <c r="K2110" s="195"/>
      <c r="L2110" s="195"/>
      <c r="M2110" s="1185"/>
    </row>
    <row r="2111">
      <c r="A2111" s="1185"/>
      <c r="B2111" s="1185"/>
      <c r="C2111" s="1185"/>
      <c r="D2111" s="1185"/>
      <c r="E2111" s="1185"/>
      <c r="F2111" s="1185"/>
      <c r="G2111" s="1186"/>
      <c r="H2111" s="1186"/>
      <c r="I2111" s="195"/>
      <c r="J2111" s="195"/>
      <c r="K2111" s="195"/>
      <c r="L2111" s="195"/>
      <c r="M2111" s="1185"/>
    </row>
    <row r="2112">
      <c r="A2112" s="1185"/>
      <c r="B2112" s="1185"/>
      <c r="C2112" s="1185"/>
      <c r="D2112" s="1185"/>
      <c r="E2112" s="1185"/>
      <c r="F2112" s="1185"/>
      <c r="G2112" s="1186"/>
      <c r="H2112" s="1186"/>
      <c r="I2112" s="195"/>
      <c r="J2112" s="195"/>
      <c r="K2112" s="195"/>
      <c r="L2112" s="195"/>
      <c r="M2112" s="1185"/>
    </row>
    <row r="2113">
      <c r="A2113" s="1185"/>
      <c r="B2113" s="1185"/>
      <c r="C2113" s="1185"/>
      <c r="D2113" s="1185"/>
      <c r="E2113" s="1185"/>
      <c r="F2113" s="1185"/>
      <c r="G2113" s="1186"/>
      <c r="H2113" s="1186"/>
      <c r="I2113" s="195"/>
      <c r="J2113" s="195"/>
      <c r="K2113" s="195"/>
      <c r="L2113" s="195"/>
      <c r="M2113" s="1185"/>
    </row>
    <row r="2114">
      <c r="A2114" s="1185"/>
      <c r="B2114" s="1185"/>
      <c r="C2114" s="1185"/>
      <c r="D2114" s="1185"/>
      <c r="E2114" s="1185"/>
      <c r="F2114" s="1185"/>
      <c r="G2114" s="1186"/>
      <c r="H2114" s="1186"/>
      <c r="I2114" s="195"/>
      <c r="J2114" s="195"/>
      <c r="K2114" s="195"/>
      <c r="L2114" s="195"/>
      <c r="M2114" s="1185"/>
    </row>
    <row r="2115">
      <c r="A2115" s="1185"/>
      <c r="B2115" s="1185"/>
      <c r="C2115" s="1185"/>
      <c r="D2115" s="1185"/>
      <c r="E2115" s="1185"/>
      <c r="F2115" s="1185"/>
      <c r="G2115" s="1186"/>
      <c r="H2115" s="1186"/>
      <c r="I2115" s="195"/>
      <c r="J2115" s="195"/>
      <c r="K2115" s="195"/>
      <c r="L2115" s="195"/>
      <c r="M2115" s="1185"/>
    </row>
    <row r="2116">
      <c r="A2116" s="1185"/>
      <c r="B2116" s="1185"/>
      <c r="C2116" s="1185"/>
      <c r="D2116" s="1185"/>
      <c r="E2116" s="1185"/>
      <c r="F2116" s="1185"/>
      <c r="G2116" s="1186"/>
      <c r="H2116" s="1186"/>
      <c r="I2116" s="195"/>
      <c r="J2116" s="195"/>
      <c r="K2116" s="195"/>
      <c r="L2116" s="195"/>
      <c r="M2116" s="1185"/>
    </row>
    <row r="2117">
      <c r="A2117" s="1185"/>
      <c r="B2117" s="1185"/>
      <c r="C2117" s="1185"/>
      <c r="D2117" s="1185"/>
      <c r="E2117" s="1185"/>
      <c r="F2117" s="1185"/>
      <c r="G2117" s="1186"/>
      <c r="H2117" s="1186"/>
      <c r="I2117" s="195"/>
      <c r="J2117" s="195"/>
      <c r="K2117" s="195"/>
      <c r="L2117" s="195"/>
      <c r="M2117" s="1185"/>
    </row>
    <row r="2118">
      <c r="A2118" s="1185"/>
      <c r="B2118" s="1185"/>
      <c r="C2118" s="1185"/>
      <c r="D2118" s="1185"/>
      <c r="E2118" s="1185"/>
      <c r="F2118" s="1185"/>
      <c r="G2118" s="1186"/>
      <c r="H2118" s="1186"/>
      <c r="I2118" s="195"/>
      <c r="J2118" s="195"/>
      <c r="K2118" s="195"/>
      <c r="L2118" s="195"/>
      <c r="M2118" s="1185"/>
    </row>
    <row r="2119">
      <c r="A2119" s="1185"/>
      <c r="B2119" s="1185"/>
      <c r="C2119" s="1185"/>
      <c r="D2119" s="1185"/>
      <c r="E2119" s="1185"/>
      <c r="F2119" s="1185"/>
      <c r="G2119" s="1186"/>
      <c r="H2119" s="1186"/>
      <c r="I2119" s="195"/>
      <c r="J2119" s="195"/>
      <c r="K2119" s="195"/>
      <c r="L2119" s="195"/>
      <c r="M2119" s="1185"/>
    </row>
    <row r="2120">
      <c r="A2120" s="1185"/>
      <c r="B2120" s="1185"/>
      <c r="C2120" s="1185"/>
      <c r="D2120" s="1185"/>
      <c r="E2120" s="1185"/>
      <c r="F2120" s="1185"/>
      <c r="G2120" s="1186"/>
      <c r="H2120" s="1186"/>
      <c r="I2120" s="195"/>
      <c r="J2120" s="195"/>
      <c r="K2120" s="195"/>
      <c r="L2120" s="195"/>
      <c r="M2120" s="1185"/>
    </row>
    <row r="2121">
      <c r="A2121" s="1185"/>
      <c r="B2121" s="1185"/>
      <c r="C2121" s="1185"/>
      <c r="D2121" s="1185"/>
      <c r="E2121" s="1185"/>
      <c r="F2121" s="1185"/>
      <c r="G2121" s="1186"/>
      <c r="H2121" s="1186"/>
      <c r="I2121" s="195"/>
      <c r="J2121" s="195"/>
      <c r="K2121" s="195"/>
      <c r="L2121" s="195"/>
      <c r="M2121" s="1185"/>
    </row>
    <row r="2122">
      <c r="A2122" s="1185"/>
      <c r="B2122" s="1185"/>
      <c r="C2122" s="1185"/>
      <c r="D2122" s="1185"/>
      <c r="E2122" s="1185"/>
      <c r="F2122" s="1185"/>
      <c r="G2122" s="1186"/>
      <c r="H2122" s="1186"/>
      <c r="I2122" s="195"/>
      <c r="J2122" s="195"/>
      <c r="K2122" s="195"/>
      <c r="L2122" s="195"/>
      <c r="M2122" s="1185"/>
    </row>
    <row r="2123">
      <c r="A2123" s="1185"/>
      <c r="B2123" s="1185"/>
      <c r="C2123" s="1185"/>
      <c r="D2123" s="1185"/>
      <c r="E2123" s="1185"/>
      <c r="F2123" s="1185"/>
      <c r="G2123" s="1186"/>
      <c r="H2123" s="1186"/>
      <c r="I2123" s="195"/>
      <c r="J2123" s="195"/>
      <c r="K2123" s="195"/>
      <c r="L2123" s="195"/>
      <c r="M2123" s="1185"/>
    </row>
    <row r="2124">
      <c r="A2124" s="1185"/>
      <c r="B2124" s="1185"/>
      <c r="C2124" s="1185"/>
      <c r="D2124" s="1185"/>
      <c r="E2124" s="1185"/>
      <c r="F2124" s="1185"/>
      <c r="G2124" s="1186"/>
      <c r="H2124" s="1186"/>
      <c r="I2124" s="195"/>
      <c r="J2124" s="195"/>
      <c r="K2124" s="195"/>
      <c r="L2124" s="195"/>
      <c r="M2124" s="1185"/>
    </row>
    <row r="2125">
      <c r="A2125" s="1185"/>
      <c r="B2125" s="1185"/>
      <c r="C2125" s="1185"/>
      <c r="D2125" s="1185"/>
      <c r="E2125" s="1185"/>
      <c r="F2125" s="1185"/>
      <c r="G2125" s="1186"/>
      <c r="H2125" s="1186"/>
      <c r="I2125" s="195"/>
      <c r="J2125" s="195"/>
      <c r="K2125" s="195"/>
      <c r="L2125" s="195"/>
      <c r="M2125" s="1185"/>
    </row>
    <row r="2126">
      <c r="A2126" s="1185"/>
      <c r="B2126" s="1185"/>
      <c r="C2126" s="1185"/>
      <c r="D2126" s="1185"/>
      <c r="E2126" s="1185"/>
      <c r="F2126" s="1185"/>
      <c r="G2126" s="1186"/>
      <c r="H2126" s="1186"/>
      <c r="I2126" s="195"/>
      <c r="J2126" s="195"/>
      <c r="K2126" s="195"/>
      <c r="L2126" s="195"/>
      <c r="M2126" s="1185"/>
    </row>
    <row r="2127">
      <c r="A2127" s="1185"/>
      <c r="B2127" s="1185"/>
      <c r="C2127" s="1185"/>
      <c r="D2127" s="1185"/>
      <c r="E2127" s="1185"/>
      <c r="F2127" s="1185"/>
      <c r="G2127" s="1186"/>
      <c r="H2127" s="1186"/>
      <c r="I2127" s="195"/>
      <c r="J2127" s="195"/>
      <c r="K2127" s="195"/>
      <c r="L2127" s="195"/>
      <c r="M2127" s="1185"/>
    </row>
    <row r="2128">
      <c r="A2128" s="1185"/>
      <c r="B2128" s="1185"/>
      <c r="C2128" s="1185"/>
      <c r="D2128" s="1185"/>
      <c r="E2128" s="1185"/>
      <c r="F2128" s="1185"/>
      <c r="G2128" s="1186"/>
      <c r="H2128" s="1186"/>
      <c r="I2128" s="195"/>
      <c r="J2128" s="195"/>
      <c r="K2128" s="195"/>
      <c r="L2128" s="195"/>
      <c r="M2128" s="1185"/>
    </row>
    <row r="2129">
      <c r="A2129" s="1185"/>
      <c r="B2129" s="1185"/>
      <c r="C2129" s="1185"/>
      <c r="D2129" s="1185"/>
      <c r="E2129" s="1185"/>
      <c r="F2129" s="1185"/>
      <c r="G2129" s="1186"/>
      <c r="H2129" s="1186"/>
      <c r="I2129" s="195"/>
      <c r="J2129" s="195"/>
      <c r="K2129" s="195"/>
      <c r="L2129" s="195"/>
      <c r="M2129" s="1185"/>
    </row>
    <row r="2130">
      <c r="A2130" s="1185"/>
      <c r="B2130" s="1185"/>
      <c r="C2130" s="1185"/>
      <c r="D2130" s="1185"/>
      <c r="E2130" s="1185"/>
      <c r="F2130" s="1185"/>
      <c r="G2130" s="1186"/>
      <c r="H2130" s="1186"/>
      <c r="I2130" s="195"/>
      <c r="J2130" s="195"/>
      <c r="K2130" s="195"/>
      <c r="L2130" s="195"/>
      <c r="M2130" s="1185"/>
    </row>
    <row r="2131">
      <c r="A2131" s="1185"/>
      <c r="B2131" s="1185"/>
      <c r="C2131" s="1185"/>
      <c r="D2131" s="1185"/>
      <c r="E2131" s="1185"/>
      <c r="F2131" s="1185"/>
      <c r="G2131" s="1186"/>
      <c r="H2131" s="1186"/>
      <c r="I2131" s="195"/>
      <c r="J2131" s="195"/>
      <c r="K2131" s="195"/>
      <c r="L2131" s="195"/>
      <c r="M2131" s="1185"/>
    </row>
    <row r="2132">
      <c r="A2132" s="1185"/>
      <c r="B2132" s="1185"/>
      <c r="C2132" s="1185"/>
      <c r="D2132" s="1185"/>
      <c r="E2132" s="1185"/>
      <c r="F2132" s="1185"/>
      <c r="G2132" s="1186"/>
      <c r="H2132" s="1186"/>
      <c r="I2132" s="195"/>
      <c r="J2132" s="195"/>
      <c r="K2132" s="195"/>
      <c r="L2132" s="195"/>
      <c r="M2132" s="1185"/>
    </row>
    <row r="2133">
      <c r="A2133" s="1185"/>
      <c r="B2133" s="1185"/>
      <c r="C2133" s="1185"/>
      <c r="D2133" s="1185"/>
      <c r="E2133" s="1185"/>
      <c r="F2133" s="1185"/>
      <c r="G2133" s="1186"/>
      <c r="H2133" s="1186"/>
      <c r="I2133" s="195"/>
      <c r="J2133" s="195"/>
      <c r="K2133" s="195"/>
      <c r="L2133" s="195"/>
      <c r="M2133" s="1185"/>
    </row>
    <row r="2134">
      <c r="A2134" s="1185"/>
      <c r="B2134" s="1185"/>
      <c r="C2134" s="1185"/>
      <c r="D2134" s="1185"/>
      <c r="E2134" s="1185"/>
      <c r="F2134" s="1185"/>
      <c r="G2134" s="1186"/>
      <c r="H2134" s="1186"/>
      <c r="I2134" s="195"/>
      <c r="J2134" s="195"/>
      <c r="K2134" s="195"/>
      <c r="L2134" s="195"/>
      <c r="M2134" s="1185"/>
    </row>
    <row r="2135">
      <c r="A2135" s="1185"/>
      <c r="B2135" s="1185"/>
      <c r="C2135" s="1185"/>
      <c r="D2135" s="1185"/>
      <c r="E2135" s="1185"/>
      <c r="F2135" s="1185"/>
      <c r="G2135" s="1186"/>
      <c r="H2135" s="1186"/>
      <c r="I2135" s="195"/>
      <c r="J2135" s="195"/>
      <c r="K2135" s="195"/>
      <c r="L2135" s="195"/>
      <c r="M2135" s="1185"/>
    </row>
    <row r="2136">
      <c r="A2136" s="1185"/>
      <c r="B2136" s="1185"/>
      <c r="C2136" s="1185"/>
      <c r="D2136" s="1185"/>
      <c r="E2136" s="1185"/>
      <c r="F2136" s="1185"/>
      <c r="G2136" s="1186"/>
      <c r="H2136" s="1186"/>
      <c r="I2136" s="195"/>
      <c r="J2136" s="195"/>
      <c r="K2136" s="195"/>
      <c r="L2136" s="195"/>
      <c r="M2136" s="1185"/>
    </row>
    <row r="2137">
      <c r="A2137" s="1185"/>
      <c r="B2137" s="1185"/>
      <c r="C2137" s="1185"/>
      <c r="D2137" s="1185"/>
      <c r="E2137" s="1185"/>
      <c r="F2137" s="1185"/>
      <c r="G2137" s="1186"/>
      <c r="H2137" s="1186"/>
      <c r="I2137" s="195"/>
      <c r="J2137" s="195"/>
      <c r="K2137" s="195"/>
      <c r="L2137" s="195"/>
      <c r="M2137" s="1185"/>
    </row>
    <row r="2138">
      <c r="A2138" s="1185"/>
      <c r="B2138" s="1185"/>
      <c r="C2138" s="1185"/>
      <c r="D2138" s="1185"/>
      <c r="E2138" s="1185"/>
      <c r="F2138" s="1185"/>
      <c r="G2138" s="1186"/>
      <c r="H2138" s="1186"/>
      <c r="I2138" s="195"/>
      <c r="J2138" s="195"/>
      <c r="K2138" s="195"/>
      <c r="L2138" s="195"/>
      <c r="M2138" s="1185"/>
    </row>
    <row r="2139">
      <c r="A2139" s="1185"/>
      <c r="B2139" s="1185"/>
      <c r="C2139" s="1185"/>
      <c r="D2139" s="1185"/>
      <c r="E2139" s="1185"/>
      <c r="F2139" s="1185"/>
      <c r="G2139" s="1186"/>
      <c r="H2139" s="1186"/>
      <c r="I2139" s="195"/>
      <c r="J2139" s="195"/>
      <c r="K2139" s="195"/>
      <c r="L2139" s="195"/>
      <c r="M2139" s="1185"/>
    </row>
    <row r="2140">
      <c r="A2140" s="1185"/>
      <c r="B2140" s="1185"/>
      <c r="C2140" s="1185"/>
      <c r="D2140" s="1185"/>
      <c r="E2140" s="1185"/>
      <c r="F2140" s="1185"/>
      <c r="G2140" s="1186"/>
      <c r="H2140" s="1186"/>
      <c r="I2140" s="195"/>
      <c r="J2140" s="195"/>
      <c r="K2140" s="195"/>
      <c r="L2140" s="195"/>
      <c r="M2140" s="1185"/>
    </row>
    <row r="2141">
      <c r="A2141" s="1185"/>
      <c r="B2141" s="1185"/>
      <c r="C2141" s="1185"/>
      <c r="D2141" s="1185"/>
      <c r="E2141" s="1185"/>
      <c r="F2141" s="1185"/>
      <c r="G2141" s="1186"/>
      <c r="H2141" s="1186"/>
      <c r="I2141" s="195"/>
      <c r="J2141" s="195"/>
      <c r="K2141" s="195"/>
      <c r="L2141" s="195"/>
      <c r="M2141" s="1185"/>
    </row>
    <row r="2142">
      <c r="A2142" s="1185"/>
      <c r="B2142" s="1185"/>
      <c r="C2142" s="1185"/>
      <c r="D2142" s="1185"/>
      <c r="E2142" s="1185"/>
      <c r="F2142" s="1185"/>
      <c r="G2142" s="1186"/>
      <c r="H2142" s="1186"/>
      <c r="I2142" s="195"/>
      <c r="J2142" s="195"/>
      <c r="K2142" s="195"/>
      <c r="L2142" s="195"/>
      <c r="M2142" s="1185"/>
    </row>
    <row r="2143">
      <c r="A2143" s="1185"/>
      <c r="B2143" s="1185"/>
      <c r="C2143" s="1185"/>
      <c r="D2143" s="1185"/>
      <c r="E2143" s="1185"/>
      <c r="F2143" s="1185"/>
      <c r="G2143" s="1186"/>
      <c r="H2143" s="1186"/>
      <c r="I2143" s="195"/>
      <c r="J2143" s="195"/>
      <c r="K2143" s="195"/>
      <c r="L2143" s="195"/>
      <c r="M2143" s="1185"/>
    </row>
    <row r="2144">
      <c r="A2144" s="1185"/>
      <c r="B2144" s="1185"/>
      <c r="C2144" s="1185"/>
      <c r="D2144" s="1185"/>
      <c r="E2144" s="1185"/>
      <c r="F2144" s="1185"/>
      <c r="G2144" s="1186"/>
      <c r="H2144" s="1186"/>
      <c r="I2144" s="195"/>
      <c r="J2144" s="195"/>
      <c r="K2144" s="195"/>
      <c r="L2144" s="195"/>
      <c r="M2144" s="1185"/>
    </row>
    <row r="2145">
      <c r="A2145" s="1185"/>
      <c r="B2145" s="1185"/>
      <c r="C2145" s="1185"/>
      <c r="D2145" s="1185"/>
      <c r="E2145" s="1185"/>
      <c r="F2145" s="1185"/>
      <c r="G2145" s="1186"/>
      <c r="H2145" s="1186"/>
      <c r="I2145" s="195"/>
      <c r="J2145" s="195"/>
      <c r="K2145" s="195"/>
      <c r="L2145" s="195"/>
      <c r="M2145" s="1185"/>
    </row>
    <row r="2146">
      <c r="A2146" s="1185"/>
      <c r="B2146" s="1185"/>
      <c r="C2146" s="1185"/>
      <c r="D2146" s="1185"/>
      <c r="E2146" s="1185"/>
      <c r="F2146" s="1185"/>
      <c r="G2146" s="1186"/>
      <c r="H2146" s="1186"/>
      <c r="I2146" s="195"/>
      <c r="J2146" s="195"/>
      <c r="K2146" s="195"/>
      <c r="L2146" s="195"/>
      <c r="M2146" s="1185"/>
    </row>
    <row r="2147">
      <c r="A2147" s="1185"/>
      <c r="B2147" s="1185"/>
      <c r="C2147" s="1185"/>
      <c r="D2147" s="1185"/>
      <c r="E2147" s="1185"/>
      <c r="F2147" s="1185"/>
      <c r="G2147" s="1186"/>
      <c r="H2147" s="1186"/>
      <c r="I2147" s="195"/>
      <c r="J2147" s="195"/>
      <c r="K2147" s="195"/>
      <c r="L2147" s="195"/>
      <c r="M2147" s="1185"/>
    </row>
    <row r="2148">
      <c r="A2148" s="1185"/>
      <c r="B2148" s="1185"/>
      <c r="C2148" s="1185"/>
      <c r="D2148" s="1185"/>
      <c r="E2148" s="1185"/>
      <c r="F2148" s="1185"/>
      <c r="G2148" s="1186"/>
      <c r="H2148" s="1186"/>
      <c r="I2148" s="195"/>
      <c r="J2148" s="195"/>
      <c r="K2148" s="195"/>
      <c r="L2148" s="195"/>
      <c r="M2148" s="1185"/>
    </row>
    <row r="2149">
      <c r="A2149" s="1185"/>
      <c r="B2149" s="1185"/>
      <c r="C2149" s="1185"/>
      <c r="D2149" s="1185"/>
      <c r="E2149" s="1185"/>
      <c r="F2149" s="1185"/>
      <c r="G2149" s="1186"/>
      <c r="H2149" s="1186"/>
      <c r="I2149" s="195"/>
      <c r="J2149" s="195"/>
      <c r="K2149" s="195"/>
      <c r="L2149" s="195"/>
      <c r="M2149" s="1185"/>
    </row>
    <row r="2150">
      <c r="A2150" s="1185"/>
      <c r="B2150" s="1185"/>
      <c r="C2150" s="1185"/>
      <c r="D2150" s="1185"/>
      <c r="E2150" s="1185"/>
      <c r="F2150" s="1185"/>
      <c r="G2150" s="1186"/>
      <c r="H2150" s="1186"/>
      <c r="I2150" s="195"/>
      <c r="J2150" s="195"/>
      <c r="K2150" s="195"/>
      <c r="L2150" s="195"/>
      <c r="M2150" s="1185"/>
    </row>
    <row r="2151">
      <c r="A2151" s="1185"/>
      <c r="B2151" s="1185"/>
      <c r="C2151" s="1185"/>
      <c r="D2151" s="1185"/>
      <c r="E2151" s="1185"/>
      <c r="F2151" s="1185"/>
      <c r="G2151" s="1186"/>
      <c r="H2151" s="1186"/>
      <c r="I2151" s="195"/>
      <c r="J2151" s="195"/>
      <c r="K2151" s="195"/>
      <c r="L2151" s="195"/>
      <c r="M2151" s="1185"/>
    </row>
    <row r="2152">
      <c r="A2152" s="1185"/>
      <c r="B2152" s="1185"/>
      <c r="C2152" s="1185"/>
      <c r="D2152" s="1185"/>
      <c r="E2152" s="1185"/>
      <c r="F2152" s="1185"/>
      <c r="G2152" s="1186"/>
      <c r="H2152" s="1186"/>
      <c r="I2152" s="195"/>
      <c r="J2152" s="195"/>
      <c r="K2152" s="195"/>
      <c r="L2152" s="195"/>
      <c r="M2152" s="1185"/>
    </row>
    <row r="2153">
      <c r="A2153" s="1185"/>
      <c r="B2153" s="1185"/>
      <c r="C2153" s="1185"/>
      <c r="D2153" s="1185"/>
      <c r="E2153" s="1185"/>
      <c r="F2153" s="1185"/>
      <c r="G2153" s="1186"/>
      <c r="H2153" s="1186"/>
      <c r="I2153" s="195"/>
      <c r="J2153" s="195"/>
      <c r="K2153" s="195"/>
      <c r="L2153" s="195"/>
      <c r="M2153" s="1185"/>
    </row>
    <row r="2154">
      <c r="A2154" s="1185"/>
      <c r="B2154" s="1185"/>
      <c r="C2154" s="1185"/>
      <c r="D2154" s="1185"/>
      <c r="E2154" s="1185"/>
      <c r="F2154" s="1185"/>
      <c r="G2154" s="1186"/>
      <c r="H2154" s="1186"/>
      <c r="I2154" s="195"/>
      <c r="J2154" s="195"/>
      <c r="K2154" s="195"/>
      <c r="L2154" s="195"/>
      <c r="M2154" s="1185"/>
    </row>
    <row r="2155">
      <c r="A2155" s="1185"/>
      <c r="B2155" s="1185"/>
      <c r="C2155" s="1185"/>
      <c r="D2155" s="1185"/>
      <c r="E2155" s="1185"/>
      <c r="F2155" s="1185"/>
      <c r="G2155" s="1186"/>
      <c r="H2155" s="1186"/>
      <c r="I2155" s="195"/>
      <c r="J2155" s="195"/>
      <c r="K2155" s="195"/>
      <c r="L2155" s="195"/>
      <c r="M2155" s="1185"/>
    </row>
    <row r="2156">
      <c r="A2156" s="1185"/>
      <c r="B2156" s="1185"/>
      <c r="C2156" s="1185"/>
      <c r="D2156" s="1185"/>
      <c r="E2156" s="1185"/>
      <c r="F2156" s="1185"/>
      <c r="G2156" s="1186"/>
      <c r="H2156" s="1186"/>
      <c r="I2156" s="195"/>
      <c r="J2156" s="195"/>
      <c r="K2156" s="195"/>
      <c r="L2156" s="195"/>
      <c r="M2156" s="1185"/>
    </row>
    <row r="2157">
      <c r="A2157" s="1185"/>
      <c r="B2157" s="1185"/>
      <c r="C2157" s="1185"/>
      <c r="D2157" s="1185"/>
      <c r="E2157" s="1185"/>
      <c r="F2157" s="1185"/>
      <c r="G2157" s="1186"/>
      <c r="H2157" s="1186"/>
      <c r="I2157" s="195"/>
      <c r="J2157" s="195"/>
      <c r="K2157" s="195"/>
      <c r="L2157" s="195"/>
      <c r="M2157" s="1185"/>
    </row>
    <row r="2158">
      <c r="A2158" s="1185"/>
      <c r="B2158" s="1185"/>
      <c r="C2158" s="1185"/>
      <c r="D2158" s="1185"/>
      <c r="E2158" s="1185"/>
      <c r="F2158" s="1185"/>
      <c r="G2158" s="1186"/>
      <c r="H2158" s="1186"/>
      <c r="I2158" s="195"/>
      <c r="J2158" s="195"/>
      <c r="K2158" s="195"/>
      <c r="L2158" s="195"/>
      <c r="M2158" s="1185"/>
    </row>
    <row r="2159">
      <c r="A2159" s="1185"/>
      <c r="B2159" s="1185"/>
      <c r="C2159" s="1185"/>
      <c r="D2159" s="1185"/>
      <c r="E2159" s="1185"/>
      <c r="F2159" s="1185"/>
      <c r="G2159" s="1186"/>
      <c r="H2159" s="1186"/>
      <c r="I2159" s="195"/>
      <c r="J2159" s="195"/>
      <c r="K2159" s="195"/>
      <c r="L2159" s="195"/>
      <c r="M2159" s="1185"/>
    </row>
    <row r="2160">
      <c r="A2160" s="1185"/>
      <c r="B2160" s="1185"/>
      <c r="C2160" s="1185"/>
      <c r="D2160" s="1185"/>
      <c r="E2160" s="1185"/>
      <c r="F2160" s="1185"/>
      <c r="G2160" s="1186"/>
      <c r="H2160" s="1186"/>
      <c r="I2160" s="195"/>
      <c r="J2160" s="195"/>
      <c r="K2160" s="195"/>
      <c r="L2160" s="195"/>
      <c r="M2160" s="1185"/>
    </row>
    <row r="2161">
      <c r="A2161" s="1185"/>
      <c r="B2161" s="1185"/>
      <c r="C2161" s="1185"/>
      <c r="D2161" s="1185"/>
      <c r="E2161" s="1185"/>
      <c r="F2161" s="1185"/>
      <c r="G2161" s="1186"/>
      <c r="H2161" s="1186"/>
      <c r="I2161" s="195"/>
      <c r="J2161" s="195"/>
      <c r="K2161" s="195"/>
      <c r="L2161" s="195"/>
      <c r="M2161" s="1185"/>
    </row>
    <row r="2162">
      <c r="A2162" s="1185"/>
      <c r="B2162" s="1185"/>
      <c r="C2162" s="1185"/>
      <c r="D2162" s="1185"/>
      <c r="E2162" s="1185"/>
      <c r="F2162" s="1185"/>
      <c r="G2162" s="1186"/>
      <c r="H2162" s="1186"/>
      <c r="I2162" s="195"/>
      <c r="J2162" s="195"/>
      <c r="K2162" s="195"/>
      <c r="L2162" s="195"/>
      <c r="M2162" s="1185"/>
    </row>
    <row r="2163">
      <c r="A2163" s="1185"/>
      <c r="B2163" s="1185"/>
      <c r="C2163" s="1185"/>
      <c r="D2163" s="1185"/>
      <c r="E2163" s="1185"/>
      <c r="F2163" s="1185"/>
      <c r="G2163" s="1186"/>
      <c r="H2163" s="1186"/>
      <c r="I2163" s="195"/>
      <c r="J2163" s="195"/>
      <c r="K2163" s="195"/>
      <c r="L2163" s="195"/>
      <c r="M2163" s="1185"/>
    </row>
    <row r="2164">
      <c r="A2164" s="1185"/>
      <c r="B2164" s="1185"/>
      <c r="C2164" s="1185"/>
      <c r="D2164" s="1185"/>
      <c r="E2164" s="1185"/>
      <c r="F2164" s="1185"/>
      <c r="G2164" s="1186"/>
      <c r="H2164" s="1186"/>
      <c r="I2164" s="195"/>
      <c r="J2164" s="195"/>
      <c r="K2164" s="195"/>
      <c r="L2164" s="195"/>
      <c r="M2164" s="1185"/>
    </row>
    <row r="2165">
      <c r="A2165" s="1185"/>
      <c r="B2165" s="1185"/>
      <c r="C2165" s="1185"/>
      <c r="D2165" s="1185"/>
      <c r="E2165" s="1185"/>
      <c r="F2165" s="1185"/>
      <c r="G2165" s="1186"/>
      <c r="H2165" s="1186"/>
      <c r="I2165" s="195"/>
      <c r="J2165" s="195"/>
      <c r="K2165" s="195"/>
      <c r="L2165" s="195"/>
      <c r="M2165" s="1185"/>
    </row>
    <row r="2166">
      <c r="A2166" s="1185"/>
      <c r="B2166" s="1185"/>
      <c r="C2166" s="1185"/>
      <c r="D2166" s="1185"/>
      <c r="E2166" s="1185"/>
      <c r="F2166" s="1185"/>
      <c r="G2166" s="1186"/>
      <c r="H2166" s="1186"/>
      <c r="I2166" s="195"/>
      <c r="J2166" s="195"/>
      <c r="K2166" s="195"/>
      <c r="L2166" s="195"/>
      <c r="M2166" s="1185"/>
    </row>
    <row r="2167">
      <c r="A2167" s="1185"/>
      <c r="B2167" s="1185"/>
      <c r="C2167" s="1185"/>
      <c r="D2167" s="1185"/>
      <c r="E2167" s="1185"/>
      <c r="F2167" s="1185"/>
      <c r="G2167" s="1186"/>
      <c r="H2167" s="1186"/>
      <c r="I2167" s="195"/>
      <c r="J2167" s="195"/>
      <c r="K2167" s="195"/>
      <c r="L2167" s="195"/>
      <c r="M2167" s="1185"/>
    </row>
    <row r="2168">
      <c r="A2168" s="1185"/>
      <c r="B2168" s="1185"/>
      <c r="C2168" s="1185"/>
      <c r="D2168" s="1185"/>
      <c r="E2168" s="1185"/>
      <c r="F2168" s="1185"/>
      <c r="G2168" s="1186"/>
      <c r="H2168" s="1186"/>
      <c r="I2168" s="195"/>
      <c r="J2168" s="195"/>
      <c r="K2168" s="195"/>
      <c r="L2168" s="195"/>
      <c r="M2168" s="1185"/>
    </row>
    <row r="2169">
      <c r="A2169" s="1185"/>
      <c r="B2169" s="1185"/>
      <c r="C2169" s="1185"/>
      <c r="D2169" s="1185"/>
      <c r="E2169" s="1185"/>
      <c r="F2169" s="1185"/>
      <c r="G2169" s="1186"/>
      <c r="H2169" s="1186"/>
      <c r="I2169" s="195"/>
      <c r="J2169" s="195"/>
      <c r="K2169" s="195"/>
      <c r="L2169" s="195"/>
      <c r="M2169" s="1185"/>
    </row>
    <row r="2170">
      <c r="A2170" s="1185"/>
      <c r="B2170" s="1185"/>
      <c r="C2170" s="1185"/>
      <c r="D2170" s="1185"/>
      <c r="E2170" s="1185"/>
      <c r="F2170" s="1185"/>
      <c r="G2170" s="1186"/>
      <c r="H2170" s="1186"/>
      <c r="I2170" s="195"/>
      <c r="J2170" s="195"/>
      <c r="K2170" s="195"/>
      <c r="L2170" s="195"/>
      <c r="M2170" s="1185"/>
    </row>
    <row r="2171">
      <c r="A2171" s="1185"/>
      <c r="B2171" s="1185"/>
      <c r="C2171" s="1185"/>
      <c r="D2171" s="1185"/>
      <c r="E2171" s="1185"/>
      <c r="F2171" s="1185"/>
      <c r="G2171" s="1186"/>
      <c r="H2171" s="1186"/>
      <c r="I2171" s="195"/>
      <c r="J2171" s="195"/>
      <c r="K2171" s="195"/>
      <c r="L2171" s="195"/>
      <c r="M2171" s="1185"/>
    </row>
    <row r="2172">
      <c r="A2172" s="1185"/>
      <c r="B2172" s="1185"/>
      <c r="C2172" s="1185"/>
      <c r="D2172" s="1185"/>
      <c r="E2172" s="1185"/>
      <c r="F2172" s="1185"/>
      <c r="G2172" s="1186"/>
      <c r="H2172" s="1186"/>
      <c r="I2172" s="195"/>
      <c r="J2172" s="195"/>
      <c r="K2172" s="195"/>
      <c r="L2172" s="195"/>
      <c r="M2172" s="1185"/>
    </row>
    <row r="2173">
      <c r="A2173" s="1185"/>
      <c r="B2173" s="1185"/>
      <c r="C2173" s="1185"/>
      <c r="D2173" s="1185"/>
      <c r="E2173" s="1185"/>
      <c r="F2173" s="1185"/>
      <c r="G2173" s="1186"/>
      <c r="H2173" s="1186"/>
      <c r="I2173" s="195"/>
      <c r="J2173" s="195"/>
      <c r="K2173" s="195"/>
      <c r="L2173" s="195"/>
      <c r="M2173" s="1185"/>
    </row>
    <row r="2174">
      <c r="A2174" s="1185"/>
      <c r="B2174" s="1185"/>
      <c r="C2174" s="1185"/>
      <c r="D2174" s="1185"/>
      <c r="E2174" s="1185"/>
      <c r="F2174" s="1185"/>
      <c r="G2174" s="1186"/>
      <c r="H2174" s="1186"/>
      <c r="I2174" s="195"/>
      <c r="J2174" s="195"/>
      <c r="K2174" s="195"/>
      <c r="L2174" s="195"/>
      <c r="M2174" s="1185"/>
    </row>
    <row r="2175">
      <c r="A2175" s="1185"/>
      <c r="B2175" s="1185"/>
      <c r="C2175" s="1185"/>
      <c r="D2175" s="1185"/>
      <c r="E2175" s="1185"/>
      <c r="F2175" s="1185"/>
      <c r="G2175" s="1186"/>
      <c r="H2175" s="1186"/>
      <c r="I2175" s="195"/>
      <c r="J2175" s="195"/>
      <c r="K2175" s="195"/>
      <c r="L2175" s="195"/>
      <c r="M2175" s="1185"/>
    </row>
    <row r="2176">
      <c r="A2176" s="1185"/>
      <c r="B2176" s="1185"/>
      <c r="C2176" s="1185"/>
      <c r="D2176" s="1185"/>
      <c r="E2176" s="1185"/>
      <c r="F2176" s="1185"/>
      <c r="G2176" s="1186"/>
      <c r="H2176" s="1186"/>
      <c r="I2176" s="195"/>
      <c r="J2176" s="195"/>
      <c r="K2176" s="195"/>
      <c r="L2176" s="195"/>
      <c r="M2176" s="1185"/>
    </row>
    <row r="2177">
      <c r="A2177" s="1185"/>
      <c r="B2177" s="1185"/>
      <c r="C2177" s="1185"/>
      <c r="D2177" s="1185"/>
      <c r="E2177" s="1185"/>
      <c r="F2177" s="1185"/>
      <c r="G2177" s="1186"/>
      <c r="H2177" s="1186"/>
      <c r="I2177" s="195"/>
      <c r="J2177" s="195"/>
      <c r="K2177" s="195"/>
      <c r="L2177" s="195"/>
      <c r="M2177" s="1185"/>
    </row>
    <row r="2178">
      <c r="A2178" s="1185"/>
      <c r="B2178" s="1185"/>
      <c r="C2178" s="1185"/>
      <c r="D2178" s="1185"/>
      <c r="E2178" s="1185"/>
      <c r="F2178" s="1185"/>
      <c r="G2178" s="1186"/>
      <c r="H2178" s="1186"/>
      <c r="I2178" s="195"/>
      <c r="J2178" s="195"/>
      <c r="K2178" s="195"/>
      <c r="L2178" s="195"/>
      <c r="M2178" s="1185"/>
    </row>
    <row r="2179">
      <c r="A2179" s="1185"/>
      <c r="B2179" s="1185"/>
      <c r="C2179" s="1185"/>
      <c r="D2179" s="1185"/>
      <c r="E2179" s="1185"/>
      <c r="F2179" s="1185"/>
      <c r="G2179" s="1186"/>
      <c r="H2179" s="1186"/>
      <c r="I2179" s="195"/>
      <c r="J2179" s="195"/>
      <c r="K2179" s="195"/>
      <c r="L2179" s="195"/>
      <c r="M2179" s="1185"/>
    </row>
    <row r="2180">
      <c r="A2180" s="1185"/>
      <c r="B2180" s="1185"/>
      <c r="C2180" s="1185"/>
      <c r="D2180" s="1185"/>
      <c r="E2180" s="1185"/>
      <c r="F2180" s="1185"/>
      <c r="G2180" s="1186"/>
      <c r="H2180" s="1186"/>
      <c r="I2180" s="195"/>
      <c r="J2180" s="195"/>
      <c r="K2180" s="195"/>
      <c r="L2180" s="195"/>
      <c r="M2180" s="1185"/>
    </row>
    <row r="2181">
      <c r="A2181" s="1185"/>
      <c r="B2181" s="1185"/>
      <c r="C2181" s="1185"/>
      <c r="D2181" s="1185"/>
      <c r="E2181" s="1185"/>
      <c r="F2181" s="1185"/>
      <c r="G2181" s="1186"/>
      <c r="H2181" s="1186"/>
      <c r="I2181" s="195"/>
      <c r="J2181" s="195"/>
      <c r="K2181" s="195"/>
      <c r="L2181" s="195"/>
      <c r="M2181" s="1185"/>
    </row>
    <row r="2182">
      <c r="A2182" s="1185"/>
      <c r="B2182" s="1185"/>
      <c r="C2182" s="1185"/>
      <c r="D2182" s="1185"/>
      <c r="E2182" s="1185"/>
      <c r="F2182" s="1185"/>
      <c r="G2182" s="1186"/>
      <c r="H2182" s="1186"/>
      <c r="I2182" s="195"/>
      <c r="J2182" s="195"/>
      <c r="K2182" s="195"/>
      <c r="L2182" s="195"/>
      <c r="M2182" s="1185"/>
    </row>
    <row r="2183">
      <c r="A2183" s="1185"/>
      <c r="B2183" s="1185"/>
      <c r="C2183" s="1185"/>
      <c r="D2183" s="1185"/>
      <c r="E2183" s="1185"/>
      <c r="F2183" s="1185"/>
      <c r="G2183" s="1186"/>
      <c r="H2183" s="1186"/>
      <c r="I2183" s="195"/>
      <c r="J2183" s="195"/>
      <c r="K2183" s="195"/>
      <c r="L2183" s="195"/>
      <c r="M2183" s="1185"/>
    </row>
    <row r="2184">
      <c r="A2184" s="1185"/>
      <c r="B2184" s="1185"/>
      <c r="C2184" s="1185"/>
      <c r="D2184" s="1185"/>
      <c r="E2184" s="1185"/>
      <c r="F2184" s="1185"/>
      <c r="G2184" s="1186"/>
      <c r="H2184" s="1186"/>
      <c r="I2184" s="195"/>
      <c r="J2184" s="195"/>
      <c r="K2184" s="195"/>
      <c r="L2184" s="195"/>
      <c r="M2184" s="1185"/>
    </row>
    <row r="2185">
      <c r="A2185" s="1185"/>
      <c r="B2185" s="1185"/>
      <c r="C2185" s="1185"/>
      <c r="D2185" s="1185"/>
      <c r="E2185" s="1185"/>
      <c r="F2185" s="1185"/>
      <c r="G2185" s="1186"/>
      <c r="H2185" s="1186"/>
      <c r="I2185" s="195"/>
      <c r="J2185" s="195"/>
      <c r="K2185" s="195"/>
      <c r="L2185" s="195"/>
      <c r="M2185" s="1185"/>
    </row>
    <row r="2186">
      <c r="A2186" s="1185"/>
      <c r="B2186" s="1185"/>
      <c r="C2186" s="1185"/>
      <c r="D2186" s="1185"/>
      <c r="E2186" s="1185"/>
      <c r="F2186" s="1185"/>
      <c r="G2186" s="1186"/>
      <c r="H2186" s="1186"/>
      <c r="I2186" s="195"/>
      <c r="J2186" s="195"/>
      <c r="K2186" s="195"/>
      <c r="L2186" s="195"/>
      <c r="M2186" s="1185"/>
    </row>
    <row r="2187">
      <c r="A2187" s="1185"/>
      <c r="B2187" s="1185"/>
      <c r="C2187" s="1185"/>
      <c r="D2187" s="1185"/>
      <c r="E2187" s="1185"/>
      <c r="F2187" s="1185"/>
      <c r="G2187" s="1186"/>
      <c r="H2187" s="1186"/>
      <c r="I2187" s="195"/>
      <c r="J2187" s="195"/>
      <c r="K2187" s="195"/>
      <c r="L2187" s="195"/>
      <c r="M2187" s="1185"/>
    </row>
    <row r="2188">
      <c r="A2188" s="1185"/>
      <c r="B2188" s="1185"/>
      <c r="C2188" s="1185"/>
      <c r="D2188" s="1185"/>
      <c r="E2188" s="1185"/>
      <c r="F2188" s="1185"/>
      <c r="G2188" s="1186"/>
      <c r="H2188" s="1186"/>
      <c r="I2188" s="195"/>
      <c r="J2188" s="195"/>
      <c r="K2188" s="195"/>
      <c r="L2188" s="195"/>
      <c r="M2188" s="1185"/>
    </row>
    <row r="2189">
      <c r="A2189" s="1185"/>
      <c r="B2189" s="1185"/>
      <c r="C2189" s="1185"/>
      <c r="D2189" s="1185"/>
      <c r="E2189" s="1185"/>
      <c r="F2189" s="1185"/>
      <c r="G2189" s="1186"/>
      <c r="H2189" s="1186"/>
      <c r="I2189" s="195"/>
      <c r="J2189" s="195"/>
      <c r="K2189" s="195"/>
      <c r="L2189" s="195"/>
      <c r="M2189" s="1185"/>
    </row>
    <row r="2190">
      <c r="A2190" s="1185"/>
      <c r="B2190" s="1185"/>
      <c r="C2190" s="1185"/>
      <c r="D2190" s="1185"/>
      <c r="E2190" s="1185"/>
      <c r="F2190" s="1185"/>
      <c r="G2190" s="1186"/>
      <c r="H2190" s="1186"/>
      <c r="I2190" s="195"/>
      <c r="J2190" s="195"/>
      <c r="K2190" s="195"/>
      <c r="L2190" s="195"/>
      <c r="M2190" s="1185"/>
    </row>
    <row r="2191">
      <c r="A2191" s="1185"/>
      <c r="B2191" s="1185"/>
      <c r="C2191" s="1185"/>
      <c r="D2191" s="1185"/>
      <c r="E2191" s="1185"/>
      <c r="F2191" s="1185"/>
      <c r="G2191" s="1186"/>
      <c r="H2191" s="1186"/>
      <c r="I2191" s="195"/>
      <c r="J2191" s="195"/>
      <c r="K2191" s="195"/>
      <c r="L2191" s="195"/>
      <c r="M2191" s="1185"/>
    </row>
    <row r="2192">
      <c r="A2192" s="1185"/>
      <c r="B2192" s="1185"/>
      <c r="C2192" s="1185"/>
      <c r="D2192" s="1185"/>
      <c r="E2192" s="1185"/>
      <c r="F2192" s="1185"/>
      <c r="G2192" s="1186"/>
      <c r="H2192" s="1186"/>
      <c r="I2192" s="195"/>
      <c r="J2192" s="195"/>
      <c r="K2192" s="195"/>
      <c r="L2192" s="195"/>
      <c r="M2192" s="1185"/>
    </row>
    <row r="2193">
      <c r="A2193" s="1185"/>
      <c r="B2193" s="1185"/>
      <c r="C2193" s="1185"/>
      <c r="D2193" s="1185"/>
      <c r="E2193" s="1185"/>
      <c r="F2193" s="1185"/>
      <c r="G2193" s="1186"/>
      <c r="H2193" s="1186"/>
      <c r="I2193" s="195"/>
      <c r="J2193" s="195"/>
      <c r="K2193" s="195"/>
      <c r="L2193" s="195"/>
      <c r="M2193" s="1185"/>
    </row>
    <row r="2194">
      <c r="A2194" s="1185"/>
      <c r="B2194" s="1185"/>
      <c r="C2194" s="1185"/>
      <c r="D2194" s="1185"/>
      <c r="E2194" s="1185"/>
      <c r="F2194" s="1185"/>
      <c r="G2194" s="1186"/>
      <c r="H2194" s="1186"/>
      <c r="I2194" s="195"/>
      <c r="J2194" s="195"/>
      <c r="K2194" s="195"/>
      <c r="L2194" s="195"/>
      <c r="M2194" s="1185"/>
    </row>
    <row r="2195">
      <c r="A2195" s="1185"/>
      <c r="B2195" s="1185"/>
      <c r="C2195" s="1185"/>
      <c r="D2195" s="1185"/>
      <c r="E2195" s="1185"/>
      <c r="F2195" s="1185"/>
      <c r="G2195" s="1186"/>
      <c r="H2195" s="1186"/>
      <c r="I2195" s="195"/>
      <c r="J2195" s="195"/>
      <c r="K2195" s="195"/>
      <c r="L2195" s="195"/>
      <c r="M2195" s="1185"/>
    </row>
    <row r="2196">
      <c r="A2196" s="1185"/>
      <c r="B2196" s="1185"/>
      <c r="C2196" s="1185"/>
      <c r="D2196" s="1185"/>
      <c r="E2196" s="1185"/>
      <c r="F2196" s="1185"/>
      <c r="G2196" s="1186"/>
      <c r="H2196" s="1186"/>
      <c r="I2196" s="195"/>
      <c r="J2196" s="195"/>
      <c r="K2196" s="195"/>
      <c r="L2196" s="195"/>
      <c r="M2196" s="1185"/>
    </row>
    <row r="2197">
      <c r="A2197" s="1185"/>
      <c r="B2197" s="1185"/>
      <c r="C2197" s="1185"/>
      <c r="D2197" s="1185"/>
      <c r="E2197" s="1185"/>
      <c r="F2197" s="1185"/>
      <c r="G2197" s="1186"/>
      <c r="H2197" s="1186"/>
      <c r="I2197" s="195"/>
      <c r="J2197" s="195"/>
      <c r="K2197" s="195"/>
      <c r="L2197" s="195"/>
      <c r="M2197" s="1185"/>
    </row>
    <row r="2198">
      <c r="A2198" s="1185"/>
      <c r="B2198" s="1185"/>
      <c r="C2198" s="1185"/>
      <c r="D2198" s="1185"/>
      <c r="E2198" s="1185"/>
      <c r="F2198" s="1185"/>
      <c r="G2198" s="1186"/>
      <c r="H2198" s="1186"/>
      <c r="I2198" s="195"/>
      <c r="J2198" s="195"/>
      <c r="K2198" s="195"/>
      <c r="L2198" s="195"/>
      <c r="M2198" s="1185"/>
    </row>
  </sheetData>
  <customSheetViews>
    <customSheetView guid="{1753BDEE-823E-41E5-AD58-CC32D694BC12}" filter="1" showAutoFilter="1">
      <autoFilter ref="$A$1:$M$2198"/>
    </customSheetView>
  </customSheetViews>
  <mergeCells count="117">
    <mergeCell ref="G6:G7"/>
    <mergeCell ref="H6:H7"/>
    <mergeCell ref="I6:I7"/>
    <mergeCell ref="J6:J7"/>
    <mergeCell ref="K6:L7"/>
    <mergeCell ref="M6:M7"/>
    <mergeCell ref="A1:M1"/>
    <mergeCell ref="A4:M4"/>
    <mergeCell ref="A5:M5"/>
    <mergeCell ref="A6:A7"/>
    <mergeCell ref="B6:B7"/>
    <mergeCell ref="C6:C7"/>
    <mergeCell ref="D6:D7"/>
    <mergeCell ref="E12:E13"/>
    <mergeCell ref="F12:F13"/>
    <mergeCell ref="A19:M19"/>
    <mergeCell ref="A26:M26"/>
    <mergeCell ref="E6:E7"/>
    <mergeCell ref="F6:F7"/>
    <mergeCell ref="A8:A13"/>
    <mergeCell ref="B9:B11"/>
    <mergeCell ref="C9:C11"/>
    <mergeCell ref="E9:E11"/>
    <mergeCell ref="F9:F11"/>
    <mergeCell ref="B12:B13"/>
    <mergeCell ref="C12:C13"/>
    <mergeCell ref="A20:A23"/>
    <mergeCell ref="B21:B23"/>
    <mergeCell ref="C21:C23"/>
    <mergeCell ref="E21:E23"/>
    <mergeCell ref="F21:F23"/>
    <mergeCell ref="A73:A75"/>
    <mergeCell ref="B73:C75"/>
    <mergeCell ref="A76:M76"/>
    <mergeCell ref="A78:M78"/>
    <mergeCell ref="A79:A80"/>
    <mergeCell ref="B79:B80"/>
    <mergeCell ref="C79:C80"/>
    <mergeCell ref="A85:M85"/>
    <mergeCell ref="E79:E80"/>
    <mergeCell ref="F79:F80"/>
    <mergeCell ref="B86:B108"/>
    <mergeCell ref="C86:C108"/>
    <mergeCell ref="E86:E108"/>
    <mergeCell ref="F86:F108"/>
    <mergeCell ref="A109:M109"/>
    <mergeCell ref="E110:E111"/>
    <mergeCell ref="E134:E135"/>
    <mergeCell ref="E136:E138"/>
    <mergeCell ref="F136:F138"/>
    <mergeCell ref="F134:F135"/>
    <mergeCell ref="L136:L138"/>
    <mergeCell ref="M136:M138"/>
    <mergeCell ref="A152:M152"/>
    <mergeCell ref="D153:L153"/>
    <mergeCell ref="A154:A156"/>
    <mergeCell ref="A163:M163"/>
    <mergeCell ref="B110:B111"/>
    <mergeCell ref="C110:C111"/>
    <mergeCell ref="F110:F111"/>
    <mergeCell ref="A112:M112"/>
    <mergeCell ref="A126:M126"/>
    <mergeCell ref="A132:M132"/>
    <mergeCell ref="A133:M133"/>
    <mergeCell ref="A164:A167"/>
    <mergeCell ref="B164:B167"/>
    <mergeCell ref="C164:C167"/>
    <mergeCell ref="A168:A172"/>
    <mergeCell ref="A173:A175"/>
    <mergeCell ref="A176:A181"/>
    <mergeCell ref="B176:C181"/>
    <mergeCell ref="A86:A108"/>
    <mergeCell ref="A110:A111"/>
    <mergeCell ref="A134:A138"/>
    <mergeCell ref="B134:B138"/>
    <mergeCell ref="C134:C138"/>
    <mergeCell ref="A157:A162"/>
    <mergeCell ref="B157:C162"/>
    <mergeCell ref="F45:F46"/>
    <mergeCell ref="A47:M47"/>
    <mergeCell ref="E27:E31"/>
    <mergeCell ref="F27:F31"/>
    <mergeCell ref="M27:M32"/>
    <mergeCell ref="D32:L32"/>
    <mergeCell ref="A43:M43"/>
    <mergeCell ref="A45:A46"/>
    <mergeCell ref="B45:B46"/>
    <mergeCell ref="C53:C55"/>
    <mergeCell ref="E53:E55"/>
    <mergeCell ref="K53:L55"/>
    <mergeCell ref="M53:M55"/>
    <mergeCell ref="I59:I60"/>
    <mergeCell ref="J59:J60"/>
    <mergeCell ref="K59:L60"/>
    <mergeCell ref="M59:M60"/>
    <mergeCell ref="B59:B60"/>
    <mergeCell ref="C59:C60"/>
    <mergeCell ref="D59:D60"/>
    <mergeCell ref="E59:E60"/>
    <mergeCell ref="F59:F60"/>
    <mergeCell ref="G59:G60"/>
    <mergeCell ref="H59:H60"/>
    <mergeCell ref="A61:M61"/>
    <mergeCell ref="C45:C46"/>
    <mergeCell ref="E45:E46"/>
    <mergeCell ref="A48:A52"/>
    <mergeCell ref="B50:B52"/>
    <mergeCell ref="C50:C52"/>
    <mergeCell ref="A53:A55"/>
    <mergeCell ref="B53:B55"/>
    <mergeCell ref="A63:A66"/>
    <mergeCell ref="B63:B66"/>
    <mergeCell ref="C63:C66"/>
    <mergeCell ref="E63:E66"/>
    <mergeCell ref="F63:F66"/>
    <mergeCell ref="E71:E72"/>
    <mergeCell ref="F71:F72"/>
  </mergeCells>
  <hyperlinks>
    <hyperlink r:id="rId1" ref="M6"/>
    <hyperlink r:id="rId2" ref="M53"/>
    <hyperlink r:id="rId3" ref="M62"/>
    <hyperlink r:id="rId4" ref="M77"/>
    <hyperlink r:id="rId5" ref="M136"/>
    <hyperlink r:id="rId6" ref="M153"/>
  </hyperlinks>
  <printOptions gridLines="1" horizontalCentered="1"/>
  <pageMargins bottom="0.75" footer="0.0" header="0.0" left="0.7" right="0.7" top="0.75"/>
  <pageSetup fitToHeight="0" paperSize="9" cellComments="atEnd" orientation="landscape" pageOrder="overThenDown"/>
  <drawing r:id="rId7"/>
  <tableParts count="2">
    <tablePart r:id="rId10"/>
    <tablePart r:id="rId11"/>
  </tableParts>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fitToPage="1"/>
  </sheetPr>
  <sheetViews>
    <sheetView workbookViewId="0"/>
  </sheetViews>
  <sheetFormatPr customHeight="1" defaultColWidth="12.63" defaultRowHeight="15.75"/>
  <cols>
    <col customWidth="1" min="3" max="3" width="32.63"/>
    <col customWidth="1" min="4" max="4" width="37.88"/>
    <col customWidth="1" min="5" max="5" width="52.25"/>
    <col customWidth="1" min="6" max="6" width="39.0"/>
    <col customWidth="1" min="7" max="7" width="17.63"/>
    <col customWidth="1" min="8" max="9" width="15.75"/>
    <col customWidth="1" min="10" max="10" width="23.0"/>
    <col customWidth="1" min="12" max="15" width="19.13"/>
  </cols>
  <sheetData>
    <row r="1" ht="33.0" customHeight="1">
      <c r="A1" s="1187"/>
      <c r="B1" s="1187"/>
      <c r="C1" s="1188"/>
      <c r="D1" s="1187"/>
      <c r="E1" s="1187"/>
      <c r="F1" s="1189"/>
      <c r="G1" s="1189"/>
      <c r="H1" s="1190"/>
      <c r="I1" s="1190"/>
      <c r="J1" s="1190"/>
      <c r="K1" s="407"/>
      <c r="L1" s="1191"/>
      <c r="M1" s="1191"/>
      <c r="N1" s="1191"/>
      <c r="O1" s="1191"/>
    </row>
    <row r="2" ht="33.0" customHeight="1">
      <c r="A2" s="846" t="s">
        <v>0</v>
      </c>
      <c r="B2" s="846" t="s">
        <v>1</v>
      </c>
      <c r="C2" s="847" t="s">
        <v>472</v>
      </c>
      <c r="D2" s="846" t="s">
        <v>2502</v>
      </c>
      <c r="E2" s="846" t="s">
        <v>409</v>
      </c>
      <c r="F2" s="1192" t="s">
        <v>410</v>
      </c>
      <c r="G2" s="1192" t="s">
        <v>411</v>
      </c>
      <c r="H2" s="1193" t="s">
        <v>161</v>
      </c>
      <c r="I2" s="1193"/>
      <c r="J2" s="1193" t="s">
        <v>2503</v>
      </c>
      <c r="K2" s="1194"/>
      <c r="L2" s="246"/>
      <c r="M2" s="246"/>
      <c r="N2" s="246"/>
      <c r="O2" s="246"/>
    </row>
    <row r="3" ht="21.75" customHeight="1">
      <c r="A3" s="392" t="s">
        <v>2504</v>
      </c>
      <c r="B3" s="56"/>
      <c r="C3" s="56"/>
      <c r="D3" s="56"/>
      <c r="E3" s="56"/>
      <c r="F3" s="56"/>
      <c r="G3" s="56"/>
      <c r="H3" s="56"/>
      <c r="I3" s="56"/>
      <c r="J3" s="57"/>
      <c r="K3" s="333"/>
      <c r="L3" s="333"/>
      <c r="M3" s="333"/>
      <c r="N3" s="333"/>
      <c r="O3" s="333"/>
    </row>
    <row r="4">
      <c r="A4" s="334" t="s">
        <v>2505</v>
      </c>
      <c r="B4" s="56"/>
      <c r="C4" s="56"/>
      <c r="D4" s="56"/>
      <c r="E4" s="56"/>
      <c r="F4" s="56"/>
      <c r="G4" s="56"/>
      <c r="H4" s="56"/>
      <c r="I4" s="56"/>
      <c r="J4" s="57"/>
      <c r="K4" s="333"/>
      <c r="L4" s="333"/>
      <c r="M4" s="333"/>
      <c r="N4" s="333"/>
      <c r="O4" s="333"/>
    </row>
    <row r="5" ht="33.0" customHeight="1">
      <c r="A5" s="1195" t="s">
        <v>2505</v>
      </c>
      <c r="B5" s="1196">
        <v>1210143.0</v>
      </c>
      <c r="C5" s="1196" t="s">
        <v>2506</v>
      </c>
      <c r="D5" s="1197">
        <v>1203238.0</v>
      </c>
      <c r="E5" s="1196" t="s">
        <v>2507</v>
      </c>
      <c r="F5" s="1198">
        <v>45931.0</v>
      </c>
      <c r="G5" s="1198">
        <v>45960.0</v>
      </c>
      <c r="H5" s="1199" t="s">
        <v>161</v>
      </c>
      <c r="I5" s="1200"/>
      <c r="J5" s="1201"/>
      <c r="K5" s="333"/>
      <c r="L5" s="333"/>
      <c r="M5" s="333"/>
      <c r="N5" s="333"/>
      <c r="O5" s="333"/>
    </row>
    <row r="6" ht="33.0" customHeight="1">
      <c r="A6" s="1187"/>
      <c r="B6" s="1187"/>
      <c r="C6" s="1188"/>
      <c r="D6" s="1202"/>
      <c r="E6" s="1187"/>
      <c r="F6" s="1189"/>
      <c r="G6" s="1189"/>
      <c r="H6" s="1190"/>
      <c r="I6" s="1190"/>
      <c r="J6" s="1190"/>
      <c r="K6" s="407"/>
      <c r="L6" s="1191"/>
      <c r="M6" s="1191"/>
      <c r="N6" s="1191"/>
      <c r="O6" s="1191"/>
    </row>
    <row r="7" ht="33.0" customHeight="1">
      <c r="A7" s="846" t="s">
        <v>0</v>
      </c>
      <c r="B7" s="846" t="s">
        <v>1</v>
      </c>
      <c r="C7" s="847" t="s">
        <v>472</v>
      </c>
      <c r="D7" s="846" t="s">
        <v>367</v>
      </c>
      <c r="E7" s="846" t="s">
        <v>409</v>
      </c>
      <c r="F7" s="1192" t="s">
        <v>410</v>
      </c>
      <c r="G7" s="1192" t="s">
        <v>411</v>
      </c>
      <c r="H7" s="1193" t="s">
        <v>161</v>
      </c>
      <c r="I7" s="1193"/>
      <c r="J7" s="1193" t="s">
        <v>2503</v>
      </c>
      <c r="K7" s="1194"/>
      <c r="L7" s="246"/>
      <c r="M7" s="246"/>
      <c r="N7" s="246"/>
      <c r="O7" s="246"/>
    </row>
    <row r="8" ht="21.75" customHeight="1">
      <c r="A8" s="392" t="s">
        <v>2508</v>
      </c>
      <c r="B8" s="56"/>
      <c r="C8" s="56"/>
      <c r="D8" s="56"/>
      <c r="E8" s="56"/>
      <c r="F8" s="56"/>
      <c r="G8" s="56"/>
      <c r="H8" s="56"/>
      <c r="I8" s="56"/>
      <c r="J8" s="57"/>
      <c r="K8" s="333"/>
      <c r="L8" s="333"/>
      <c r="M8" s="333"/>
      <c r="N8" s="333"/>
      <c r="O8" s="333"/>
    </row>
    <row r="9">
      <c r="A9" s="334" t="s">
        <v>2509</v>
      </c>
      <c r="B9" s="56"/>
      <c r="C9" s="56"/>
      <c r="D9" s="56"/>
      <c r="E9" s="56"/>
      <c r="F9" s="56"/>
      <c r="G9" s="56"/>
      <c r="H9" s="56"/>
      <c r="I9" s="56"/>
      <c r="J9" s="57"/>
      <c r="K9" s="333"/>
      <c r="L9" s="333"/>
      <c r="M9" s="333"/>
      <c r="N9" s="333"/>
      <c r="O9" s="333"/>
    </row>
    <row r="10" ht="33.0" customHeight="1">
      <c r="A10" s="1203" t="s">
        <v>2510</v>
      </c>
      <c r="B10" s="1204">
        <v>1218691.0</v>
      </c>
      <c r="C10" s="1204" t="s">
        <v>2511</v>
      </c>
      <c r="D10" s="1205" t="s">
        <v>130</v>
      </c>
      <c r="E10" s="1204" t="s">
        <v>2512</v>
      </c>
      <c r="F10" s="1206">
        <v>45918.0</v>
      </c>
      <c r="G10" s="1206">
        <v>45963.0</v>
      </c>
      <c r="H10" s="1207" t="s">
        <v>130</v>
      </c>
      <c r="I10" s="1208"/>
      <c r="J10" s="1209"/>
      <c r="K10" s="333"/>
      <c r="L10" s="333"/>
      <c r="M10" s="333"/>
      <c r="N10" s="333"/>
      <c r="O10" s="333"/>
    </row>
    <row r="11" ht="33.0" customHeight="1">
      <c r="A11" s="1210"/>
      <c r="B11" s="1211"/>
      <c r="C11" s="1211"/>
      <c r="D11" s="1212"/>
      <c r="E11" s="1211"/>
      <c r="F11" s="1213"/>
      <c r="G11" s="1213"/>
      <c r="H11" s="1214"/>
      <c r="I11" s="1215"/>
      <c r="J11" s="1216"/>
      <c r="K11" s="407"/>
      <c r="L11" s="407"/>
      <c r="M11" s="407"/>
      <c r="N11" s="407"/>
      <c r="O11" s="407"/>
    </row>
    <row r="12" ht="33.0" customHeight="1">
      <c r="A12" s="846" t="s">
        <v>0</v>
      </c>
      <c r="B12" s="846" t="s">
        <v>1</v>
      </c>
      <c r="C12" s="847" t="s">
        <v>472</v>
      </c>
      <c r="D12" s="846" t="s">
        <v>367</v>
      </c>
      <c r="E12" s="846" t="s">
        <v>409</v>
      </c>
      <c r="F12" s="1192" t="s">
        <v>410</v>
      </c>
      <c r="G12" s="1192" t="s">
        <v>411</v>
      </c>
      <c r="H12" s="1193" t="s">
        <v>161</v>
      </c>
      <c r="I12" s="1193"/>
      <c r="J12" s="1193" t="s">
        <v>2503</v>
      </c>
      <c r="K12" s="1194"/>
      <c r="L12" s="246"/>
      <c r="M12" s="246"/>
      <c r="N12" s="246"/>
      <c r="O12" s="246"/>
    </row>
    <row r="13" ht="21.75" customHeight="1">
      <c r="A13" s="392" t="s">
        <v>2513</v>
      </c>
      <c r="B13" s="56"/>
      <c r="C13" s="56"/>
      <c r="D13" s="56"/>
      <c r="E13" s="56"/>
      <c r="F13" s="56"/>
      <c r="G13" s="56"/>
      <c r="H13" s="56"/>
      <c r="I13" s="56"/>
      <c r="J13" s="57"/>
      <c r="K13" s="333"/>
      <c r="L13" s="333"/>
      <c r="M13" s="333"/>
      <c r="N13" s="333"/>
      <c r="O13" s="333"/>
    </row>
    <row r="14">
      <c r="A14" s="334" t="s">
        <v>2509</v>
      </c>
      <c r="B14" s="56"/>
      <c r="C14" s="56"/>
      <c r="D14" s="56"/>
      <c r="E14" s="56"/>
      <c r="F14" s="56"/>
      <c r="G14" s="56"/>
      <c r="H14" s="56"/>
      <c r="I14" s="56"/>
      <c r="J14" s="57"/>
      <c r="K14" s="333"/>
      <c r="L14" s="333"/>
      <c r="M14" s="333"/>
      <c r="N14" s="333"/>
      <c r="O14" s="333"/>
    </row>
    <row r="15" ht="33.0" customHeight="1">
      <c r="A15" s="1203" t="s">
        <v>2510</v>
      </c>
      <c r="B15" s="482">
        <v>1228343.0</v>
      </c>
      <c r="C15" s="482" t="s">
        <v>2514</v>
      </c>
      <c r="D15" s="124" t="s">
        <v>2515</v>
      </c>
      <c r="E15" s="482" t="s">
        <v>2516</v>
      </c>
      <c r="F15" s="473">
        <v>45919.0</v>
      </c>
      <c r="G15" s="473">
        <v>45919.0</v>
      </c>
      <c r="H15" s="1217"/>
      <c r="I15" s="1218"/>
      <c r="J15" s="1219"/>
      <c r="K15" s="1220"/>
      <c r="L15" s="1220"/>
      <c r="M15" s="1220"/>
      <c r="N15" s="1220"/>
      <c r="O15" s="1220"/>
    </row>
    <row r="16" ht="33.0" customHeight="1">
      <c r="A16" s="1210"/>
      <c r="B16" s="1211"/>
      <c r="C16" s="1211"/>
      <c r="D16" s="1212"/>
      <c r="E16" s="1211"/>
      <c r="F16" s="1213"/>
      <c r="G16" s="1213"/>
      <c r="H16" s="1214"/>
      <c r="I16" s="1215"/>
      <c r="J16" s="1216"/>
      <c r="K16" s="407"/>
      <c r="L16" s="407"/>
      <c r="M16" s="407"/>
      <c r="N16" s="407"/>
      <c r="O16" s="407"/>
    </row>
    <row r="17" ht="33.0" customHeight="1">
      <c r="A17" s="48" t="s">
        <v>0</v>
      </c>
      <c r="B17" s="48" t="s">
        <v>1</v>
      </c>
      <c r="C17" s="48" t="s">
        <v>2517</v>
      </c>
      <c r="D17" s="48" t="s">
        <v>367</v>
      </c>
      <c r="E17" s="48" t="s">
        <v>409</v>
      </c>
      <c r="F17" s="50" t="s">
        <v>410</v>
      </c>
      <c r="G17" s="50" t="s">
        <v>411</v>
      </c>
      <c r="H17" s="51"/>
      <c r="I17" s="51"/>
      <c r="J17" s="51"/>
      <c r="K17" s="1221"/>
      <c r="L17" s="391"/>
      <c r="M17" s="391"/>
      <c r="N17" s="391"/>
      <c r="O17" s="391"/>
    </row>
    <row r="18" ht="21.75" customHeight="1">
      <c r="A18" s="392" t="s">
        <v>2518</v>
      </c>
      <c r="B18" s="56"/>
      <c r="C18" s="56"/>
      <c r="D18" s="56"/>
      <c r="E18" s="56"/>
      <c r="F18" s="56"/>
      <c r="G18" s="56"/>
      <c r="H18" s="56"/>
      <c r="I18" s="56"/>
      <c r="J18" s="57"/>
      <c r="K18" s="1222"/>
      <c r="L18" s="333"/>
      <c r="M18" s="333"/>
      <c r="N18" s="333"/>
      <c r="O18" s="333"/>
    </row>
    <row r="19" ht="15.75" customHeight="1">
      <c r="A19" s="334" t="s">
        <v>2519</v>
      </c>
      <c r="B19" s="80"/>
      <c r="C19" s="80"/>
      <c r="D19" s="80"/>
      <c r="E19" s="80"/>
      <c r="F19" s="80"/>
      <c r="G19" s="80"/>
      <c r="H19" s="80"/>
      <c r="I19" s="80"/>
      <c r="J19" s="81"/>
      <c r="K19" s="333"/>
      <c r="L19" s="333"/>
      <c r="M19" s="333"/>
      <c r="N19" s="333"/>
      <c r="O19" s="333"/>
    </row>
    <row r="20" ht="33.0" customHeight="1">
      <c r="A20" s="1223" t="s">
        <v>2519</v>
      </c>
      <c r="B20" s="1224">
        <v>1209184.0</v>
      </c>
      <c r="C20" s="1225">
        <v>1203969.0</v>
      </c>
      <c r="D20" s="1226" t="s">
        <v>2520</v>
      </c>
      <c r="E20" s="1226" t="s">
        <v>2521</v>
      </c>
      <c r="F20" s="1227">
        <v>45931.0</v>
      </c>
      <c r="G20" s="1227">
        <v>45960.0</v>
      </c>
      <c r="H20" s="1228"/>
      <c r="I20" s="1229"/>
      <c r="J20" s="1230"/>
      <c r="K20" s="1194"/>
      <c r="L20" s="1194"/>
      <c r="M20" s="1194"/>
      <c r="N20" s="1194"/>
      <c r="O20" s="1194"/>
    </row>
    <row r="21" ht="33.0" customHeight="1">
      <c r="A21" s="1231" t="s">
        <v>2519</v>
      </c>
      <c r="B21" s="1204">
        <v>1209185.0</v>
      </c>
      <c r="C21" s="79"/>
      <c r="D21" s="1232" t="s">
        <v>2520</v>
      </c>
      <c r="E21" s="1232" t="s">
        <v>2522</v>
      </c>
      <c r="F21" s="1206">
        <v>45931.0</v>
      </c>
      <c r="G21" s="1206">
        <v>45960.0</v>
      </c>
      <c r="H21" s="1217"/>
      <c r="I21" s="1208"/>
      <c r="J21" s="1209"/>
      <c r="K21" s="1194"/>
      <c r="L21" s="1194"/>
      <c r="M21" s="1194"/>
      <c r="N21" s="1194"/>
      <c r="O21" s="1194"/>
    </row>
    <row r="22" ht="33.0" customHeight="1">
      <c r="A22" s="1223" t="s">
        <v>2519</v>
      </c>
      <c r="B22" s="1224">
        <v>1220974.0</v>
      </c>
      <c r="C22" s="1225">
        <v>1203592.0</v>
      </c>
      <c r="D22" s="1226" t="s">
        <v>2523</v>
      </c>
      <c r="E22" s="1224" t="s">
        <v>2524</v>
      </c>
      <c r="F22" s="1227">
        <v>45931.0</v>
      </c>
      <c r="G22" s="1227">
        <v>45960.0</v>
      </c>
      <c r="H22" s="1228"/>
      <c r="I22" s="1229"/>
      <c r="J22" s="1230"/>
      <c r="K22" s="1194"/>
      <c r="L22" s="1194"/>
      <c r="M22" s="1194"/>
      <c r="N22" s="1194"/>
      <c r="O22" s="1194"/>
    </row>
    <row r="23" ht="33.0" customHeight="1">
      <c r="A23" s="1231" t="s">
        <v>2519</v>
      </c>
      <c r="B23" s="1204">
        <v>1220975.0</v>
      </c>
      <c r="C23" s="351"/>
      <c r="D23" s="1232" t="s">
        <v>2523</v>
      </c>
      <c r="E23" s="1204" t="s">
        <v>2525</v>
      </c>
      <c r="F23" s="1206">
        <v>45931.0</v>
      </c>
      <c r="G23" s="1206">
        <v>45960.0</v>
      </c>
      <c r="H23" s="1217"/>
      <c r="I23" s="1208"/>
      <c r="J23" s="1209"/>
      <c r="K23" s="1194"/>
      <c r="L23" s="1194"/>
      <c r="M23" s="1194"/>
      <c r="N23" s="1194"/>
      <c r="O23" s="1194"/>
    </row>
    <row r="24" ht="33.0" customHeight="1">
      <c r="A24" s="1223" t="s">
        <v>2519</v>
      </c>
      <c r="B24" s="1224">
        <v>1220976.0</v>
      </c>
      <c r="C24" s="386"/>
      <c r="D24" s="1226" t="s">
        <v>2523</v>
      </c>
      <c r="E24" s="1224" t="s">
        <v>2526</v>
      </c>
      <c r="F24" s="1227">
        <v>45931.0</v>
      </c>
      <c r="G24" s="1227">
        <v>45960.0</v>
      </c>
      <c r="H24" s="1228"/>
      <c r="I24" s="1229"/>
      <c r="J24" s="1230"/>
      <c r="K24" s="1194"/>
      <c r="L24" s="1194"/>
      <c r="M24" s="1194"/>
      <c r="N24" s="1194"/>
      <c r="O24" s="1194"/>
    </row>
    <row r="25" ht="33.0" customHeight="1">
      <c r="A25" s="1210"/>
      <c r="B25" s="1211"/>
      <c r="C25" s="1211"/>
      <c r="D25" s="1212"/>
      <c r="E25" s="1211"/>
      <c r="F25" s="1213"/>
      <c r="G25" s="1213"/>
      <c r="H25" s="1214"/>
      <c r="I25" s="1215"/>
      <c r="J25" s="1216"/>
      <c r="K25" s="407"/>
      <c r="L25" s="407"/>
      <c r="M25" s="407"/>
      <c r="N25" s="407"/>
      <c r="O25" s="407"/>
    </row>
    <row r="26" ht="33.0" customHeight="1">
      <c r="A26" s="846" t="s">
        <v>0</v>
      </c>
      <c r="B26" s="846" t="s">
        <v>1</v>
      </c>
      <c r="C26" s="847" t="s">
        <v>472</v>
      </c>
      <c r="D26" s="846" t="s">
        <v>367</v>
      </c>
      <c r="E26" s="846" t="s">
        <v>409</v>
      </c>
      <c r="F26" s="1192" t="s">
        <v>410</v>
      </c>
      <c r="G26" s="1192" t="s">
        <v>411</v>
      </c>
      <c r="H26" s="1193" t="s">
        <v>161</v>
      </c>
      <c r="I26" s="1193"/>
      <c r="J26" s="1193" t="s">
        <v>2503</v>
      </c>
      <c r="K26" s="1194"/>
      <c r="L26" s="246"/>
      <c r="M26" s="246"/>
      <c r="N26" s="246"/>
      <c r="O26" s="246"/>
    </row>
    <row r="27" ht="21.75" customHeight="1">
      <c r="A27" s="392" t="s">
        <v>2527</v>
      </c>
      <c r="B27" s="56"/>
      <c r="C27" s="56"/>
      <c r="D27" s="56"/>
      <c r="E27" s="56"/>
      <c r="F27" s="56"/>
      <c r="G27" s="56"/>
      <c r="H27" s="56"/>
      <c r="I27" s="56"/>
      <c r="J27" s="57"/>
      <c r="K27" s="333"/>
      <c r="L27" s="333"/>
      <c r="M27" s="333"/>
      <c r="N27" s="333"/>
      <c r="O27" s="333"/>
    </row>
    <row r="28" ht="15.75" customHeight="1">
      <c r="A28" s="334" t="s">
        <v>2528</v>
      </c>
      <c r="B28" s="56"/>
      <c r="C28" s="56"/>
      <c r="D28" s="56"/>
      <c r="E28" s="56"/>
      <c r="F28" s="56"/>
      <c r="G28" s="56"/>
      <c r="H28" s="56"/>
      <c r="I28" s="56"/>
      <c r="J28" s="57"/>
      <c r="K28" s="333"/>
      <c r="L28" s="333"/>
      <c r="M28" s="333"/>
      <c r="N28" s="333"/>
      <c r="O28" s="333"/>
    </row>
    <row r="29" ht="33.0" customHeight="1">
      <c r="A29" s="1231" t="s">
        <v>537</v>
      </c>
      <c r="B29" s="1204">
        <v>1116902.0</v>
      </c>
      <c r="C29" s="1204" t="s">
        <v>2529</v>
      </c>
      <c r="D29" s="1232" t="s">
        <v>2530</v>
      </c>
      <c r="E29" s="1204" t="s">
        <v>2531</v>
      </c>
      <c r="F29" s="1206">
        <v>45901.0</v>
      </c>
      <c r="G29" s="1206">
        <v>45961.0</v>
      </c>
      <c r="H29" s="1233" t="s">
        <v>130</v>
      </c>
      <c r="I29" s="1208"/>
      <c r="J29" s="1209"/>
      <c r="K29" s="333"/>
      <c r="L29" s="333"/>
      <c r="M29" s="333"/>
      <c r="N29" s="333"/>
      <c r="O29" s="333"/>
    </row>
    <row r="30" ht="33.0" customHeight="1">
      <c r="A30" s="1223" t="s">
        <v>537</v>
      </c>
      <c r="B30" s="1224">
        <v>1116904.0</v>
      </c>
      <c r="C30" s="1224" t="s">
        <v>2529</v>
      </c>
      <c r="D30" s="1226" t="s">
        <v>2530</v>
      </c>
      <c r="E30" s="1224" t="s">
        <v>2532</v>
      </c>
      <c r="F30" s="1227">
        <v>45901.0</v>
      </c>
      <c r="G30" s="1227">
        <v>45961.0</v>
      </c>
      <c r="H30" s="365"/>
      <c r="I30" s="1229"/>
      <c r="J30" s="1230"/>
      <c r="K30" s="333"/>
      <c r="L30" s="333"/>
      <c r="M30" s="333"/>
      <c r="N30" s="333"/>
      <c r="O30" s="333"/>
    </row>
    <row r="31" ht="33.0" customHeight="1">
      <c r="A31" s="1231" t="s">
        <v>537</v>
      </c>
      <c r="B31" s="1204">
        <v>1116905.0</v>
      </c>
      <c r="C31" s="1204" t="s">
        <v>2529</v>
      </c>
      <c r="D31" s="1232" t="s">
        <v>2530</v>
      </c>
      <c r="E31" s="1204" t="s">
        <v>2533</v>
      </c>
      <c r="F31" s="1206">
        <v>45901.0</v>
      </c>
      <c r="G31" s="1206">
        <v>45961.0</v>
      </c>
      <c r="H31" s="354"/>
      <c r="I31" s="1208"/>
      <c r="J31" s="1209"/>
      <c r="K31" s="333"/>
      <c r="L31" s="333"/>
      <c r="M31" s="333"/>
      <c r="N31" s="333"/>
      <c r="O31" s="333"/>
    </row>
    <row r="32" ht="33.0" customHeight="1">
      <c r="A32" s="1223" t="s">
        <v>537</v>
      </c>
      <c r="B32" s="1224">
        <v>1116907.0</v>
      </c>
      <c r="C32" s="1224" t="s">
        <v>2529</v>
      </c>
      <c r="D32" s="1226" t="s">
        <v>2530</v>
      </c>
      <c r="E32" s="1224" t="s">
        <v>2534</v>
      </c>
      <c r="F32" s="1227">
        <v>45901.0</v>
      </c>
      <c r="G32" s="1227">
        <v>45961.0</v>
      </c>
      <c r="H32" s="365"/>
      <c r="I32" s="1229"/>
      <c r="J32" s="1230"/>
      <c r="K32" s="333"/>
      <c r="L32" s="333"/>
      <c r="M32" s="333"/>
      <c r="N32" s="333"/>
      <c r="O32" s="333"/>
    </row>
    <row r="33" ht="33.0" customHeight="1">
      <c r="A33" s="1231" t="s">
        <v>537</v>
      </c>
      <c r="B33" s="1204">
        <v>1122743.0</v>
      </c>
      <c r="C33" s="1204" t="s">
        <v>2535</v>
      </c>
      <c r="D33" s="1232" t="s">
        <v>2530</v>
      </c>
      <c r="E33" s="1204" t="s">
        <v>2536</v>
      </c>
      <c r="F33" s="1206">
        <v>45901.0</v>
      </c>
      <c r="G33" s="1206">
        <v>45961.0</v>
      </c>
      <c r="H33" s="354"/>
      <c r="I33" s="1208"/>
      <c r="J33" s="1209"/>
      <c r="K33" s="333"/>
      <c r="L33" s="333"/>
      <c r="M33" s="333"/>
      <c r="N33" s="333"/>
      <c r="O33" s="333"/>
    </row>
    <row r="34" ht="33.0" customHeight="1">
      <c r="A34" s="1223" t="s">
        <v>537</v>
      </c>
      <c r="B34" s="1224">
        <v>1133767.0</v>
      </c>
      <c r="C34" s="1224" t="s">
        <v>2529</v>
      </c>
      <c r="D34" s="1226" t="s">
        <v>2530</v>
      </c>
      <c r="E34" s="1224" t="s">
        <v>2537</v>
      </c>
      <c r="F34" s="1227">
        <v>45901.0</v>
      </c>
      <c r="G34" s="1227">
        <v>45961.0</v>
      </c>
      <c r="H34" s="365"/>
      <c r="I34" s="1229"/>
      <c r="J34" s="1230"/>
      <c r="K34" s="333"/>
      <c r="L34" s="333"/>
      <c r="M34" s="333"/>
      <c r="N34" s="333"/>
      <c r="O34" s="333"/>
    </row>
    <row r="35" ht="33.0" customHeight="1">
      <c r="A35" s="1231" t="s">
        <v>537</v>
      </c>
      <c r="B35" s="1204">
        <v>1143046.0</v>
      </c>
      <c r="C35" s="1204" t="s">
        <v>2529</v>
      </c>
      <c r="D35" s="1232" t="s">
        <v>2530</v>
      </c>
      <c r="E35" s="1204" t="s">
        <v>2538</v>
      </c>
      <c r="F35" s="1206">
        <v>45901.0</v>
      </c>
      <c r="G35" s="1206">
        <v>45961.0</v>
      </c>
      <c r="H35" s="354"/>
      <c r="I35" s="1208"/>
      <c r="J35" s="1209"/>
      <c r="K35" s="333"/>
      <c r="L35" s="333"/>
      <c r="M35" s="333"/>
      <c r="N35" s="333"/>
      <c r="O35" s="333"/>
    </row>
    <row r="36" ht="33.0" customHeight="1">
      <c r="A36" s="1223" t="s">
        <v>537</v>
      </c>
      <c r="B36" s="1224">
        <v>1148686.0</v>
      </c>
      <c r="C36" s="1224" t="s">
        <v>2529</v>
      </c>
      <c r="D36" s="1226" t="s">
        <v>2530</v>
      </c>
      <c r="E36" s="1224" t="s">
        <v>2539</v>
      </c>
      <c r="F36" s="1227">
        <v>45901.0</v>
      </c>
      <c r="G36" s="1227">
        <v>45961.0</v>
      </c>
      <c r="H36" s="365"/>
      <c r="I36" s="1229"/>
      <c r="J36" s="1230"/>
      <c r="K36" s="333"/>
      <c r="L36" s="333"/>
      <c r="M36" s="333"/>
      <c r="N36" s="333"/>
      <c r="O36" s="333"/>
    </row>
    <row r="37" ht="33.0" customHeight="1">
      <c r="A37" s="1231" t="s">
        <v>537</v>
      </c>
      <c r="B37" s="1204">
        <v>1148687.0</v>
      </c>
      <c r="C37" s="1204" t="s">
        <v>2529</v>
      </c>
      <c r="D37" s="1232" t="s">
        <v>2530</v>
      </c>
      <c r="E37" s="1204" t="s">
        <v>2540</v>
      </c>
      <c r="F37" s="1206">
        <v>45901.0</v>
      </c>
      <c r="G37" s="1206">
        <v>45961.0</v>
      </c>
      <c r="H37" s="354"/>
      <c r="I37" s="1208"/>
      <c r="J37" s="1209"/>
      <c r="K37" s="333"/>
      <c r="L37" s="333"/>
      <c r="M37" s="333"/>
      <c r="N37" s="333"/>
      <c r="O37" s="333"/>
    </row>
    <row r="38" ht="33.0" customHeight="1">
      <c r="A38" s="1223" t="s">
        <v>537</v>
      </c>
      <c r="B38" s="1224">
        <v>1148689.0</v>
      </c>
      <c r="C38" s="1224" t="s">
        <v>2529</v>
      </c>
      <c r="D38" s="1226" t="s">
        <v>2530</v>
      </c>
      <c r="E38" s="1224" t="s">
        <v>2541</v>
      </c>
      <c r="F38" s="1227">
        <v>45901.0</v>
      </c>
      <c r="G38" s="1227">
        <v>45961.0</v>
      </c>
      <c r="H38" s="365"/>
      <c r="I38" s="1229"/>
      <c r="J38" s="1230"/>
      <c r="K38" s="333"/>
      <c r="L38" s="333"/>
      <c r="M38" s="333"/>
      <c r="N38" s="333"/>
      <c r="O38" s="333"/>
    </row>
    <row r="39" ht="33.0" customHeight="1">
      <c r="A39" s="1231" t="s">
        <v>537</v>
      </c>
      <c r="B39" s="1204">
        <v>1159843.0</v>
      </c>
      <c r="C39" s="1204" t="s">
        <v>2535</v>
      </c>
      <c r="D39" s="1232" t="s">
        <v>2530</v>
      </c>
      <c r="E39" s="1204" t="s">
        <v>2542</v>
      </c>
      <c r="F39" s="1206">
        <v>45901.0</v>
      </c>
      <c r="G39" s="1206">
        <v>45961.0</v>
      </c>
      <c r="H39" s="354"/>
      <c r="I39" s="1208"/>
      <c r="J39" s="1209"/>
      <c r="K39" s="333"/>
      <c r="L39" s="333"/>
      <c r="M39" s="333"/>
      <c r="N39" s="333"/>
      <c r="O39" s="333"/>
    </row>
    <row r="40" ht="33.0" customHeight="1">
      <c r="A40" s="1223" t="s">
        <v>537</v>
      </c>
      <c r="B40" s="1224">
        <v>1160656.0</v>
      </c>
      <c r="C40" s="1224" t="s">
        <v>2529</v>
      </c>
      <c r="D40" s="1226" t="s">
        <v>2530</v>
      </c>
      <c r="E40" s="1224" t="s">
        <v>2543</v>
      </c>
      <c r="F40" s="1227">
        <v>45901.0</v>
      </c>
      <c r="G40" s="1227">
        <v>45961.0</v>
      </c>
      <c r="H40" s="365"/>
      <c r="I40" s="1229"/>
      <c r="J40" s="1230"/>
      <c r="K40" s="333"/>
      <c r="L40" s="333"/>
      <c r="M40" s="333"/>
      <c r="N40" s="333"/>
      <c r="O40" s="333"/>
    </row>
    <row r="41" ht="33.0" customHeight="1">
      <c r="A41" s="1231" t="s">
        <v>537</v>
      </c>
      <c r="B41" s="1204">
        <v>1163021.0</v>
      </c>
      <c r="C41" s="1204" t="s">
        <v>2529</v>
      </c>
      <c r="D41" s="1232" t="s">
        <v>2530</v>
      </c>
      <c r="E41" s="1204" t="s">
        <v>2544</v>
      </c>
      <c r="F41" s="1206">
        <v>45901.0</v>
      </c>
      <c r="G41" s="1206">
        <v>45961.0</v>
      </c>
      <c r="H41" s="354"/>
      <c r="I41" s="1208"/>
      <c r="J41" s="1209"/>
      <c r="K41" s="333"/>
      <c r="L41" s="333"/>
      <c r="M41" s="333"/>
      <c r="N41" s="333"/>
      <c r="O41" s="333"/>
    </row>
    <row r="42" ht="33.0" customHeight="1">
      <c r="A42" s="1223" t="s">
        <v>537</v>
      </c>
      <c r="B42" s="1224">
        <v>1166597.0</v>
      </c>
      <c r="C42" s="1224" t="s">
        <v>2529</v>
      </c>
      <c r="D42" s="1226" t="s">
        <v>2530</v>
      </c>
      <c r="E42" s="1224" t="s">
        <v>2545</v>
      </c>
      <c r="F42" s="1227">
        <v>45901.0</v>
      </c>
      <c r="G42" s="1227">
        <v>45961.0</v>
      </c>
      <c r="H42" s="365"/>
      <c r="I42" s="1229"/>
      <c r="J42" s="1230"/>
      <c r="K42" s="333"/>
      <c r="L42" s="333"/>
      <c r="M42" s="333"/>
      <c r="N42" s="333"/>
      <c r="O42" s="333"/>
    </row>
    <row r="43" ht="33.0" customHeight="1">
      <c r="A43" s="1231" t="s">
        <v>537</v>
      </c>
      <c r="B43" s="1204">
        <v>1172283.0</v>
      </c>
      <c r="C43" s="1204" t="s">
        <v>2529</v>
      </c>
      <c r="D43" s="1232" t="s">
        <v>2530</v>
      </c>
      <c r="E43" s="1204" t="s">
        <v>2546</v>
      </c>
      <c r="F43" s="1206">
        <v>45901.0</v>
      </c>
      <c r="G43" s="1206">
        <v>45961.0</v>
      </c>
      <c r="H43" s="354"/>
      <c r="I43" s="1208"/>
      <c r="J43" s="1209"/>
      <c r="K43" s="333"/>
      <c r="L43" s="333"/>
      <c r="M43" s="333"/>
      <c r="N43" s="333"/>
      <c r="O43" s="333"/>
    </row>
    <row r="44" ht="33.0" customHeight="1">
      <c r="A44" s="1223" t="s">
        <v>537</v>
      </c>
      <c r="B44" s="1224">
        <v>1172284.0</v>
      </c>
      <c r="C44" s="1224" t="s">
        <v>2529</v>
      </c>
      <c r="D44" s="1226" t="s">
        <v>2530</v>
      </c>
      <c r="E44" s="1224" t="s">
        <v>2547</v>
      </c>
      <c r="F44" s="1227">
        <v>45901.0</v>
      </c>
      <c r="G44" s="1227">
        <v>45961.0</v>
      </c>
      <c r="H44" s="365"/>
      <c r="I44" s="1229"/>
      <c r="J44" s="1230"/>
      <c r="K44" s="333"/>
      <c r="L44" s="333"/>
      <c r="M44" s="333"/>
      <c r="N44" s="333"/>
      <c r="O44" s="333"/>
    </row>
    <row r="45" ht="33.0" customHeight="1">
      <c r="A45" s="1231" t="s">
        <v>537</v>
      </c>
      <c r="B45" s="1204">
        <v>1180006.0</v>
      </c>
      <c r="C45" s="1204" t="s">
        <v>2529</v>
      </c>
      <c r="D45" s="1232" t="s">
        <v>2530</v>
      </c>
      <c r="E45" s="1204" t="s">
        <v>2548</v>
      </c>
      <c r="F45" s="1206">
        <v>45901.0</v>
      </c>
      <c r="G45" s="1206">
        <v>45961.0</v>
      </c>
      <c r="H45" s="354"/>
      <c r="I45" s="1208"/>
      <c r="J45" s="1209"/>
      <c r="K45" s="333"/>
      <c r="L45" s="333"/>
      <c r="M45" s="333"/>
      <c r="N45" s="333"/>
      <c r="O45" s="333"/>
    </row>
    <row r="46" ht="33.0" customHeight="1">
      <c r="A46" s="1223" t="s">
        <v>537</v>
      </c>
      <c r="B46" s="1224">
        <v>1180007.0</v>
      </c>
      <c r="C46" s="1224" t="s">
        <v>2535</v>
      </c>
      <c r="D46" s="1226" t="s">
        <v>2530</v>
      </c>
      <c r="E46" s="1224" t="s">
        <v>2549</v>
      </c>
      <c r="F46" s="1227">
        <v>45901.0</v>
      </c>
      <c r="G46" s="1227">
        <v>45961.0</v>
      </c>
      <c r="H46" s="365"/>
      <c r="I46" s="1229"/>
      <c r="J46" s="1230"/>
      <c r="K46" s="333"/>
      <c r="L46" s="333"/>
      <c r="M46" s="333"/>
      <c r="N46" s="333"/>
      <c r="O46" s="333"/>
    </row>
    <row r="47" ht="33.0" customHeight="1">
      <c r="A47" s="1231" t="s">
        <v>537</v>
      </c>
      <c r="B47" s="1204">
        <v>1180008.0</v>
      </c>
      <c r="C47" s="1204" t="s">
        <v>2550</v>
      </c>
      <c r="D47" s="1232" t="s">
        <v>2530</v>
      </c>
      <c r="E47" s="1204" t="s">
        <v>2551</v>
      </c>
      <c r="F47" s="1206">
        <v>45901.0</v>
      </c>
      <c r="G47" s="1206">
        <v>45961.0</v>
      </c>
      <c r="H47" s="354"/>
      <c r="I47" s="1208"/>
      <c r="J47" s="1209"/>
      <c r="K47" s="333"/>
      <c r="L47" s="333"/>
      <c r="M47" s="333"/>
      <c r="N47" s="333"/>
      <c r="O47" s="333"/>
    </row>
    <row r="48" ht="33.0" customHeight="1">
      <c r="A48" s="1223" t="s">
        <v>537</v>
      </c>
      <c r="B48" s="1224">
        <v>1180010.0</v>
      </c>
      <c r="C48" s="1224" t="s">
        <v>2550</v>
      </c>
      <c r="D48" s="1226" t="s">
        <v>2530</v>
      </c>
      <c r="E48" s="1224" t="s">
        <v>2552</v>
      </c>
      <c r="F48" s="1227">
        <v>45901.0</v>
      </c>
      <c r="G48" s="1227">
        <v>45961.0</v>
      </c>
      <c r="H48" s="365"/>
      <c r="I48" s="1229"/>
      <c r="J48" s="1230"/>
      <c r="K48" s="333"/>
      <c r="L48" s="333"/>
      <c r="M48" s="333"/>
      <c r="N48" s="333"/>
      <c r="O48" s="333"/>
    </row>
    <row r="49" ht="33.0" customHeight="1">
      <c r="A49" s="1231" t="s">
        <v>537</v>
      </c>
      <c r="B49" s="1204">
        <v>1180103.0</v>
      </c>
      <c r="C49" s="1204" t="s">
        <v>2535</v>
      </c>
      <c r="D49" s="1232" t="s">
        <v>2530</v>
      </c>
      <c r="E49" s="1204" t="s">
        <v>2553</v>
      </c>
      <c r="F49" s="1206">
        <v>45901.0</v>
      </c>
      <c r="G49" s="1206">
        <v>45961.0</v>
      </c>
      <c r="H49" s="354"/>
      <c r="I49" s="1208"/>
      <c r="J49" s="1209"/>
      <c r="K49" s="333"/>
      <c r="L49" s="333"/>
      <c r="M49" s="333"/>
      <c r="N49" s="333"/>
      <c r="O49" s="333"/>
    </row>
    <row r="50" ht="33.0" customHeight="1">
      <c r="A50" s="1223" t="s">
        <v>537</v>
      </c>
      <c r="B50" s="1224">
        <v>1186587.0</v>
      </c>
      <c r="C50" s="1224" t="s">
        <v>2535</v>
      </c>
      <c r="D50" s="1226" t="s">
        <v>2530</v>
      </c>
      <c r="E50" s="1224" t="s">
        <v>2554</v>
      </c>
      <c r="F50" s="1227">
        <v>45901.0</v>
      </c>
      <c r="G50" s="1227">
        <v>45961.0</v>
      </c>
      <c r="H50" s="365"/>
      <c r="I50" s="1229"/>
      <c r="J50" s="1230"/>
      <c r="K50" s="333"/>
      <c r="L50" s="333"/>
      <c r="M50" s="333"/>
      <c r="N50" s="333"/>
      <c r="O50" s="333"/>
    </row>
    <row r="51" ht="33.0" customHeight="1">
      <c r="A51" s="1231" t="s">
        <v>537</v>
      </c>
      <c r="B51" s="1204">
        <v>1186588.0</v>
      </c>
      <c r="C51" s="1204" t="s">
        <v>2535</v>
      </c>
      <c r="D51" s="1232" t="s">
        <v>2530</v>
      </c>
      <c r="E51" s="1204" t="s">
        <v>2555</v>
      </c>
      <c r="F51" s="1206">
        <v>45901.0</v>
      </c>
      <c r="G51" s="1206">
        <v>45961.0</v>
      </c>
      <c r="H51" s="354"/>
      <c r="I51" s="1208"/>
      <c r="J51" s="1209"/>
      <c r="K51" s="333"/>
      <c r="L51" s="333"/>
      <c r="M51" s="333"/>
      <c r="N51" s="333"/>
      <c r="O51" s="333"/>
    </row>
    <row r="52" ht="33.0" customHeight="1">
      <c r="A52" s="1223" t="s">
        <v>537</v>
      </c>
      <c r="B52" s="1224">
        <v>1186589.0</v>
      </c>
      <c r="C52" s="1224" t="s">
        <v>2535</v>
      </c>
      <c r="D52" s="1226" t="s">
        <v>2530</v>
      </c>
      <c r="E52" s="1224" t="s">
        <v>2556</v>
      </c>
      <c r="F52" s="1227">
        <v>45901.0</v>
      </c>
      <c r="G52" s="1227">
        <v>45961.0</v>
      </c>
      <c r="H52" s="365"/>
      <c r="I52" s="1229"/>
      <c r="J52" s="1230"/>
      <c r="K52" s="333"/>
      <c r="L52" s="333"/>
      <c r="M52" s="333"/>
      <c r="N52" s="333"/>
      <c r="O52" s="333"/>
    </row>
    <row r="53" ht="33.0" customHeight="1">
      <c r="A53" s="1231" t="s">
        <v>537</v>
      </c>
      <c r="B53" s="1204">
        <v>1186590.0</v>
      </c>
      <c r="C53" s="1204" t="s">
        <v>2529</v>
      </c>
      <c r="D53" s="1232" t="s">
        <v>2530</v>
      </c>
      <c r="E53" s="1204" t="s">
        <v>2557</v>
      </c>
      <c r="F53" s="1206">
        <v>45901.0</v>
      </c>
      <c r="G53" s="1206">
        <v>45961.0</v>
      </c>
      <c r="H53" s="354"/>
      <c r="I53" s="1208"/>
      <c r="J53" s="1209"/>
      <c r="K53" s="333"/>
      <c r="L53" s="333"/>
      <c r="M53" s="333"/>
      <c r="N53" s="333"/>
      <c r="O53" s="333"/>
    </row>
    <row r="54" ht="33.0" customHeight="1">
      <c r="A54" s="1223" t="s">
        <v>537</v>
      </c>
      <c r="B54" s="1224">
        <v>1186651.0</v>
      </c>
      <c r="C54" s="1224" t="s">
        <v>2558</v>
      </c>
      <c r="D54" s="1226" t="s">
        <v>2530</v>
      </c>
      <c r="E54" s="1224" t="s">
        <v>2559</v>
      </c>
      <c r="F54" s="1227">
        <v>45901.0</v>
      </c>
      <c r="G54" s="1227">
        <v>45961.0</v>
      </c>
      <c r="H54" s="365"/>
      <c r="I54" s="1229"/>
      <c r="J54" s="1230"/>
      <c r="K54" s="333"/>
      <c r="L54" s="333"/>
      <c r="M54" s="333"/>
      <c r="N54" s="333"/>
      <c r="O54" s="333"/>
    </row>
    <row r="55" ht="33.0" customHeight="1">
      <c r="A55" s="1231" t="s">
        <v>537</v>
      </c>
      <c r="B55" s="1204">
        <v>1189012.0</v>
      </c>
      <c r="C55" s="1204" t="s">
        <v>2535</v>
      </c>
      <c r="D55" s="1232" t="s">
        <v>2530</v>
      </c>
      <c r="E55" s="1204" t="s">
        <v>557</v>
      </c>
      <c r="F55" s="1206">
        <v>45901.0</v>
      </c>
      <c r="G55" s="1206">
        <v>45961.0</v>
      </c>
      <c r="H55" s="354"/>
      <c r="I55" s="1208"/>
      <c r="J55" s="1209"/>
      <c r="K55" s="333"/>
      <c r="L55" s="333"/>
      <c r="M55" s="333"/>
      <c r="N55" s="333"/>
      <c r="O55" s="333"/>
    </row>
    <row r="56" ht="33.0" customHeight="1">
      <c r="A56" s="1223" t="s">
        <v>537</v>
      </c>
      <c r="B56" s="1224">
        <v>1189013.0</v>
      </c>
      <c r="C56" s="1224" t="s">
        <v>2535</v>
      </c>
      <c r="D56" s="1226" t="s">
        <v>2530</v>
      </c>
      <c r="E56" s="1224" t="s">
        <v>555</v>
      </c>
      <c r="F56" s="1227">
        <v>45901.0</v>
      </c>
      <c r="G56" s="1227">
        <v>45961.0</v>
      </c>
      <c r="H56" s="365"/>
      <c r="I56" s="1229"/>
      <c r="J56" s="1230"/>
      <c r="K56" s="333"/>
      <c r="L56" s="333"/>
      <c r="M56" s="333"/>
      <c r="N56" s="333"/>
      <c r="O56" s="333"/>
    </row>
    <row r="57" ht="33.0" customHeight="1">
      <c r="A57" s="1231" t="s">
        <v>537</v>
      </c>
      <c r="B57" s="1204">
        <v>1189014.0</v>
      </c>
      <c r="C57" s="1204" t="s">
        <v>2529</v>
      </c>
      <c r="D57" s="1232" t="s">
        <v>2530</v>
      </c>
      <c r="E57" s="1204" t="s">
        <v>2560</v>
      </c>
      <c r="F57" s="1206">
        <v>45901.0</v>
      </c>
      <c r="G57" s="1206">
        <v>45961.0</v>
      </c>
      <c r="H57" s="354"/>
      <c r="I57" s="1208"/>
      <c r="J57" s="1209"/>
      <c r="K57" s="333"/>
      <c r="L57" s="333"/>
      <c r="M57" s="333"/>
      <c r="N57" s="333"/>
      <c r="O57" s="333"/>
    </row>
    <row r="58" ht="33.0" customHeight="1">
      <c r="A58" s="1223" t="s">
        <v>537</v>
      </c>
      <c r="B58" s="1224">
        <v>1189015.0</v>
      </c>
      <c r="C58" s="1224" t="s">
        <v>2529</v>
      </c>
      <c r="D58" s="1226" t="s">
        <v>2530</v>
      </c>
      <c r="E58" s="1224" t="s">
        <v>2561</v>
      </c>
      <c r="F58" s="1227">
        <v>45901.0</v>
      </c>
      <c r="G58" s="1227">
        <v>45961.0</v>
      </c>
      <c r="H58" s="365"/>
      <c r="I58" s="1229"/>
      <c r="J58" s="1230"/>
      <c r="K58" s="333"/>
      <c r="L58" s="333"/>
      <c r="M58" s="333"/>
      <c r="N58" s="333"/>
      <c r="O58" s="333"/>
    </row>
    <row r="59" ht="33.0" customHeight="1">
      <c r="A59" s="1231" t="s">
        <v>537</v>
      </c>
      <c r="B59" s="1204">
        <v>1189016.0</v>
      </c>
      <c r="C59" s="1204" t="s">
        <v>2535</v>
      </c>
      <c r="D59" s="1232" t="s">
        <v>2530</v>
      </c>
      <c r="E59" s="1204" t="s">
        <v>2562</v>
      </c>
      <c r="F59" s="1206">
        <v>45901.0</v>
      </c>
      <c r="G59" s="1206">
        <v>45961.0</v>
      </c>
      <c r="H59" s="354"/>
      <c r="I59" s="1208"/>
      <c r="J59" s="1209"/>
      <c r="K59" s="333"/>
      <c r="L59" s="333"/>
      <c r="M59" s="333"/>
      <c r="N59" s="333"/>
      <c r="O59" s="333"/>
    </row>
    <row r="60" ht="33.0" customHeight="1">
      <c r="A60" s="1223" t="s">
        <v>537</v>
      </c>
      <c r="B60" s="1224">
        <v>1192547.0</v>
      </c>
      <c r="C60" s="1224" t="s">
        <v>2529</v>
      </c>
      <c r="D60" s="1226" t="s">
        <v>2530</v>
      </c>
      <c r="E60" s="1224" t="s">
        <v>2563</v>
      </c>
      <c r="F60" s="1227">
        <v>45901.0</v>
      </c>
      <c r="G60" s="1227">
        <v>45961.0</v>
      </c>
      <c r="H60" s="365"/>
      <c r="I60" s="1229"/>
      <c r="J60" s="1230"/>
      <c r="K60" s="333"/>
      <c r="L60" s="333"/>
      <c r="M60" s="333"/>
      <c r="N60" s="333"/>
      <c r="O60" s="333"/>
    </row>
    <row r="61" ht="33.0" customHeight="1">
      <c r="A61" s="1231" t="s">
        <v>537</v>
      </c>
      <c r="B61" s="1204">
        <v>1211433.0</v>
      </c>
      <c r="C61" s="1204" t="s">
        <v>2535</v>
      </c>
      <c r="D61" s="1232" t="s">
        <v>2530</v>
      </c>
      <c r="E61" s="1204" t="s">
        <v>2564</v>
      </c>
      <c r="F61" s="1206">
        <v>45901.0</v>
      </c>
      <c r="G61" s="1206">
        <v>45961.0</v>
      </c>
      <c r="H61" s="354"/>
      <c r="I61" s="1208"/>
      <c r="J61" s="1209"/>
      <c r="K61" s="333"/>
      <c r="L61" s="333"/>
      <c r="M61" s="333"/>
      <c r="N61" s="333"/>
      <c r="O61" s="333"/>
    </row>
    <row r="62" ht="30.75" customHeight="1">
      <c r="A62" s="1223" t="s">
        <v>537</v>
      </c>
      <c r="B62" s="1224">
        <v>1211434.0</v>
      </c>
      <c r="C62" s="1224" t="s">
        <v>2535</v>
      </c>
      <c r="D62" s="1226" t="s">
        <v>2530</v>
      </c>
      <c r="E62" s="1224" t="s">
        <v>2565</v>
      </c>
      <c r="F62" s="1227">
        <v>45901.0</v>
      </c>
      <c r="G62" s="1227">
        <v>45961.0</v>
      </c>
      <c r="H62" s="1077"/>
      <c r="I62" s="1229"/>
      <c r="J62" s="1230"/>
      <c r="K62" s="333"/>
      <c r="L62" s="333"/>
      <c r="M62" s="333"/>
      <c r="N62" s="333"/>
      <c r="O62" s="333"/>
    </row>
    <row r="63" ht="33.0" hidden="1" customHeight="1">
      <c r="A63" s="1234"/>
      <c r="B63" s="1196"/>
      <c r="C63" s="1196"/>
      <c r="D63" s="1235"/>
      <c r="E63" s="1236"/>
      <c r="F63" s="1198"/>
      <c r="G63" s="1198"/>
      <c r="H63" s="1237"/>
      <c r="I63" s="1237"/>
      <c r="J63" s="1238"/>
      <c r="K63" s="333"/>
      <c r="L63" s="333"/>
      <c r="M63" s="333"/>
      <c r="N63" s="333"/>
      <c r="O63" s="333"/>
    </row>
    <row r="64" ht="33.0" hidden="1" customHeight="1">
      <c r="A64" s="1234"/>
      <c r="B64" s="1196"/>
      <c r="C64" s="1196"/>
      <c r="D64" s="1235"/>
      <c r="E64" s="1236"/>
      <c r="F64" s="1198"/>
      <c r="G64" s="1198"/>
      <c r="H64" s="1239"/>
      <c r="I64" s="1239"/>
      <c r="J64" s="1240"/>
      <c r="K64" s="333"/>
      <c r="L64" s="333"/>
      <c r="M64" s="333"/>
      <c r="N64" s="333"/>
      <c r="O64" s="333"/>
    </row>
    <row r="65" ht="33.0" hidden="1" customHeight="1">
      <c r="A65" s="1234"/>
      <c r="B65" s="1196"/>
      <c r="C65" s="1196"/>
      <c r="D65" s="1235"/>
      <c r="E65" s="1236"/>
      <c r="F65" s="1198"/>
      <c r="G65" s="1198"/>
      <c r="H65" s="1241"/>
      <c r="I65" s="1242"/>
      <c r="J65" s="1243"/>
      <c r="K65" s="333"/>
      <c r="L65" s="333"/>
      <c r="M65" s="333"/>
      <c r="N65" s="333"/>
      <c r="O65" s="333"/>
    </row>
    <row r="66" hidden="1">
      <c r="A66" s="401"/>
      <c r="B66" s="402"/>
      <c r="C66" s="402"/>
      <c r="D66" s="402"/>
      <c r="E66" s="402"/>
      <c r="F66" s="403"/>
      <c r="G66" s="403"/>
      <c r="H66" s="404"/>
      <c r="I66" s="405"/>
      <c r="J66" s="406"/>
      <c r="K66" s="407"/>
      <c r="L66" s="407"/>
      <c r="M66" s="407"/>
      <c r="N66" s="407"/>
      <c r="O66" s="407"/>
    </row>
    <row r="67" ht="33.0" hidden="1" customHeight="1">
      <c r="A67" s="846" t="s">
        <v>0</v>
      </c>
      <c r="B67" s="846" t="s">
        <v>1</v>
      </c>
      <c r="C67" s="847" t="s">
        <v>472</v>
      </c>
      <c r="D67" s="846" t="s">
        <v>367</v>
      </c>
      <c r="E67" s="846" t="s">
        <v>409</v>
      </c>
      <c r="F67" s="1192" t="s">
        <v>410</v>
      </c>
      <c r="G67" s="1192" t="s">
        <v>411</v>
      </c>
      <c r="H67" s="1193" t="s">
        <v>2566</v>
      </c>
      <c r="I67" s="1193" t="s">
        <v>2567</v>
      </c>
      <c r="J67" s="846"/>
      <c r="K67" s="1194"/>
      <c r="L67" s="246"/>
      <c r="M67" s="246"/>
      <c r="N67" s="246"/>
      <c r="O67" s="246"/>
    </row>
    <row r="68" ht="21.75" hidden="1" customHeight="1">
      <c r="A68" s="392"/>
      <c r="B68" s="56"/>
      <c r="C68" s="56"/>
      <c r="D68" s="56"/>
      <c r="E68" s="56"/>
      <c r="F68" s="56"/>
      <c r="G68" s="56"/>
      <c r="H68" s="56"/>
      <c r="I68" s="56"/>
      <c r="J68" s="57"/>
      <c r="K68" s="333"/>
      <c r="L68" s="333"/>
      <c r="M68" s="333"/>
      <c r="N68" s="333"/>
      <c r="O68" s="333"/>
    </row>
    <row r="69" ht="21.75" hidden="1" customHeight="1">
      <c r="A69" s="334"/>
      <c r="B69" s="56"/>
      <c r="C69" s="56"/>
      <c r="D69" s="56"/>
      <c r="E69" s="56"/>
      <c r="F69" s="56"/>
      <c r="G69" s="56"/>
      <c r="H69" s="56"/>
      <c r="I69" s="56"/>
      <c r="J69" s="57"/>
      <c r="K69" s="333"/>
      <c r="L69" s="333"/>
      <c r="M69" s="333"/>
      <c r="N69" s="333"/>
      <c r="O69" s="333"/>
    </row>
    <row r="70" ht="33.0" hidden="1" customHeight="1">
      <c r="A70" s="1244"/>
      <c r="B70" s="1245"/>
      <c r="C70" s="1244"/>
      <c r="D70" s="1246"/>
      <c r="E70" s="1244"/>
      <c r="F70" s="1247"/>
      <c r="G70" s="1247"/>
      <c r="H70" s="1248"/>
      <c r="I70" s="1249"/>
      <c r="J70" s="1249"/>
      <c r="K70" s="333"/>
      <c r="L70" s="333"/>
      <c r="M70" s="333"/>
      <c r="N70" s="333"/>
      <c r="O70" s="333"/>
    </row>
    <row r="71" ht="33.0" hidden="1" customHeight="1">
      <c r="A71" s="1244"/>
      <c r="B71" s="1244"/>
      <c r="C71" s="1244"/>
      <c r="D71" s="1246"/>
      <c r="E71" s="1244"/>
      <c r="F71" s="1247"/>
      <c r="G71" s="1247"/>
      <c r="H71" s="1250"/>
      <c r="I71" s="1251"/>
      <c r="J71" s="1251"/>
      <c r="K71" s="333"/>
      <c r="L71" s="333"/>
      <c r="M71" s="333"/>
      <c r="N71" s="333"/>
      <c r="O71" s="333"/>
    </row>
    <row r="72" ht="19.5" customHeight="1">
      <c r="A72" s="401"/>
      <c r="B72" s="402"/>
      <c r="C72" s="402"/>
      <c r="D72" s="402"/>
      <c r="E72" s="402"/>
      <c r="F72" s="403"/>
      <c r="G72" s="403"/>
      <c r="H72" s="404"/>
      <c r="I72" s="405"/>
      <c r="J72" s="406"/>
      <c r="K72" s="407"/>
      <c r="L72" s="407"/>
      <c r="M72" s="407"/>
      <c r="N72" s="407"/>
      <c r="O72" s="407"/>
    </row>
    <row r="73" ht="33.0" customHeight="1">
      <c r="A73" s="48" t="s">
        <v>479</v>
      </c>
      <c r="B73" s="846" t="s">
        <v>1</v>
      </c>
      <c r="C73" s="846" t="s">
        <v>2</v>
      </c>
      <c r="D73" s="847" t="s">
        <v>366</v>
      </c>
      <c r="E73" s="846" t="s">
        <v>480</v>
      </c>
      <c r="F73" s="846" t="s">
        <v>481</v>
      </c>
      <c r="G73" s="1192" t="s">
        <v>482</v>
      </c>
      <c r="H73" s="1252" t="s">
        <v>2568</v>
      </c>
      <c r="I73" s="846" t="s">
        <v>484</v>
      </c>
      <c r="J73" s="1192" t="s">
        <v>485</v>
      </c>
      <c r="K73" s="846" t="s">
        <v>411</v>
      </c>
      <c r="L73" s="846"/>
      <c r="M73" s="1253"/>
      <c r="N73" s="1253"/>
      <c r="O73" s="1253"/>
    </row>
    <row r="74" ht="33.0" customHeight="1">
      <c r="A74" s="1254" t="s">
        <v>534</v>
      </c>
      <c r="B74" s="1255">
        <v>1218969.0</v>
      </c>
      <c r="C74" s="1256" t="s">
        <v>499</v>
      </c>
      <c r="D74" s="1256" t="s">
        <v>2569</v>
      </c>
      <c r="E74" s="1254" t="s">
        <v>2429</v>
      </c>
      <c r="F74" s="1257" t="s">
        <v>2570</v>
      </c>
      <c r="G74" s="1258">
        <v>109.99</v>
      </c>
      <c r="H74" s="1239">
        <v>102.55</v>
      </c>
      <c r="I74" s="1239">
        <v>89.99</v>
      </c>
      <c r="J74" s="1259">
        <v>45931.0</v>
      </c>
      <c r="K74" s="1260">
        <v>45961.0</v>
      </c>
      <c r="L74" s="1260"/>
      <c r="M74" s="1261"/>
      <c r="N74" s="1261"/>
      <c r="O74" s="1261"/>
    </row>
    <row r="75" ht="33.0" customHeight="1">
      <c r="A75" s="1262" t="s">
        <v>534</v>
      </c>
      <c r="B75" s="1263">
        <v>1218970.0</v>
      </c>
      <c r="C75" s="1264" t="s">
        <v>499</v>
      </c>
      <c r="D75" s="1264" t="s">
        <v>2571</v>
      </c>
      <c r="E75" s="1262" t="s">
        <v>2429</v>
      </c>
      <c r="F75" s="1262" t="s">
        <v>2570</v>
      </c>
      <c r="G75" s="1265">
        <v>149.99</v>
      </c>
      <c r="H75" s="1237">
        <v>139.99</v>
      </c>
      <c r="I75" s="1237">
        <v>124.99</v>
      </c>
      <c r="J75" s="1238">
        <v>45931.0</v>
      </c>
      <c r="K75" s="1238">
        <v>45961.0</v>
      </c>
      <c r="L75" s="1266"/>
      <c r="M75" s="1267"/>
      <c r="N75" s="1267"/>
      <c r="O75" s="1267"/>
    </row>
    <row r="76" ht="33.0" customHeight="1">
      <c r="A76" s="1262" t="s">
        <v>165</v>
      </c>
      <c r="B76" s="1255">
        <v>1177338.0</v>
      </c>
      <c r="C76" s="1268" t="s">
        <v>504</v>
      </c>
      <c r="D76" s="1268" t="s">
        <v>2572</v>
      </c>
      <c r="E76" s="1269" t="s">
        <v>488</v>
      </c>
      <c r="F76" s="1270" t="s">
        <v>2573</v>
      </c>
      <c r="G76" s="1271">
        <v>180.02</v>
      </c>
      <c r="H76" s="1272">
        <v>139.99</v>
      </c>
      <c r="I76" s="1272">
        <v>119.99</v>
      </c>
      <c r="J76" s="1273">
        <v>45931.0</v>
      </c>
      <c r="K76" s="1273">
        <v>45960.0</v>
      </c>
      <c r="L76" s="1266"/>
      <c r="M76" s="1267"/>
      <c r="N76" s="1267"/>
      <c r="O76" s="1267"/>
    </row>
    <row r="77" ht="33.0" customHeight="1">
      <c r="A77" s="1274" t="s">
        <v>2574</v>
      </c>
      <c r="B77" s="1263">
        <v>8010395.0</v>
      </c>
      <c r="C77" s="1268" t="s">
        <v>2575</v>
      </c>
      <c r="D77" s="1275" t="s">
        <v>2576</v>
      </c>
      <c r="E77" s="1269" t="s">
        <v>506</v>
      </c>
      <c r="F77" s="1276"/>
      <c r="G77" s="1277">
        <v>149.0</v>
      </c>
      <c r="H77" s="1278">
        <v>149.0</v>
      </c>
      <c r="I77" s="1272">
        <v>109.0</v>
      </c>
      <c r="J77" s="1273">
        <v>45931.0</v>
      </c>
      <c r="K77" s="1273">
        <v>45960.0</v>
      </c>
      <c r="L77" s="1260"/>
      <c r="M77" s="1261"/>
      <c r="N77" s="1261"/>
      <c r="O77" s="1261"/>
    </row>
    <row r="78" ht="33.0" customHeight="1">
      <c r="A78" s="1279" t="s">
        <v>493</v>
      </c>
      <c r="B78" s="1263">
        <v>1192715.0</v>
      </c>
      <c r="C78" s="1268" t="s">
        <v>510</v>
      </c>
      <c r="D78" s="1275" t="s">
        <v>2577</v>
      </c>
      <c r="E78" s="1269" t="s">
        <v>491</v>
      </c>
      <c r="F78" s="1276" t="s">
        <v>2578</v>
      </c>
      <c r="G78" s="1277">
        <v>79.9</v>
      </c>
      <c r="H78" s="1278">
        <v>79.9</v>
      </c>
      <c r="I78" s="1272">
        <v>59.9</v>
      </c>
      <c r="J78" s="1273">
        <v>45931.0</v>
      </c>
      <c r="K78" s="1273">
        <v>45961.0</v>
      </c>
      <c r="L78" s="1266"/>
      <c r="M78" s="1267"/>
      <c r="N78" s="1267"/>
      <c r="O78" s="1267"/>
    </row>
    <row r="79" ht="33.0" customHeight="1">
      <c r="A79" s="1274" t="s">
        <v>493</v>
      </c>
      <c r="B79" s="1255">
        <v>1159225.0</v>
      </c>
      <c r="C79" s="1268" t="s">
        <v>510</v>
      </c>
      <c r="D79" s="1275" t="s">
        <v>2579</v>
      </c>
      <c r="E79" s="1269" t="s">
        <v>506</v>
      </c>
      <c r="F79" s="1276" t="s">
        <v>2578</v>
      </c>
      <c r="G79" s="1277">
        <v>139.9</v>
      </c>
      <c r="H79" s="1278">
        <v>139.9</v>
      </c>
      <c r="I79" s="1272">
        <v>109.9</v>
      </c>
      <c r="J79" s="1273">
        <v>45931.0</v>
      </c>
      <c r="K79" s="1273">
        <v>45961.0</v>
      </c>
      <c r="L79" s="1260"/>
      <c r="M79" s="1261"/>
      <c r="N79" s="1261"/>
      <c r="O79" s="1261"/>
    </row>
    <row r="80" ht="33.0" customHeight="1">
      <c r="A80" s="1279" t="s">
        <v>493</v>
      </c>
      <c r="B80" s="1263">
        <v>1217402.0</v>
      </c>
      <c r="C80" s="1268" t="s">
        <v>523</v>
      </c>
      <c r="D80" s="1275" t="s">
        <v>2580</v>
      </c>
      <c r="E80" s="1269" t="s">
        <v>506</v>
      </c>
      <c r="F80" s="1276" t="s">
        <v>2578</v>
      </c>
      <c r="G80" s="1277">
        <v>39.9</v>
      </c>
      <c r="H80" s="1278">
        <v>37.97</v>
      </c>
      <c r="I80" s="1272">
        <v>29.9</v>
      </c>
      <c r="J80" s="1273">
        <v>45931.0</v>
      </c>
      <c r="K80" s="1273">
        <v>45961.0</v>
      </c>
      <c r="L80" s="1266"/>
      <c r="M80" s="1267"/>
      <c r="N80" s="1267"/>
      <c r="O80" s="1267"/>
    </row>
    <row r="81" ht="33.0" customHeight="1">
      <c r="A81" s="1274" t="s">
        <v>493</v>
      </c>
      <c r="B81" s="1255">
        <v>1203826.0</v>
      </c>
      <c r="C81" s="1268" t="s">
        <v>510</v>
      </c>
      <c r="D81" s="1275" t="s">
        <v>513</v>
      </c>
      <c r="E81" s="1269" t="s">
        <v>496</v>
      </c>
      <c r="F81" s="1276" t="s">
        <v>2578</v>
      </c>
      <c r="G81" s="1277">
        <v>449.97</v>
      </c>
      <c r="H81" s="1278">
        <v>449.97</v>
      </c>
      <c r="I81" s="1272">
        <v>299.9</v>
      </c>
      <c r="J81" s="1273">
        <v>45931.0</v>
      </c>
      <c r="K81" s="1273">
        <v>45961.0</v>
      </c>
      <c r="L81" s="1260"/>
      <c r="M81" s="1261"/>
      <c r="N81" s="1261"/>
      <c r="O81" s="1261"/>
    </row>
    <row r="82" ht="33.0" customHeight="1">
      <c r="A82" s="1279" t="s">
        <v>493</v>
      </c>
      <c r="B82" s="1263">
        <v>1203823.0</v>
      </c>
      <c r="C82" s="1268" t="s">
        <v>510</v>
      </c>
      <c r="D82" s="1275" t="s">
        <v>2581</v>
      </c>
      <c r="E82" s="1269" t="s">
        <v>488</v>
      </c>
      <c r="F82" s="1276" t="s">
        <v>2578</v>
      </c>
      <c r="G82" s="1277">
        <v>199.91</v>
      </c>
      <c r="H82" s="1278">
        <v>199.91</v>
      </c>
      <c r="I82" s="1272">
        <v>149.9</v>
      </c>
      <c r="J82" s="1273">
        <v>45931.0</v>
      </c>
      <c r="K82" s="1273">
        <v>45961.0</v>
      </c>
      <c r="L82" s="1266"/>
      <c r="M82" s="1267"/>
      <c r="N82" s="1267"/>
      <c r="O82" s="1267"/>
    </row>
    <row r="83" ht="33.0" customHeight="1">
      <c r="A83" s="1274" t="s">
        <v>493</v>
      </c>
      <c r="B83" s="1255">
        <v>1177776.0</v>
      </c>
      <c r="C83" s="1268" t="s">
        <v>518</v>
      </c>
      <c r="D83" s="1275" t="s">
        <v>2582</v>
      </c>
      <c r="E83" s="1269" t="s">
        <v>488</v>
      </c>
      <c r="F83" s="1276" t="s">
        <v>2578</v>
      </c>
      <c r="G83" s="1277">
        <v>130.0</v>
      </c>
      <c r="H83" s="1278">
        <v>129.99</v>
      </c>
      <c r="I83" s="1272">
        <v>99.9</v>
      </c>
      <c r="J83" s="1273">
        <v>45931.0</v>
      </c>
      <c r="K83" s="1273">
        <v>45961.0</v>
      </c>
      <c r="L83" s="1260"/>
      <c r="M83" s="1261"/>
      <c r="N83" s="1261"/>
      <c r="O83" s="1261"/>
    </row>
    <row r="84" ht="33.0" customHeight="1">
      <c r="A84" s="1279" t="s">
        <v>493</v>
      </c>
      <c r="B84" s="1263">
        <v>1192266.0</v>
      </c>
      <c r="C84" s="1268" t="s">
        <v>494</v>
      </c>
      <c r="D84" s="1275" t="s">
        <v>2583</v>
      </c>
      <c r="E84" s="1269" t="s">
        <v>506</v>
      </c>
      <c r="F84" s="1276" t="s">
        <v>2578</v>
      </c>
      <c r="G84" s="1277">
        <v>89.91</v>
      </c>
      <c r="H84" s="1278">
        <v>79.99</v>
      </c>
      <c r="I84" s="1272">
        <v>59.9</v>
      </c>
      <c r="J84" s="1273">
        <v>45931.0</v>
      </c>
      <c r="K84" s="1273">
        <v>45961.0</v>
      </c>
      <c r="L84" s="1266"/>
      <c r="M84" s="1267"/>
      <c r="N84" s="1267"/>
      <c r="O84" s="1267"/>
    </row>
    <row r="85" ht="33.0" customHeight="1">
      <c r="A85" s="1274" t="s">
        <v>493</v>
      </c>
      <c r="B85" s="1255">
        <v>1169925.0</v>
      </c>
      <c r="C85" s="1268" t="s">
        <v>520</v>
      </c>
      <c r="D85" s="1275" t="s">
        <v>2584</v>
      </c>
      <c r="E85" s="1269" t="s">
        <v>506</v>
      </c>
      <c r="F85" s="1276" t="s">
        <v>2578</v>
      </c>
      <c r="G85" s="1277">
        <v>40.0</v>
      </c>
      <c r="H85" s="1278">
        <v>39.9</v>
      </c>
      <c r="I85" s="1272">
        <v>29.9</v>
      </c>
      <c r="J85" s="1273">
        <v>45931.0</v>
      </c>
      <c r="K85" s="1273">
        <v>45961.0</v>
      </c>
      <c r="L85" s="1260"/>
      <c r="M85" s="1261"/>
      <c r="N85" s="1261"/>
      <c r="O85" s="1261"/>
    </row>
    <row r="86" ht="33.0" customHeight="1">
      <c r="A86" s="1279" t="s">
        <v>493</v>
      </c>
      <c r="B86" s="1263">
        <v>1159224.0</v>
      </c>
      <c r="C86" s="1268" t="s">
        <v>514</v>
      </c>
      <c r="D86" s="1275" t="s">
        <v>2585</v>
      </c>
      <c r="E86" s="1269" t="s">
        <v>488</v>
      </c>
      <c r="F86" s="1276" t="s">
        <v>2578</v>
      </c>
      <c r="G86" s="1277">
        <v>99.9</v>
      </c>
      <c r="H86" s="1278">
        <v>89.97</v>
      </c>
      <c r="I86" s="1272">
        <v>79.9</v>
      </c>
      <c r="J86" s="1273">
        <v>45931.0</v>
      </c>
      <c r="K86" s="1273">
        <v>45961.0</v>
      </c>
      <c r="L86" s="1266"/>
      <c r="M86" s="1267"/>
      <c r="N86" s="1267"/>
      <c r="O86" s="1267"/>
    </row>
    <row r="87" ht="33.0" customHeight="1">
      <c r="A87" s="1274" t="s">
        <v>493</v>
      </c>
      <c r="B87" s="1255">
        <v>1180415.0</v>
      </c>
      <c r="C87" s="1268" t="s">
        <v>523</v>
      </c>
      <c r="D87" s="1275" t="s">
        <v>2586</v>
      </c>
      <c r="E87" s="1269" t="s">
        <v>506</v>
      </c>
      <c r="F87" s="1276" t="s">
        <v>2578</v>
      </c>
      <c r="G87" s="1277">
        <v>13.02</v>
      </c>
      <c r="H87" s="1278">
        <v>12.99</v>
      </c>
      <c r="I87" s="1272">
        <v>8.9</v>
      </c>
      <c r="J87" s="1273">
        <v>45931.0</v>
      </c>
      <c r="K87" s="1273">
        <v>45961.0</v>
      </c>
      <c r="L87" s="1260"/>
      <c r="M87" s="1261"/>
      <c r="N87" s="1261"/>
      <c r="O87" s="1261"/>
    </row>
    <row r="88" ht="33.0" customHeight="1">
      <c r="A88" s="1279" t="s">
        <v>199</v>
      </c>
      <c r="B88" s="1263">
        <v>1172133.0</v>
      </c>
      <c r="C88" s="1268" t="s">
        <v>554</v>
      </c>
      <c r="D88" s="1275" t="s">
        <v>564</v>
      </c>
      <c r="E88" s="1269" t="s">
        <v>496</v>
      </c>
      <c r="F88" s="1276" t="s">
        <v>2587</v>
      </c>
      <c r="G88" s="1277">
        <v>2998.97</v>
      </c>
      <c r="H88" s="1278">
        <v>2499.0</v>
      </c>
      <c r="I88" s="1272">
        <v>2499.0</v>
      </c>
      <c r="J88" s="1273">
        <v>45929.0</v>
      </c>
      <c r="K88" s="1273">
        <v>46019.0</v>
      </c>
      <c r="L88" s="1266"/>
      <c r="M88" s="1267"/>
      <c r="N88" s="1267"/>
      <c r="O88" s="1267"/>
    </row>
    <row r="89" ht="33.0" customHeight="1">
      <c r="A89" s="1274" t="s">
        <v>165</v>
      </c>
      <c r="B89" s="1255">
        <v>1204845.0</v>
      </c>
      <c r="C89" s="1268" t="s">
        <v>2588</v>
      </c>
      <c r="D89" s="1275" t="s">
        <v>2589</v>
      </c>
      <c r="E89" s="1269" t="s">
        <v>2429</v>
      </c>
      <c r="F89" s="1276" t="s">
        <v>2590</v>
      </c>
      <c r="G89" s="1277">
        <v>30.02</v>
      </c>
      <c r="H89" s="1278">
        <v>19.99</v>
      </c>
      <c r="I89" s="1272">
        <v>19.99</v>
      </c>
      <c r="J89" s="1273">
        <v>45931.0</v>
      </c>
      <c r="K89" s="1273">
        <v>45961.0</v>
      </c>
      <c r="L89" s="1260"/>
      <c r="M89" s="1261"/>
      <c r="N89" s="1261"/>
      <c r="O89" s="1261"/>
    </row>
    <row r="90" ht="33.0" customHeight="1">
      <c r="A90" s="1279" t="s">
        <v>165</v>
      </c>
      <c r="B90" s="1263">
        <v>1204846.0</v>
      </c>
      <c r="C90" s="1268" t="s">
        <v>2588</v>
      </c>
      <c r="D90" s="1275" t="s">
        <v>2591</v>
      </c>
      <c r="E90" s="1269" t="s">
        <v>506</v>
      </c>
      <c r="F90" s="1276" t="s">
        <v>2590</v>
      </c>
      <c r="G90" s="1277">
        <v>40.02</v>
      </c>
      <c r="H90" s="1278">
        <v>29.99</v>
      </c>
      <c r="I90" s="1272">
        <v>29.99</v>
      </c>
      <c r="J90" s="1273">
        <v>45931.0</v>
      </c>
      <c r="K90" s="1273">
        <v>45961.0</v>
      </c>
      <c r="L90" s="1266"/>
      <c r="M90" s="1267"/>
      <c r="N90" s="1267"/>
      <c r="O90" s="1267"/>
    </row>
    <row r="91">
      <c r="A91" s="1274" t="s">
        <v>165</v>
      </c>
      <c r="B91" s="1255">
        <v>1204847.0</v>
      </c>
      <c r="C91" s="1268" t="s">
        <v>2588</v>
      </c>
      <c r="D91" s="1275" t="s">
        <v>2592</v>
      </c>
      <c r="E91" s="1269" t="s">
        <v>491</v>
      </c>
      <c r="F91" s="1276" t="s">
        <v>2590</v>
      </c>
      <c r="G91" s="1277">
        <v>55.02</v>
      </c>
      <c r="H91" s="1278">
        <v>47.99</v>
      </c>
      <c r="I91" s="1272">
        <v>47.99</v>
      </c>
      <c r="J91" s="1280">
        <v>45931.0</v>
      </c>
      <c r="K91" s="1280">
        <v>45961.0</v>
      </c>
      <c r="L91" s="1281"/>
      <c r="M91" s="1282"/>
      <c r="N91" s="1282"/>
      <c r="O91" s="1282"/>
    </row>
    <row r="92" ht="33.0" customHeight="1">
      <c r="A92" s="1274" t="s">
        <v>165</v>
      </c>
      <c r="B92" s="1255">
        <v>1204849.0</v>
      </c>
      <c r="C92" s="1268" t="s">
        <v>2588</v>
      </c>
      <c r="D92" s="1275" t="s">
        <v>2593</v>
      </c>
      <c r="E92" s="1269" t="s">
        <v>496</v>
      </c>
      <c r="F92" s="1276" t="s">
        <v>2590</v>
      </c>
      <c r="G92" s="1277">
        <v>99.99</v>
      </c>
      <c r="H92" s="1278">
        <v>69.99</v>
      </c>
      <c r="I92" s="1272">
        <v>79.99</v>
      </c>
      <c r="J92" s="1273">
        <v>45931.0</v>
      </c>
      <c r="K92" s="1273">
        <v>45961.0</v>
      </c>
      <c r="L92" s="1260"/>
      <c r="M92" s="1261"/>
      <c r="N92" s="1261"/>
      <c r="O92" s="1261"/>
    </row>
    <row r="93" ht="33.0" customHeight="1">
      <c r="A93" s="1279" t="s">
        <v>165</v>
      </c>
      <c r="B93" s="1263">
        <v>1197793.0</v>
      </c>
      <c r="C93" s="1268" t="s">
        <v>2588</v>
      </c>
      <c r="D93" s="1275" t="s">
        <v>2594</v>
      </c>
      <c r="E93" s="1269" t="s">
        <v>488</v>
      </c>
      <c r="F93" s="1276" t="s">
        <v>2590</v>
      </c>
      <c r="G93" s="1277">
        <v>50.02</v>
      </c>
      <c r="H93" s="1278">
        <v>29.99</v>
      </c>
      <c r="I93" s="1272">
        <v>29.99</v>
      </c>
      <c r="J93" s="1273">
        <v>45931.0</v>
      </c>
      <c r="K93" s="1273">
        <v>45961.0</v>
      </c>
      <c r="L93" s="1266"/>
      <c r="M93" s="1267"/>
      <c r="N93" s="1267"/>
      <c r="O93" s="1267"/>
    </row>
    <row r="94" ht="33.0" customHeight="1">
      <c r="A94" s="1279" t="s">
        <v>165</v>
      </c>
      <c r="B94" s="1263">
        <v>1197926.0</v>
      </c>
      <c r="C94" s="1268" t="s">
        <v>2588</v>
      </c>
      <c r="D94" s="1275" t="s">
        <v>2595</v>
      </c>
      <c r="E94" s="1269" t="s">
        <v>496</v>
      </c>
      <c r="F94" s="1276" t="s">
        <v>2590</v>
      </c>
      <c r="G94" s="1277">
        <v>150.02</v>
      </c>
      <c r="H94" s="1278">
        <v>59.99</v>
      </c>
      <c r="I94" s="1272">
        <v>79.99</v>
      </c>
      <c r="J94" s="1273">
        <v>45931.0</v>
      </c>
      <c r="K94" s="1273">
        <v>45961.0</v>
      </c>
      <c r="L94" s="1266"/>
      <c r="M94" s="1267"/>
      <c r="N94" s="1267"/>
      <c r="O94" s="1267"/>
    </row>
    <row r="95" ht="33.0" customHeight="1">
      <c r="A95" s="1274" t="s">
        <v>165</v>
      </c>
      <c r="B95" s="1255">
        <v>1219534.0</v>
      </c>
      <c r="C95" s="1268" t="s">
        <v>2588</v>
      </c>
      <c r="D95" s="1275" t="s">
        <v>2596</v>
      </c>
      <c r="E95" s="1269" t="s">
        <v>2429</v>
      </c>
      <c r="F95" s="1276" t="s">
        <v>2590</v>
      </c>
      <c r="G95" s="1277">
        <v>40.04</v>
      </c>
      <c r="H95" s="1278">
        <v>29.99</v>
      </c>
      <c r="I95" s="1272">
        <v>29.99</v>
      </c>
      <c r="J95" s="1273">
        <v>45931.0</v>
      </c>
      <c r="K95" s="1273">
        <v>45961.0</v>
      </c>
      <c r="L95" s="1260"/>
      <c r="M95" s="1261"/>
      <c r="N95" s="1261"/>
      <c r="O95" s="1261"/>
    </row>
    <row r="96" ht="33.0" customHeight="1">
      <c r="A96" s="1279" t="s">
        <v>165</v>
      </c>
      <c r="B96" s="1263">
        <v>1219509.0</v>
      </c>
      <c r="C96" s="1268" t="s">
        <v>2588</v>
      </c>
      <c r="D96" s="1275" t="s">
        <v>2597</v>
      </c>
      <c r="E96" s="1269" t="s">
        <v>2429</v>
      </c>
      <c r="F96" s="1276" t="s">
        <v>2590</v>
      </c>
      <c r="G96" s="1277">
        <v>50.04</v>
      </c>
      <c r="H96" s="1278">
        <v>39.99</v>
      </c>
      <c r="I96" s="1272">
        <v>36.99</v>
      </c>
      <c r="J96" s="1273">
        <v>45931.0</v>
      </c>
      <c r="K96" s="1273">
        <v>45961.0</v>
      </c>
      <c r="L96" s="1266"/>
      <c r="M96" s="1267"/>
      <c r="N96" s="1267"/>
      <c r="O96" s="1267"/>
    </row>
    <row r="97" ht="33.0" customHeight="1">
      <c r="A97" s="1274" t="s">
        <v>165</v>
      </c>
      <c r="B97" s="1255">
        <v>1219527.0</v>
      </c>
      <c r="C97" s="1268" t="s">
        <v>2588</v>
      </c>
      <c r="D97" s="1275" t="s">
        <v>2598</v>
      </c>
      <c r="E97" s="1269" t="s">
        <v>2429</v>
      </c>
      <c r="F97" s="1276" t="s">
        <v>2590</v>
      </c>
      <c r="G97" s="1277">
        <v>90.04</v>
      </c>
      <c r="H97" s="1278">
        <v>69.99</v>
      </c>
      <c r="I97" s="1272">
        <v>69.99</v>
      </c>
      <c r="J97" s="1273">
        <v>45931.0</v>
      </c>
      <c r="K97" s="1273">
        <v>45961.0</v>
      </c>
      <c r="L97" s="1260"/>
      <c r="M97" s="1261"/>
      <c r="N97" s="1261"/>
      <c r="O97" s="1261"/>
    </row>
    <row r="98" ht="33.0" customHeight="1">
      <c r="A98" s="1279" t="s">
        <v>165</v>
      </c>
      <c r="B98" s="1263">
        <v>1219510.0</v>
      </c>
      <c r="C98" s="1268" t="s">
        <v>2588</v>
      </c>
      <c r="D98" s="1275" t="s">
        <v>2599</v>
      </c>
      <c r="E98" s="1269" t="s">
        <v>2429</v>
      </c>
      <c r="F98" s="1276" t="s">
        <v>2590</v>
      </c>
      <c r="G98" s="1277">
        <v>160.04</v>
      </c>
      <c r="H98" s="1278">
        <v>129.99</v>
      </c>
      <c r="I98" s="1272">
        <v>129.99</v>
      </c>
      <c r="J98" s="1273">
        <v>45931.0</v>
      </c>
      <c r="K98" s="1273">
        <v>45961.0</v>
      </c>
      <c r="L98" s="1266"/>
      <c r="M98" s="1267"/>
      <c r="N98" s="1267"/>
      <c r="O98" s="1267"/>
    </row>
    <row r="99" ht="33.0" customHeight="1">
      <c r="A99" s="1274" t="s">
        <v>522</v>
      </c>
      <c r="B99" s="1255">
        <v>1184919.0</v>
      </c>
      <c r="C99" s="1268" t="s">
        <v>510</v>
      </c>
      <c r="D99" s="1275" t="s">
        <v>526</v>
      </c>
      <c r="E99" s="1269" t="s">
        <v>543</v>
      </c>
      <c r="F99" s="1276" t="s">
        <v>2600</v>
      </c>
      <c r="G99" s="1277">
        <v>699.99</v>
      </c>
      <c r="H99" s="1278">
        <v>399.99</v>
      </c>
      <c r="I99" s="1272">
        <v>399.99</v>
      </c>
      <c r="J99" s="1273">
        <v>45928.0</v>
      </c>
      <c r="K99" s="1273">
        <v>45984.0</v>
      </c>
      <c r="L99" s="1260"/>
      <c r="M99" s="1261"/>
      <c r="N99" s="1261"/>
      <c r="O99" s="1261"/>
    </row>
    <row r="100" ht="33.0" customHeight="1">
      <c r="A100" s="1279"/>
      <c r="B100" s="1263"/>
      <c r="C100" s="1268"/>
      <c r="D100" s="1275"/>
      <c r="E100" s="1269"/>
      <c r="F100" s="1276"/>
      <c r="G100" s="1277"/>
      <c r="H100" s="1278"/>
      <c r="I100" s="1272"/>
      <c r="J100" s="1273"/>
      <c r="K100" s="1273"/>
      <c r="L100" s="1266"/>
      <c r="M100" s="1267"/>
      <c r="N100" s="1267"/>
      <c r="O100" s="1267"/>
    </row>
    <row r="101" ht="33.0" customHeight="1">
      <c r="A101" s="1274"/>
      <c r="B101" s="1255"/>
      <c r="C101" s="1268"/>
      <c r="D101" s="1275"/>
      <c r="E101" s="1269"/>
      <c r="F101" s="1276"/>
      <c r="G101" s="1277"/>
      <c r="H101" s="1278"/>
      <c r="I101" s="1272"/>
      <c r="J101" s="1273"/>
      <c r="K101" s="1273"/>
      <c r="L101" s="1260"/>
      <c r="M101" s="1261"/>
      <c r="N101" s="1261"/>
      <c r="O101" s="1261"/>
    </row>
    <row r="102" ht="33.0" customHeight="1">
      <c r="A102" s="1279"/>
      <c r="B102" s="1263"/>
      <c r="C102" s="1268"/>
      <c r="D102" s="1275"/>
      <c r="E102" s="1269"/>
      <c r="F102" s="1276"/>
      <c r="G102" s="1277"/>
      <c r="H102" s="1278"/>
      <c r="I102" s="1272"/>
      <c r="J102" s="1273"/>
      <c r="K102" s="1273"/>
      <c r="L102" s="1266"/>
      <c r="M102" s="1267"/>
      <c r="N102" s="1267"/>
      <c r="O102" s="1267"/>
    </row>
    <row r="103" ht="33.0" customHeight="1">
      <c r="A103" s="1283"/>
      <c r="B103" s="1284"/>
      <c r="C103" s="1285"/>
      <c r="D103" s="1286"/>
      <c r="E103" s="1287"/>
      <c r="F103" s="1283"/>
      <c r="G103" s="1288"/>
      <c r="H103" s="1289"/>
      <c r="I103" s="1289"/>
      <c r="J103" s="1290"/>
      <c r="K103" s="1291"/>
      <c r="L103" s="1292"/>
      <c r="M103" s="1292"/>
      <c r="N103" s="1292"/>
      <c r="O103" s="1292"/>
    </row>
    <row r="104" ht="33.0" customHeight="1">
      <c r="A104" s="1283"/>
      <c r="B104" s="1284"/>
      <c r="C104" s="1285"/>
      <c r="D104" s="1286"/>
      <c r="E104" s="1287"/>
      <c r="F104" s="1283"/>
      <c r="G104" s="1288"/>
      <c r="H104" s="1289"/>
      <c r="I104" s="1289"/>
      <c r="J104" s="1290"/>
      <c r="K104" s="1291"/>
      <c r="L104" s="1292"/>
      <c r="M104" s="1292"/>
      <c r="N104" s="1292"/>
      <c r="O104" s="1292"/>
    </row>
    <row r="105" ht="33.0" customHeight="1">
      <c r="A105" s="1283"/>
      <c r="B105" s="1284"/>
      <c r="C105" s="1285"/>
      <c r="D105" s="1286"/>
      <c r="E105" s="1287"/>
      <c r="F105" s="1283"/>
      <c r="G105" s="1288"/>
      <c r="H105" s="1289"/>
      <c r="I105" s="1289"/>
      <c r="J105" s="1290"/>
      <c r="K105" s="1291"/>
      <c r="L105" s="1292"/>
      <c r="M105" s="1292"/>
      <c r="N105" s="1292"/>
      <c r="O105" s="1292"/>
    </row>
    <row r="106" ht="33.0" customHeight="1">
      <c r="A106" s="1283"/>
      <c r="B106" s="1284"/>
      <c r="C106" s="1285"/>
      <c r="D106" s="1286"/>
      <c r="E106" s="1287"/>
      <c r="F106" s="1283"/>
      <c r="G106" s="1288"/>
      <c r="H106" s="1289"/>
      <c r="I106" s="1289"/>
      <c r="J106" s="1290"/>
      <c r="K106" s="1291"/>
      <c r="L106" s="1292"/>
      <c r="M106" s="1292"/>
      <c r="N106" s="1292"/>
      <c r="O106" s="1292"/>
    </row>
    <row r="107" ht="33.0" customHeight="1">
      <c r="A107" s="1283"/>
      <c r="B107" s="1284"/>
      <c r="C107" s="1285"/>
      <c r="D107" s="1286"/>
      <c r="E107" s="1287"/>
      <c r="F107" s="1283"/>
      <c r="G107" s="1288"/>
      <c r="H107" s="1289"/>
      <c r="I107" s="1289"/>
      <c r="J107" s="1290"/>
      <c r="K107" s="1291"/>
      <c r="L107" s="1292"/>
      <c r="M107" s="1292"/>
      <c r="N107" s="1292"/>
      <c r="O107" s="1292"/>
    </row>
    <row r="108" ht="33.0" customHeight="1">
      <c r="A108" s="1283"/>
      <c r="B108" s="1284"/>
      <c r="C108" s="1285"/>
      <c r="D108" s="1286"/>
      <c r="E108" s="1287"/>
      <c r="F108" s="1283"/>
      <c r="G108" s="1288"/>
      <c r="H108" s="1289"/>
      <c r="I108" s="1289"/>
      <c r="J108" s="1290"/>
      <c r="K108" s="1291"/>
      <c r="L108" s="1292"/>
      <c r="M108" s="1292"/>
      <c r="N108" s="1292"/>
      <c r="O108" s="1292"/>
    </row>
    <row r="109" ht="33.0" customHeight="1">
      <c r="A109" s="1283"/>
      <c r="B109" s="1284"/>
      <c r="C109" s="1285"/>
      <c r="D109" s="1286"/>
      <c r="E109" s="1287"/>
      <c r="F109" s="1283"/>
      <c r="G109" s="1288"/>
      <c r="H109" s="1289"/>
      <c r="I109" s="1289"/>
      <c r="J109" s="1290"/>
      <c r="K109" s="1291"/>
      <c r="L109" s="1292"/>
      <c r="M109" s="1292"/>
      <c r="N109" s="1292"/>
      <c r="O109" s="1292"/>
    </row>
    <row r="110" ht="33.0" customHeight="1">
      <c r="A110" s="1283"/>
      <c r="B110" s="1284"/>
      <c r="C110" s="1285"/>
      <c r="D110" s="1286"/>
      <c r="E110" s="1287"/>
      <c r="F110" s="1283"/>
      <c r="G110" s="1288"/>
      <c r="H110" s="1289"/>
      <c r="I110" s="1289"/>
      <c r="J110" s="1290"/>
      <c r="K110" s="1291"/>
      <c r="L110" s="1292"/>
      <c r="M110" s="1292"/>
      <c r="N110" s="1292"/>
      <c r="O110" s="1292"/>
    </row>
    <row r="111" ht="33.0" customHeight="1">
      <c r="A111" s="1283"/>
      <c r="B111" s="1284"/>
      <c r="C111" s="1285"/>
      <c r="D111" s="1286"/>
      <c r="E111" s="1287"/>
      <c r="F111" s="1283"/>
      <c r="G111" s="1288"/>
      <c r="H111" s="1289"/>
      <c r="I111" s="1289"/>
      <c r="J111" s="1290"/>
      <c r="K111" s="1291"/>
      <c r="L111" s="1292"/>
      <c r="M111" s="1292"/>
      <c r="N111" s="1292"/>
      <c r="O111" s="1292"/>
    </row>
    <row r="112" ht="33.0" customHeight="1">
      <c r="A112" s="1283"/>
      <c r="B112" s="1284"/>
      <c r="C112" s="1285"/>
      <c r="D112" s="1286"/>
      <c r="E112" s="1287"/>
      <c r="F112" s="1283"/>
      <c r="G112" s="1288"/>
      <c r="H112" s="1289"/>
      <c r="I112" s="1289"/>
      <c r="J112" s="1290"/>
      <c r="K112" s="1291"/>
      <c r="L112" s="1292"/>
      <c r="M112" s="1292"/>
      <c r="N112" s="1292"/>
      <c r="O112" s="1292"/>
    </row>
    <row r="113" ht="33.0" customHeight="1">
      <c r="A113" s="1283"/>
      <c r="B113" s="1284"/>
      <c r="C113" s="1285"/>
      <c r="D113" s="1286"/>
      <c r="E113" s="1287"/>
      <c r="F113" s="1283"/>
      <c r="G113" s="1288"/>
      <c r="H113" s="1289"/>
      <c r="I113" s="1289"/>
      <c r="J113" s="1290"/>
      <c r="K113" s="1291"/>
      <c r="L113" s="1292"/>
      <c r="M113" s="1292"/>
      <c r="N113" s="1292"/>
      <c r="O113" s="1292"/>
    </row>
    <row r="114" ht="33.0" customHeight="1">
      <c r="A114" s="1283"/>
      <c r="B114" s="1284"/>
      <c r="C114" s="1285"/>
      <c r="D114" s="1286"/>
      <c r="E114" s="1287"/>
      <c r="F114" s="1283"/>
      <c r="G114" s="1288"/>
      <c r="H114" s="1289"/>
      <c r="I114" s="1289"/>
      <c r="J114" s="1290"/>
      <c r="K114" s="1291"/>
      <c r="L114" s="1292"/>
      <c r="M114" s="1292"/>
      <c r="N114" s="1292"/>
      <c r="O114" s="1292"/>
    </row>
    <row r="115" ht="33.0" customHeight="1">
      <c r="A115" s="1283"/>
      <c r="B115" s="1284"/>
      <c r="C115" s="1285"/>
      <c r="D115" s="1286"/>
      <c r="E115" s="1287"/>
      <c r="F115" s="1283"/>
      <c r="G115" s="1288"/>
      <c r="H115" s="1289"/>
      <c r="I115" s="1289"/>
      <c r="J115" s="1290"/>
      <c r="K115" s="1291"/>
      <c r="L115" s="1292"/>
      <c r="M115" s="1292"/>
      <c r="N115" s="1292"/>
      <c r="O115" s="1292"/>
    </row>
    <row r="116" ht="33.0" customHeight="1">
      <c r="A116" s="1283"/>
      <c r="B116" s="1284"/>
      <c r="C116" s="1285"/>
      <c r="D116" s="1286"/>
      <c r="E116" s="1287"/>
      <c r="F116" s="1283"/>
      <c r="G116" s="1288"/>
      <c r="H116" s="1289"/>
      <c r="I116" s="1289"/>
      <c r="J116" s="1290"/>
      <c r="K116" s="1291"/>
      <c r="L116" s="1292"/>
      <c r="M116" s="1292"/>
      <c r="N116" s="1292"/>
      <c r="O116" s="1292"/>
    </row>
    <row r="117" ht="33.0" customHeight="1">
      <c r="A117" s="1283"/>
      <c r="B117" s="1284"/>
      <c r="C117" s="1285"/>
      <c r="D117" s="1286"/>
      <c r="E117" s="1287"/>
      <c r="F117" s="1283"/>
      <c r="G117" s="1288"/>
      <c r="H117" s="1289"/>
      <c r="I117" s="1289"/>
      <c r="J117" s="1290"/>
      <c r="K117" s="1291"/>
      <c r="L117" s="1292"/>
      <c r="M117" s="1292"/>
      <c r="N117" s="1292"/>
      <c r="O117" s="1292"/>
    </row>
    <row r="118" ht="33.0" customHeight="1">
      <c r="A118" s="1283"/>
      <c r="B118" s="1284"/>
      <c r="C118" s="1285"/>
      <c r="D118" s="1286"/>
      <c r="E118" s="1287"/>
      <c r="F118" s="1283"/>
      <c r="G118" s="1288"/>
      <c r="H118" s="1289"/>
      <c r="I118" s="1289"/>
      <c r="J118" s="1290"/>
      <c r="K118" s="1291"/>
      <c r="L118" s="1292"/>
      <c r="M118" s="1292"/>
      <c r="N118" s="1292"/>
      <c r="O118" s="1292"/>
    </row>
    <row r="119" ht="33.0" customHeight="1">
      <c r="A119" s="1283"/>
      <c r="B119" s="1284"/>
      <c r="C119" s="1285"/>
      <c r="D119" s="1286"/>
      <c r="E119" s="1287"/>
      <c r="F119" s="1283"/>
      <c r="G119" s="1288"/>
      <c r="H119" s="1289"/>
      <c r="I119" s="1289"/>
      <c r="J119" s="1290"/>
      <c r="K119" s="1291"/>
      <c r="L119" s="1292"/>
      <c r="M119" s="1292"/>
      <c r="N119" s="1292"/>
      <c r="O119" s="1292"/>
    </row>
    <row r="120" ht="33.0" customHeight="1">
      <c r="A120" s="1283"/>
      <c r="B120" s="1284"/>
      <c r="C120" s="1285"/>
      <c r="D120" s="1286"/>
      <c r="E120" s="1287"/>
      <c r="F120" s="1283"/>
      <c r="G120" s="1288"/>
      <c r="H120" s="1289"/>
      <c r="I120" s="1289"/>
      <c r="J120" s="1290"/>
      <c r="K120" s="1291"/>
      <c r="L120" s="1292"/>
      <c r="M120" s="1292"/>
      <c r="N120" s="1292"/>
      <c r="O120" s="1292"/>
    </row>
    <row r="121" ht="33.0" customHeight="1">
      <c r="A121" s="1283"/>
      <c r="B121" s="1284"/>
      <c r="C121" s="1285"/>
      <c r="D121" s="1286"/>
      <c r="E121" s="1287"/>
      <c r="F121" s="1283"/>
      <c r="G121" s="1288"/>
      <c r="H121" s="1289"/>
      <c r="I121" s="1289"/>
      <c r="J121" s="1290"/>
      <c r="K121" s="1291"/>
      <c r="L121" s="1292"/>
      <c r="M121" s="1292"/>
      <c r="N121" s="1292"/>
      <c r="O121" s="1292"/>
    </row>
    <row r="122" ht="33.0" customHeight="1">
      <c r="A122" s="1283"/>
      <c r="B122" s="1284"/>
      <c r="C122" s="1285"/>
      <c r="D122" s="1286"/>
      <c r="E122" s="1287"/>
      <c r="F122" s="1283"/>
      <c r="G122" s="1288"/>
      <c r="H122" s="1289"/>
      <c r="I122" s="1289"/>
      <c r="J122" s="1290"/>
      <c r="K122" s="1291"/>
      <c r="L122" s="1292"/>
      <c r="M122" s="1292"/>
      <c r="N122" s="1292"/>
      <c r="O122" s="1292"/>
    </row>
    <row r="123" ht="33.0" customHeight="1">
      <c r="A123" s="1283"/>
      <c r="B123" s="1284"/>
      <c r="C123" s="1285"/>
      <c r="D123" s="1286"/>
      <c r="E123" s="1287"/>
      <c r="F123" s="1283"/>
      <c r="G123" s="1288"/>
      <c r="H123" s="1289"/>
      <c r="I123" s="1289"/>
      <c r="J123" s="1290"/>
      <c r="K123" s="1291"/>
      <c r="L123" s="1292"/>
      <c r="M123" s="1292"/>
      <c r="N123" s="1292"/>
      <c r="O123" s="1292"/>
    </row>
    <row r="124" ht="33.0" customHeight="1">
      <c r="A124" s="1283"/>
      <c r="B124" s="1284"/>
      <c r="C124" s="1285"/>
      <c r="D124" s="1286"/>
      <c r="E124" s="1287"/>
      <c r="F124" s="1283"/>
      <c r="G124" s="1288"/>
      <c r="H124" s="1289"/>
      <c r="I124" s="1289"/>
      <c r="J124" s="1290"/>
      <c r="K124" s="1291"/>
      <c r="L124" s="1292"/>
      <c r="M124" s="1292"/>
      <c r="N124" s="1292"/>
      <c r="O124" s="1292"/>
    </row>
    <row r="125" ht="33.0" customHeight="1">
      <c r="A125" s="1283"/>
      <c r="B125" s="1284"/>
      <c r="C125" s="1285"/>
      <c r="D125" s="1286"/>
      <c r="E125" s="1287"/>
      <c r="F125" s="1283"/>
      <c r="G125" s="1288"/>
      <c r="H125" s="1289"/>
      <c r="I125" s="1289"/>
      <c r="J125" s="1290"/>
      <c r="K125" s="1291"/>
      <c r="L125" s="1292"/>
      <c r="M125" s="1292"/>
      <c r="N125" s="1292"/>
      <c r="O125" s="1292"/>
    </row>
    <row r="126" ht="33.0" customHeight="1">
      <c r="A126" s="1283"/>
      <c r="B126" s="1284"/>
      <c r="C126" s="1285"/>
      <c r="D126" s="1286"/>
      <c r="E126" s="1287"/>
      <c r="F126" s="1283"/>
      <c r="G126" s="1288"/>
      <c r="H126" s="1289"/>
      <c r="I126" s="1289"/>
      <c r="J126" s="1290"/>
      <c r="K126" s="1291"/>
      <c r="L126" s="1292"/>
      <c r="M126" s="1292"/>
      <c r="N126" s="1292"/>
      <c r="O126" s="1292"/>
    </row>
    <row r="127" ht="33.0" customHeight="1">
      <c r="A127" s="1283"/>
      <c r="B127" s="1284"/>
      <c r="C127" s="1285"/>
      <c r="D127" s="1286"/>
      <c r="E127" s="1287"/>
      <c r="F127" s="1283"/>
      <c r="G127" s="1288"/>
      <c r="H127" s="1289"/>
      <c r="I127" s="1289"/>
      <c r="J127" s="1290"/>
      <c r="K127" s="1291"/>
      <c r="L127" s="1292"/>
      <c r="M127" s="1292"/>
      <c r="N127" s="1292"/>
      <c r="O127" s="1292"/>
    </row>
    <row r="128" ht="33.0" customHeight="1">
      <c r="A128" s="1283"/>
      <c r="B128" s="1284"/>
      <c r="C128" s="1285"/>
      <c r="D128" s="1286"/>
      <c r="E128" s="1287"/>
      <c r="F128" s="1283"/>
      <c r="G128" s="1288"/>
      <c r="H128" s="1289"/>
      <c r="I128" s="1289"/>
      <c r="J128" s="1290"/>
      <c r="K128" s="1291"/>
      <c r="L128" s="1292"/>
      <c r="M128" s="1292"/>
      <c r="N128" s="1292"/>
      <c r="O128" s="1292"/>
    </row>
    <row r="129" ht="33.0" customHeight="1">
      <c r="A129" s="1283"/>
      <c r="B129" s="1284"/>
      <c r="C129" s="1285"/>
      <c r="D129" s="1286"/>
      <c r="E129" s="1287"/>
      <c r="F129" s="1283"/>
      <c r="G129" s="1288"/>
      <c r="H129" s="1289"/>
      <c r="I129" s="1289"/>
      <c r="J129" s="1290"/>
      <c r="K129" s="1291"/>
      <c r="L129" s="1292"/>
      <c r="M129" s="1292"/>
      <c r="N129" s="1292"/>
      <c r="O129" s="1292"/>
    </row>
    <row r="130" ht="33.0" customHeight="1">
      <c r="A130" s="1283"/>
      <c r="B130" s="1284"/>
      <c r="C130" s="1285"/>
      <c r="D130" s="1286"/>
      <c r="E130" s="1287"/>
      <c r="F130" s="1283"/>
      <c r="G130" s="1288"/>
      <c r="H130" s="1289"/>
      <c r="I130" s="1289"/>
      <c r="J130" s="1290"/>
      <c r="K130" s="1291"/>
      <c r="L130" s="1292"/>
      <c r="M130" s="1292"/>
      <c r="N130" s="1292"/>
      <c r="O130" s="1292"/>
    </row>
    <row r="131" ht="33.0" customHeight="1">
      <c r="A131" s="1283"/>
      <c r="B131" s="1284"/>
      <c r="C131" s="1285"/>
      <c r="D131" s="1286"/>
      <c r="E131" s="1287"/>
      <c r="F131" s="1283"/>
      <c r="G131" s="1288"/>
      <c r="H131" s="1289"/>
      <c r="I131" s="1289"/>
      <c r="J131" s="1290"/>
      <c r="K131" s="1291"/>
      <c r="L131" s="1292"/>
      <c r="M131" s="1292"/>
      <c r="N131" s="1292"/>
      <c r="O131" s="1292"/>
    </row>
    <row r="132" ht="33.0" customHeight="1">
      <c r="A132" s="1283"/>
      <c r="B132" s="1284"/>
      <c r="C132" s="1285"/>
      <c r="D132" s="1286"/>
      <c r="E132" s="1287"/>
      <c r="F132" s="1283"/>
      <c r="G132" s="1288"/>
      <c r="H132" s="1289"/>
      <c r="I132" s="1289"/>
      <c r="J132" s="1290"/>
      <c r="K132" s="1291"/>
      <c r="L132" s="1292"/>
      <c r="M132" s="1292"/>
      <c r="N132" s="1292"/>
      <c r="O132" s="1292"/>
    </row>
    <row r="133" ht="33.0" customHeight="1">
      <c r="A133" s="1283"/>
      <c r="B133" s="1284"/>
      <c r="C133" s="1285"/>
      <c r="D133" s="1286"/>
      <c r="E133" s="1287"/>
      <c r="F133" s="1283"/>
      <c r="G133" s="1288"/>
      <c r="H133" s="1289"/>
      <c r="I133" s="1289"/>
      <c r="J133" s="1290"/>
      <c r="K133" s="1291"/>
      <c r="L133" s="1292"/>
      <c r="M133" s="1292"/>
      <c r="N133" s="1292"/>
      <c r="O133" s="1292"/>
    </row>
    <row r="134" ht="33.0" customHeight="1">
      <c r="A134" s="1283"/>
      <c r="B134" s="1284"/>
      <c r="C134" s="1285"/>
      <c r="D134" s="1286"/>
      <c r="E134" s="1287"/>
      <c r="F134" s="1283"/>
      <c r="G134" s="1288"/>
      <c r="H134" s="1289"/>
      <c r="I134" s="1289"/>
      <c r="J134" s="1290"/>
      <c r="K134" s="1291"/>
      <c r="L134" s="1292"/>
      <c r="M134" s="1292"/>
      <c r="N134" s="1292"/>
      <c r="O134" s="1292"/>
    </row>
    <row r="135" ht="33.0" customHeight="1">
      <c r="A135" s="1283"/>
      <c r="B135" s="1284"/>
      <c r="C135" s="1285"/>
      <c r="D135" s="1286"/>
      <c r="E135" s="1287"/>
      <c r="F135" s="1283"/>
      <c r="G135" s="1288"/>
      <c r="H135" s="1289"/>
      <c r="I135" s="1289"/>
      <c r="J135" s="1290"/>
      <c r="K135" s="1291"/>
      <c r="L135" s="1292"/>
      <c r="M135" s="1292"/>
      <c r="N135" s="1292"/>
      <c r="O135" s="1292"/>
    </row>
    <row r="136" ht="33.0" customHeight="1">
      <c r="A136" s="1283"/>
      <c r="B136" s="1284"/>
      <c r="C136" s="1285"/>
      <c r="D136" s="1286"/>
      <c r="E136" s="1287"/>
      <c r="F136" s="1283"/>
      <c r="G136" s="1288"/>
      <c r="H136" s="1289"/>
      <c r="I136" s="1289"/>
      <c r="J136" s="1290"/>
      <c r="K136" s="1291"/>
      <c r="L136" s="1292"/>
      <c r="M136" s="1292"/>
      <c r="N136" s="1292"/>
      <c r="O136" s="1292"/>
    </row>
    <row r="137" ht="33.0" customHeight="1">
      <c r="A137" s="1283"/>
      <c r="B137" s="1284"/>
      <c r="C137" s="1285"/>
      <c r="D137" s="1286"/>
      <c r="E137" s="1287"/>
      <c r="F137" s="1283"/>
      <c r="G137" s="1288"/>
      <c r="H137" s="1289"/>
      <c r="I137" s="1289"/>
      <c r="J137" s="1290"/>
      <c r="K137" s="1291"/>
      <c r="L137" s="1292"/>
      <c r="M137" s="1292"/>
      <c r="N137" s="1292"/>
      <c r="O137" s="1292"/>
    </row>
    <row r="138" ht="33.0" customHeight="1">
      <c r="A138" s="1283"/>
      <c r="B138" s="1284"/>
      <c r="C138" s="1285"/>
      <c r="D138" s="1286"/>
      <c r="E138" s="1287"/>
      <c r="F138" s="1283"/>
      <c r="G138" s="1288"/>
      <c r="H138" s="1289"/>
      <c r="I138" s="1289"/>
      <c r="J138" s="1290"/>
      <c r="K138" s="1291"/>
      <c r="L138" s="1292"/>
      <c r="M138" s="1292"/>
      <c r="N138" s="1292"/>
      <c r="O138" s="1292"/>
    </row>
    <row r="139" ht="33.0" customHeight="1">
      <c r="A139" s="1283"/>
      <c r="B139" s="1284"/>
      <c r="C139" s="1285"/>
      <c r="D139" s="1286"/>
      <c r="E139" s="1287"/>
      <c r="F139" s="1283"/>
      <c r="G139" s="1288"/>
      <c r="H139" s="1289"/>
      <c r="I139" s="1289"/>
      <c r="J139" s="1290"/>
      <c r="K139" s="1291"/>
      <c r="L139" s="1292"/>
      <c r="M139" s="1292"/>
      <c r="N139" s="1292"/>
      <c r="O139" s="1292"/>
    </row>
    <row r="140" ht="33.0" customHeight="1">
      <c r="A140" s="1283"/>
      <c r="B140" s="1284"/>
      <c r="C140" s="1285"/>
      <c r="D140" s="1286"/>
      <c r="E140" s="1287"/>
      <c r="F140" s="1283"/>
      <c r="G140" s="1288"/>
      <c r="H140" s="1289"/>
      <c r="I140" s="1289"/>
      <c r="J140" s="1290"/>
      <c r="K140" s="1291"/>
      <c r="L140" s="1292"/>
      <c r="M140" s="1292"/>
      <c r="N140" s="1292"/>
      <c r="O140" s="1292"/>
    </row>
    <row r="141" ht="33.0" customHeight="1">
      <c r="A141" s="1283"/>
      <c r="B141" s="1284"/>
      <c r="C141" s="1285"/>
      <c r="D141" s="1286"/>
      <c r="E141" s="1287"/>
      <c r="F141" s="1283"/>
      <c r="G141" s="1288"/>
      <c r="H141" s="1289"/>
      <c r="I141" s="1289"/>
      <c r="J141" s="1290"/>
      <c r="K141" s="1291"/>
      <c r="L141" s="1292"/>
      <c r="M141" s="1292"/>
      <c r="N141" s="1292"/>
      <c r="O141" s="1292"/>
    </row>
    <row r="142" ht="33.0" customHeight="1">
      <c r="A142" s="1283"/>
      <c r="B142" s="1284"/>
      <c r="C142" s="1285"/>
      <c r="D142" s="1286"/>
      <c r="E142" s="1287"/>
      <c r="F142" s="1283"/>
      <c r="G142" s="1288"/>
      <c r="H142" s="1289"/>
      <c r="I142" s="1289"/>
      <c r="J142" s="1290"/>
      <c r="K142" s="1291"/>
      <c r="L142" s="1292"/>
      <c r="M142" s="1292"/>
      <c r="N142" s="1292"/>
      <c r="O142" s="1292"/>
    </row>
    <row r="143" ht="33.0" customHeight="1">
      <c r="A143" s="1283"/>
      <c r="B143" s="1284"/>
      <c r="C143" s="1285"/>
      <c r="D143" s="1286"/>
      <c r="E143" s="1287"/>
      <c r="F143" s="1283"/>
      <c r="G143" s="1288"/>
      <c r="H143" s="1289"/>
      <c r="I143" s="1289"/>
      <c r="J143" s="1290"/>
      <c r="K143" s="1291"/>
      <c r="L143" s="1292"/>
      <c r="M143" s="1292"/>
      <c r="N143" s="1292"/>
      <c r="O143" s="1292"/>
    </row>
    <row r="144" ht="33.0" customHeight="1">
      <c r="A144" s="1283"/>
      <c r="B144" s="1284"/>
      <c r="C144" s="1285"/>
      <c r="D144" s="1286"/>
      <c r="E144" s="1287"/>
      <c r="F144" s="1283"/>
      <c r="G144" s="1288"/>
      <c r="H144" s="1289"/>
      <c r="I144" s="1289"/>
      <c r="J144" s="1290"/>
      <c r="K144" s="1291"/>
      <c r="L144" s="1292"/>
      <c r="M144" s="1292"/>
      <c r="N144" s="1292"/>
      <c r="O144" s="1292"/>
    </row>
    <row r="145" ht="33.0" customHeight="1">
      <c r="A145" s="1283"/>
      <c r="B145" s="1284"/>
      <c r="C145" s="1285"/>
      <c r="D145" s="1286"/>
      <c r="E145" s="1287"/>
      <c r="F145" s="1283"/>
      <c r="G145" s="1288"/>
      <c r="H145" s="1289"/>
      <c r="I145" s="1289"/>
      <c r="J145" s="1290"/>
      <c r="K145" s="1291"/>
      <c r="L145" s="1292"/>
      <c r="M145" s="1292"/>
      <c r="N145" s="1292"/>
      <c r="O145" s="1292"/>
    </row>
    <row r="146" ht="33.0" customHeight="1">
      <c r="A146" s="1283"/>
      <c r="B146" s="1284"/>
      <c r="C146" s="1285"/>
      <c r="D146" s="1286"/>
      <c r="E146" s="1287"/>
      <c r="F146" s="1283"/>
      <c r="G146" s="1288"/>
      <c r="H146" s="1289"/>
      <c r="I146" s="1289"/>
      <c r="J146" s="1290"/>
      <c r="K146" s="1291"/>
      <c r="L146" s="1292"/>
      <c r="M146" s="1292"/>
      <c r="N146" s="1292"/>
      <c r="O146" s="1292"/>
    </row>
    <row r="147" ht="33.0" customHeight="1">
      <c r="A147" s="1283"/>
      <c r="B147" s="1284"/>
      <c r="C147" s="1285"/>
      <c r="D147" s="1286"/>
      <c r="E147" s="1287"/>
      <c r="F147" s="1283"/>
      <c r="G147" s="1288"/>
      <c r="H147" s="1289"/>
      <c r="I147" s="1289"/>
      <c r="J147" s="1290"/>
      <c r="K147" s="1291"/>
      <c r="L147" s="1292"/>
      <c r="M147" s="1292"/>
      <c r="N147" s="1292"/>
      <c r="O147" s="1292"/>
    </row>
    <row r="148" ht="33.0" customHeight="1">
      <c r="A148" s="1283"/>
      <c r="B148" s="1284"/>
      <c r="C148" s="1285"/>
      <c r="D148" s="1286"/>
      <c r="E148" s="1287"/>
      <c r="F148" s="1283"/>
      <c r="G148" s="1288"/>
      <c r="H148" s="1289"/>
      <c r="I148" s="1289"/>
      <c r="J148" s="1290"/>
      <c r="K148" s="1291"/>
      <c r="L148" s="1292"/>
      <c r="M148" s="1292"/>
      <c r="N148" s="1292"/>
      <c r="O148" s="1292"/>
    </row>
    <row r="149" ht="33.0" customHeight="1">
      <c r="A149" s="1283"/>
      <c r="B149" s="1284"/>
      <c r="C149" s="1285"/>
      <c r="D149" s="1286"/>
      <c r="E149" s="1287"/>
      <c r="F149" s="1283"/>
      <c r="G149" s="1288"/>
      <c r="H149" s="1289"/>
      <c r="I149" s="1289"/>
      <c r="J149" s="1290"/>
      <c r="K149" s="1291"/>
      <c r="L149" s="1292"/>
      <c r="M149" s="1292"/>
      <c r="N149" s="1292"/>
      <c r="O149" s="1292"/>
    </row>
    <row r="150" ht="33.0" customHeight="1">
      <c r="A150" s="1283"/>
      <c r="B150" s="1284"/>
      <c r="C150" s="1285"/>
      <c r="D150" s="1286"/>
      <c r="E150" s="1287"/>
      <c r="F150" s="1283"/>
      <c r="G150" s="1288"/>
      <c r="H150" s="1289"/>
      <c r="I150" s="1289"/>
      <c r="J150" s="1290"/>
      <c r="K150" s="1291"/>
      <c r="L150" s="1292"/>
      <c r="M150" s="1292"/>
      <c r="N150" s="1292"/>
      <c r="O150" s="1292"/>
    </row>
    <row r="151" ht="33.0" customHeight="1">
      <c r="A151" s="1283"/>
      <c r="B151" s="1284"/>
      <c r="C151" s="1285"/>
      <c r="D151" s="1286"/>
      <c r="E151" s="1287"/>
      <c r="F151" s="1283"/>
      <c r="G151" s="1288"/>
      <c r="H151" s="1289"/>
      <c r="I151" s="1289"/>
      <c r="J151" s="1290"/>
      <c r="K151" s="1291"/>
      <c r="L151" s="1292"/>
      <c r="M151" s="1292"/>
      <c r="N151" s="1292"/>
      <c r="O151" s="1292"/>
    </row>
    <row r="152" ht="33.0" customHeight="1">
      <c r="A152" s="1283"/>
      <c r="B152" s="1284"/>
      <c r="C152" s="1285"/>
      <c r="D152" s="1286"/>
      <c r="E152" s="1287"/>
      <c r="F152" s="1283"/>
      <c r="G152" s="1288"/>
      <c r="H152" s="1289"/>
      <c r="I152" s="1289"/>
      <c r="J152" s="1290"/>
      <c r="K152" s="1291"/>
      <c r="L152" s="1292"/>
      <c r="M152" s="1292"/>
      <c r="N152" s="1292"/>
      <c r="O152" s="1292"/>
    </row>
    <row r="153" ht="33.0" customHeight="1">
      <c r="A153" s="1283"/>
      <c r="B153" s="1284"/>
      <c r="C153" s="1285"/>
      <c r="D153" s="1286"/>
      <c r="E153" s="1287"/>
      <c r="F153" s="1283"/>
      <c r="G153" s="1288"/>
      <c r="H153" s="1289"/>
      <c r="I153" s="1289"/>
      <c r="J153" s="1290"/>
      <c r="K153" s="1291"/>
      <c r="L153" s="1292"/>
      <c r="M153" s="1292"/>
      <c r="N153" s="1292"/>
      <c r="O153" s="1292"/>
    </row>
    <row r="154" ht="33.0" customHeight="1">
      <c r="A154" s="1283"/>
      <c r="B154" s="1284"/>
      <c r="C154" s="1285"/>
      <c r="D154" s="1286"/>
      <c r="E154" s="1287"/>
      <c r="F154" s="1283"/>
      <c r="G154" s="1288"/>
      <c r="H154" s="1289"/>
      <c r="I154" s="1289"/>
      <c r="J154" s="1290"/>
      <c r="K154" s="1291"/>
      <c r="L154" s="1292"/>
      <c r="M154" s="1292"/>
      <c r="N154" s="1292"/>
      <c r="O154" s="1292"/>
    </row>
    <row r="155" ht="33.0" customHeight="1">
      <c r="A155" s="1283"/>
      <c r="B155" s="1284"/>
      <c r="C155" s="1285"/>
      <c r="D155" s="1286"/>
      <c r="E155" s="1287"/>
      <c r="F155" s="1283"/>
      <c r="G155" s="1288"/>
      <c r="H155" s="1289"/>
      <c r="I155" s="1289"/>
      <c r="J155" s="1290"/>
      <c r="K155" s="1291"/>
      <c r="L155" s="1292"/>
      <c r="M155" s="1292"/>
      <c r="N155" s="1292"/>
      <c r="O155" s="1292"/>
    </row>
    <row r="156" ht="33.0" customHeight="1">
      <c r="A156" s="1283"/>
      <c r="B156" s="1284"/>
      <c r="C156" s="1285"/>
      <c r="D156" s="1286"/>
      <c r="E156" s="1287"/>
      <c r="F156" s="1283"/>
      <c r="G156" s="1288"/>
      <c r="H156" s="1289"/>
      <c r="I156" s="1289"/>
      <c r="J156" s="1290"/>
      <c r="K156" s="1291"/>
      <c r="L156" s="1292"/>
      <c r="M156" s="1292"/>
      <c r="N156" s="1292"/>
      <c r="O156" s="1292"/>
    </row>
    <row r="157" ht="33.0" customHeight="1">
      <c r="A157" s="1283"/>
      <c r="B157" s="1284"/>
      <c r="C157" s="1285"/>
      <c r="D157" s="1286"/>
      <c r="E157" s="1287"/>
      <c r="F157" s="1283"/>
      <c r="G157" s="1288"/>
      <c r="H157" s="1289"/>
      <c r="I157" s="1289"/>
      <c r="J157" s="1290"/>
      <c r="K157" s="1291"/>
      <c r="L157" s="1292"/>
      <c r="M157" s="1292"/>
      <c r="N157" s="1292"/>
      <c r="O157" s="1292"/>
    </row>
    <row r="158" ht="33.0" customHeight="1">
      <c r="A158" s="1283"/>
      <c r="B158" s="1284"/>
      <c r="C158" s="1285"/>
      <c r="D158" s="1286"/>
      <c r="E158" s="1287"/>
      <c r="F158" s="1283"/>
      <c r="G158" s="1288"/>
      <c r="H158" s="1289"/>
      <c r="I158" s="1289"/>
      <c r="J158" s="1290"/>
      <c r="K158" s="1291"/>
      <c r="L158" s="1292"/>
      <c r="M158" s="1292"/>
      <c r="N158" s="1292"/>
      <c r="O158" s="1292"/>
    </row>
    <row r="159" ht="33.0" customHeight="1">
      <c r="A159" s="1283"/>
      <c r="B159" s="1284"/>
      <c r="C159" s="1285"/>
      <c r="D159" s="1286"/>
      <c r="E159" s="1287"/>
      <c r="F159" s="1283"/>
      <c r="G159" s="1288"/>
      <c r="H159" s="1289"/>
      <c r="I159" s="1289"/>
      <c r="J159" s="1290"/>
      <c r="K159" s="1291"/>
      <c r="L159" s="1292"/>
      <c r="M159" s="1292"/>
      <c r="N159" s="1292"/>
      <c r="O159" s="1292"/>
    </row>
    <row r="160" ht="33.0" customHeight="1">
      <c r="A160" s="1283"/>
      <c r="B160" s="1284"/>
      <c r="C160" s="1285"/>
      <c r="D160" s="1286"/>
      <c r="E160" s="1287"/>
      <c r="F160" s="1283"/>
      <c r="G160" s="1288"/>
      <c r="H160" s="1289"/>
      <c r="I160" s="1289"/>
      <c r="J160" s="1290"/>
      <c r="K160" s="1291"/>
      <c r="L160" s="1292"/>
      <c r="M160" s="1292"/>
      <c r="N160" s="1292"/>
      <c r="O160" s="1292"/>
    </row>
    <row r="161" ht="33.0" customHeight="1">
      <c r="A161" s="1283"/>
      <c r="B161" s="1284"/>
      <c r="C161" s="1285"/>
      <c r="D161" s="1286"/>
      <c r="E161" s="1287"/>
      <c r="F161" s="1283"/>
      <c r="G161" s="1288"/>
      <c r="H161" s="1289"/>
      <c r="I161" s="1289"/>
      <c r="J161" s="1290"/>
      <c r="K161" s="1291"/>
      <c r="L161" s="1292"/>
      <c r="M161" s="1292"/>
      <c r="N161" s="1292"/>
      <c r="O161" s="1292"/>
    </row>
    <row r="162" ht="33.0" customHeight="1">
      <c r="A162" s="1283"/>
      <c r="B162" s="1284"/>
      <c r="C162" s="1285"/>
      <c r="D162" s="1286"/>
      <c r="E162" s="1287"/>
      <c r="F162" s="1283"/>
      <c r="G162" s="1288"/>
      <c r="H162" s="1289"/>
      <c r="I162" s="1289"/>
      <c r="J162" s="1290"/>
      <c r="K162" s="1291"/>
      <c r="L162" s="1292"/>
      <c r="M162" s="1292"/>
      <c r="N162" s="1292"/>
      <c r="O162" s="1292"/>
    </row>
    <row r="163" ht="33.0" customHeight="1">
      <c r="A163" s="1283"/>
      <c r="B163" s="1284"/>
      <c r="C163" s="1285"/>
      <c r="D163" s="1286"/>
      <c r="E163" s="1287"/>
      <c r="F163" s="1283"/>
      <c r="G163" s="1288"/>
      <c r="H163" s="1289"/>
      <c r="I163" s="1289"/>
      <c r="J163" s="1290"/>
      <c r="K163" s="1291"/>
      <c r="L163" s="1292"/>
      <c r="M163" s="1292"/>
      <c r="N163" s="1292"/>
      <c r="O163" s="1292"/>
    </row>
    <row r="164" ht="33.0" customHeight="1">
      <c r="A164" s="1283"/>
      <c r="B164" s="1284"/>
      <c r="C164" s="1285"/>
      <c r="D164" s="1286"/>
      <c r="E164" s="1287"/>
      <c r="F164" s="1283"/>
      <c r="G164" s="1288"/>
      <c r="H164" s="1289"/>
      <c r="I164" s="1289"/>
      <c r="J164" s="1290"/>
      <c r="K164" s="1291"/>
      <c r="L164" s="1292"/>
      <c r="M164" s="1292"/>
      <c r="N164" s="1292"/>
      <c r="O164" s="1292"/>
    </row>
    <row r="165" ht="33.0" customHeight="1">
      <c r="A165" s="1283"/>
      <c r="B165" s="1284"/>
      <c r="C165" s="1285"/>
      <c r="D165" s="1286"/>
      <c r="E165" s="1287"/>
      <c r="F165" s="1283"/>
      <c r="G165" s="1288"/>
      <c r="H165" s="1289"/>
      <c r="I165" s="1289"/>
      <c r="J165" s="1290"/>
      <c r="K165" s="1291"/>
      <c r="L165" s="1292"/>
      <c r="M165" s="1292"/>
      <c r="N165" s="1292"/>
      <c r="O165" s="1292"/>
    </row>
    <row r="166" ht="33.0" customHeight="1">
      <c r="A166" s="1283"/>
      <c r="B166" s="1284"/>
      <c r="C166" s="1285"/>
      <c r="D166" s="1286"/>
      <c r="E166" s="1287"/>
      <c r="F166" s="1283"/>
      <c r="G166" s="1288"/>
      <c r="H166" s="1289"/>
      <c r="I166" s="1289"/>
      <c r="J166" s="1290"/>
      <c r="K166" s="1291"/>
      <c r="L166" s="1292"/>
      <c r="M166" s="1292"/>
      <c r="N166" s="1292"/>
      <c r="O166" s="1292"/>
    </row>
    <row r="167" ht="33.0" customHeight="1">
      <c r="A167" s="1283"/>
      <c r="B167" s="1284"/>
      <c r="C167" s="1285"/>
      <c r="D167" s="1286"/>
      <c r="E167" s="1287"/>
      <c r="F167" s="1283"/>
      <c r="G167" s="1288"/>
      <c r="H167" s="1289"/>
      <c r="I167" s="1289"/>
      <c r="J167" s="1290"/>
      <c r="K167" s="1291"/>
      <c r="L167" s="1292"/>
      <c r="M167" s="1292"/>
      <c r="N167" s="1292"/>
      <c r="O167" s="1292"/>
    </row>
    <row r="168" ht="33.0" customHeight="1">
      <c r="A168" s="1283"/>
      <c r="B168" s="1284"/>
      <c r="C168" s="1285"/>
      <c r="D168" s="1286"/>
      <c r="E168" s="1287"/>
      <c r="F168" s="1283"/>
      <c r="G168" s="1288"/>
      <c r="H168" s="1289"/>
      <c r="I168" s="1289"/>
      <c r="J168" s="1290"/>
      <c r="K168" s="1291"/>
      <c r="L168" s="1292"/>
      <c r="M168" s="1292"/>
      <c r="N168" s="1292"/>
      <c r="O168" s="1292"/>
    </row>
    <row r="169" ht="33.0" customHeight="1">
      <c r="A169" s="1283"/>
      <c r="B169" s="1284"/>
      <c r="C169" s="1285"/>
      <c r="D169" s="1286"/>
      <c r="E169" s="1287"/>
      <c r="F169" s="1283"/>
      <c r="G169" s="1288"/>
      <c r="H169" s="1289"/>
      <c r="I169" s="1289"/>
      <c r="J169" s="1290"/>
      <c r="K169" s="1291"/>
      <c r="L169" s="1292"/>
      <c r="M169" s="1292"/>
      <c r="N169" s="1292"/>
      <c r="O169" s="1292"/>
    </row>
    <row r="170" ht="33.0" customHeight="1">
      <c r="A170" s="1283"/>
      <c r="B170" s="1284"/>
      <c r="C170" s="1285"/>
      <c r="D170" s="1286"/>
      <c r="E170" s="1287"/>
      <c r="F170" s="1283"/>
      <c r="G170" s="1288"/>
      <c r="H170" s="1289"/>
      <c r="I170" s="1289"/>
      <c r="J170" s="1290"/>
      <c r="K170" s="1291"/>
      <c r="L170" s="1292"/>
      <c r="M170" s="1292"/>
      <c r="N170" s="1292"/>
      <c r="O170" s="1292"/>
    </row>
    <row r="171" ht="33.0" customHeight="1">
      <c r="A171" s="1283"/>
      <c r="B171" s="1284"/>
      <c r="C171" s="1285"/>
      <c r="D171" s="1286"/>
      <c r="E171" s="1287"/>
      <c r="F171" s="1283"/>
      <c r="G171" s="1288"/>
      <c r="H171" s="1289"/>
      <c r="I171" s="1289"/>
      <c r="J171" s="1290"/>
      <c r="K171" s="1291"/>
      <c r="L171" s="1292"/>
      <c r="M171" s="1292"/>
      <c r="N171" s="1292"/>
      <c r="O171" s="1292"/>
    </row>
    <row r="172" ht="33.0" customHeight="1">
      <c r="A172" s="1283"/>
      <c r="B172" s="1284"/>
      <c r="C172" s="1285"/>
      <c r="D172" s="1286"/>
      <c r="E172" s="1287"/>
      <c r="F172" s="1283"/>
      <c r="G172" s="1288"/>
      <c r="H172" s="1289"/>
      <c r="I172" s="1289"/>
      <c r="J172" s="1290"/>
      <c r="K172" s="1291"/>
      <c r="L172" s="1292"/>
      <c r="M172" s="1292"/>
      <c r="N172" s="1292"/>
      <c r="O172" s="1292"/>
    </row>
    <row r="173" ht="33.0" customHeight="1">
      <c r="A173" s="1283"/>
      <c r="B173" s="1284"/>
      <c r="C173" s="1285"/>
      <c r="D173" s="1286"/>
      <c r="E173" s="1287"/>
      <c r="F173" s="1283"/>
      <c r="G173" s="1288"/>
      <c r="H173" s="1289"/>
      <c r="I173" s="1289"/>
      <c r="J173" s="1290"/>
      <c r="K173" s="1291"/>
      <c r="L173" s="1292"/>
      <c r="M173" s="1292"/>
      <c r="N173" s="1292"/>
      <c r="O173" s="1292"/>
    </row>
    <row r="174" ht="33.0" customHeight="1">
      <c r="A174" s="1283"/>
      <c r="B174" s="1284"/>
      <c r="C174" s="1285"/>
      <c r="D174" s="1286"/>
      <c r="E174" s="1287"/>
      <c r="F174" s="1283"/>
      <c r="G174" s="1288"/>
      <c r="H174" s="1289"/>
      <c r="I174" s="1289"/>
      <c r="J174" s="1290"/>
      <c r="K174" s="1291"/>
      <c r="L174" s="1292"/>
      <c r="M174" s="1292"/>
      <c r="N174" s="1292"/>
      <c r="O174" s="1292"/>
    </row>
    <row r="175" ht="33.0" customHeight="1">
      <c r="A175" s="1283"/>
      <c r="B175" s="1284"/>
      <c r="C175" s="1285"/>
      <c r="D175" s="1286"/>
      <c r="E175" s="1287"/>
      <c r="F175" s="1283"/>
      <c r="G175" s="1288"/>
      <c r="H175" s="1289"/>
      <c r="I175" s="1289"/>
      <c r="J175" s="1290"/>
      <c r="K175" s="1291"/>
      <c r="L175" s="1292"/>
      <c r="M175" s="1292"/>
      <c r="N175" s="1292"/>
      <c r="O175" s="1292"/>
    </row>
    <row r="176" ht="33.0" customHeight="1">
      <c r="A176" s="1283"/>
      <c r="B176" s="1284"/>
      <c r="C176" s="1285"/>
      <c r="D176" s="1286"/>
      <c r="E176" s="1287"/>
      <c r="F176" s="1283"/>
      <c r="G176" s="1288"/>
      <c r="H176" s="1289"/>
      <c r="I176" s="1289"/>
      <c r="J176" s="1290"/>
      <c r="K176" s="1291"/>
      <c r="L176" s="1292"/>
      <c r="M176" s="1292"/>
      <c r="N176" s="1292"/>
      <c r="O176" s="1292"/>
    </row>
    <row r="177" ht="33.0" customHeight="1">
      <c r="A177" s="1283"/>
      <c r="B177" s="1284"/>
      <c r="C177" s="1285"/>
      <c r="D177" s="1286"/>
      <c r="E177" s="1287"/>
      <c r="F177" s="1283"/>
      <c r="G177" s="1288"/>
      <c r="H177" s="1289"/>
      <c r="I177" s="1289"/>
      <c r="J177" s="1290"/>
      <c r="K177" s="1291"/>
      <c r="L177" s="1292"/>
      <c r="M177" s="1292"/>
      <c r="N177" s="1292"/>
      <c r="O177" s="1292"/>
    </row>
    <row r="178" ht="33.0" customHeight="1">
      <c r="A178" s="1283"/>
      <c r="B178" s="1284"/>
      <c r="C178" s="1285"/>
      <c r="D178" s="1286"/>
      <c r="E178" s="1287"/>
      <c r="F178" s="1283"/>
      <c r="G178" s="1288"/>
      <c r="H178" s="1289"/>
      <c r="I178" s="1289"/>
      <c r="J178" s="1290"/>
      <c r="K178" s="1291"/>
      <c r="L178" s="1292"/>
      <c r="M178" s="1292"/>
      <c r="N178" s="1292"/>
      <c r="O178" s="1292"/>
    </row>
    <row r="179" ht="33.0" customHeight="1">
      <c r="A179" s="1283"/>
      <c r="B179" s="1284"/>
      <c r="C179" s="1285"/>
      <c r="D179" s="1286"/>
      <c r="E179" s="1287"/>
      <c r="F179" s="1283"/>
      <c r="G179" s="1288"/>
      <c r="H179" s="1289"/>
      <c r="I179" s="1289"/>
      <c r="J179" s="1290"/>
      <c r="K179" s="1291"/>
      <c r="L179" s="1292"/>
      <c r="M179" s="1292"/>
      <c r="N179" s="1292"/>
      <c r="O179" s="1292"/>
    </row>
    <row r="180" ht="33.0" customHeight="1">
      <c r="A180" s="1283"/>
      <c r="B180" s="1284"/>
      <c r="C180" s="1285"/>
      <c r="D180" s="1286"/>
      <c r="E180" s="1287"/>
      <c r="F180" s="1283"/>
      <c r="G180" s="1288"/>
      <c r="H180" s="1289"/>
      <c r="I180" s="1289"/>
      <c r="J180" s="1290"/>
      <c r="K180" s="1291"/>
      <c r="L180" s="1292"/>
      <c r="M180" s="1292"/>
      <c r="N180" s="1292"/>
      <c r="O180" s="1292"/>
    </row>
    <row r="181" ht="33.0" customHeight="1">
      <c r="A181" s="1283"/>
      <c r="B181" s="1284"/>
      <c r="C181" s="1285"/>
      <c r="D181" s="1286"/>
      <c r="E181" s="1287"/>
      <c r="F181" s="1283"/>
      <c r="G181" s="1288"/>
      <c r="H181" s="1289"/>
      <c r="I181" s="1289"/>
      <c r="J181" s="1290"/>
      <c r="K181" s="1291"/>
      <c r="L181" s="1292"/>
      <c r="M181" s="1292"/>
      <c r="N181" s="1292"/>
      <c r="O181" s="1292"/>
    </row>
    <row r="182" ht="33.0" customHeight="1">
      <c r="A182" s="1283"/>
      <c r="B182" s="1284"/>
      <c r="C182" s="1285"/>
      <c r="D182" s="1286"/>
      <c r="E182" s="1287"/>
      <c r="F182" s="1283"/>
      <c r="G182" s="1288"/>
      <c r="H182" s="1289"/>
      <c r="I182" s="1289"/>
      <c r="J182" s="1290"/>
      <c r="K182" s="1291"/>
      <c r="L182" s="1292"/>
      <c r="M182" s="1292"/>
      <c r="N182" s="1292"/>
      <c r="O182" s="1292"/>
    </row>
    <row r="183" ht="33.0" customHeight="1">
      <c r="A183" s="1283"/>
      <c r="B183" s="1284"/>
      <c r="C183" s="1285"/>
      <c r="D183" s="1286"/>
      <c r="E183" s="1287"/>
      <c r="F183" s="1283"/>
      <c r="G183" s="1288"/>
      <c r="H183" s="1289"/>
      <c r="I183" s="1289"/>
      <c r="J183" s="1290"/>
      <c r="K183" s="1291"/>
      <c r="L183" s="1292"/>
      <c r="M183" s="1292"/>
      <c r="N183" s="1292"/>
      <c r="O183" s="1292"/>
    </row>
    <row r="184" ht="33.0" customHeight="1">
      <c r="A184" s="1283"/>
      <c r="B184" s="1284"/>
      <c r="C184" s="1285"/>
      <c r="D184" s="1286"/>
      <c r="E184" s="1287"/>
      <c r="F184" s="1283"/>
      <c r="G184" s="1288"/>
      <c r="H184" s="1289"/>
      <c r="I184" s="1289"/>
      <c r="J184" s="1290"/>
      <c r="K184" s="1291"/>
      <c r="L184" s="1292"/>
      <c r="M184" s="1292"/>
      <c r="N184" s="1292"/>
      <c r="O184" s="1292"/>
    </row>
    <row r="185" ht="33.0" customHeight="1">
      <c r="A185" s="1283"/>
      <c r="B185" s="1284"/>
      <c r="C185" s="1285"/>
      <c r="D185" s="1286"/>
      <c r="E185" s="1287"/>
      <c r="F185" s="1283"/>
      <c r="G185" s="1288"/>
      <c r="H185" s="1289"/>
      <c r="I185" s="1289"/>
      <c r="J185" s="1290"/>
      <c r="K185" s="1291"/>
      <c r="L185" s="1292"/>
      <c r="M185" s="1292"/>
      <c r="N185" s="1292"/>
      <c r="O185" s="1292"/>
    </row>
    <row r="186" ht="33.0" customHeight="1">
      <c r="A186" s="1283"/>
      <c r="B186" s="1284"/>
      <c r="C186" s="1285"/>
      <c r="D186" s="1286"/>
      <c r="E186" s="1287"/>
      <c r="F186" s="1283"/>
      <c r="G186" s="1288"/>
      <c r="H186" s="1289"/>
      <c r="I186" s="1289"/>
      <c r="J186" s="1290"/>
      <c r="K186" s="1291"/>
      <c r="L186" s="1292"/>
      <c r="M186" s="1292"/>
      <c r="N186" s="1292"/>
      <c r="O186" s="1292"/>
    </row>
    <row r="187" ht="33.0" customHeight="1">
      <c r="A187" s="1283"/>
      <c r="B187" s="1284"/>
      <c r="C187" s="1285"/>
      <c r="D187" s="1286"/>
      <c r="E187" s="1287"/>
      <c r="F187" s="1283"/>
      <c r="G187" s="1288"/>
      <c r="H187" s="1289"/>
      <c r="I187" s="1289"/>
      <c r="J187" s="1290"/>
      <c r="K187" s="1291"/>
      <c r="L187" s="1292"/>
      <c r="M187" s="1292"/>
      <c r="N187" s="1292"/>
      <c r="O187" s="1292"/>
    </row>
    <row r="188" ht="33.0" customHeight="1">
      <c r="A188" s="1283"/>
      <c r="B188" s="1284"/>
      <c r="C188" s="1285"/>
      <c r="D188" s="1286"/>
      <c r="E188" s="1287"/>
      <c r="F188" s="1283"/>
      <c r="G188" s="1288"/>
      <c r="H188" s="1289"/>
      <c r="I188" s="1289"/>
      <c r="J188" s="1290"/>
      <c r="K188" s="1291"/>
      <c r="L188" s="1292"/>
      <c r="M188" s="1292"/>
      <c r="N188" s="1292"/>
      <c r="O188" s="1292"/>
    </row>
    <row r="189" ht="33.0" customHeight="1">
      <c r="A189" s="1283"/>
      <c r="B189" s="1284"/>
      <c r="C189" s="1285"/>
      <c r="D189" s="1286"/>
      <c r="E189" s="1287"/>
      <c r="F189" s="1283"/>
      <c r="G189" s="1288"/>
      <c r="H189" s="1289"/>
      <c r="I189" s="1289"/>
      <c r="J189" s="1290"/>
      <c r="K189" s="1291"/>
      <c r="L189" s="1292"/>
      <c r="M189" s="1292"/>
      <c r="N189" s="1292"/>
      <c r="O189" s="1292"/>
    </row>
    <row r="190" ht="33.0" customHeight="1">
      <c r="A190" s="1283"/>
      <c r="B190" s="1284"/>
      <c r="C190" s="1285"/>
      <c r="D190" s="1286"/>
      <c r="E190" s="1287"/>
      <c r="F190" s="1283"/>
      <c r="G190" s="1288"/>
      <c r="H190" s="1289"/>
      <c r="I190" s="1289"/>
      <c r="J190" s="1290"/>
      <c r="K190" s="1291"/>
      <c r="L190" s="1292"/>
      <c r="M190" s="1292"/>
      <c r="N190" s="1292"/>
      <c r="O190" s="1292"/>
    </row>
    <row r="191" ht="33.0" customHeight="1">
      <c r="A191" s="1283"/>
      <c r="B191" s="1284"/>
      <c r="C191" s="1285"/>
      <c r="D191" s="1286"/>
      <c r="E191" s="1287"/>
      <c r="F191" s="1283"/>
      <c r="G191" s="1288"/>
      <c r="H191" s="1289"/>
      <c r="I191" s="1289"/>
      <c r="J191" s="1290"/>
      <c r="K191" s="1291"/>
      <c r="L191" s="1292"/>
      <c r="M191" s="1292"/>
      <c r="N191" s="1292"/>
      <c r="O191" s="1292"/>
    </row>
    <row r="192" ht="33.0" customHeight="1">
      <c r="A192" s="1283"/>
      <c r="B192" s="1284"/>
      <c r="C192" s="1285"/>
      <c r="D192" s="1286"/>
      <c r="E192" s="1287"/>
      <c r="F192" s="1283"/>
      <c r="G192" s="1288"/>
      <c r="H192" s="1289"/>
      <c r="I192" s="1289"/>
      <c r="J192" s="1290"/>
      <c r="K192" s="1291"/>
      <c r="L192" s="1292"/>
      <c r="M192" s="1292"/>
      <c r="N192" s="1292"/>
      <c r="O192" s="1292"/>
    </row>
    <row r="193" ht="33.0" customHeight="1">
      <c r="A193" s="1283"/>
      <c r="B193" s="1284"/>
      <c r="C193" s="1285"/>
      <c r="D193" s="1286"/>
      <c r="E193" s="1287"/>
      <c r="F193" s="1283"/>
      <c r="G193" s="1288"/>
      <c r="H193" s="1289"/>
      <c r="I193" s="1289"/>
      <c r="J193" s="1290"/>
      <c r="K193" s="1291"/>
      <c r="L193" s="1292"/>
      <c r="M193" s="1292"/>
      <c r="N193" s="1292"/>
      <c r="O193" s="1292"/>
    </row>
    <row r="194" ht="33.0" customHeight="1">
      <c r="A194" s="1283"/>
      <c r="B194" s="1284"/>
      <c r="C194" s="1285"/>
      <c r="D194" s="1286"/>
      <c r="E194" s="1287"/>
      <c r="F194" s="1283"/>
      <c r="G194" s="1288"/>
      <c r="H194" s="1289"/>
      <c r="I194" s="1289"/>
      <c r="J194" s="1290"/>
      <c r="K194" s="1291"/>
      <c r="L194" s="1292"/>
      <c r="M194" s="1292"/>
      <c r="N194" s="1292"/>
      <c r="O194" s="1292"/>
    </row>
    <row r="195" ht="33.0" customHeight="1">
      <c r="A195" s="1283"/>
      <c r="B195" s="1284"/>
      <c r="C195" s="1285"/>
      <c r="D195" s="1286"/>
      <c r="E195" s="1287"/>
      <c r="F195" s="1283"/>
      <c r="G195" s="1288"/>
      <c r="H195" s="1289"/>
      <c r="I195" s="1289"/>
      <c r="J195" s="1290"/>
      <c r="K195" s="1291"/>
      <c r="L195" s="1292"/>
      <c r="M195" s="1292"/>
      <c r="N195" s="1292"/>
      <c r="O195" s="1292"/>
    </row>
    <row r="196" ht="33.0" customHeight="1">
      <c r="A196" s="1283"/>
      <c r="B196" s="1284"/>
      <c r="C196" s="1285"/>
      <c r="D196" s="1286"/>
      <c r="E196" s="1287"/>
      <c r="F196" s="1283"/>
      <c r="G196" s="1288"/>
      <c r="H196" s="1289"/>
      <c r="I196" s="1289"/>
      <c r="J196" s="1290"/>
      <c r="K196" s="1291"/>
      <c r="L196" s="1292"/>
      <c r="M196" s="1292"/>
      <c r="N196" s="1292"/>
      <c r="O196" s="1292"/>
    </row>
    <row r="197" ht="33.0" customHeight="1">
      <c r="A197" s="1283"/>
      <c r="B197" s="1284"/>
      <c r="C197" s="1285"/>
      <c r="D197" s="1286"/>
      <c r="E197" s="1287"/>
      <c r="F197" s="1283"/>
      <c r="G197" s="1288"/>
      <c r="H197" s="1289"/>
      <c r="I197" s="1289"/>
      <c r="J197" s="1290"/>
      <c r="K197" s="1291"/>
      <c r="L197" s="1292"/>
      <c r="M197" s="1292"/>
      <c r="N197" s="1292"/>
      <c r="O197" s="1292"/>
    </row>
    <row r="198" ht="33.0" customHeight="1">
      <c r="A198" s="1283"/>
      <c r="B198" s="1284"/>
      <c r="C198" s="1285"/>
      <c r="D198" s="1286"/>
      <c r="E198" s="1287"/>
      <c r="F198" s="1283"/>
      <c r="G198" s="1288"/>
      <c r="H198" s="1289"/>
      <c r="I198" s="1289"/>
      <c r="J198" s="1290"/>
      <c r="K198" s="1291"/>
      <c r="L198" s="1292"/>
      <c r="M198" s="1292"/>
      <c r="N198" s="1292"/>
      <c r="O198" s="1292"/>
    </row>
    <row r="199" ht="33.0" customHeight="1">
      <c r="A199" s="1283"/>
      <c r="B199" s="1284"/>
      <c r="C199" s="1285"/>
      <c r="D199" s="1286"/>
      <c r="E199" s="1287"/>
      <c r="F199" s="1283"/>
      <c r="G199" s="1288"/>
      <c r="H199" s="1289"/>
      <c r="I199" s="1289"/>
      <c r="J199" s="1290"/>
      <c r="K199" s="1291"/>
      <c r="L199" s="1292"/>
      <c r="M199" s="1292"/>
      <c r="N199" s="1292"/>
      <c r="O199" s="1292"/>
    </row>
    <row r="200" ht="33.0" customHeight="1">
      <c r="A200" s="1283"/>
      <c r="B200" s="1284"/>
      <c r="C200" s="1285"/>
      <c r="D200" s="1286"/>
      <c r="E200" s="1287"/>
      <c r="F200" s="1283"/>
      <c r="G200" s="1288"/>
      <c r="H200" s="1289"/>
      <c r="I200" s="1289"/>
      <c r="J200" s="1290"/>
      <c r="K200" s="1291"/>
      <c r="L200" s="1292"/>
      <c r="M200" s="1292"/>
      <c r="N200" s="1292"/>
      <c r="O200" s="1292"/>
    </row>
    <row r="201" ht="33.0" customHeight="1">
      <c r="A201" s="1283"/>
      <c r="B201" s="1284"/>
      <c r="C201" s="1285"/>
      <c r="D201" s="1286"/>
      <c r="E201" s="1287"/>
      <c r="F201" s="1283"/>
      <c r="G201" s="1288"/>
      <c r="H201" s="1289"/>
      <c r="I201" s="1289"/>
      <c r="J201" s="1290"/>
      <c r="K201" s="1291"/>
      <c r="L201" s="1292"/>
      <c r="M201" s="1292"/>
      <c r="N201" s="1292"/>
      <c r="O201" s="1292"/>
    </row>
    <row r="202" ht="33.0" customHeight="1">
      <c r="A202" s="1283"/>
      <c r="B202" s="1284"/>
      <c r="C202" s="1285"/>
      <c r="D202" s="1286"/>
      <c r="E202" s="1287"/>
      <c r="F202" s="1283"/>
      <c r="G202" s="1288"/>
      <c r="H202" s="1289"/>
      <c r="I202" s="1289"/>
      <c r="J202" s="1290"/>
      <c r="K202" s="1291"/>
      <c r="L202" s="1292"/>
      <c r="M202" s="1292"/>
      <c r="N202" s="1292"/>
      <c r="O202" s="1292"/>
    </row>
    <row r="203" ht="33.0" customHeight="1">
      <c r="A203" s="1283"/>
      <c r="B203" s="1284"/>
      <c r="C203" s="1285"/>
      <c r="D203" s="1286"/>
      <c r="E203" s="1287"/>
      <c r="F203" s="1283"/>
      <c r="G203" s="1288"/>
      <c r="H203" s="1289"/>
      <c r="I203" s="1289"/>
      <c r="J203" s="1290"/>
      <c r="K203" s="1291"/>
      <c r="L203" s="1292"/>
      <c r="M203" s="1292"/>
      <c r="N203" s="1292"/>
      <c r="O203" s="1292"/>
    </row>
    <row r="204" ht="33.0" customHeight="1">
      <c r="A204" s="1283"/>
      <c r="B204" s="1284"/>
      <c r="C204" s="1285"/>
      <c r="D204" s="1286"/>
      <c r="E204" s="1287"/>
      <c r="F204" s="1283"/>
      <c r="G204" s="1288"/>
      <c r="H204" s="1289"/>
      <c r="I204" s="1289"/>
      <c r="J204" s="1290"/>
      <c r="K204" s="1291"/>
      <c r="L204" s="1292"/>
      <c r="M204" s="1292"/>
      <c r="N204" s="1292"/>
      <c r="O204" s="1292"/>
    </row>
    <row r="205" ht="33.0" customHeight="1">
      <c r="A205" s="1283"/>
      <c r="B205" s="1284"/>
      <c r="C205" s="1285"/>
      <c r="D205" s="1286"/>
      <c r="E205" s="1287"/>
      <c r="F205" s="1283"/>
      <c r="G205" s="1288"/>
      <c r="H205" s="1289"/>
      <c r="I205" s="1289"/>
      <c r="J205" s="1290"/>
      <c r="K205" s="1291"/>
      <c r="L205" s="1292"/>
      <c r="M205" s="1292"/>
      <c r="N205" s="1292"/>
      <c r="O205" s="1292"/>
    </row>
    <row r="206" ht="33.0" customHeight="1">
      <c r="A206" s="1283"/>
      <c r="B206" s="1284"/>
      <c r="C206" s="1285"/>
      <c r="D206" s="1286"/>
      <c r="E206" s="1287"/>
      <c r="F206" s="1283"/>
      <c r="G206" s="1288"/>
      <c r="H206" s="1289"/>
      <c r="I206" s="1289"/>
      <c r="J206" s="1290"/>
      <c r="K206" s="1291"/>
      <c r="L206" s="1292"/>
      <c r="M206" s="1292"/>
      <c r="N206" s="1292"/>
      <c r="O206" s="1292"/>
    </row>
    <row r="207" ht="33.0" customHeight="1">
      <c r="A207" s="1283"/>
      <c r="B207" s="1284"/>
      <c r="C207" s="1285"/>
      <c r="D207" s="1286"/>
      <c r="E207" s="1287"/>
      <c r="F207" s="1283"/>
      <c r="G207" s="1288"/>
      <c r="H207" s="1289"/>
      <c r="I207" s="1289"/>
      <c r="J207" s="1290"/>
      <c r="K207" s="1291"/>
      <c r="L207" s="1292"/>
      <c r="M207" s="1292"/>
      <c r="N207" s="1292"/>
      <c r="O207" s="1292"/>
    </row>
    <row r="208" ht="33.0" customHeight="1">
      <c r="A208" s="1283"/>
      <c r="B208" s="1284"/>
      <c r="C208" s="1285"/>
      <c r="D208" s="1286"/>
      <c r="E208" s="1287"/>
      <c r="F208" s="1283"/>
      <c r="G208" s="1288"/>
      <c r="H208" s="1289"/>
      <c r="I208" s="1289"/>
      <c r="J208" s="1290"/>
      <c r="K208" s="1291"/>
      <c r="L208" s="1292"/>
      <c r="M208" s="1292"/>
      <c r="N208" s="1292"/>
      <c r="O208" s="1292"/>
    </row>
    <row r="209" ht="33.0" customHeight="1">
      <c r="A209" s="1283"/>
      <c r="B209" s="1284"/>
      <c r="C209" s="1285"/>
      <c r="D209" s="1286"/>
      <c r="E209" s="1287"/>
      <c r="F209" s="1283"/>
      <c r="G209" s="1288"/>
      <c r="H209" s="1289"/>
      <c r="I209" s="1289"/>
      <c r="J209" s="1290"/>
      <c r="K209" s="1291"/>
      <c r="L209" s="1292"/>
      <c r="M209" s="1292"/>
      <c r="N209" s="1292"/>
      <c r="O209" s="1292"/>
    </row>
    <row r="210" ht="33.0" customHeight="1">
      <c r="A210" s="1283"/>
      <c r="B210" s="1284"/>
      <c r="C210" s="1285"/>
      <c r="D210" s="1286"/>
      <c r="E210" s="1287"/>
      <c r="F210" s="1283"/>
      <c r="G210" s="1288"/>
      <c r="H210" s="1289"/>
      <c r="I210" s="1289"/>
      <c r="J210" s="1290"/>
      <c r="K210" s="1291"/>
      <c r="L210" s="1292"/>
      <c r="M210" s="1292"/>
      <c r="N210" s="1292"/>
      <c r="O210" s="1292"/>
    </row>
    <row r="211" ht="33.0" customHeight="1">
      <c r="A211" s="1283"/>
      <c r="B211" s="1284"/>
      <c r="C211" s="1285"/>
      <c r="D211" s="1286"/>
      <c r="E211" s="1287"/>
      <c r="F211" s="1283"/>
      <c r="G211" s="1288"/>
      <c r="H211" s="1289"/>
      <c r="I211" s="1289"/>
      <c r="J211" s="1290"/>
      <c r="K211" s="1291"/>
      <c r="L211" s="1292"/>
      <c r="M211" s="1292"/>
      <c r="N211" s="1292"/>
      <c r="O211" s="1292"/>
    </row>
    <row r="212" ht="33.0" customHeight="1">
      <c r="A212" s="1283"/>
      <c r="B212" s="1284"/>
      <c r="C212" s="1285"/>
      <c r="D212" s="1286"/>
      <c r="E212" s="1287"/>
      <c r="F212" s="1283"/>
      <c r="G212" s="1288"/>
      <c r="H212" s="1289"/>
      <c r="I212" s="1289"/>
      <c r="J212" s="1290"/>
      <c r="K212" s="1291"/>
      <c r="L212" s="1292"/>
      <c r="M212" s="1292"/>
      <c r="N212" s="1292"/>
      <c r="O212" s="1292"/>
    </row>
    <row r="213" ht="33.0" customHeight="1">
      <c r="A213" s="1283"/>
      <c r="B213" s="1284"/>
      <c r="C213" s="1285"/>
      <c r="D213" s="1286"/>
      <c r="E213" s="1287"/>
      <c r="F213" s="1283"/>
      <c r="G213" s="1288"/>
      <c r="H213" s="1289"/>
      <c r="I213" s="1289"/>
      <c r="J213" s="1290"/>
      <c r="K213" s="1291"/>
      <c r="L213" s="1292"/>
      <c r="M213" s="1292"/>
      <c r="N213" s="1292"/>
      <c r="O213" s="1292"/>
    </row>
    <row r="214" ht="33.0" customHeight="1">
      <c r="A214" s="1283"/>
      <c r="B214" s="1284"/>
      <c r="C214" s="1285"/>
      <c r="D214" s="1286"/>
      <c r="E214" s="1287"/>
      <c r="F214" s="1283"/>
      <c r="G214" s="1288"/>
      <c r="H214" s="1289"/>
      <c r="I214" s="1289"/>
      <c r="J214" s="1290"/>
      <c r="K214" s="1291"/>
      <c r="L214" s="1292"/>
      <c r="M214" s="1292"/>
      <c r="N214" s="1292"/>
      <c r="O214" s="1292"/>
    </row>
    <row r="215" ht="33.0" customHeight="1">
      <c r="A215" s="1283"/>
      <c r="B215" s="1284"/>
      <c r="C215" s="1285"/>
      <c r="D215" s="1286"/>
      <c r="E215" s="1287"/>
      <c r="F215" s="1283"/>
      <c r="G215" s="1288"/>
      <c r="H215" s="1289"/>
      <c r="I215" s="1289"/>
      <c r="J215" s="1290"/>
      <c r="K215" s="1291"/>
      <c r="L215" s="1292"/>
      <c r="M215" s="1292"/>
      <c r="N215" s="1292"/>
      <c r="O215" s="1292"/>
    </row>
    <row r="216" ht="33.0" customHeight="1">
      <c r="A216" s="1283"/>
      <c r="B216" s="1284"/>
      <c r="C216" s="1285"/>
      <c r="D216" s="1286"/>
      <c r="E216" s="1287"/>
      <c r="F216" s="1283"/>
      <c r="G216" s="1288"/>
      <c r="H216" s="1289"/>
      <c r="I216" s="1289"/>
      <c r="J216" s="1290"/>
      <c r="K216" s="1291"/>
      <c r="L216" s="1292"/>
      <c r="M216" s="1292"/>
      <c r="N216" s="1292"/>
      <c r="O216" s="1292"/>
    </row>
    <row r="217" ht="33.0" customHeight="1">
      <c r="A217" s="1283"/>
      <c r="B217" s="1284"/>
      <c r="C217" s="1285"/>
      <c r="D217" s="1286"/>
      <c r="E217" s="1287"/>
      <c r="F217" s="1283"/>
      <c r="G217" s="1288"/>
      <c r="H217" s="1289"/>
      <c r="I217" s="1289"/>
      <c r="J217" s="1290"/>
      <c r="K217" s="1291"/>
      <c r="L217" s="1292"/>
      <c r="M217" s="1292"/>
      <c r="N217" s="1292"/>
      <c r="O217" s="1292"/>
    </row>
    <row r="218" ht="33.0" customHeight="1">
      <c r="A218" s="1283"/>
      <c r="B218" s="1284"/>
      <c r="C218" s="1285"/>
      <c r="D218" s="1286"/>
      <c r="E218" s="1287"/>
      <c r="F218" s="1283"/>
      <c r="G218" s="1288"/>
      <c r="H218" s="1289"/>
      <c r="I218" s="1289"/>
      <c r="J218" s="1290"/>
      <c r="K218" s="1291"/>
      <c r="L218" s="1292"/>
      <c r="M218" s="1292"/>
      <c r="N218" s="1292"/>
      <c r="O218" s="1292"/>
    </row>
    <row r="219" ht="33.0" customHeight="1">
      <c r="A219" s="1283"/>
      <c r="B219" s="1284"/>
      <c r="C219" s="1285"/>
      <c r="D219" s="1286"/>
      <c r="E219" s="1287"/>
      <c r="F219" s="1283"/>
      <c r="G219" s="1288"/>
      <c r="H219" s="1289"/>
      <c r="I219" s="1289"/>
      <c r="J219" s="1290"/>
      <c r="K219" s="1291"/>
      <c r="L219" s="1292"/>
      <c r="M219" s="1292"/>
      <c r="N219" s="1292"/>
      <c r="O219" s="1292"/>
    </row>
    <row r="220" ht="33.0" customHeight="1">
      <c r="A220" s="1283"/>
      <c r="B220" s="1284"/>
      <c r="C220" s="1285"/>
      <c r="D220" s="1286"/>
      <c r="E220" s="1287"/>
      <c r="F220" s="1283"/>
      <c r="G220" s="1288"/>
      <c r="H220" s="1289"/>
      <c r="I220" s="1289"/>
      <c r="J220" s="1290"/>
      <c r="K220" s="1291"/>
      <c r="L220" s="1292"/>
      <c r="M220" s="1292"/>
      <c r="N220" s="1292"/>
      <c r="O220" s="1292"/>
    </row>
    <row r="221" ht="33.0" customHeight="1">
      <c r="A221" s="1283"/>
      <c r="B221" s="1284"/>
      <c r="C221" s="1285"/>
      <c r="D221" s="1286"/>
      <c r="E221" s="1287"/>
      <c r="F221" s="1283"/>
      <c r="G221" s="1288"/>
      <c r="H221" s="1289"/>
      <c r="I221" s="1289"/>
      <c r="J221" s="1290"/>
      <c r="K221" s="1291"/>
      <c r="L221" s="1292"/>
      <c r="M221" s="1292"/>
      <c r="N221" s="1292"/>
      <c r="O221" s="1292"/>
    </row>
    <row r="222" ht="33.0" customHeight="1">
      <c r="A222" s="1283"/>
      <c r="B222" s="1284"/>
      <c r="C222" s="1285"/>
      <c r="D222" s="1286"/>
      <c r="E222" s="1287"/>
      <c r="F222" s="1283"/>
      <c r="G222" s="1288"/>
      <c r="H222" s="1289"/>
      <c r="I222" s="1289"/>
      <c r="J222" s="1290"/>
      <c r="K222" s="1291"/>
      <c r="L222" s="1292"/>
      <c r="M222" s="1292"/>
      <c r="N222" s="1292"/>
      <c r="O222" s="1292"/>
    </row>
    <row r="223" ht="33.0" customHeight="1">
      <c r="A223" s="1283"/>
      <c r="B223" s="1284"/>
      <c r="C223" s="1285"/>
      <c r="D223" s="1286"/>
      <c r="E223" s="1287"/>
      <c r="F223" s="1283"/>
      <c r="G223" s="1288"/>
      <c r="H223" s="1289"/>
      <c r="I223" s="1289"/>
      <c r="J223" s="1290"/>
      <c r="K223" s="1291"/>
      <c r="L223" s="1292"/>
      <c r="M223" s="1292"/>
      <c r="N223" s="1292"/>
      <c r="O223" s="1292"/>
    </row>
    <row r="224" ht="33.0" customHeight="1">
      <c r="A224" s="1283"/>
      <c r="B224" s="1284"/>
      <c r="C224" s="1285"/>
      <c r="D224" s="1286"/>
      <c r="E224" s="1287"/>
      <c r="F224" s="1283"/>
      <c r="G224" s="1288"/>
      <c r="H224" s="1289"/>
      <c r="I224" s="1289"/>
      <c r="J224" s="1290"/>
      <c r="K224" s="1291"/>
      <c r="L224" s="1292"/>
      <c r="M224" s="1292"/>
      <c r="N224" s="1292"/>
      <c r="O224" s="1292"/>
    </row>
    <row r="225" ht="33.0" customHeight="1">
      <c r="A225" s="1283"/>
      <c r="B225" s="1284"/>
      <c r="C225" s="1285"/>
      <c r="D225" s="1286"/>
      <c r="E225" s="1287"/>
      <c r="F225" s="1283"/>
      <c r="G225" s="1288"/>
      <c r="H225" s="1289"/>
      <c r="I225" s="1289"/>
      <c r="J225" s="1290"/>
      <c r="K225" s="1291"/>
      <c r="L225" s="1292"/>
      <c r="M225" s="1292"/>
      <c r="N225" s="1292"/>
      <c r="O225" s="1292"/>
    </row>
    <row r="226" ht="33.0" customHeight="1">
      <c r="A226" s="1283"/>
      <c r="B226" s="1284"/>
      <c r="C226" s="1285"/>
      <c r="D226" s="1286"/>
      <c r="E226" s="1287"/>
      <c r="F226" s="1283"/>
      <c r="G226" s="1288"/>
      <c r="H226" s="1289"/>
      <c r="I226" s="1289"/>
      <c r="J226" s="1290"/>
      <c r="K226" s="1291"/>
      <c r="L226" s="1292"/>
      <c r="M226" s="1292"/>
      <c r="N226" s="1292"/>
      <c r="O226" s="1292"/>
    </row>
    <row r="227" ht="33.0" customHeight="1">
      <c r="A227" s="1283"/>
      <c r="B227" s="1284"/>
      <c r="C227" s="1285"/>
      <c r="D227" s="1286"/>
      <c r="E227" s="1287"/>
      <c r="F227" s="1283"/>
      <c r="G227" s="1288"/>
      <c r="H227" s="1289"/>
      <c r="I227" s="1289"/>
      <c r="J227" s="1290"/>
      <c r="K227" s="1291"/>
      <c r="L227" s="1292"/>
      <c r="M227" s="1292"/>
      <c r="N227" s="1292"/>
      <c r="O227" s="1292"/>
    </row>
    <row r="228" ht="33.0" customHeight="1">
      <c r="A228" s="1283"/>
      <c r="B228" s="1284"/>
      <c r="C228" s="1285"/>
      <c r="D228" s="1286"/>
      <c r="E228" s="1287"/>
      <c r="F228" s="1283"/>
      <c r="G228" s="1288"/>
      <c r="H228" s="1289"/>
      <c r="I228" s="1289"/>
      <c r="J228" s="1290"/>
      <c r="K228" s="1291"/>
      <c r="L228" s="1292"/>
      <c r="M228" s="1292"/>
      <c r="N228" s="1292"/>
      <c r="O228" s="1292"/>
    </row>
    <row r="229" ht="33.0" customHeight="1">
      <c r="A229" s="1283"/>
      <c r="B229" s="1284"/>
      <c r="C229" s="1285"/>
      <c r="D229" s="1286"/>
      <c r="E229" s="1287"/>
      <c r="F229" s="1283"/>
      <c r="G229" s="1288"/>
      <c r="H229" s="1289"/>
      <c r="I229" s="1289"/>
      <c r="J229" s="1290"/>
      <c r="K229" s="1291"/>
      <c r="L229" s="1292"/>
      <c r="M229" s="1292"/>
      <c r="N229" s="1292"/>
      <c r="O229" s="1292"/>
    </row>
    <row r="230" ht="33.0" customHeight="1">
      <c r="A230" s="1283"/>
      <c r="B230" s="1284"/>
      <c r="C230" s="1285"/>
      <c r="D230" s="1286"/>
      <c r="E230" s="1287"/>
      <c r="F230" s="1283"/>
      <c r="G230" s="1288"/>
      <c r="H230" s="1289"/>
      <c r="I230" s="1289"/>
      <c r="J230" s="1290"/>
      <c r="K230" s="1291"/>
      <c r="L230" s="1292"/>
      <c r="M230" s="1292"/>
      <c r="N230" s="1292"/>
      <c r="O230" s="1292"/>
    </row>
    <row r="231" ht="33.0" customHeight="1">
      <c r="A231" s="1283"/>
      <c r="B231" s="1284"/>
      <c r="C231" s="1285"/>
      <c r="D231" s="1286"/>
      <c r="E231" s="1287"/>
      <c r="F231" s="1283"/>
      <c r="G231" s="1288"/>
      <c r="H231" s="1289"/>
      <c r="I231" s="1289"/>
      <c r="J231" s="1290"/>
      <c r="K231" s="1291"/>
      <c r="L231" s="1292"/>
      <c r="M231" s="1292"/>
      <c r="N231" s="1292"/>
      <c r="O231" s="1292"/>
    </row>
    <row r="232" ht="33.0" customHeight="1">
      <c r="A232" s="1283"/>
      <c r="B232" s="1284"/>
      <c r="C232" s="1285"/>
      <c r="D232" s="1286"/>
      <c r="E232" s="1287"/>
      <c r="F232" s="1283"/>
      <c r="G232" s="1288"/>
      <c r="H232" s="1289"/>
      <c r="I232" s="1289"/>
      <c r="J232" s="1290"/>
      <c r="K232" s="1291"/>
      <c r="L232" s="1292"/>
      <c r="M232" s="1292"/>
      <c r="N232" s="1292"/>
      <c r="O232" s="1292"/>
    </row>
    <row r="233" ht="33.0" customHeight="1">
      <c r="A233" s="1283"/>
      <c r="B233" s="1284"/>
      <c r="C233" s="1285"/>
      <c r="D233" s="1286"/>
      <c r="E233" s="1287"/>
      <c r="F233" s="1283"/>
      <c r="G233" s="1288"/>
      <c r="H233" s="1289"/>
      <c r="I233" s="1289"/>
      <c r="J233" s="1290"/>
      <c r="K233" s="1291"/>
      <c r="L233" s="1292"/>
      <c r="M233" s="1292"/>
      <c r="N233" s="1292"/>
      <c r="O233" s="1292"/>
    </row>
    <row r="234" ht="33.0" customHeight="1">
      <c r="A234" s="1283"/>
      <c r="B234" s="1284"/>
      <c r="C234" s="1285"/>
      <c r="D234" s="1286"/>
      <c r="E234" s="1287"/>
      <c r="F234" s="1283"/>
      <c r="G234" s="1288"/>
      <c r="H234" s="1289"/>
      <c r="I234" s="1289"/>
      <c r="J234" s="1290"/>
      <c r="K234" s="1291"/>
      <c r="L234" s="1292"/>
      <c r="M234" s="1292"/>
      <c r="N234" s="1292"/>
      <c r="O234" s="1292"/>
    </row>
    <row r="235" ht="33.0" customHeight="1">
      <c r="A235" s="1283"/>
      <c r="B235" s="1284"/>
      <c r="C235" s="1285"/>
      <c r="D235" s="1286"/>
      <c r="E235" s="1287"/>
      <c r="F235" s="1283"/>
      <c r="G235" s="1288"/>
      <c r="H235" s="1289"/>
      <c r="I235" s="1289"/>
      <c r="J235" s="1290"/>
      <c r="K235" s="1291"/>
      <c r="L235" s="1292"/>
      <c r="M235" s="1292"/>
      <c r="N235" s="1292"/>
      <c r="O235" s="1292"/>
    </row>
    <row r="236" ht="33.0" customHeight="1">
      <c r="A236" s="1283"/>
      <c r="B236" s="1284"/>
      <c r="C236" s="1285"/>
      <c r="D236" s="1286"/>
      <c r="E236" s="1287"/>
      <c r="F236" s="1283"/>
      <c r="G236" s="1288"/>
      <c r="H236" s="1289"/>
      <c r="I236" s="1289"/>
      <c r="J236" s="1290"/>
      <c r="K236" s="1291"/>
      <c r="L236" s="1292"/>
      <c r="M236" s="1292"/>
      <c r="N236" s="1292"/>
      <c r="O236" s="1292"/>
    </row>
    <row r="237" ht="33.0" customHeight="1">
      <c r="A237" s="1283"/>
      <c r="B237" s="1284"/>
      <c r="C237" s="1285"/>
      <c r="D237" s="1286"/>
      <c r="E237" s="1287"/>
      <c r="F237" s="1283"/>
      <c r="G237" s="1288"/>
      <c r="H237" s="1289"/>
      <c r="I237" s="1289"/>
      <c r="J237" s="1290"/>
      <c r="K237" s="1291"/>
      <c r="L237" s="1292"/>
      <c r="M237" s="1292"/>
      <c r="N237" s="1292"/>
      <c r="O237" s="1292"/>
    </row>
    <row r="238" ht="33.0" customHeight="1">
      <c r="A238" s="1283"/>
      <c r="B238" s="1284"/>
      <c r="C238" s="1285"/>
      <c r="D238" s="1286"/>
      <c r="E238" s="1287"/>
      <c r="F238" s="1283"/>
      <c r="G238" s="1288"/>
      <c r="H238" s="1289"/>
      <c r="I238" s="1289"/>
      <c r="J238" s="1290"/>
      <c r="K238" s="1291"/>
      <c r="L238" s="1292"/>
      <c r="M238" s="1292"/>
      <c r="N238" s="1292"/>
      <c r="O238" s="1292"/>
    </row>
    <row r="239" ht="33.0" customHeight="1">
      <c r="A239" s="1283"/>
      <c r="B239" s="1284"/>
      <c r="C239" s="1285"/>
      <c r="D239" s="1286"/>
      <c r="E239" s="1287"/>
      <c r="F239" s="1283"/>
      <c r="G239" s="1288"/>
      <c r="H239" s="1289"/>
      <c r="I239" s="1289"/>
      <c r="J239" s="1290"/>
      <c r="K239" s="1291"/>
      <c r="L239" s="1292"/>
      <c r="M239" s="1292"/>
      <c r="N239" s="1292"/>
      <c r="O239" s="1292"/>
    </row>
    <row r="240" ht="33.0" customHeight="1">
      <c r="A240" s="1283"/>
      <c r="B240" s="1284"/>
      <c r="C240" s="1285"/>
      <c r="D240" s="1286"/>
      <c r="E240" s="1287"/>
      <c r="F240" s="1283"/>
      <c r="G240" s="1288"/>
      <c r="H240" s="1289"/>
      <c r="I240" s="1289"/>
      <c r="J240" s="1290"/>
      <c r="K240" s="1291"/>
      <c r="L240" s="1292"/>
      <c r="M240" s="1292"/>
      <c r="N240" s="1292"/>
      <c r="O240" s="1292"/>
    </row>
    <row r="241" ht="33.0" customHeight="1">
      <c r="A241" s="1283"/>
      <c r="B241" s="1284"/>
      <c r="C241" s="1285"/>
      <c r="D241" s="1286"/>
      <c r="E241" s="1287"/>
      <c r="F241" s="1283"/>
      <c r="G241" s="1288"/>
      <c r="H241" s="1289"/>
      <c r="I241" s="1289"/>
      <c r="J241" s="1290"/>
      <c r="K241" s="1291"/>
      <c r="L241" s="1292"/>
      <c r="M241" s="1292"/>
      <c r="N241" s="1292"/>
      <c r="O241" s="1292"/>
    </row>
    <row r="242" ht="33.0" customHeight="1">
      <c r="A242" s="1283"/>
      <c r="B242" s="1284"/>
      <c r="C242" s="1285"/>
      <c r="D242" s="1286"/>
      <c r="E242" s="1287"/>
      <c r="F242" s="1283"/>
      <c r="G242" s="1288"/>
      <c r="H242" s="1289"/>
      <c r="I242" s="1289"/>
      <c r="J242" s="1290"/>
      <c r="K242" s="1291"/>
      <c r="L242" s="1292"/>
      <c r="M242" s="1292"/>
      <c r="N242" s="1292"/>
      <c r="O242" s="1292"/>
    </row>
    <row r="243" ht="33.0" customHeight="1">
      <c r="A243" s="1283"/>
      <c r="B243" s="1284"/>
      <c r="C243" s="1285"/>
      <c r="D243" s="1286"/>
      <c r="E243" s="1287"/>
      <c r="F243" s="1283"/>
      <c r="G243" s="1288"/>
      <c r="H243" s="1289"/>
      <c r="I243" s="1289"/>
      <c r="J243" s="1290"/>
      <c r="K243" s="1291"/>
      <c r="L243" s="1292"/>
      <c r="M243" s="1292"/>
      <c r="N243" s="1292"/>
      <c r="O243" s="1292"/>
    </row>
    <row r="244" ht="33.0" customHeight="1">
      <c r="A244" s="1283"/>
      <c r="B244" s="1284"/>
      <c r="C244" s="1285"/>
      <c r="D244" s="1286"/>
      <c r="E244" s="1287"/>
      <c r="F244" s="1283"/>
      <c r="G244" s="1288"/>
      <c r="H244" s="1289"/>
      <c r="I244" s="1289"/>
      <c r="J244" s="1290"/>
      <c r="K244" s="1291"/>
      <c r="L244" s="1292"/>
      <c r="M244" s="1292"/>
      <c r="N244" s="1292"/>
      <c r="O244" s="1292"/>
    </row>
    <row r="245" ht="33.0" customHeight="1">
      <c r="A245" s="1283"/>
      <c r="B245" s="1284"/>
      <c r="C245" s="1285"/>
      <c r="D245" s="1286"/>
      <c r="E245" s="1287"/>
      <c r="F245" s="1283"/>
      <c r="G245" s="1288"/>
      <c r="H245" s="1289"/>
      <c r="I245" s="1289"/>
      <c r="J245" s="1290"/>
      <c r="K245" s="1291"/>
      <c r="L245" s="1292"/>
      <c r="M245" s="1292"/>
      <c r="N245" s="1292"/>
      <c r="O245" s="1292"/>
    </row>
    <row r="246" ht="33.0" customHeight="1">
      <c r="A246" s="1283"/>
      <c r="B246" s="1284"/>
      <c r="C246" s="1285"/>
      <c r="D246" s="1286"/>
      <c r="E246" s="1287"/>
      <c r="F246" s="1283"/>
      <c r="G246" s="1288"/>
      <c r="H246" s="1289"/>
      <c r="I246" s="1289"/>
      <c r="J246" s="1290"/>
      <c r="K246" s="1291"/>
      <c r="L246" s="1292"/>
      <c r="M246" s="1292"/>
      <c r="N246" s="1292"/>
      <c r="O246" s="1292"/>
    </row>
    <row r="247" ht="33.0" customHeight="1">
      <c r="A247" s="1283"/>
      <c r="B247" s="1284"/>
      <c r="C247" s="1285"/>
      <c r="D247" s="1286"/>
      <c r="E247" s="1287"/>
      <c r="F247" s="1283"/>
      <c r="G247" s="1288"/>
      <c r="H247" s="1289"/>
      <c r="I247" s="1289"/>
      <c r="J247" s="1290"/>
      <c r="K247" s="1291"/>
      <c r="L247" s="1292"/>
      <c r="M247" s="1292"/>
      <c r="N247" s="1292"/>
      <c r="O247" s="1292"/>
    </row>
    <row r="248" ht="33.0" customHeight="1">
      <c r="A248" s="1283"/>
      <c r="B248" s="1284"/>
      <c r="C248" s="1285"/>
      <c r="D248" s="1286"/>
      <c r="E248" s="1287"/>
      <c r="F248" s="1283"/>
      <c r="G248" s="1288"/>
      <c r="H248" s="1289"/>
      <c r="I248" s="1289"/>
      <c r="J248" s="1290"/>
      <c r="K248" s="1291"/>
      <c r="L248" s="1292"/>
      <c r="M248" s="1292"/>
      <c r="N248" s="1292"/>
      <c r="O248" s="1292"/>
    </row>
    <row r="249" ht="33.0" customHeight="1">
      <c r="A249" s="1283"/>
      <c r="B249" s="1284"/>
      <c r="C249" s="1285"/>
      <c r="D249" s="1286"/>
      <c r="E249" s="1287"/>
      <c r="F249" s="1283"/>
      <c r="G249" s="1288"/>
      <c r="H249" s="1289"/>
      <c r="I249" s="1289"/>
      <c r="J249" s="1290"/>
      <c r="K249" s="1291"/>
      <c r="L249" s="1292"/>
      <c r="M249" s="1292"/>
      <c r="N249" s="1292"/>
      <c r="O249" s="1292"/>
    </row>
    <row r="250" ht="33.0" customHeight="1">
      <c r="A250" s="1283"/>
      <c r="B250" s="1284"/>
      <c r="C250" s="1285"/>
      <c r="D250" s="1286"/>
      <c r="E250" s="1287"/>
      <c r="F250" s="1283"/>
      <c r="G250" s="1288"/>
      <c r="H250" s="1289"/>
      <c r="I250" s="1289"/>
      <c r="J250" s="1290"/>
      <c r="K250" s="1291"/>
      <c r="L250" s="1292"/>
      <c r="M250" s="1292"/>
      <c r="N250" s="1292"/>
      <c r="O250" s="1292"/>
    </row>
    <row r="251" ht="33.0" customHeight="1">
      <c r="A251" s="1283"/>
      <c r="B251" s="1284"/>
      <c r="C251" s="1285"/>
      <c r="D251" s="1286"/>
      <c r="E251" s="1287"/>
      <c r="F251" s="1283"/>
      <c r="G251" s="1288"/>
      <c r="H251" s="1289"/>
      <c r="I251" s="1289"/>
      <c r="J251" s="1290"/>
      <c r="K251" s="1291"/>
      <c r="L251" s="1292"/>
      <c r="M251" s="1292"/>
      <c r="N251" s="1292"/>
      <c r="O251" s="1292"/>
    </row>
    <row r="252" ht="33.0" customHeight="1">
      <c r="A252" s="1283"/>
      <c r="B252" s="1284"/>
      <c r="C252" s="1285"/>
      <c r="D252" s="1286"/>
      <c r="E252" s="1287"/>
      <c r="F252" s="1283"/>
      <c r="G252" s="1288"/>
      <c r="H252" s="1289"/>
      <c r="I252" s="1289"/>
      <c r="J252" s="1290"/>
      <c r="K252" s="1291"/>
      <c r="L252" s="1292"/>
      <c r="M252" s="1292"/>
      <c r="N252" s="1292"/>
      <c r="O252" s="1292"/>
    </row>
    <row r="253" ht="33.0" customHeight="1">
      <c r="A253" s="1283"/>
      <c r="B253" s="1284"/>
      <c r="C253" s="1285"/>
      <c r="D253" s="1286"/>
      <c r="E253" s="1287"/>
      <c r="F253" s="1283"/>
      <c r="G253" s="1288"/>
      <c r="H253" s="1289"/>
      <c r="I253" s="1289"/>
      <c r="J253" s="1290"/>
      <c r="K253" s="1291"/>
      <c r="L253" s="1292"/>
      <c r="M253" s="1292"/>
      <c r="N253" s="1292"/>
      <c r="O253" s="1292"/>
    </row>
    <row r="254" ht="33.0" customHeight="1">
      <c r="A254" s="1283"/>
      <c r="B254" s="1284"/>
      <c r="C254" s="1285"/>
      <c r="D254" s="1286"/>
      <c r="E254" s="1287"/>
      <c r="F254" s="1283"/>
      <c r="G254" s="1288"/>
      <c r="H254" s="1289"/>
      <c r="I254" s="1289"/>
      <c r="J254" s="1290"/>
      <c r="K254" s="1291"/>
      <c r="L254" s="1292"/>
      <c r="M254" s="1292"/>
      <c r="N254" s="1292"/>
      <c r="O254" s="1292"/>
    </row>
    <row r="255" ht="33.0" customHeight="1">
      <c r="A255" s="1283"/>
      <c r="B255" s="1284"/>
      <c r="C255" s="1285"/>
      <c r="D255" s="1286"/>
      <c r="E255" s="1287"/>
      <c r="F255" s="1283"/>
      <c r="G255" s="1288"/>
      <c r="H255" s="1289"/>
      <c r="I255" s="1289"/>
      <c r="J255" s="1290"/>
      <c r="K255" s="1291"/>
      <c r="L255" s="1292"/>
      <c r="M255" s="1292"/>
      <c r="N255" s="1292"/>
      <c r="O255" s="1292"/>
    </row>
    <row r="256" ht="33.0" customHeight="1">
      <c r="A256" s="1283"/>
      <c r="B256" s="1284"/>
      <c r="C256" s="1285"/>
      <c r="D256" s="1286"/>
      <c r="E256" s="1287"/>
      <c r="F256" s="1283"/>
      <c r="G256" s="1288"/>
      <c r="H256" s="1289"/>
      <c r="I256" s="1289"/>
      <c r="J256" s="1290"/>
      <c r="K256" s="1291"/>
      <c r="L256" s="1292"/>
      <c r="M256" s="1292"/>
      <c r="N256" s="1292"/>
      <c r="O256" s="1292"/>
    </row>
    <row r="257" ht="33.0" customHeight="1">
      <c r="A257" s="1283"/>
      <c r="B257" s="1284"/>
      <c r="C257" s="1285"/>
      <c r="D257" s="1286"/>
      <c r="E257" s="1287"/>
      <c r="F257" s="1283"/>
      <c r="G257" s="1288"/>
      <c r="H257" s="1289"/>
      <c r="I257" s="1289"/>
      <c r="J257" s="1290"/>
      <c r="K257" s="1291"/>
      <c r="L257" s="1292"/>
      <c r="M257" s="1292"/>
      <c r="N257" s="1292"/>
      <c r="O257" s="1292"/>
    </row>
    <row r="258" ht="33.0" customHeight="1">
      <c r="A258" s="1283"/>
      <c r="B258" s="1284"/>
      <c r="C258" s="1285"/>
      <c r="D258" s="1286"/>
      <c r="E258" s="1287"/>
      <c r="F258" s="1283"/>
      <c r="G258" s="1288"/>
      <c r="H258" s="1289"/>
      <c r="I258" s="1289"/>
      <c r="J258" s="1290"/>
      <c r="K258" s="1291"/>
      <c r="L258" s="1292"/>
      <c r="M258" s="1292"/>
      <c r="N258" s="1292"/>
      <c r="O258" s="1292"/>
    </row>
    <row r="259" ht="33.0" customHeight="1">
      <c r="A259" s="1283"/>
      <c r="B259" s="1284"/>
      <c r="C259" s="1285"/>
      <c r="D259" s="1286"/>
      <c r="E259" s="1287"/>
      <c r="F259" s="1283"/>
      <c r="G259" s="1288"/>
      <c r="H259" s="1289"/>
      <c r="I259" s="1289"/>
      <c r="J259" s="1290"/>
      <c r="K259" s="1291"/>
      <c r="L259" s="1292"/>
      <c r="M259" s="1292"/>
      <c r="N259" s="1292"/>
      <c r="O259" s="1292"/>
    </row>
    <row r="260" ht="33.0" customHeight="1">
      <c r="A260" s="1283"/>
      <c r="B260" s="1284"/>
      <c r="C260" s="1285"/>
      <c r="D260" s="1286"/>
      <c r="E260" s="1287"/>
      <c r="F260" s="1283"/>
      <c r="G260" s="1288"/>
      <c r="H260" s="1289"/>
      <c r="I260" s="1289"/>
      <c r="J260" s="1290"/>
      <c r="K260" s="1291"/>
      <c r="L260" s="1292"/>
      <c r="M260" s="1292"/>
      <c r="N260" s="1292"/>
      <c r="O260" s="1292"/>
    </row>
    <row r="261" ht="33.0" customHeight="1">
      <c r="A261" s="1283"/>
      <c r="B261" s="1284"/>
      <c r="C261" s="1285"/>
      <c r="D261" s="1286"/>
      <c r="E261" s="1287"/>
      <c r="F261" s="1283"/>
      <c r="G261" s="1288"/>
      <c r="H261" s="1289"/>
      <c r="I261" s="1289"/>
      <c r="J261" s="1290"/>
      <c r="K261" s="1291"/>
      <c r="L261" s="1292"/>
      <c r="M261" s="1292"/>
      <c r="N261" s="1292"/>
      <c r="O261" s="1292"/>
    </row>
    <row r="262" ht="33.0" customHeight="1">
      <c r="A262" s="1283"/>
      <c r="B262" s="1284"/>
      <c r="C262" s="1285"/>
      <c r="D262" s="1286"/>
      <c r="E262" s="1287"/>
      <c r="F262" s="1283"/>
      <c r="G262" s="1288"/>
      <c r="H262" s="1289"/>
      <c r="I262" s="1289"/>
      <c r="J262" s="1290"/>
      <c r="K262" s="1291"/>
      <c r="L262" s="1292"/>
      <c r="M262" s="1292"/>
      <c r="N262" s="1292"/>
      <c r="O262" s="1292"/>
    </row>
    <row r="263" ht="33.0" customHeight="1">
      <c r="A263" s="1283"/>
      <c r="B263" s="1284"/>
      <c r="C263" s="1285"/>
      <c r="D263" s="1286"/>
      <c r="E263" s="1287"/>
      <c r="F263" s="1283"/>
      <c r="G263" s="1288"/>
      <c r="H263" s="1289"/>
      <c r="I263" s="1289"/>
      <c r="J263" s="1290"/>
      <c r="K263" s="1291"/>
      <c r="L263" s="1292"/>
      <c r="M263" s="1292"/>
      <c r="N263" s="1292"/>
      <c r="O263" s="1292"/>
    </row>
    <row r="264" ht="33.0" customHeight="1">
      <c r="A264" s="1283"/>
      <c r="B264" s="1284"/>
      <c r="C264" s="1285"/>
      <c r="D264" s="1286"/>
      <c r="E264" s="1287"/>
      <c r="F264" s="1283"/>
      <c r="G264" s="1288"/>
      <c r="H264" s="1289"/>
      <c r="I264" s="1289"/>
      <c r="J264" s="1290"/>
      <c r="K264" s="1291"/>
      <c r="L264" s="1292"/>
      <c r="M264" s="1292"/>
      <c r="N264" s="1292"/>
      <c r="O264" s="1292"/>
    </row>
    <row r="265" ht="33.0" customHeight="1">
      <c r="A265" s="1283"/>
      <c r="B265" s="1284"/>
      <c r="C265" s="1285"/>
      <c r="D265" s="1286"/>
      <c r="E265" s="1287"/>
      <c r="F265" s="1283"/>
      <c r="G265" s="1288"/>
      <c r="H265" s="1289"/>
      <c r="I265" s="1289"/>
      <c r="J265" s="1290"/>
      <c r="K265" s="1291"/>
      <c r="L265" s="1292"/>
      <c r="M265" s="1292"/>
      <c r="N265" s="1292"/>
      <c r="O265" s="1292"/>
    </row>
    <row r="266" ht="33.0" customHeight="1">
      <c r="A266" s="1283"/>
      <c r="B266" s="1284"/>
      <c r="C266" s="1285"/>
      <c r="D266" s="1286"/>
      <c r="E266" s="1287"/>
      <c r="F266" s="1283"/>
      <c r="G266" s="1288"/>
      <c r="H266" s="1289"/>
      <c r="I266" s="1289"/>
      <c r="J266" s="1290"/>
      <c r="K266" s="1291"/>
      <c r="L266" s="1292"/>
      <c r="M266" s="1292"/>
      <c r="N266" s="1292"/>
      <c r="O266" s="1292"/>
    </row>
    <row r="267" ht="33.0" customHeight="1">
      <c r="A267" s="1283"/>
      <c r="B267" s="1284"/>
      <c r="C267" s="1285"/>
      <c r="D267" s="1286"/>
      <c r="E267" s="1287"/>
      <c r="F267" s="1283"/>
      <c r="G267" s="1288"/>
      <c r="H267" s="1289"/>
      <c r="I267" s="1289"/>
      <c r="J267" s="1290"/>
      <c r="K267" s="1291"/>
      <c r="L267" s="1292"/>
      <c r="M267" s="1292"/>
      <c r="N267" s="1292"/>
      <c r="O267" s="1292"/>
    </row>
    <row r="268" ht="33.0" customHeight="1">
      <c r="A268" s="1283"/>
      <c r="B268" s="1284"/>
      <c r="C268" s="1285"/>
      <c r="D268" s="1286"/>
      <c r="E268" s="1287"/>
      <c r="F268" s="1283"/>
      <c r="G268" s="1288"/>
      <c r="H268" s="1289"/>
      <c r="I268" s="1289"/>
      <c r="J268" s="1290"/>
      <c r="K268" s="1291"/>
      <c r="L268" s="1292"/>
      <c r="M268" s="1292"/>
      <c r="N268" s="1292"/>
      <c r="O268" s="1292"/>
    </row>
    <row r="269" ht="33.0" customHeight="1">
      <c r="A269" s="1283"/>
      <c r="B269" s="1284"/>
      <c r="C269" s="1285"/>
      <c r="D269" s="1286"/>
      <c r="E269" s="1287"/>
      <c r="F269" s="1283"/>
      <c r="G269" s="1288"/>
      <c r="H269" s="1289"/>
      <c r="I269" s="1289"/>
      <c r="J269" s="1290"/>
      <c r="K269" s="1291"/>
      <c r="L269" s="1292"/>
      <c r="M269" s="1292"/>
      <c r="N269" s="1292"/>
      <c r="O269" s="1292"/>
    </row>
    <row r="270" ht="33.0" customHeight="1">
      <c r="A270" s="1283"/>
      <c r="B270" s="1284"/>
      <c r="C270" s="1285"/>
      <c r="D270" s="1286"/>
      <c r="E270" s="1287"/>
      <c r="F270" s="1283"/>
      <c r="G270" s="1288"/>
      <c r="H270" s="1289"/>
      <c r="I270" s="1289"/>
      <c r="J270" s="1290"/>
      <c r="K270" s="1291"/>
      <c r="L270" s="1292"/>
      <c r="M270" s="1292"/>
      <c r="N270" s="1292"/>
      <c r="O270" s="1292"/>
    </row>
    <row r="271" ht="33.0" customHeight="1">
      <c r="A271" s="1283"/>
      <c r="B271" s="1284"/>
      <c r="C271" s="1285"/>
      <c r="D271" s="1286"/>
      <c r="E271" s="1287"/>
      <c r="F271" s="1283"/>
      <c r="G271" s="1288"/>
      <c r="H271" s="1289"/>
      <c r="I271" s="1289"/>
      <c r="J271" s="1290"/>
      <c r="K271" s="1291"/>
      <c r="L271" s="1292"/>
      <c r="M271" s="1292"/>
      <c r="N271" s="1292"/>
      <c r="O271" s="1292"/>
    </row>
    <row r="272" ht="33.0" customHeight="1">
      <c r="A272" s="1283"/>
      <c r="B272" s="1284"/>
      <c r="C272" s="1285"/>
      <c r="D272" s="1286"/>
      <c r="E272" s="1287"/>
      <c r="F272" s="1283"/>
      <c r="G272" s="1288"/>
      <c r="H272" s="1289"/>
      <c r="I272" s="1289"/>
      <c r="J272" s="1290"/>
      <c r="K272" s="1291"/>
      <c r="L272" s="1292"/>
      <c r="M272" s="1292"/>
      <c r="N272" s="1292"/>
      <c r="O272" s="1292"/>
    </row>
    <row r="273" ht="33.0" customHeight="1">
      <c r="A273" s="1283"/>
      <c r="B273" s="1284"/>
      <c r="C273" s="1285"/>
      <c r="D273" s="1286"/>
      <c r="E273" s="1287"/>
      <c r="F273" s="1283"/>
      <c r="G273" s="1288"/>
      <c r="H273" s="1289"/>
      <c r="I273" s="1289"/>
      <c r="J273" s="1290"/>
      <c r="K273" s="1291"/>
      <c r="L273" s="1292"/>
      <c r="M273" s="1292"/>
      <c r="N273" s="1292"/>
      <c r="O273" s="1292"/>
    </row>
    <row r="274" ht="33.0" customHeight="1">
      <c r="A274" s="1283"/>
      <c r="B274" s="1284"/>
      <c r="C274" s="1285"/>
      <c r="D274" s="1286"/>
      <c r="E274" s="1287"/>
      <c r="F274" s="1283"/>
      <c r="G274" s="1288"/>
      <c r="H274" s="1289"/>
      <c r="I274" s="1289"/>
      <c r="J274" s="1290"/>
      <c r="K274" s="1291"/>
      <c r="L274" s="1292"/>
      <c r="M274" s="1292"/>
      <c r="N274" s="1292"/>
      <c r="O274" s="1292"/>
    </row>
    <row r="275" ht="33.0" customHeight="1">
      <c r="A275" s="1283"/>
      <c r="B275" s="1284"/>
      <c r="C275" s="1285"/>
      <c r="D275" s="1286"/>
      <c r="E275" s="1287"/>
      <c r="F275" s="1283"/>
      <c r="G275" s="1288"/>
      <c r="H275" s="1289"/>
      <c r="I275" s="1289"/>
      <c r="J275" s="1290"/>
      <c r="K275" s="1291"/>
      <c r="L275" s="1292"/>
      <c r="M275" s="1292"/>
      <c r="N275" s="1292"/>
      <c r="O275" s="1292"/>
    </row>
    <row r="276" ht="33.0" customHeight="1">
      <c r="A276" s="1283"/>
      <c r="B276" s="1284"/>
      <c r="C276" s="1285"/>
      <c r="D276" s="1286"/>
      <c r="E276" s="1287"/>
      <c r="F276" s="1283"/>
      <c r="G276" s="1288"/>
      <c r="H276" s="1289"/>
      <c r="I276" s="1289"/>
      <c r="J276" s="1290"/>
      <c r="K276" s="1291"/>
      <c r="L276" s="1292"/>
      <c r="M276" s="1292"/>
      <c r="N276" s="1292"/>
      <c r="O276" s="1292"/>
    </row>
    <row r="277" ht="33.0" customHeight="1">
      <c r="A277" s="1283"/>
      <c r="B277" s="1284"/>
      <c r="C277" s="1285"/>
      <c r="D277" s="1286"/>
      <c r="E277" s="1287"/>
      <c r="F277" s="1283"/>
      <c r="G277" s="1288"/>
      <c r="H277" s="1289"/>
      <c r="I277" s="1289"/>
      <c r="J277" s="1290"/>
      <c r="K277" s="1291"/>
      <c r="L277" s="1292"/>
      <c r="M277" s="1292"/>
      <c r="N277" s="1292"/>
      <c r="O277" s="1292"/>
    </row>
    <row r="278" ht="33.0" customHeight="1">
      <c r="A278" s="1283"/>
      <c r="B278" s="1284"/>
      <c r="C278" s="1285"/>
      <c r="D278" s="1286"/>
      <c r="E278" s="1287"/>
      <c r="F278" s="1283"/>
      <c r="G278" s="1288"/>
      <c r="H278" s="1289"/>
      <c r="I278" s="1289"/>
      <c r="J278" s="1290"/>
      <c r="K278" s="1291"/>
      <c r="L278" s="1292"/>
      <c r="M278" s="1292"/>
      <c r="N278" s="1292"/>
      <c r="O278" s="1292"/>
    </row>
    <row r="279" ht="33.0" customHeight="1">
      <c r="A279" s="1283"/>
      <c r="B279" s="1284"/>
      <c r="C279" s="1285"/>
      <c r="D279" s="1286"/>
      <c r="E279" s="1287"/>
      <c r="F279" s="1283"/>
      <c r="G279" s="1288"/>
      <c r="H279" s="1289"/>
      <c r="I279" s="1289"/>
      <c r="J279" s="1290"/>
      <c r="K279" s="1291"/>
      <c r="L279" s="1292"/>
      <c r="M279" s="1292"/>
      <c r="N279" s="1292"/>
      <c r="O279" s="1292"/>
    </row>
    <row r="280" ht="33.0" customHeight="1">
      <c r="A280" s="1283"/>
      <c r="B280" s="1284"/>
      <c r="C280" s="1285"/>
      <c r="D280" s="1286"/>
      <c r="E280" s="1287"/>
      <c r="F280" s="1283"/>
      <c r="G280" s="1288"/>
      <c r="H280" s="1289"/>
      <c r="I280" s="1289"/>
      <c r="J280" s="1290"/>
      <c r="K280" s="1291"/>
      <c r="L280" s="1292"/>
      <c r="M280" s="1292"/>
      <c r="N280" s="1292"/>
      <c r="O280" s="1292"/>
    </row>
    <row r="281" ht="33.0" customHeight="1">
      <c r="A281" s="1283"/>
      <c r="B281" s="1284"/>
      <c r="C281" s="1285"/>
      <c r="D281" s="1286"/>
      <c r="E281" s="1287"/>
      <c r="F281" s="1283"/>
      <c r="G281" s="1288"/>
      <c r="H281" s="1289"/>
      <c r="I281" s="1289"/>
      <c r="J281" s="1290"/>
      <c r="K281" s="1291"/>
      <c r="L281" s="1292"/>
      <c r="M281" s="1292"/>
      <c r="N281" s="1292"/>
      <c r="O281" s="1292"/>
    </row>
    <row r="282" ht="33.0" customHeight="1">
      <c r="A282" s="1283"/>
      <c r="B282" s="1284"/>
      <c r="C282" s="1285"/>
      <c r="D282" s="1286"/>
      <c r="E282" s="1287"/>
      <c r="F282" s="1283"/>
      <c r="G282" s="1288"/>
      <c r="H282" s="1289"/>
      <c r="I282" s="1289"/>
      <c r="J282" s="1290"/>
      <c r="K282" s="1291"/>
      <c r="L282" s="1292"/>
      <c r="M282" s="1292"/>
      <c r="N282" s="1292"/>
      <c r="O282" s="1292"/>
    </row>
    <row r="283" ht="33.0" customHeight="1">
      <c r="A283" s="1283"/>
      <c r="B283" s="1284"/>
      <c r="C283" s="1285"/>
      <c r="D283" s="1286"/>
      <c r="E283" s="1287"/>
      <c r="F283" s="1283"/>
      <c r="G283" s="1288"/>
      <c r="H283" s="1289"/>
      <c r="I283" s="1289"/>
      <c r="J283" s="1290"/>
      <c r="K283" s="1291"/>
      <c r="L283" s="1292"/>
      <c r="M283" s="1292"/>
      <c r="N283" s="1292"/>
      <c r="O283" s="1292"/>
    </row>
    <row r="284" ht="33.0" customHeight="1">
      <c r="A284" s="1283"/>
      <c r="B284" s="1284"/>
      <c r="C284" s="1285"/>
      <c r="D284" s="1286"/>
      <c r="E284" s="1287"/>
      <c r="F284" s="1283"/>
      <c r="G284" s="1288"/>
      <c r="H284" s="1289"/>
      <c r="I284" s="1289"/>
      <c r="J284" s="1290"/>
      <c r="K284" s="1291"/>
      <c r="L284" s="1292"/>
      <c r="M284" s="1292"/>
      <c r="N284" s="1292"/>
      <c r="O284" s="1292"/>
    </row>
    <row r="285" ht="33.0" customHeight="1">
      <c r="A285" s="1283"/>
      <c r="B285" s="1284"/>
      <c r="C285" s="1285"/>
      <c r="D285" s="1286"/>
      <c r="E285" s="1287"/>
      <c r="F285" s="1283"/>
      <c r="G285" s="1288"/>
      <c r="H285" s="1289"/>
      <c r="I285" s="1289"/>
      <c r="J285" s="1290"/>
      <c r="K285" s="1291"/>
      <c r="L285" s="1292"/>
      <c r="M285" s="1292"/>
      <c r="N285" s="1292"/>
      <c r="O285" s="1292"/>
    </row>
    <row r="286" ht="33.0" customHeight="1">
      <c r="A286" s="1283"/>
      <c r="B286" s="1284"/>
      <c r="C286" s="1285"/>
      <c r="D286" s="1286"/>
      <c r="E286" s="1287"/>
      <c r="F286" s="1283"/>
      <c r="G286" s="1288"/>
      <c r="H286" s="1289"/>
      <c r="I286" s="1289"/>
      <c r="J286" s="1290"/>
      <c r="K286" s="1291"/>
      <c r="L286" s="1292"/>
      <c r="M286" s="1292"/>
      <c r="N286" s="1292"/>
      <c r="O286" s="1292"/>
    </row>
    <row r="287" ht="33.0" customHeight="1">
      <c r="A287" s="1283"/>
      <c r="B287" s="1284"/>
      <c r="C287" s="1285"/>
      <c r="D287" s="1286"/>
      <c r="E287" s="1287"/>
      <c r="F287" s="1283"/>
      <c r="G287" s="1288"/>
      <c r="H287" s="1289"/>
      <c r="I287" s="1289"/>
      <c r="J287" s="1290"/>
      <c r="K287" s="1291"/>
      <c r="L287" s="1292"/>
      <c r="M287" s="1292"/>
      <c r="N287" s="1292"/>
      <c r="O287" s="1292"/>
    </row>
    <row r="288" ht="33.0" customHeight="1">
      <c r="A288" s="1283"/>
      <c r="B288" s="1284"/>
      <c r="C288" s="1285"/>
      <c r="D288" s="1286"/>
      <c r="E288" s="1287"/>
      <c r="F288" s="1283"/>
      <c r="G288" s="1288"/>
      <c r="H288" s="1289"/>
      <c r="I288" s="1289"/>
      <c r="J288" s="1290"/>
      <c r="K288" s="1291"/>
      <c r="L288" s="1292"/>
      <c r="M288" s="1292"/>
      <c r="N288" s="1292"/>
      <c r="O288" s="1292"/>
    </row>
    <row r="289" ht="33.0" customHeight="1">
      <c r="A289" s="1283"/>
      <c r="B289" s="1284"/>
      <c r="C289" s="1285"/>
      <c r="D289" s="1286"/>
      <c r="E289" s="1287"/>
      <c r="F289" s="1283"/>
      <c r="G289" s="1288"/>
      <c r="H289" s="1289"/>
      <c r="I289" s="1289"/>
      <c r="J289" s="1290"/>
      <c r="K289" s="1291"/>
      <c r="L289" s="1292"/>
      <c r="M289" s="1292"/>
      <c r="N289" s="1292"/>
      <c r="O289" s="1292"/>
    </row>
    <row r="290" ht="33.0" customHeight="1">
      <c r="A290" s="1283"/>
      <c r="B290" s="1284"/>
      <c r="C290" s="1285"/>
      <c r="D290" s="1286"/>
      <c r="E290" s="1287"/>
      <c r="F290" s="1283"/>
      <c r="G290" s="1288"/>
      <c r="H290" s="1289"/>
      <c r="I290" s="1289"/>
      <c r="J290" s="1290"/>
      <c r="K290" s="1291"/>
      <c r="L290" s="1292"/>
      <c r="M290" s="1292"/>
      <c r="N290" s="1292"/>
      <c r="O290" s="1292"/>
    </row>
    <row r="291" ht="33.0" customHeight="1">
      <c r="A291" s="1283"/>
      <c r="B291" s="1284"/>
      <c r="C291" s="1285"/>
      <c r="D291" s="1286"/>
      <c r="E291" s="1287"/>
      <c r="F291" s="1283"/>
      <c r="G291" s="1288"/>
      <c r="H291" s="1289"/>
      <c r="I291" s="1289"/>
      <c r="J291" s="1290"/>
      <c r="K291" s="1291"/>
      <c r="L291" s="1292"/>
      <c r="M291" s="1292"/>
      <c r="N291" s="1292"/>
      <c r="O291" s="1292"/>
    </row>
    <row r="292" ht="33.0" customHeight="1">
      <c r="A292" s="1283"/>
      <c r="B292" s="1284"/>
      <c r="C292" s="1285"/>
      <c r="D292" s="1286"/>
      <c r="E292" s="1287"/>
      <c r="F292" s="1283"/>
      <c r="G292" s="1288"/>
      <c r="H292" s="1289"/>
      <c r="I292" s="1289"/>
      <c r="J292" s="1290"/>
      <c r="K292" s="1291"/>
      <c r="L292" s="1292"/>
      <c r="M292" s="1292"/>
      <c r="N292" s="1292"/>
      <c r="O292" s="1292"/>
    </row>
    <row r="293" ht="33.0" customHeight="1">
      <c r="A293" s="1283"/>
      <c r="B293" s="1284"/>
      <c r="C293" s="1285"/>
      <c r="D293" s="1286"/>
      <c r="E293" s="1287"/>
      <c r="F293" s="1283"/>
      <c r="G293" s="1288"/>
      <c r="H293" s="1289"/>
      <c r="I293" s="1289"/>
      <c r="J293" s="1290"/>
      <c r="K293" s="1291"/>
      <c r="L293" s="1292"/>
      <c r="M293" s="1292"/>
      <c r="N293" s="1292"/>
      <c r="O293" s="1292"/>
    </row>
    <row r="294" ht="33.0" customHeight="1">
      <c r="A294" s="1283"/>
      <c r="B294" s="1284"/>
      <c r="C294" s="1285"/>
      <c r="D294" s="1286"/>
      <c r="E294" s="1287"/>
      <c r="F294" s="1283"/>
      <c r="G294" s="1288"/>
      <c r="H294" s="1289"/>
      <c r="I294" s="1289"/>
      <c r="J294" s="1290"/>
      <c r="K294" s="1291"/>
      <c r="L294" s="1292"/>
      <c r="M294" s="1292"/>
      <c r="N294" s="1292"/>
      <c r="O294" s="1292"/>
    </row>
    <row r="295" ht="33.0" customHeight="1">
      <c r="A295" s="1283"/>
      <c r="B295" s="1284"/>
      <c r="C295" s="1285"/>
      <c r="D295" s="1286"/>
      <c r="E295" s="1287"/>
      <c r="F295" s="1283"/>
      <c r="G295" s="1288"/>
      <c r="H295" s="1289"/>
      <c r="I295" s="1289"/>
      <c r="J295" s="1290"/>
      <c r="K295" s="1291"/>
      <c r="L295" s="1292"/>
      <c r="M295" s="1292"/>
      <c r="N295" s="1292"/>
      <c r="O295" s="1292"/>
    </row>
    <row r="296" ht="33.0" customHeight="1">
      <c r="A296" s="1283"/>
      <c r="B296" s="1284"/>
      <c r="C296" s="1285"/>
      <c r="D296" s="1286"/>
      <c r="E296" s="1287"/>
      <c r="F296" s="1283"/>
      <c r="G296" s="1288"/>
      <c r="H296" s="1289"/>
      <c r="I296" s="1289"/>
      <c r="J296" s="1290"/>
      <c r="K296" s="1291"/>
      <c r="L296" s="1292"/>
      <c r="M296" s="1292"/>
      <c r="N296" s="1292"/>
      <c r="O296" s="1292"/>
    </row>
    <row r="297" ht="33.0" customHeight="1">
      <c r="A297" s="1283"/>
      <c r="B297" s="1284"/>
      <c r="C297" s="1285"/>
      <c r="D297" s="1286"/>
      <c r="E297" s="1287"/>
      <c r="F297" s="1283"/>
      <c r="G297" s="1288"/>
      <c r="H297" s="1289"/>
      <c r="I297" s="1289"/>
      <c r="J297" s="1290"/>
      <c r="K297" s="1291"/>
      <c r="L297" s="1292"/>
      <c r="M297" s="1292"/>
      <c r="N297" s="1292"/>
      <c r="O297" s="1292"/>
    </row>
    <row r="298" ht="33.0" customHeight="1">
      <c r="A298" s="1283"/>
      <c r="B298" s="1284"/>
      <c r="C298" s="1285"/>
      <c r="D298" s="1286"/>
      <c r="E298" s="1287"/>
      <c r="F298" s="1283"/>
      <c r="G298" s="1288"/>
      <c r="H298" s="1289"/>
      <c r="I298" s="1289"/>
      <c r="J298" s="1290"/>
      <c r="K298" s="1291"/>
      <c r="L298" s="1292"/>
      <c r="M298" s="1292"/>
      <c r="N298" s="1292"/>
      <c r="O298" s="1292"/>
    </row>
    <row r="299" ht="33.0" customHeight="1">
      <c r="A299" s="1283"/>
      <c r="B299" s="1284"/>
      <c r="C299" s="1285"/>
      <c r="D299" s="1286"/>
      <c r="E299" s="1287"/>
      <c r="F299" s="1283"/>
      <c r="G299" s="1288"/>
      <c r="H299" s="1289"/>
      <c r="I299" s="1289"/>
      <c r="J299" s="1290"/>
      <c r="K299" s="1291"/>
      <c r="L299" s="1292"/>
      <c r="M299" s="1292"/>
      <c r="N299" s="1292"/>
      <c r="O299" s="1292"/>
    </row>
    <row r="300" ht="33.0" customHeight="1">
      <c r="A300" s="1283"/>
      <c r="B300" s="1284"/>
      <c r="C300" s="1285"/>
      <c r="D300" s="1286"/>
      <c r="E300" s="1287"/>
      <c r="F300" s="1283"/>
      <c r="G300" s="1288"/>
      <c r="H300" s="1289"/>
      <c r="I300" s="1289"/>
      <c r="J300" s="1290"/>
      <c r="K300" s="1291"/>
      <c r="L300" s="1292"/>
      <c r="M300" s="1292"/>
      <c r="N300" s="1292"/>
      <c r="O300" s="1292"/>
    </row>
    <row r="301" ht="33.0" customHeight="1">
      <c r="A301" s="1283"/>
      <c r="B301" s="1284"/>
      <c r="C301" s="1285"/>
      <c r="D301" s="1286"/>
      <c r="E301" s="1287"/>
      <c r="F301" s="1283"/>
      <c r="G301" s="1288"/>
      <c r="H301" s="1289"/>
      <c r="I301" s="1289"/>
      <c r="J301" s="1290"/>
      <c r="K301" s="1291"/>
      <c r="L301" s="1292"/>
      <c r="M301" s="1292"/>
      <c r="N301" s="1292"/>
      <c r="O301" s="1292"/>
    </row>
    <row r="302" ht="33.0" customHeight="1">
      <c r="A302" s="1283"/>
      <c r="B302" s="1284"/>
      <c r="C302" s="1285"/>
      <c r="D302" s="1286"/>
      <c r="E302" s="1287"/>
      <c r="F302" s="1283"/>
      <c r="G302" s="1288"/>
      <c r="H302" s="1289"/>
      <c r="I302" s="1289"/>
      <c r="J302" s="1290"/>
      <c r="K302" s="1291"/>
      <c r="L302" s="1292"/>
      <c r="M302" s="1292"/>
      <c r="N302" s="1292"/>
      <c r="O302" s="1292"/>
    </row>
    <row r="303" ht="33.0" customHeight="1">
      <c r="A303" s="1283"/>
      <c r="B303" s="1284"/>
      <c r="C303" s="1285"/>
      <c r="D303" s="1286"/>
      <c r="E303" s="1287"/>
      <c r="F303" s="1283"/>
      <c r="G303" s="1288"/>
      <c r="H303" s="1289"/>
      <c r="I303" s="1289"/>
      <c r="J303" s="1290"/>
      <c r="K303" s="1291"/>
      <c r="L303" s="1292"/>
      <c r="M303" s="1292"/>
      <c r="N303" s="1292"/>
      <c r="O303" s="1292"/>
    </row>
    <row r="304" ht="33.0" customHeight="1">
      <c r="A304" s="1283"/>
      <c r="B304" s="1284"/>
      <c r="C304" s="1285"/>
      <c r="D304" s="1286"/>
      <c r="E304" s="1287"/>
      <c r="F304" s="1283"/>
      <c r="G304" s="1288"/>
      <c r="H304" s="1289"/>
      <c r="I304" s="1289"/>
      <c r="J304" s="1290"/>
      <c r="K304" s="1291"/>
      <c r="L304" s="1292"/>
      <c r="M304" s="1292"/>
      <c r="N304" s="1292"/>
      <c r="O304" s="1292"/>
    </row>
    <row r="305" ht="33.0" customHeight="1">
      <c r="A305" s="1283"/>
      <c r="B305" s="1284"/>
      <c r="C305" s="1285"/>
      <c r="D305" s="1286"/>
      <c r="E305" s="1287"/>
      <c r="F305" s="1283"/>
      <c r="G305" s="1288"/>
      <c r="H305" s="1289"/>
      <c r="I305" s="1289"/>
      <c r="J305" s="1290"/>
      <c r="K305" s="1291"/>
      <c r="L305" s="1292"/>
      <c r="M305" s="1292"/>
      <c r="N305" s="1292"/>
      <c r="O305" s="1292"/>
    </row>
    <row r="306" ht="33.0" customHeight="1">
      <c r="A306" s="1283"/>
      <c r="B306" s="1284"/>
      <c r="C306" s="1285"/>
      <c r="D306" s="1286"/>
      <c r="E306" s="1287"/>
      <c r="F306" s="1283"/>
      <c r="G306" s="1288"/>
      <c r="H306" s="1289"/>
      <c r="I306" s="1289"/>
      <c r="J306" s="1290"/>
      <c r="K306" s="1291"/>
      <c r="L306" s="1292"/>
      <c r="M306" s="1292"/>
      <c r="N306" s="1292"/>
      <c r="O306" s="1292"/>
    </row>
    <row r="307" ht="33.0" customHeight="1">
      <c r="A307" s="1283"/>
      <c r="B307" s="1284"/>
      <c r="C307" s="1285"/>
      <c r="D307" s="1286"/>
      <c r="E307" s="1287"/>
      <c r="F307" s="1283"/>
      <c r="G307" s="1288"/>
      <c r="H307" s="1289"/>
      <c r="I307" s="1289"/>
      <c r="J307" s="1290"/>
      <c r="K307" s="1291"/>
      <c r="L307" s="1292"/>
      <c r="M307" s="1292"/>
      <c r="N307" s="1292"/>
      <c r="O307" s="1292"/>
    </row>
    <row r="308" ht="33.0" customHeight="1">
      <c r="A308" s="1283"/>
      <c r="B308" s="1284"/>
      <c r="C308" s="1285"/>
      <c r="D308" s="1286"/>
      <c r="E308" s="1287"/>
      <c r="F308" s="1283"/>
      <c r="G308" s="1288"/>
      <c r="H308" s="1289"/>
      <c r="I308" s="1289"/>
      <c r="J308" s="1290"/>
      <c r="K308" s="1291"/>
      <c r="L308" s="1292"/>
      <c r="M308" s="1292"/>
      <c r="N308" s="1292"/>
      <c r="O308" s="1292"/>
    </row>
    <row r="309" ht="33.0" customHeight="1">
      <c r="A309" s="1283"/>
      <c r="B309" s="1284"/>
      <c r="C309" s="1285"/>
      <c r="D309" s="1286"/>
      <c r="E309" s="1287"/>
      <c r="F309" s="1283"/>
      <c r="G309" s="1288"/>
      <c r="H309" s="1289"/>
      <c r="I309" s="1289"/>
      <c r="J309" s="1290"/>
      <c r="K309" s="1291"/>
      <c r="L309" s="1292"/>
      <c r="M309" s="1292"/>
      <c r="N309" s="1292"/>
      <c r="O309" s="1292"/>
    </row>
    <row r="310" ht="33.0" customHeight="1">
      <c r="A310" s="1283"/>
      <c r="B310" s="1284"/>
      <c r="C310" s="1285"/>
      <c r="D310" s="1286"/>
      <c r="E310" s="1287"/>
      <c r="F310" s="1283"/>
      <c r="G310" s="1288"/>
      <c r="H310" s="1289"/>
      <c r="I310" s="1289"/>
      <c r="J310" s="1290"/>
      <c r="K310" s="1291"/>
      <c r="L310" s="1292"/>
      <c r="M310" s="1292"/>
      <c r="N310" s="1292"/>
      <c r="O310" s="1292"/>
    </row>
    <row r="311" ht="33.0" customHeight="1">
      <c r="A311" s="1283"/>
      <c r="B311" s="1284"/>
      <c r="C311" s="1285"/>
      <c r="D311" s="1286"/>
      <c r="E311" s="1287"/>
      <c r="F311" s="1283"/>
      <c r="G311" s="1288"/>
      <c r="H311" s="1289"/>
      <c r="I311" s="1289"/>
      <c r="J311" s="1290"/>
      <c r="K311" s="1291"/>
      <c r="L311" s="1292"/>
      <c r="M311" s="1292"/>
      <c r="N311" s="1292"/>
      <c r="O311" s="1292"/>
    </row>
    <row r="312" ht="33.0" customHeight="1">
      <c r="A312" s="1283"/>
      <c r="B312" s="1284"/>
      <c r="C312" s="1285"/>
      <c r="D312" s="1286"/>
      <c r="E312" s="1287"/>
      <c r="F312" s="1283"/>
      <c r="G312" s="1288"/>
      <c r="H312" s="1289"/>
      <c r="I312" s="1289"/>
      <c r="J312" s="1290"/>
      <c r="K312" s="1291"/>
      <c r="L312" s="1292"/>
      <c r="M312" s="1292"/>
      <c r="N312" s="1292"/>
      <c r="O312" s="1292"/>
    </row>
    <row r="313" ht="33.0" customHeight="1">
      <c r="A313" s="1283"/>
      <c r="B313" s="1284"/>
      <c r="C313" s="1285"/>
      <c r="D313" s="1286"/>
      <c r="E313" s="1287"/>
      <c r="F313" s="1283"/>
      <c r="G313" s="1288"/>
      <c r="H313" s="1289"/>
      <c r="I313" s="1289"/>
      <c r="J313" s="1290"/>
      <c r="K313" s="1291"/>
      <c r="L313" s="1292"/>
      <c r="M313" s="1292"/>
      <c r="N313" s="1292"/>
      <c r="O313" s="1292"/>
    </row>
    <row r="314" ht="33.0" customHeight="1">
      <c r="A314" s="1283"/>
      <c r="B314" s="1284"/>
      <c r="C314" s="1285"/>
      <c r="D314" s="1286"/>
      <c r="E314" s="1287"/>
      <c r="F314" s="1283"/>
      <c r="G314" s="1288"/>
      <c r="H314" s="1289"/>
      <c r="I314" s="1289"/>
      <c r="J314" s="1290"/>
      <c r="K314" s="1291"/>
      <c r="L314" s="1292"/>
      <c r="M314" s="1292"/>
      <c r="N314" s="1292"/>
      <c r="O314" s="1292"/>
    </row>
    <row r="315" ht="33.0" customHeight="1">
      <c r="A315" s="1283"/>
      <c r="B315" s="1284"/>
      <c r="C315" s="1285"/>
      <c r="D315" s="1286"/>
      <c r="E315" s="1287"/>
      <c r="F315" s="1283"/>
      <c r="G315" s="1288"/>
      <c r="H315" s="1289"/>
      <c r="I315" s="1289"/>
      <c r="J315" s="1290"/>
      <c r="K315" s="1291"/>
      <c r="L315" s="1292"/>
      <c r="M315" s="1292"/>
      <c r="N315" s="1292"/>
      <c r="O315" s="1292"/>
    </row>
    <row r="316" ht="33.0" customHeight="1">
      <c r="A316" s="1283"/>
      <c r="B316" s="1284"/>
      <c r="C316" s="1285"/>
      <c r="D316" s="1286"/>
      <c r="E316" s="1287"/>
      <c r="F316" s="1283"/>
      <c r="G316" s="1288"/>
      <c r="H316" s="1289"/>
      <c r="I316" s="1289"/>
      <c r="J316" s="1290"/>
      <c r="K316" s="1291"/>
      <c r="L316" s="1292"/>
      <c r="M316" s="1292"/>
      <c r="N316" s="1292"/>
      <c r="O316" s="1292"/>
    </row>
    <row r="317" ht="33.0" customHeight="1">
      <c r="A317" s="1283"/>
      <c r="B317" s="1284"/>
      <c r="C317" s="1285"/>
      <c r="D317" s="1286"/>
      <c r="E317" s="1287"/>
      <c r="F317" s="1283"/>
      <c r="G317" s="1288"/>
      <c r="H317" s="1289"/>
      <c r="I317" s="1289"/>
      <c r="J317" s="1290"/>
      <c r="K317" s="1291"/>
      <c r="L317" s="1292"/>
      <c r="M317" s="1292"/>
      <c r="N317" s="1292"/>
      <c r="O317" s="1292"/>
    </row>
    <row r="318" ht="33.0" customHeight="1">
      <c r="A318" s="1283"/>
      <c r="B318" s="1284"/>
      <c r="C318" s="1285"/>
      <c r="D318" s="1286"/>
      <c r="E318" s="1287"/>
      <c r="F318" s="1283"/>
      <c r="G318" s="1288"/>
      <c r="H318" s="1289"/>
      <c r="I318" s="1289"/>
      <c r="J318" s="1290"/>
      <c r="K318" s="1291"/>
      <c r="L318" s="1292"/>
      <c r="M318" s="1292"/>
      <c r="N318" s="1292"/>
      <c r="O318" s="1292"/>
    </row>
    <row r="319" ht="33.0" customHeight="1">
      <c r="A319" s="1283"/>
      <c r="B319" s="1284"/>
      <c r="C319" s="1285"/>
      <c r="D319" s="1286"/>
      <c r="E319" s="1287"/>
      <c r="F319" s="1283"/>
      <c r="G319" s="1288"/>
      <c r="H319" s="1289"/>
      <c r="I319" s="1289"/>
      <c r="J319" s="1290"/>
      <c r="K319" s="1291"/>
      <c r="L319" s="1292"/>
      <c r="M319" s="1292"/>
      <c r="N319" s="1292"/>
      <c r="O319" s="1292"/>
    </row>
    <row r="320" ht="33.0" customHeight="1">
      <c r="A320" s="1283"/>
      <c r="B320" s="1284"/>
      <c r="C320" s="1285"/>
      <c r="D320" s="1286"/>
      <c r="E320" s="1287"/>
      <c r="F320" s="1283"/>
      <c r="G320" s="1288"/>
      <c r="H320" s="1289"/>
      <c r="I320" s="1289"/>
      <c r="J320" s="1290"/>
      <c r="K320" s="1291"/>
      <c r="L320" s="1292"/>
      <c r="M320" s="1292"/>
      <c r="N320" s="1292"/>
      <c r="O320" s="1292"/>
    </row>
    <row r="321" ht="33.0" customHeight="1">
      <c r="A321" s="1283"/>
      <c r="B321" s="1284"/>
      <c r="C321" s="1285"/>
      <c r="D321" s="1286"/>
      <c r="E321" s="1287"/>
      <c r="F321" s="1283"/>
      <c r="G321" s="1288"/>
      <c r="H321" s="1289"/>
      <c r="I321" s="1289"/>
      <c r="J321" s="1290"/>
      <c r="K321" s="1291"/>
      <c r="L321" s="1292"/>
      <c r="M321" s="1292"/>
      <c r="N321" s="1292"/>
      <c r="O321" s="1292"/>
    </row>
    <row r="322" ht="33.0" customHeight="1">
      <c r="A322" s="1283"/>
      <c r="B322" s="1284"/>
      <c r="C322" s="1285"/>
      <c r="D322" s="1286"/>
      <c r="E322" s="1287"/>
      <c r="F322" s="1283"/>
      <c r="G322" s="1288"/>
      <c r="H322" s="1289"/>
      <c r="I322" s="1289"/>
      <c r="J322" s="1290"/>
      <c r="K322" s="1291"/>
      <c r="L322" s="1292"/>
      <c r="M322" s="1292"/>
      <c r="N322" s="1292"/>
      <c r="O322" s="1292"/>
    </row>
    <row r="323" ht="33.0" customHeight="1">
      <c r="A323" s="1283"/>
      <c r="B323" s="1284"/>
      <c r="C323" s="1285"/>
      <c r="D323" s="1286"/>
      <c r="E323" s="1287"/>
      <c r="F323" s="1283"/>
      <c r="G323" s="1288"/>
      <c r="H323" s="1289"/>
      <c r="I323" s="1289"/>
      <c r="J323" s="1290"/>
      <c r="K323" s="1291"/>
      <c r="L323" s="1292"/>
      <c r="M323" s="1292"/>
      <c r="N323" s="1292"/>
      <c r="O323" s="1292"/>
    </row>
    <row r="324" ht="33.0" customHeight="1">
      <c r="A324" s="1283"/>
      <c r="B324" s="1284"/>
      <c r="C324" s="1285"/>
      <c r="D324" s="1286"/>
      <c r="E324" s="1287"/>
      <c r="F324" s="1283"/>
      <c r="G324" s="1288"/>
      <c r="H324" s="1289"/>
      <c r="I324" s="1289"/>
      <c r="J324" s="1290"/>
      <c r="K324" s="1291"/>
      <c r="L324" s="1292"/>
      <c r="M324" s="1292"/>
      <c r="N324" s="1292"/>
      <c r="O324" s="1292"/>
    </row>
    <row r="325" ht="33.0" customHeight="1">
      <c r="A325" s="1283"/>
      <c r="B325" s="1284"/>
      <c r="C325" s="1285"/>
      <c r="D325" s="1286"/>
      <c r="E325" s="1287"/>
      <c r="F325" s="1283"/>
      <c r="G325" s="1288"/>
      <c r="H325" s="1289"/>
      <c r="I325" s="1289"/>
      <c r="J325" s="1290"/>
      <c r="K325" s="1291"/>
      <c r="L325" s="1292"/>
      <c r="M325" s="1292"/>
      <c r="N325" s="1292"/>
      <c r="O325" s="1292"/>
    </row>
    <row r="326" ht="33.0" customHeight="1">
      <c r="A326" s="1283"/>
      <c r="B326" s="1284"/>
      <c r="C326" s="1285"/>
      <c r="D326" s="1286"/>
      <c r="E326" s="1287"/>
      <c r="F326" s="1283"/>
      <c r="G326" s="1288"/>
      <c r="H326" s="1289"/>
      <c r="I326" s="1289"/>
      <c r="J326" s="1290"/>
      <c r="K326" s="1291"/>
      <c r="L326" s="1292"/>
      <c r="M326" s="1292"/>
      <c r="N326" s="1292"/>
      <c r="O326" s="1292"/>
    </row>
    <row r="327" ht="33.0" customHeight="1">
      <c r="A327" s="1283"/>
      <c r="B327" s="1284"/>
      <c r="C327" s="1285"/>
      <c r="D327" s="1286"/>
      <c r="E327" s="1287"/>
      <c r="F327" s="1283"/>
      <c r="G327" s="1288"/>
      <c r="H327" s="1289"/>
      <c r="I327" s="1289"/>
      <c r="J327" s="1290"/>
      <c r="K327" s="1291"/>
      <c r="L327" s="1292"/>
      <c r="M327" s="1292"/>
      <c r="N327" s="1292"/>
      <c r="O327" s="1292"/>
    </row>
    <row r="328" ht="33.0" customHeight="1">
      <c r="A328" s="1283"/>
      <c r="B328" s="1284"/>
      <c r="C328" s="1285"/>
      <c r="D328" s="1286"/>
      <c r="E328" s="1287"/>
      <c r="F328" s="1283"/>
      <c r="G328" s="1288"/>
      <c r="H328" s="1289"/>
      <c r="I328" s="1289"/>
      <c r="J328" s="1290"/>
      <c r="K328" s="1291"/>
      <c r="L328" s="1292"/>
      <c r="M328" s="1292"/>
      <c r="N328" s="1292"/>
      <c r="O328" s="1292"/>
    </row>
    <row r="329" ht="33.0" customHeight="1">
      <c r="A329" s="1283"/>
      <c r="B329" s="1284"/>
      <c r="C329" s="1285"/>
      <c r="D329" s="1286"/>
      <c r="E329" s="1287"/>
      <c r="F329" s="1283"/>
      <c r="G329" s="1288"/>
      <c r="H329" s="1289"/>
      <c r="I329" s="1289"/>
      <c r="J329" s="1290"/>
      <c r="K329" s="1291"/>
      <c r="L329" s="1292"/>
      <c r="M329" s="1292"/>
      <c r="N329" s="1292"/>
      <c r="O329" s="1292"/>
    </row>
    <row r="330" ht="33.0" customHeight="1">
      <c r="A330" s="1283"/>
      <c r="B330" s="1284"/>
      <c r="C330" s="1285"/>
      <c r="D330" s="1286"/>
      <c r="E330" s="1287"/>
      <c r="F330" s="1283"/>
      <c r="G330" s="1288"/>
      <c r="H330" s="1289"/>
      <c r="I330" s="1289"/>
      <c r="J330" s="1290"/>
      <c r="K330" s="1291"/>
      <c r="L330" s="1292"/>
      <c r="M330" s="1292"/>
      <c r="N330" s="1292"/>
      <c r="O330" s="1292"/>
    </row>
    <row r="331" ht="33.0" customHeight="1">
      <c r="A331" s="1283"/>
      <c r="B331" s="1284"/>
      <c r="C331" s="1285"/>
      <c r="D331" s="1286"/>
      <c r="E331" s="1287"/>
      <c r="F331" s="1283"/>
      <c r="G331" s="1288"/>
      <c r="H331" s="1289"/>
      <c r="I331" s="1289"/>
      <c r="J331" s="1290"/>
      <c r="K331" s="1291"/>
      <c r="L331" s="1292"/>
      <c r="M331" s="1292"/>
      <c r="N331" s="1292"/>
      <c r="O331" s="1292"/>
    </row>
    <row r="332" ht="33.0" customHeight="1">
      <c r="A332" s="1283"/>
      <c r="B332" s="1284"/>
      <c r="C332" s="1285"/>
      <c r="D332" s="1286"/>
      <c r="E332" s="1287"/>
      <c r="F332" s="1283"/>
      <c r="G332" s="1288"/>
      <c r="H332" s="1289"/>
      <c r="I332" s="1289"/>
      <c r="J332" s="1290"/>
      <c r="K332" s="1291"/>
      <c r="L332" s="1292"/>
      <c r="M332" s="1292"/>
      <c r="N332" s="1292"/>
      <c r="O332" s="1292"/>
    </row>
    <row r="333" ht="33.0" customHeight="1">
      <c r="A333" s="1283"/>
      <c r="B333" s="1284"/>
      <c r="C333" s="1285"/>
      <c r="D333" s="1286"/>
      <c r="E333" s="1287"/>
      <c r="F333" s="1283"/>
      <c r="G333" s="1288"/>
      <c r="H333" s="1289"/>
      <c r="I333" s="1289"/>
      <c r="J333" s="1290"/>
      <c r="K333" s="1291"/>
      <c r="L333" s="1292"/>
      <c r="M333" s="1292"/>
      <c r="N333" s="1292"/>
      <c r="O333" s="1292"/>
    </row>
    <row r="334" ht="33.0" customHeight="1">
      <c r="A334" s="1283"/>
      <c r="B334" s="1284"/>
      <c r="C334" s="1285"/>
      <c r="D334" s="1286"/>
      <c r="E334" s="1287"/>
      <c r="F334" s="1283"/>
      <c r="G334" s="1288"/>
      <c r="H334" s="1289"/>
      <c r="I334" s="1289"/>
      <c r="J334" s="1290"/>
      <c r="K334" s="1291"/>
      <c r="L334" s="1292"/>
      <c r="M334" s="1292"/>
      <c r="N334" s="1292"/>
      <c r="O334" s="1292"/>
    </row>
    <row r="335" ht="33.0" customHeight="1">
      <c r="A335" s="1283"/>
      <c r="B335" s="1284"/>
      <c r="C335" s="1285"/>
      <c r="D335" s="1286"/>
      <c r="E335" s="1287"/>
      <c r="F335" s="1283"/>
      <c r="G335" s="1288"/>
      <c r="H335" s="1289"/>
      <c r="I335" s="1289"/>
      <c r="J335" s="1290"/>
      <c r="K335" s="1291"/>
      <c r="L335" s="1292"/>
      <c r="M335" s="1292"/>
      <c r="N335" s="1292"/>
      <c r="O335" s="1292"/>
    </row>
    <row r="336" ht="33.0" customHeight="1">
      <c r="A336" s="1283"/>
      <c r="B336" s="1284"/>
      <c r="C336" s="1285"/>
      <c r="D336" s="1286"/>
      <c r="E336" s="1287"/>
      <c r="F336" s="1283"/>
      <c r="G336" s="1288"/>
      <c r="H336" s="1289"/>
      <c r="I336" s="1289"/>
      <c r="J336" s="1290"/>
      <c r="K336" s="1291"/>
      <c r="L336" s="1292"/>
      <c r="M336" s="1292"/>
      <c r="N336" s="1292"/>
      <c r="O336" s="1292"/>
    </row>
    <row r="337" ht="33.0" customHeight="1">
      <c r="A337" s="1283"/>
      <c r="B337" s="1284"/>
      <c r="C337" s="1285"/>
      <c r="D337" s="1286"/>
      <c r="E337" s="1287"/>
      <c r="F337" s="1283"/>
      <c r="G337" s="1288"/>
      <c r="H337" s="1289"/>
      <c r="I337" s="1289"/>
      <c r="J337" s="1290"/>
      <c r="K337" s="1291"/>
      <c r="L337" s="1292"/>
      <c r="M337" s="1292"/>
      <c r="N337" s="1292"/>
      <c r="O337" s="1292"/>
    </row>
    <row r="338" ht="33.0" customHeight="1">
      <c r="A338" s="1283"/>
      <c r="B338" s="1284"/>
      <c r="C338" s="1285"/>
      <c r="D338" s="1286"/>
      <c r="E338" s="1287"/>
      <c r="F338" s="1283"/>
      <c r="G338" s="1288"/>
      <c r="H338" s="1289"/>
      <c r="I338" s="1289"/>
      <c r="J338" s="1290"/>
      <c r="K338" s="1291"/>
      <c r="L338" s="1292"/>
      <c r="M338" s="1292"/>
      <c r="N338" s="1292"/>
      <c r="O338" s="1292"/>
    </row>
    <row r="339" ht="33.0" customHeight="1">
      <c r="A339" s="1283"/>
      <c r="B339" s="1284"/>
      <c r="C339" s="1285"/>
      <c r="D339" s="1286"/>
      <c r="E339" s="1287"/>
      <c r="F339" s="1283"/>
      <c r="G339" s="1288"/>
      <c r="H339" s="1289"/>
      <c r="I339" s="1289"/>
      <c r="J339" s="1290"/>
      <c r="K339" s="1291"/>
      <c r="L339" s="1292"/>
      <c r="M339" s="1292"/>
      <c r="N339" s="1292"/>
      <c r="O339" s="1292"/>
    </row>
    <row r="340" ht="33.0" customHeight="1">
      <c r="A340" s="1283"/>
      <c r="B340" s="1284"/>
      <c r="C340" s="1285"/>
      <c r="D340" s="1286"/>
      <c r="E340" s="1287"/>
      <c r="F340" s="1283"/>
      <c r="G340" s="1288"/>
      <c r="H340" s="1289"/>
      <c r="I340" s="1289"/>
      <c r="J340" s="1290"/>
      <c r="K340" s="1291"/>
      <c r="L340" s="1292"/>
      <c r="M340" s="1292"/>
      <c r="N340" s="1292"/>
      <c r="O340" s="1292"/>
    </row>
    <row r="341" ht="33.0" customHeight="1">
      <c r="A341" s="1283"/>
      <c r="B341" s="1284"/>
      <c r="C341" s="1285"/>
      <c r="D341" s="1286"/>
      <c r="E341" s="1287"/>
      <c r="F341" s="1283"/>
      <c r="G341" s="1288"/>
      <c r="H341" s="1289"/>
      <c r="I341" s="1289"/>
      <c r="J341" s="1290"/>
      <c r="K341" s="1291"/>
      <c r="L341" s="1292"/>
      <c r="M341" s="1292"/>
      <c r="N341" s="1292"/>
      <c r="O341" s="1292"/>
    </row>
    <row r="342" ht="33.0" customHeight="1">
      <c r="A342" s="1283"/>
      <c r="B342" s="1284"/>
      <c r="C342" s="1285"/>
      <c r="D342" s="1286"/>
      <c r="E342" s="1287"/>
      <c r="F342" s="1283"/>
      <c r="G342" s="1288"/>
      <c r="H342" s="1289"/>
      <c r="I342" s="1289"/>
      <c r="J342" s="1290"/>
      <c r="K342" s="1291"/>
      <c r="L342" s="1292"/>
      <c r="M342" s="1292"/>
      <c r="N342" s="1292"/>
      <c r="O342" s="1292"/>
    </row>
    <row r="343" ht="33.0" customHeight="1">
      <c r="A343" s="1283"/>
      <c r="B343" s="1284"/>
      <c r="C343" s="1285"/>
      <c r="D343" s="1286"/>
      <c r="E343" s="1287"/>
      <c r="F343" s="1283"/>
      <c r="G343" s="1288"/>
      <c r="H343" s="1289"/>
      <c r="I343" s="1289"/>
      <c r="J343" s="1290"/>
      <c r="K343" s="1291"/>
      <c r="L343" s="1292"/>
      <c r="M343" s="1292"/>
      <c r="N343" s="1292"/>
      <c r="O343" s="1292"/>
    </row>
    <row r="344" ht="33.0" customHeight="1">
      <c r="A344" s="1283"/>
      <c r="B344" s="1284"/>
      <c r="C344" s="1285"/>
      <c r="D344" s="1286"/>
      <c r="E344" s="1287"/>
      <c r="F344" s="1283"/>
      <c r="G344" s="1288"/>
      <c r="H344" s="1289"/>
      <c r="I344" s="1289"/>
      <c r="J344" s="1290"/>
      <c r="K344" s="1291"/>
      <c r="L344" s="1292"/>
      <c r="M344" s="1292"/>
      <c r="N344" s="1292"/>
      <c r="O344" s="1292"/>
    </row>
    <row r="345" ht="33.0" customHeight="1">
      <c r="A345" s="1283"/>
      <c r="B345" s="1284"/>
      <c r="C345" s="1285"/>
      <c r="D345" s="1286"/>
      <c r="E345" s="1287"/>
      <c r="F345" s="1283"/>
      <c r="G345" s="1288"/>
      <c r="H345" s="1289"/>
      <c r="I345" s="1289"/>
      <c r="J345" s="1290"/>
      <c r="K345" s="1291"/>
      <c r="L345" s="1292"/>
      <c r="M345" s="1292"/>
      <c r="N345" s="1292"/>
      <c r="O345" s="1292"/>
    </row>
    <row r="346" ht="33.0" customHeight="1">
      <c r="A346" s="1283"/>
      <c r="B346" s="1284"/>
      <c r="C346" s="1285"/>
      <c r="D346" s="1286"/>
      <c r="E346" s="1287"/>
      <c r="F346" s="1283"/>
      <c r="G346" s="1288"/>
      <c r="H346" s="1289"/>
      <c r="I346" s="1289"/>
      <c r="J346" s="1290"/>
      <c r="K346" s="1291"/>
      <c r="L346" s="1292"/>
      <c r="M346" s="1292"/>
      <c r="N346" s="1292"/>
      <c r="O346" s="1292"/>
    </row>
    <row r="347" ht="33.0" customHeight="1">
      <c r="A347" s="1283"/>
      <c r="B347" s="1284"/>
      <c r="C347" s="1285"/>
      <c r="D347" s="1286"/>
      <c r="E347" s="1287"/>
      <c r="F347" s="1283"/>
      <c r="G347" s="1288"/>
      <c r="H347" s="1289"/>
      <c r="I347" s="1289"/>
      <c r="J347" s="1290"/>
      <c r="K347" s="1291"/>
      <c r="L347" s="1292"/>
      <c r="M347" s="1292"/>
      <c r="N347" s="1292"/>
      <c r="O347" s="1292"/>
    </row>
    <row r="348" ht="33.0" customHeight="1">
      <c r="A348" s="1283"/>
      <c r="B348" s="1284"/>
      <c r="C348" s="1285"/>
      <c r="D348" s="1286"/>
      <c r="E348" s="1287"/>
      <c r="F348" s="1283"/>
      <c r="G348" s="1288"/>
      <c r="H348" s="1289"/>
      <c r="I348" s="1289"/>
      <c r="J348" s="1290"/>
      <c r="K348" s="1291"/>
      <c r="L348" s="1292"/>
      <c r="M348" s="1292"/>
      <c r="N348" s="1292"/>
      <c r="O348" s="1292"/>
    </row>
    <row r="349" ht="33.0" customHeight="1">
      <c r="A349" s="1283"/>
      <c r="B349" s="1284"/>
      <c r="C349" s="1285"/>
      <c r="D349" s="1286"/>
      <c r="E349" s="1287"/>
      <c r="F349" s="1283"/>
      <c r="G349" s="1288"/>
      <c r="H349" s="1289"/>
      <c r="I349" s="1289"/>
      <c r="J349" s="1290"/>
      <c r="K349" s="1291"/>
      <c r="L349" s="1292"/>
      <c r="M349" s="1292"/>
      <c r="N349" s="1292"/>
      <c r="O349" s="1292"/>
    </row>
    <row r="350" ht="33.0" customHeight="1">
      <c r="A350" s="1283"/>
      <c r="B350" s="1284"/>
      <c r="C350" s="1285"/>
      <c r="D350" s="1286"/>
      <c r="E350" s="1287"/>
      <c r="F350" s="1283"/>
      <c r="G350" s="1288"/>
      <c r="H350" s="1289"/>
      <c r="I350" s="1289"/>
      <c r="J350" s="1290"/>
      <c r="K350" s="1291"/>
      <c r="L350" s="1292"/>
      <c r="M350" s="1292"/>
      <c r="N350" s="1292"/>
      <c r="O350" s="1292"/>
    </row>
    <row r="351" ht="33.0" customHeight="1">
      <c r="A351" s="1283"/>
      <c r="B351" s="1284"/>
      <c r="C351" s="1285"/>
      <c r="D351" s="1286"/>
      <c r="E351" s="1287"/>
      <c r="F351" s="1283"/>
      <c r="G351" s="1288"/>
      <c r="H351" s="1289"/>
      <c r="I351" s="1289"/>
      <c r="J351" s="1290"/>
      <c r="K351" s="1291"/>
      <c r="L351" s="1292"/>
      <c r="M351" s="1292"/>
      <c r="N351" s="1292"/>
      <c r="O351" s="1292"/>
    </row>
    <row r="352" ht="33.0" customHeight="1">
      <c r="A352" s="1283"/>
      <c r="B352" s="1284"/>
      <c r="C352" s="1285"/>
      <c r="D352" s="1286"/>
      <c r="E352" s="1287"/>
      <c r="F352" s="1283"/>
      <c r="G352" s="1288"/>
      <c r="H352" s="1289"/>
      <c r="I352" s="1289"/>
      <c r="J352" s="1290"/>
      <c r="K352" s="1291"/>
      <c r="L352" s="1292"/>
      <c r="M352" s="1292"/>
      <c r="N352" s="1292"/>
      <c r="O352" s="1292"/>
    </row>
    <row r="353" ht="33.0" customHeight="1">
      <c r="A353" s="1283"/>
      <c r="B353" s="1284"/>
      <c r="C353" s="1285"/>
      <c r="D353" s="1286"/>
      <c r="E353" s="1287"/>
      <c r="F353" s="1283"/>
      <c r="G353" s="1288"/>
      <c r="H353" s="1289"/>
      <c r="I353" s="1289"/>
      <c r="J353" s="1290"/>
      <c r="K353" s="1291"/>
      <c r="L353" s="1292"/>
      <c r="M353" s="1292"/>
      <c r="N353" s="1292"/>
      <c r="O353" s="1292"/>
    </row>
    <row r="354" ht="33.0" customHeight="1">
      <c r="A354" s="1283"/>
      <c r="B354" s="1284"/>
      <c r="C354" s="1285"/>
      <c r="D354" s="1286"/>
      <c r="E354" s="1287"/>
      <c r="F354" s="1283"/>
      <c r="G354" s="1288"/>
      <c r="H354" s="1289"/>
      <c r="I354" s="1289"/>
      <c r="J354" s="1290"/>
      <c r="K354" s="1291"/>
      <c r="L354" s="1292"/>
      <c r="M354" s="1292"/>
      <c r="N354" s="1292"/>
      <c r="O354" s="1292"/>
    </row>
    <row r="355" ht="33.0" customHeight="1">
      <c r="A355" s="1283"/>
      <c r="B355" s="1284"/>
      <c r="C355" s="1285"/>
      <c r="D355" s="1286"/>
      <c r="E355" s="1287"/>
      <c r="F355" s="1283"/>
      <c r="G355" s="1288"/>
      <c r="H355" s="1289"/>
      <c r="I355" s="1289"/>
      <c r="J355" s="1290"/>
      <c r="K355" s="1291"/>
      <c r="L355" s="1292"/>
      <c r="M355" s="1292"/>
      <c r="N355" s="1292"/>
      <c r="O355" s="1292"/>
    </row>
    <row r="356" ht="33.0" customHeight="1">
      <c r="A356" s="1283"/>
      <c r="B356" s="1284"/>
      <c r="C356" s="1285"/>
      <c r="D356" s="1286"/>
      <c r="E356" s="1287"/>
      <c r="F356" s="1283"/>
      <c r="G356" s="1288"/>
      <c r="H356" s="1289"/>
      <c r="I356" s="1289"/>
      <c r="J356" s="1290"/>
      <c r="K356" s="1291"/>
      <c r="L356" s="1292"/>
      <c r="M356" s="1292"/>
      <c r="N356" s="1292"/>
      <c r="O356" s="1292"/>
    </row>
    <row r="357" ht="33.0" customHeight="1">
      <c r="A357" s="1283"/>
      <c r="B357" s="1284"/>
      <c r="C357" s="1285"/>
      <c r="D357" s="1286"/>
      <c r="E357" s="1287"/>
      <c r="F357" s="1283"/>
      <c r="G357" s="1288"/>
      <c r="H357" s="1289"/>
      <c r="I357" s="1289"/>
      <c r="J357" s="1290"/>
      <c r="K357" s="1291"/>
      <c r="L357" s="1292"/>
      <c r="M357" s="1292"/>
      <c r="N357" s="1292"/>
      <c r="O357" s="1292"/>
    </row>
    <row r="358" ht="33.0" customHeight="1">
      <c r="A358" s="1283"/>
      <c r="B358" s="1284"/>
      <c r="C358" s="1285"/>
      <c r="D358" s="1286"/>
      <c r="E358" s="1287"/>
      <c r="F358" s="1283"/>
      <c r="G358" s="1288"/>
      <c r="H358" s="1289"/>
      <c r="I358" s="1289"/>
      <c r="J358" s="1290"/>
      <c r="K358" s="1291"/>
      <c r="L358" s="1292"/>
      <c r="M358" s="1292"/>
      <c r="N358" s="1292"/>
      <c r="O358" s="1292"/>
    </row>
    <row r="359" ht="33.0" customHeight="1">
      <c r="A359" s="1283"/>
      <c r="B359" s="1284"/>
      <c r="C359" s="1285"/>
      <c r="D359" s="1286"/>
      <c r="E359" s="1287"/>
      <c r="F359" s="1283"/>
      <c r="G359" s="1288"/>
      <c r="H359" s="1289"/>
      <c r="I359" s="1289"/>
      <c r="J359" s="1290"/>
      <c r="K359" s="1291"/>
      <c r="L359" s="1292"/>
      <c r="M359" s="1292"/>
      <c r="N359" s="1292"/>
      <c r="O359" s="1292"/>
    </row>
    <row r="360" ht="33.0" customHeight="1">
      <c r="A360" s="1283"/>
      <c r="B360" s="1284"/>
      <c r="C360" s="1285"/>
      <c r="D360" s="1286"/>
      <c r="E360" s="1287"/>
      <c r="F360" s="1283"/>
      <c r="G360" s="1288"/>
      <c r="H360" s="1289"/>
      <c r="I360" s="1289"/>
      <c r="J360" s="1290"/>
      <c r="K360" s="1291"/>
      <c r="L360" s="1292"/>
      <c r="M360" s="1292"/>
      <c r="N360" s="1292"/>
      <c r="O360" s="1292"/>
    </row>
    <row r="361" ht="33.0" customHeight="1">
      <c r="A361" s="1283"/>
      <c r="B361" s="1284"/>
      <c r="C361" s="1285"/>
      <c r="D361" s="1286"/>
      <c r="E361" s="1287"/>
      <c r="F361" s="1283"/>
      <c r="G361" s="1288"/>
      <c r="H361" s="1289"/>
      <c r="I361" s="1289"/>
      <c r="J361" s="1290"/>
      <c r="K361" s="1291"/>
      <c r="L361" s="1292"/>
      <c r="M361" s="1292"/>
      <c r="N361" s="1292"/>
      <c r="O361" s="1292"/>
    </row>
    <row r="362" ht="33.0" customHeight="1">
      <c r="A362" s="1283"/>
      <c r="B362" s="1284"/>
      <c r="C362" s="1285"/>
      <c r="D362" s="1286"/>
      <c r="E362" s="1287"/>
      <c r="F362" s="1283"/>
      <c r="G362" s="1288"/>
      <c r="H362" s="1289"/>
      <c r="I362" s="1289"/>
      <c r="J362" s="1290"/>
      <c r="K362" s="1291"/>
      <c r="L362" s="1292"/>
      <c r="M362" s="1292"/>
      <c r="N362" s="1292"/>
      <c r="O362" s="1292"/>
    </row>
    <row r="363" ht="33.0" customHeight="1">
      <c r="A363" s="1283"/>
      <c r="B363" s="1284"/>
      <c r="C363" s="1285"/>
      <c r="D363" s="1286"/>
      <c r="E363" s="1287"/>
      <c r="F363" s="1283"/>
      <c r="G363" s="1288"/>
      <c r="H363" s="1289"/>
      <c r="I363" s="1289"/>
      <c r="J363" s="1290"/>
      <c r="K363" s="1291"/>
      <c r="L363" s="1292"/>
      <c r="M363" s="1292"/>
      <c r="N363" s="1292"/>
      <c r="O363" s="1292"/>
    </row>
    <row r="364" ht="33.0" customHeight="1">
      <c r="A364" s="1283"/>
      <c r="B364" s="1284"/>
      <c r="C364" s="1285"/>
      <c r="D364" s="1286"/>
      <c r="E364" s="1287"/>
      <c r="F364" s="1283"/>
      <c r="G364" s="1288"/>
      <c r="H364" s="1289"/>
      <c r="I364" s="1289"/>
      <c r="J364" s="1290"/>
      <c r="K364" s="1291"/>
      <c r="L364" s="1292"/>
      <c r="M364" s="1292"/>
      <c r="N364" s="1292"/>
      <c r="O364" s="1292"/>
    </row>
    <row r="365" ht="33.0" customHeight="1">
      <c r="A365" s="1283"/>
      <c r="B365" s="1284"/>
      <c r="C365" s="1285"/>
      <c r="D365" s="1286"/>
      <c r="E365" s="1287"/>
      <c r="F365" s="1283"/>
      <c r="G365" s="1288"/>
      <c r="H365" s="1289"/>
      <c r="I365" s="1289"/>
      <c r="J365" s="1290"/>
      <c r="K365" s="1291"/>
      <c r="L365" s="1292"/>
      <c r="M365" s="1292"/>
      <c r="N365" s="1292"/>
      <c r="O365" s="1292"/>
    </row>
    <row r="366" ht="33.0" customHeight="1">
      <c r="A366" s="1283"/>
      <c r="B366" s="1284"/>
      <c r="C366" s="1285"/>
      <c r="D366" s="1286"/>
      <c r="E366" s="1287"/>
      <c r="F366" s="1283"/>
      <c r="G366" s="1288"/>
      <c r="H366" s="1289"/>
      <c r="I366" s="1289"/>
      <c r="J366" s="1290"/>
      <c r="K366" s="1291"/>
      <c r="L366" s="1292"/>
      <c r="M366" s="1292"/>
      <c r="N366" s="1292"/>
      <c r="O366" s="1292"/>
    </row>
    <row r="367" ht="33.0" customHeight="1">
      <c r="A367" s="1283"/>
      <c r="B367" s="1284"/>
      <c r="C367" s="1285"/>
      <c r="D367" s="1286"/>
      <c r="E367" s="1287"/>
      <c r="F367" s="1283"/>
      <c r="G367" s="1288"/>
      <c r="H367" s="1289"/>
      <c r="I367" s="1289"/>
      <c r="J367" s="1290"/>
      <c r="K367" s="1291"/>
      <c r="L367" s="1292"/>
      <c r="M367" s="1292"/>
      <c r="N367" s="1292"/>
      <c r="O367" s="1292"/>
    </row>
    <row r="368" ht="33.0" customHeight="1">
      <c r="A368" s="1283"/>
      <c r="B368" s="1284"/>
      <c r="C368" s="1285"/>
      <c r="D368" s="1286"/>
      <c r="E368" s="1287"/>
      <c r="F368" s="1283"/>
      <c r="G368" s="1288"/>
      <c r="H368" s="1289"/>
      <c r="I368" s="1289"/>
      <c r="J368" s="1290"/>
      <c r="K368" s="1291"/>
      <c r="L368" s="1292"/>
      <c r="M368" s="1292"/>
      <c r="N368" s="1292"/>
      <c r="O368" s="1292"/>
    </row>
    <row r="369" ht="33.0" customHeight="1">
      <c r="A369" s="1283"/>
      <c r="B369" s="1284"/>
      <c r="C369" s="1285"/>
      <c r="D369" s="1286"/>
      <c r="E369" s="1287"/>
      <c r="F369" s="1283"/>
      <c r="G369" s="1288"/>
      <c r="H369" s="1289"/>
      <c r="I369" s="1289"/>
      <c r="J369" s="1290"/>
      <c r="K369" s="1291"/>
      <c r="L369" s="1292"/>
      <c r="M369" s="1292"/>
      <c r="N369" s="1292"/>
      <c r="O369" s="1292"/>
    </row>
    <row r="370" ht="33.0" customHeight="1">
      <c r="A370" s="1283"/>
      <c r="B370" s="1284"/>
      <c r="C370" s="1285"/>
      <c r="D370" s="1286"/>
      <c r="E370" s="1287"/>
      <c r="F370" s="1283"/>
      <c r="G370" s="1288"/>
      <c r="H370" s="1289"/>
      <c r="I370" s="1289"/>
      <c r="J370" s="1290"/>
      <c r="K370" s="1291"/>
      <c r="L370" s="1292"/>
      <c r="M370" s="1292"/>
      <c r="N370" s="1292"/>
      <c r="O370" s="1292"/>
    </row>
    <row r="371" ht="33.0" customHeight="1">
      <c r="A371" s="1283"/>
      <c r="B371" s="1284"/>
      <c r="C371" s="1285"/>
      <c r="D371" s="1286"/>
      <c r="E371" s="1287"/>
      <c r="F371" s="1283"/>
      <c r="G371" s="1288"/>
      <c r="H371" s="1289"/>
      <c r="I371" s="1289"/>
      <c r="J371" s="1290"/>
      <c r="K371" s="1291"/>
      <c r="L371" s="1292"/>
      <c r="M371" s="1292"/>
      <c r="N371" s="1292"/>
      <c r="O371" s="1292"/>
    </row>
    <row r="372" ht="33.0" customHeight="1">
      <c r="A372" s="1283"/>
      <c r="B372" s="1284"/>
      <c r="C372" s="1285"/>
      <c r="D372" s="1286"/>
      <c r="E372" s="1287"/>
      <c r="F372" s="1283"/>
      <c r="G372" s="1288"/>
      <c r="H372" s="1289"/>
      <c r="I372" s="1289"/>
      <c r="J372" s="1290"/>
      <c r="K372" s="1291"/>
      <c r="L372" s="1292"/>
      <c r="M372" s="1292"/>
      <c r="N372" s="1292"/>
      <c r="O372" s="1292"/>
    </row>
    <row r="373" ht="33.0" customHeight="1">
      <c r="A373" s="1283"/>
      <c r="B373" s="1284"/>
      <c r="C373" s="1285"/>
      <c r="D373" s="1286"/>
      <c r="E373" s="1287"/>
      <c r="F373" s="1283"/>
      <c r="G373" s="1288"/>
      <c r="H373" s="1289"/>
      <c r="I373" s="1289"/>
      <c r="J373" s="1290"/>
      <c r="K373" s="1291"/>
      <c r="L373" s="1292"/>
      <c r="M373" s="1292"/>
      <c r="N373" s="1292"/>
      <c r="O373" s="1292"/>
    </row>
    <row r="374" ht="33.0" customHeight="1">
      <c r="A374" s="1283"/>
      <c r="B374" s="1284"/>
      <c r="C374" s="1285"/>
      <c r="D374" s="1286"/>
      <c r="E374" s="1287"/>
      <c r="F374" s="1283"/>
      <c r="G374" s="1288"/>
      <c r="H374" s="1289"/>
      <c r="I374" s="1289"/>
      <c r="J374" s="1290"/>
      <c r="K374" s="1291"/>
      <c r="L374" s="1292"/>
      <c r="M374" s="1292"/>
      <c r="N374" s="1292"/>
      <c r="O374" s="1292"/>
    </row>
    <row r="375" ht="33.0" customHeight="1">
      <c r="A375" s="1283"/>
      <c r="B375" s="1284"/>
      <c r="C375" s="1285"/>
      <c r="D375" s="1286"/>
      <c r="E375" s="1287"/>
      <c r="F375" s="1283"/>
      <c r="G375" s="1288"/>
      <c r="H375" s="1289"/>
      <c r="I375" s="1289"/>
      <c r="J375" s="1290"/>
      <c r="K375" s="1291"/>
      <c r="L375" s="1292"/>
      <c r="M375" s="1292"/>
      <c r="N375" s="1292"/>
      <c r="O375" s="1292"/>
    </row>
    <row r="376" ht="33.0" customHeight="1">
      <c r="A376" s="1283"/>
      <c r="B376" s="1284"/>
      <c r="C376" s="1285"/>
      <c r="D376" s="1286"/>
      <c r="E376" s="1287"/>
      <c r="F376" s="1283"/>
      <c r="G376" s="1288"/>
      <c r="H376" s="1289"/>
      <c r="I376" s="1289"/>
      <c r="J376" s="1290"/>
      <c r="K376" s="1291"/>
      <c r="L376" s="1292"/>
      <c r="M376" s="1292"/>
      <c r="N376" s="1292"/>
      <c r="O376" s="1292"/>
    </row>
    <row r="377" ht="33.0" customHeight="1">
      <c r="A377" s="1283"/>
      <c r="B377" s="1284"/>
      <c r="C377" s="1285"/>
      <c r="D377" s="1286"/>
      <c r="E377" s="1287"/>
      <c r="F377" s="1283"/>
      <c r="G377" s="1288"/>
      <c r="H377" s="1289"/>
      <c r="I377" s="1289"/>
      <c r="J377" s="1290"/>
      <c r="K377" s="1291"/>
      <c r="L377" s="1292"/>
      <c r="M377" s="1292"/>
      <c r="N377" s="1292"/>
      <c r="O377" s="1292"/>
    </row>
    <row r="378" ht="33.0" customHeight="1">
      <c r="A378" s="1283"/>
      <c r="B378" s="1284"/>
      <c r="C378" s="1285"/>
      <c r="D378" s="1286"/>
      <c r="E378" s="1287"/>
      <c r="F378" s="1283"/>
      <c r="G378" s="1288"/>
      <c r="H378" s="1289"/>
      <c r="I378" s="1289"/>
      <c r="J378" s="1290"/>
      <c r="K378" s="1291"/>
      <c r="L378" s="1292"/>
      <c r="M378" s="1292"/>
      <c r="N378" s="1292"/>
      <c r="O378" s="1292"/>
    </row>
    <row r="379" ht="33.0" customHeight="1">
      <c r="A379" s="1283"/>
      <c r="B379" s="1284"/>
      <c r="C379" s="1285"/>
      <c r="D379" s="1286"/>
      <c r="E379" s="1287"/>
      <c r="F379" s="1283"/>
      <c r="G379" s="1288"/>
      <c r="H379" s="1289"/>
      <c r="I379" s="1289"/>
      <c r="J379" s="1290"/>
      <c r="K379" s="1291"/>
      <c r="L379" s="1292"/>
      <c r="M379" s="1292"/>
      <c r="N379" s="1292"/>
      <c r="O379" s="1292"/>
    </row>
    <row r="380" ht="33.0" customHeight="1">
      <c r="A380" s="1283"/>
      <c r="B380" s="1284"/>
      <c r="C380" s="1285"/>
      <c r="D380" s="1286"/>
      <c r="E380" s="1287"/>
      <c r="F380" s="1283"/>
      <c r="G380" s="1288"/>
      <c r="H380" s="1289"/>
      <c r="I380" s="1289"/>
      <c r="J380" s="1290"/>
      <c r="K380" s="1291"/>
      <c r="L380" s="1292"/>
      <c r="M380" s="1292"/>
      <c r="N380" s="1292"/>
      <c r="O380" s="1292"/>
    </row>
    <row r="381" ht="33.0" customHeight="1">
      <c r="A381" s="1283"/>
      <c r="B381" s="1284"/>
      <c r="C381" s="1285"/>
      <c r="D381" s="1286"/>
      <c r="E381" s="1287"/>
      <c r="F381" s="1283"/>
      <c r="G381" s="1288"/>
      <c r="H381" s="1289"/>
      <c r="I381" s="1289"/>
      <c r="J381" s="1290"/>
      <c r="K381" s="1291"/>
      <c r="L381" s="1292"/>
      <c r="M381" s="1292"/>
      <c r="N381" s="1292"/>
      <c r="O381" s="1292"/>
    </row>
    <row r="382" ht="33.0" customHeight="1">
      <c r="A382" s="1283"/>
      <c r="B382" s="1284"/>
      <c r="C382" s="1285"/>
      <c r="D382" s="1286"/>
      <c r="E382" s="1287"/>
      <c r="F382" s="1283"/>
      <c r="G382" s="1288"/>
      <c r="H382" s="1289"/>
      <c r="I382" s="1289"/>
      <c r="J382" s="1290"/>
      <c r="K382" s="1291"/>
      <c r="L382" s="1292"/>
      <c r="M382" s="1292"/>
      <c r="N382" s="1292"/>
      <c r="O382" s="1292"/>
    </row>
    <row r="383" ht="33.0" customHeight="1">
      <c r="A383" s="1283"/>
      <c r="B383" s="1284"/>
      <c r="C383" s="1285"/>
      <c r="D383" s="1286"/>
      <c r="E383" s="1287"/>
      <c r="F383" s="1283"/>
      <c r="G383" s="1288"/>
      <c r="H383" s="1289"/>
      <c r="I383" s="1289"/>
      <c r="J383" s="1290"/>
      <c r="K383" s="1291"/>
      <c r="L383" s="1292"/>
      <c r="M383" s="1292"/>
      <c r="N383" s="1292"/>
      <c r="O383" s="1292"/>
    </row>
    <row r="384" ht="33.0" customHeight="1">
      <c r="A384" s="1283"/>
      <c r="B384" s="1284"/>
      <c r="C384" s="1285"/>
      <c r="D384" s="1286"/>
      <c r="E384" s="1287"/>
      <c r="F384" s="1283"/>
      <c r="G384" s="1288"/>
      <c r="H384" s="1289"/>
      <c r="I384" s="1289"/>
      <c r="J384" s="1290"/>
      <c r="K384" s="1291"/>
      <c r="L384" s="1292"/>
      <c r="M384" s="1292"/>
      <c r="N384" s="1292"/>
      <c r="O384" s="1292"/>
    </row>
    <row r="385" ht="33.0" customHeight="1">
      <c r="A385" s="1283"/>
      <c r="B385" s="1284"/>
      <c r="C385" s="1285"/>
      <c r="D385" s="1286"/>
      <c r="E385" s="1287"/>
      <c r="F385" s="1283"/>
      <c r="G385" s="1288"/>
      <c r="H385" s="1289"/>
      <c r="I385" s="1289"/>
      <c r="J385" s="1290"/>
      <c r="K385" s="1291"/>
      <c r="L385" s="1292"/>
      <c r="M385" s="1292"/>
      <c r="N385" s="1292"/>
      <c r="O385" s="1292"/>
    </row>
    <row r="386" ht="33.0" customHeight="1">
      <c r="A386" s="1283"/>
      <c r="B386" s="1284"/>
      <c r="C386" s="1285"/>
      <c r="D386" s="1286"/>
      <c r="E386" s="1287"/>
      <c r="F386" s="1283"/>
      <c r="G386" s="1288"/>
      <c r="H386" s="1289"/>
      <c r="I386" s="1289"/>
      <c r="J386" s="1290"/>
      <c r="K386" s="1291"/>
      <c r="L386" s="1292"/>
      <c r="M386" s="1292"/>
      <c r="N386" s="1292"/>
      <c r="O386" s="1292"/>
    </row>
    <row r="387" ht="33.0" customHeight="1">
      <c r="A387" s="1283"/>
      <c r="B387" s="1284"/>
      <c r="C387" s="1285"/>
      <c r="D387" s="1286"/>
      <c r="E387" s="1287"/>
      <c r="F387" s="1283"/>
      <c r="G387" s="1288"/>
      <c r="H387" s="1289"/>
      <c r="I387" s="1289"/>
      <c r="J387" s="1290"/>
      <c r="K387" s="1291"/>
      <c r="L387" s="1292"/>
      <c r="M387" s="1292"/>
      <c r="N387" s="1292"/>
      <c r="O387" s="1292"/>
    </row>
    <row r="388" ht="33.0" customHeight="1">
      <c r="A388" s="1283"/>
      <c r="B388" s="1284"/>
      <c r="C388" s="1285"/>
      <c r="D388" s="1286"/>
      <c r="E388" s="1287"/>
      <c r="F388" s="1283"/>
      <c r="G388" s="1288"/>
      <c r="H388" s="1289"/>
      <c r="I388" s="1289"/>
      <c r="J388" s="1290"/>
      <c r="K388" s="1291"/>
      <c r="L388" s="1292"/>
      <c r="M388" s="1292"/>
      <c r="N388" s="1292"/>
      <c r="O388" s="1292"/>
    </row>
    <row r="389" ht="33.0" customHeight="1">
      <c r="A389" s="1283"/>
      <c r="B389" s="1284"/>
      <c r="C389" s="1285"/>
      <c r="D389" s="1286"/>
      <c r="E389" s="1287"/>
      <c r="F389" s="1283"/>
      <c r="G389" s="1288"/>
      <c r="H389" s="1289"/>
      <c r="I389" s="1289"/>
      <c r="J389" s="1290"/>
      <c r="K389" s="1291"/>
      <c r="L389" s="1292"/>
      <c r="M389" s="1292"/>
      <c r="N389" s="1292"/>
      <c r="O389" s="1292"/>
    </row>
    <row r="390" ht="33.0" customHeight="1">
      <c r="A390" s="1283"/>
      <c r="B390" s="1284"/>
      <c r="C390" s="1285"/>
      <c r="D390" s="1286"/>
      <c r="E390" s="1287"/>
      <c r="F390" s="1283"/>
      <c r="G390" s="1288"/>
      <c r="H390" s="1289"/>
      <c r="I390" s="1289"/>
      <c r="J390" s="1290"/>
      <c r="K390" s="1291"/>
      <c r="L390" s="1292"/>
      <c r="M390" s="1292"/>
      <c r="N390" s="1292"/>
      <c r="O390" s="1292"/>
    </row>
    <row r="391" ht="33.0" customHeight="1">
      <c r="A391" s="1283"/>
      <c r="B391" s="1284"/>
      <c r="C391" s="1285"/>
      <c r="D391" s="1286"/>
      <c r="E391" s="1287"/>
      <c r="F391" s="1283"/>
      <c r="G391" s="1288"/>
      <c r="H391" s="1289"/>
      <c r="I391" s="1289"/>
      <c r="J391" s="1290"/>
      <c r="K391" s="1291"/>
      <c r="L391" s="1292"/>
      <c r="M391" s="1292"/>
      <c r="N391" s="1292"/>
      <c r="O391" s="1292"/>
    </row>
    <row r="392" ht="33.0" customHeight="1">
      <c r="A392" s="1283"/>
      <c r="B392" s="1284"/>
      <c r="C392" s="1285"/>
      <c r="D392" s="1286"/>
      <c r="E392" s="1287"/>
      <c r="F392" s="1283"/>
      <c r="G392" s="1288"/>
      <c r="H392" s="1289"/>
      <c r="I392" s="1289"/>
      <c r="J392" s="1290"/>
      <c r="K392" s="1291"/>
      <c r="L392" s="1292"/>
      <c r="M392" s="1292"/>
      <c r="N392" s="1292"/>
      <c r="O392" s="1292"/>
    </row>
    <row r="393" ht="33.0" customHeight="1">
      <c r="A393" s="1283"/>
      <c r="B393" s="1284"/>
      <c r="C393" s="1285"/>
      <c r="D393" s="1286"/>
      <c r="E393" s="1287"/>
      <c r="F393" s="1283"/>
      <c r="G393" s="1288"/>
      <c r="H393" s="1289"/>
      <c r="I393" s="1289"/>
      <c r="J393" s="1290"/>
      <c r="K393" s="1291"/>
      <c r="L393" s="1292"/>
      <c r="M393" s="1292"/>
      <c r="N393" s="1292"/>
      <c r="O393" s="1292"/>
    </row>
    <row r="394" ht="33.0" customHeight="1">
      <c r="A394" s="1283"/>
      <c r="B394" s="1284"/>
      <c r="C394" s="1285"/>
      <c r="D394" s="1286"/>
      <c r="E394" s="1287"/>
      <c r="F394" s="1283"/>
      <c r="G394" s="1288"/>
      <c r="H394" s="1289"/>
      <c r="I394" s="1289"/>
      <c r="J394" s="1290"/>
      <c r="K394" s="1291"/>
      <c r="L394" s="1292"/>
      <c r="M394" s="1292"/>
      <c r="N394" s="1292"/>
      <c r="O394" s="1292"/>
    </row>
    <row r="395" ht="33.0" customHeight="1">
      <c r="A395" s="1283"/>
      <c r="B395" s="1284"/>
      <c r="C395" s="1285"/>
      <c r="D395" s="1286"/>
      <c r="E395" s="1287"/>
      <c r="F395" s="1283"/>
      <c r="G395" s="1288"/>
      <c r="H395" s="1289"/>
      <c r="I395" s="1289"/>
      <c r="J395" s="1290"/>
      <c r="K395" s="1291"/>
      <c r="L395" s="1292"/>
      <c r="M395" s="1292"/>
      <c r="N395" s="1292"/>
      <c r="O395" s="1292"/>
    </row>
    <row r="396" ht="33.0" customHeight="1">
      <c r="A396" s="1283"/>
      <c r="B396" s="1284"/>
      <c r="C396" s="1285"/>
      <c r="D396" s="1286"/>
      <c r="E396" s="1287"/>
      <c r="F396" s="1283"/>
      <c r="G396" s="1288"/>
      <c r="H396" s="1289"/>
      <c r="I396" s="1289"/>
      <c r="J396" s="1290"/>
      <c r="K396" s="1291"/>
      <c r="L396" s="1292"/>
      <c r="M396" s="1292"/>
      <c r="N396" s="1292"/>
      <c r="O396" s="1292"/>
    </row>
    <row r="397" ht="33.0" customHeight="1">
      <c r="A397" s="1283"/>
      <c r="B397" s="1284"/>
      <c r="C397" s="1285"/>
      <c r="D397" s="1286"/>
      <c r="E397" s="1287"/>
      <c r="F397" s="1283"/>
      <c r="G397" s="1288"/>
      <c r="H397" s="1289"/>
      <c r="I397" s="1289"/>
      <c r="J397" s="1290"/>
      <c r="K397" s="1291"/>
      <c r="L397" s="1292"/>
      <c r="M397" s="1292"/>
      <c r="N397" s="1292"/>
      <c r="O397" s="1292"/>
    </row>
    <row r="398" ht="33.0" customHeight="1">
      <c r="A398" s="1283"/>
      <c r="B398" s="1284"/>
      <c r="C398" s="1285"/>
      <c r="D398" s="1286"/>
      <c r="E398" s="1287"/>
      <c r="F398" s="1283"/>
      <c r="G398" s="1288"/>
      <c r="H398" s="1289"/>
      <c r="I398" s="1289"/>
      <c r="J398" s="1290"/>
      <c r="K398" s="1291"/>
      <c r="L398" s="1292"/>
      <c r="M398" s="1292"/>
      <c r="N398" s="1292"/>
      <c r="O398" s="1292"/>
    </row>
    <row r="399" ht="33.0" customHeight="1">
      <c r="A399" s="1283"/>
      <c r="B399" s="1284"/>
      <c r="C399" s="1285"/>
      <c r="D399" s="1286"/>
      <c r="E399" s="1287"/>
      <c r="F399" s="1283"/>
      <c r="G399" s="1288"/>
      <c r="H399" s="1289"/>
      <c r="I399" s="1289"/>
      <c r="J399" s="1290"/>
      <c r="K399" s="1291"/>
      <c r="L399" s="1292"/>
      <c r="M399" s="1292"/>
      <c r="N399" s="1292"/>
      <c r="O399" s="1292"/>
    </row>
    <row r="400" ht="33.0" customHeight="1">
      <c r="A400" s="1283"/>
      <c r="B400" s="1284"/>
      <c r="C400" s="1285"/>
      <c r="D400" s="1286"/>
      <c r="E400" s="1287"/>
      <c r="F400" s="1283"/>
      <c r="G400" s="1288"/>
      <c r="H400" s="1289"/>
      <c r="I400" s="1289"/>
      <c r="J400" s="1290"/>
      <c r="K400" s="1291"/>
      <c r="L400" s="1292"/>
      <c r="M400" s="1292"/>
      <c r="N400" s="1292"/>
      <c r="O400" s="1292"/>
    </row>
    <row r="401" ht="33.0" customHeight="1">
      <c r="A401" s="1283"/>
      <c r="B401" s="1284"/>
      <c r="C401" s="1285"/>
      <c r="D401" s="1286"/>
      <c r="E401" s="1287"/>
      <c r="F401" s="1283"/>
      <c r="G401" s="1288"/>
      <c r="H401" s="1289"/>
      <c r="I401" s="1289"/>
      <c r="J401" s="1290"/>
      <c r="K401" s="1291"/>
      <c r="L401" s="1292"/>
      <c r="M401" s="1292"/>
      <c r="N401" s="1292"/>
      <c r="O401" s="1292"/>
    </row>
    <row r="402" ht="33.0" customHeight="1">
      <c r="A402" s="1283"/>
      <c r="B402" s="1284"/>
      <c r="C402" s="1285"/>
      <c r="D402" s="1286"/>
      <c r="E402" s="1287"/>
      <c r="F402" s="1283"/>
      <c r="G402" s="1288"/>
      <c r="H402" s="1289"/>
      <c r="I402" s="1289"/>
      <c r="J402" s="1290"/>
      <c r="K402" s="1291"/>
      <c r="L402" s="1292"/>
      <c r="M402" s="1292"/>
      <c r="N402" s="1292"/>
      <c r="O402" s="1292"/>
    </row>
    <row r="403" ht="33.0" customHeight="1">
      <c r="A403" s="1283"/>
      <c r="B403" s="1284"/>
      <c r="C403" s="1285"/>
      <c r="D403" s="1286"/>
      <c r="E403" s="1287"/>
      <c r="F403" s="1283"/>
      <c r="G403" s="1288"/>
      <c r="H403" s="1289"/>
      <c r="I403" s="1289"/>
      <c r="J403" s="1290"/>
      <c r="K403" s="1291"/>
      <c r="L403" s="1292"/>
      <c r="M403" s="1292"/>
      <c r="N403" s="1292"/>
      <c r="O403" s="1292"/>
    </row>
    <row r="404" ht="33.0" customHeight="1">
      <c r="A404" s="1283"/>
      <c r="B404" s="1284"/>
      <c r="C404" s="1285"/>
      <c r="D404" s="1286"/>
      <c r="E404" s="1287"/>
      <c r="F404" s="1283"/>
      <c r="G404" s="1288"/>
      <c r="H404" s="1289"/>
      <c r="I404" s="1289"/>
      <c r="J404" s="1290"/>
      <c r="K404" s="1291"/>
      <c r="L404" s="1292"/>
      <c r="M404" s="1292"/>
      <c r="N404" s="1292"/>
      <c r="O404" s="1292"/>
    </row>
    <row r="405" ht="33.0" customHeight="1">
      <c r="A405" s="1283"/>
      <c r="B405" s="1284"/>
      <c r="C405" s="1285"/>
      <c r="D405" s="1286"/>
      <c r="E405" s="1287"/>
      <c r="F405" s="1283"/>
      <c r="G405" s="1288"/>
      <c r="H405" s="1289"/>
      <c r="I405" s="1289"/>
      <c r="J405" s="1290"/>
      <c r="K405" s="1291"/>
      <c r="L405" s="1292"/>
      <c r="M405" s="1292"/>
      <c r="N405" s="1292"/>
      <c r="O405" s="1292"/>
    </row>
    <row r="406" ht="33.0" customHeight="1">
      <c r="A406" s="1283"/>
      <c r="B406" s="1284"/>
      <c r="C406" s="1285"/>
      <c r="D406" s="1286"/>
      <c r="E406" s="1287"/>
      <c r="F406" s="1283"/>
      <c r="G406" s="1288"/>
      <c r="H406" s="1289"/>
      <c r="I406" s="1289"/>
      <c r="J406" s="1290"/>
      <c r="K406" s="1291"/>
      <c r="L406" s="1292"/>
      <c r="M406" s="1292"/>
      <c r="N406" s="1292"/>
      <c r="O406" s="1292"/>
    </row>
    <row r="407" ht="33.0" customHeight="1">
      <c r="A407" s="1283"/>
      <c r="B407" s="1284"/>
      <c r="C407" s="1285"/>
      <c r="D407" s="1286"/>
      <c r="E407" s="1287"/>
      <c r="F407" s="1283"/>
      <c r="G407" s="1288"/>
      <c r="H407" s="1289"/>
      <c r="I407" s="1289"/>
      <c r="J407" s="1290"/>
      <c r="K407" s="1291"/>
      <c r="L407" s="1292"/>
      <c r="M407" s="1292"/>
      <c r="N407" s="1292"/>
      <c r="O407" s="1292"/>
    </row>
    <row r="408" ht="33.0" customHeight="1">
      <c r="A408" s="1283"/>
      <c r="B408" s="1284"/>
      <c r="C408" s="1285"/>
      <c r="D408" s="1286"/>
      <c r="E408" s="1287"/>
      <c r="F408" s="1283"/>
      <c r="G408" s="1288"/>
      <c r="H408" s="1289"/>
      <c r="I408" s="1289"/>
      <c r="J408" s="1290"/>
      <c r="K408" s="1291"/>
      <c r="L408" s="1292"/>
      <c r="M408" s="1292"/>
      <c r="N408" s="1292"/>
      <c r="O408" s="1292"/>
    </row>
    <row r="409" ht="33.0" customHeight="1">
      <c r="A409" s="1283"/>
      <c r="B409" s="1284"/>
      <c r="C409" s="1285"/>
      <c r="D409" s="1286"/>
      <c r="E409" s="1287"/>
      <c r="F409" s="1283"/>
      <c r="G409" s="1288"/>
      <c r="H409" s="1289"/>
      <c r="I409" s="1289"/>
      <c r="J409" s="1290"/>
      <c r="K409" s="1291"/>
      <c r="L409" s="1292"/>
      <c r="M409" s="1292"/>
      <c r="N409" s="1292"/>
      <c r="O409" s="1292"/>
    </row>
    <row r="410" ht="33.0" customHeight="1">
      <c r="A410" s="1283"/>
      <c r="B410" s="1284"/>
      <c r="C410" s="1285"/>
      <c r="D410" s="1286"/>
      <c r="E410" s="1287"/>
      <c r="F410" s="1283"/>
      <c r="G410" s="1288"/>
      <c r="H410" s="1289"/>
      <c r="I410" s="1289"/>
      <c r="J410" s="1290"/>
      <c r="K410" s="1291"/>
      <c r="L410" s="1292"/>
      <c r="M410" s="1292"/>
      <c r="N410" s="1292"/>
      <c r="O410" s="1292"/>
    </row>
    <row r="411" ht="33.0" customHeight="1">
      <c r="A411" s="1283"/>
      <c r="B411" s="1284"/>
      <c r="C411" s="1285"/>
      <c r="D411" s="1286"/>
      <c r="E411" s="1287"/>
      <c r="F411" s="1283"/>
      <c r="G411" s="1288"/>
      <c r="H411" s="1289"/>
      <c r="I411" s="1289"/>
      <c r="J411" s="1290"/>
      <c r="K411" s="1291"/>
      <c r="L411" s="1292"/>
      <c r="M411" s="1292"/>
      <c r="N411" s="1292"/>
      <c r="O411" s="1292"/>
    </row>
    <row r="412" ht="33.0" customHeight="1">
      <c r="A412" s="1283"/>
      <c r="B412" s="1284"/>
      <c r="C412" s="1285"/>
      <c r="D412" s="1286"/>
      <c r="E412" s="1287"/>
      <c r="F412" s="1283"/>
      <c r="G412" s="1288"/>
      <c r="H412" s="1289"/>
      <c r="I412" s="1289"/>
      <c r="J412" s="1290"/>
      <c r="K412" s="1291"/>
      <c r="L412" s="1292"/>
      <c r="M412" s="1292"/>
      <c r="N412" s="1292"/>
      <c r="O412" s="1292"/>
    </row>
    <row r="413" ht="33.0" customHeight="1">
      <c r="A413" s="1283"/>
      <c r="B413" s="1284"/>
      <c r="C413" s="1285"/>
      <c r="D413" s="1286"/>
      <c r="E413" s="1287"/>
      <c r="F413" s="1283"/>
      <c r="G413" s="1288"/>
      <c r="H413" s="1289"/>
      <c r="I413" s="1289"/>
      <c r="J413" s="1290"/>
      <c r="K413" s="1291"/>
      <c r="L413" s="1292"/>
      <c r="M413" s="1292"/>
      <c r="N413" s="1292"/>
      <c r="O413" s="1292"/>
    </row>
    <row r="414" ht="33.0" customHeight="1">
      <c r="A414" s="1283"/>
      <c r="B414" s="1284"/>
      <c r="C414" s="1285"/>
      <c r="D414" s="1286"/>
      <c r="E414" s="1287"/>
      <c r="F414" s="1283"/>
      <c r="G414" s="1288"/>
      <c r="H414" s="1289"/>
      <c r="I414" s="1289"/>
      <c r="J414" s="1290"/>
      <c r="K414" s="1291"/>
      <c r="L414" s="1292"/>
      <c r="M414" s="1292"/>
      <c r="N414" s="1292"/>
      <c r="O414" s="1292"/>
    </row>
    <row r="415" ht="33.0" customHeight="1">
      <c r="A415" s="1283"/>
      <c r="B415" s="1284"/>
      <c r="C415" s="1285"/>
      <c r="D415" s="1286"/>
      <c r="E415" s="1287"/>
      <c r="F415" s="1283"/>
      <c r="G415" s="1288"/>
      <c r="H415" s="1289"/>
      <c r="I415" s="1289"/>
      <c r="J415" s="1290"/>
      <c r="K415" s="1291"/>
      <c r="L415" s="1292"/>
      <c r="M415" s="1292"/>
      <c r="N415" s="1292"/>
      <c r="O415" s="1292"/>
    </row>
    <row r="416" ht="33.0" customHeight="1">
      <c r="A416" s="1283"/>
      <c r="B416" s="1284"/>
      <c r="C416" s="1285"/>
      <c r="D416" s="1286"/>
      <c r="E416" s="1287"/>
      <c r="F416" s="1283"/>
      <c r="G416" s="1288"/>
      <c r="H416" s="1289"/>
      <c r="I416" s="1289"/>
      <c r="J416" s="1290"/>
      <c r="K416" s="1291"/>
      <c r="L416" s="1292"/>
      <c r="M416" s="1292"/>
      <c r="N416" s="1292"/>
      <c r="O416" s="1292"/>
    </row>
    <row r="417" ht="33.0" customHeight="1">
      <c r="A417" s="1283"/>
      <c r="B417" s="1284"/>
      <c r="C417" s="1285"/>
      <c r="D417" s="1286"/>
      <c r="E417" s="1287"/>
      <c r="F417" s="1283"/>
      <c r="G417" s="1288"/>
      <c r="H417" s="1289"/>
      <c r="I417" s="1289"/>
      <c r="J417" s="1290"/>
      <c r="K417" s="1291"/>
      <c r="L417" s="1292"/>
      <c r="M417" s="1292"/>
      <c r="N417" s="1292"/>
      <c r="O417" s="1292"/>
    </row>
    <row r="418" ht="33.0" customHeight="1">
      <c r="A418" s="1283"/>
      <c r="B418" s="1284"/>
      <c r="C418" s="1285"/>
      <c r="D418" s="1286"/>
      <c r="E418" s="1287"/>
      <c r="F418" s="1283"/>
      <c r="G418" s="1288"/>
      <c r="H418" s="1289"/>
      <c r="I418" s="1289"/>
      <c r="J418" s="1290"/>
      <c r="K418" s="1291"/>
      <c r="L418" s="1292"/>
      <c r="M418" s="1292"/>
      <c r="N418" s="1292"/>
      <c r="O418" s="1292"/>
    </row>
    <row r="419" ht="33.0" customHeight="1">
      <c r="A419" s="1283"/>
      <c r="B419" s="1284"/>
      <c r="C419" s="1285"/>
      <c r="D419" s="1286"/>
      <c r="E419" s="1287"/>
      <c r="F419" s="1283"/>
      <c r="G419" s="1288"/>
      <c r="H419" s="1289"/>
      <c r="I419" s="1289"/>
      <c r="J419" s="1290"/>
      <c r="K419" s="1291"/>
      <c r="L419" s="1292"/>
      <c r="M419" s="1292"/>
      <c r="N419" s="1292"/>
      <c r="O419" s="1292"/>
    </row>
    <row r="420" ht="33.0" customHeight="1">
      <c r="A420" s="1283"/>
      <c r="B420" s="1284"/>
      <c r="C420" s="1285"/>
      <c r="D420" s="1286"/>
      <c r="E420" s="1287"/>
      <c r="F420" s="1283"/>
      <c r="G420" s="1288"/>
      <c r="H420" s="1289"/>
      <c r="I420" s="1289"/>
      <c r="J420" s="1290"/>
      <c r="K420" s="1291"/>
      <c r="L420" s="1292"/>
      <c r="M420" s="1292"/>
      <c r="N420" s="1292"/>
      <c r="O420" s="1292"/>
    </row>
    <row r="421" ht="33.0" customHeight="1">
      <c r="A421" s="1283"/>
      <c r="B421" s="1284"/>
      <c r="C421" s="1285"/>
      <c r="D421" s="1286"/>
      <c r="E421" s="1287"/>
      <c r="F421" s="1283"/>
      <c r="G421" s="1288"/>
      <c r="H421" s="1289"/>
      <c r="I421" s="1289"/>
      <c r="J421" s="1290"/>
      <c r="K421" s="1291"/>
      <c r="L421" s="1292"/>
      <c r="M421" s="1292"/>
      <c r="N421" s="1292"/>
      <c r="O421" s="1292"/>
    </row>
    <row r="422" ht="33.0" customHeight="1">
      <c r="A422" s="1283"/>
      <c r="B422" s="1284"/>
      <c r="C422" s="1285"/>
      <c r="D422" s="1286"/>
      <c r="E422" s="1287"/>
      <c r="F422" s="1283"/>
      <c r="G422" s="1288"/>
      <c r="H422" s="1289"/>
      <c r="I422" s="1289"/>
      <c r="J422" s="1290"/>
      <c r="K422" s="1291"/>
      <c r="L422" s="1292"/>
      <c r="M422" s="1292"/>
      <c r="N422" s="1292"/>
      <c r="O422" s="1292"/>
    </row>
    <row r="423" ht="33.0" customHeight="1">
      <c r="A423" s="1283"/>
      <c r="B423" s="1284"/>
      <c r="C423" s="1285"/>
      <c r="D423" s="1286"/>
      <c r="E423" s="1287"/>
      <c r="F423" s="1283"/>
      <c r="G423" s="1288"/>
      <c r="H423" s="1289"/>
      <c r="I423" s="1289"/>
      <c r="J423" s="1290"/>
      <c r="K423" s="1291"/>
      <c r="L423" s="1292"/>
      <c r="M423" s="1292"/>
      <c r="N423" s="1292"/>
      <c r="O423" s="1292"/>
    </row>
    <row r="424" ht="33.0" customHeight="1">
      <c r="A424" s="1283"/>
      <c r="B424" s="1284"/>
      <c r="C424" s="1285"/>
      <c r="D424" s="1286"/>
      <c r="E424" s="1287"/>
      <c r="F424" s="1283"/>
      <c r="G424" s="1288"/>
      <c r="H424" s="1289"/>
      <c r="I424" s="1289"/>
      <c r="J424" s="1290"/>
      <c r="K424" s="1291"/>
      <c r="L424" s="1292"/>
      <c r="M424" s="1292"/>
      <c r="N424" s="1292"/>
      <c r="O424" s="1292"/>
    </row>
    <row r="425" ht="33.0" customHeight="1">
      <c r="A425" s="1283"/>
      <c r="B425" s="1284"/>
      <c r="C425" s="1285"/>
      <c r="D425" s="1286"/>
      <c r="E425" s="1287"/>
      <c r="F425" s="1283"/>
      <c r="G425" s="1288"/>
      <c r="H425" s="1289"/>
      <c r="I425" s="1289"/>
      <c r="J425" s="1290"/>
      <c r="K425" s="1291"/>
      <c r="L425" s="1292"/>
      <c r="M425" s="1292"/>
      <c r="N425" s="1292"/>
      <c r="O425" s="1292"/>
    </row>
    <row r="426" ht="33.0" customHeight="1">
      <c r="A426" s="1283"/>
      <c r="B426" s="1284"/>
      <c r="C426" s="1285"/>
      <c r="D426" s="1286"/>
      <c r="E426" s="1287"/>
      <c r="F426" s="1283"/>
      <c r="G426" s="1288"/>
      <c r="H426" s="1289"/>
      <c r="I426" s="1289"/>
      <c r="J426" s="1290"/>
      <c r="K426" s="1291"/>
      <c r="L426" s="1292"/>
      <c r="M426" s="1292"/>
      <c r="N426" s="1292"/>
      <c r="O426" s="1292"/>
    </row>
    <row r="427" ht="33.0" customHeight="1">
      <c r="A427" s="1283"/>
      <c r="B427" s="1284"/>
      <c r="C427" s="1285"/>
      <c r="D427" s="1286"/>
      <c r="E427" s="1287"/>
      <c r="F427" s="1283"/>
      <c r="G427" s="1288"/>
      <c r="H427" s="1289"/>
      <c r="I427" s="1289"/>
      <c r="J427" s="1290"/>
      <c r="K427" s="1291"/>
      <c r="L427" s="1292"/>
      <c r="M427" s="1292"/>
      <c r="N427" s="1292"/>
      <c r="O427" s="1292"/>
    </row>
    <row r="428" ht="33.0" customHeight="1">
      <c r="A428" s="1283"/>
      <c r="B428" s="1284"/>
      <c r="C428" s="1285"/>
      <c r="D428" s="1286"/>
      <c r="E428" s="1287"/>
      <c r="F428" s="1283"/>
      <c r="G428" s="1288"/>
      <c r="H428" s="1289"/>
      <c r="I428" s="1289"/>
      <c r="J428" s="1290"/>
      <c r="K428" s="1291"/>
      <c r="L428" s="1292"/>
      <c r="M428" s="1292"/>
      <c r="N428" s="1292"/>
      <c r="O428" s="1292"/>
    </row>
    <row r="429" ht="33.0" customHeight="1">
      <c r="A429" s="1283"/>
      <c r="B429" s="1284"/>
      <c r="C429" s="1285"/>
      <c r="D429" s="1286"/>
      <c r="E429" s="1287"/>
      <c r="F429" s="1283"/>
      <c r="G429" s="1288"/>
      <c r="H429" s="1289"/>
      <c r="I429" s="1289"/>
      <c r="J429" s="1290"/>
      <c r="K429" s="1291"/>
      <c r="L429" s="1292"/>
      <c r="M429" s="1292"/>
      <c r="N429" s="1292"/>
      <c r="O429" s="1292"/>
    </row>
    <row r="430" ht="33.0" customHeight="1">
      <c r="A430" s="1283"/>
      <c r="B430" s="1284"/>
      <c r="C430" s="1285"/>
      <c r="D430" s="1286"/>
      <c r="E430" s="1287"/>
      <c r="F430" s="1283"/>
      <c r="G430" s="1288"/>
      <c r="H430" s="1289"/>
      <c r="I430" s="1289"/>
      <c r="J430" s="1290"/>
      <c r="K430" s="1291"/>
      <c r="L430" s="1292"/>
      <c r="M430" s="1292"/>
      <c r="N430" s="1292"/>
      <c r="O430" s="1292"/>
    </row>
    <row r="431" ht="33.0" customHeight="1">
      <c r="A431" s="1283"/>
      <c r="B431" s="1284"/>
      <c r="C431" s="1285"/>
      <c r="D431" s="1286"/>
      <c r="E431" s="1287"/>
      <c r="F431" s="1283"/>
      <c r="G431" s="1288"/>
      <c r="H431" s="1289"/>
      <c r="I431" s="1289"/>
      <c r="J431" s="1290"/>
      <c r="K431" s="1291"/>
      <c r="L431" s="1292"/>
      <c r="M431" s="1292"/>
      <c r="N431" s="1292"/>
      <c r="O431" s="1292"/>
    </row>
    <row r="432" ht="33.0" customHeight="1">
      <c r="A432" s="1283"/>
      <c r="B432" s="1284"/>
      <c r="C432" s="1285"/>
      <c r="D432" s="1286"/>
      <c r="E432" s="1287"/>
      <c r="F432" s="1283"/>
      <c r="G432" s="1288"/>
      <c r="H432" s="1289"/>
      <c r="I432" s="1289"/>
      <c r="J432" s="1290"/>
      <c r="K432" s="1291"/>
      <c r="L432" s="1292"/>
      <c r="M432" s="1292"/>
      <c r="N432" s="1292"/>
      <c r="O432" s="1292"/>
    </row>
    <row r="433" ht="33.0" customHeight="1">
      <c r="A433" s="1283"/>
      <c r="B433" s="1284"/>
      <c r="C433" s="1285"/>
      <c r="D433" s="1286"/>
      <c r="E433" s="1287"/>
      <c r="F433" s="1283"/>
      <c r="G433" s="1288"/>
      <c r="H433" s="1289"/>
      <c r="I433" s="1289"/>
      <c r="J433" s="1290"/>
      <c r="K433" s="1291"/>
      <c r="L433" s="1292"/>
      <c r="M433" s="1292"/>
      <c r="N433" s="1292"/>
      <c r="O433" s="1292"/>
    </row>
    <row r="434" ht="33.0" customHeight="1">
      <c r="A434" s="1283"/>
      <c r="B434" s="1284"/>
      <c r="C434" s="1285"/>
      <c r="D434" s="1286"/>
      <c r="E434" s="1287"/>
      <c r="F434" s="1283"/>
      <c r="G434" s="1288"/>
      <c r="H434" s="1289"/>
      <c r="I434" s="1289"/>
      <c r="J434" s="1290"/>
      <c r="K434" s="1291"/>
      <c r="L434" s="1292"/>
      <c r="M434" s="1292"/>
      <c r="N434" s="1292"/>
      <c r="O434" s="1292"/>
    </row>
    <row r="435" ht="33.0" customHeight="1">
      <c r="A435" s="1283"/>
      <c r="B435" s="1284"/>
      <c r="C435" s="1285"/>
      <c r="D435" s="1286"/>
      <c r="E435" s="1287"/>
      <c r="F435" s="1283"/>
      <c r="G435" s="1288"/>
      <c r="H435" s="1289"/>
      <c r="I435" s="1289"/>
      <c r="J435" s="1290"/>
      <c r="K435" s="1291"/>
      <c r="L435" s="1292"/>
      <c r="M435" s="1292"/>
      <c r="N435" s="1292"/>
      <c r="O435" s="1292"/>
    </row>
    <row r="436" ht="33.0" customHeight="1">
      <c r="A436" s="1283"/>
      <c r="B436" s="1284"/>
      <c r="C436" s="1285"/>
      <c r="D436" s="1286"/>
      <c r="E436" s="1287"/>
      <c r="F436" s="1283"/>
      <c r="G436" s="1288"/>
      <c r="H436" s="1289"/>
      <c r="I436" s="1289"/>
      <c r="J436" s="1290"/>
      <c r="K436" s="1291"/>
      <c r="L436" s="1292"/>
      <c r="M436" s="1292"/>
      <c r="N436" s="1292"/>
      <c r="O436" s="1292"/>
    </row>
    <row r="437" ht="33.0" customHeight="1">
      <c r="A437" s="1283"/>
      <c r="B437" s="1284"/>
      <c r="C437" s="1285"/>
      <c r="D437" s="1286"/>
      <c r="E437" s="1287"/>
      <c r="F437" s="1283"/>
      <c r="G437" s="1288"/>
      <c r="H437" s="1289"/>
      <c r="I437" s="1289"/>
      <c r="J437" s="1290"/>
      <c r="K437" s="1291"/>
      <c r="L437" s="1292"/>
      <c r="M437" s="1292"/>
      <c r="N437" s="1292"/>
      <c r="O437" s="1292"/>
    </row>
    <row r="438" ht="33.0" customHeight="1">
      <c r="A438" s="1283"/>
      <c r="B438" s="1284"/>
      <c r="C438" s="1285"/>
      <c r="D438" s="1286"/>
      <c r="E438" s="1287"/>
      <c r="F438" s="1283"/>
      <c r="G438" s="1288"/>
      <c r="H438" s="1289"/>
      <c r="I438" s="1289"/>
      <c r="J438" s="1290"/>
      <c r="K438" s="1291"/>
      <c r="L438" s="1292"/>
      <c r="M438" s="1292"/>
      <c r="N438" s="1292"/>
      <c r="O438" s="1292"/>
    </row>
    <row r="439" ht="33.0" customHeight="1">
      <c r="A439" s="1283"/>
      <c r="B439" s="1284"/>
      <c r="C439" s="1285"/>
      <c r="D439" s="1286"/>
      <c r="E439" s="1287"/>
      <c r="F439" s="1283"/>
      <c r="G439" s="1288"/>
      <c r="H439" s="1289"/>
      <c r="I439" s="1289"/>
      <c r="J439" s="1290"/>
      <c r="K439" s="1291"/>
      <c r="L439" s="1292"/>
      <c r="M439" s="1292"/>
      <c r="N439" s="1292"/>
      <c r="O439" s="1292"/>
    </row>
    <row r="440" ht="33.0" customHeight="1">
      <c r="A440" s="1283"/>
      <c r="B440" s="1284"/>
      <c r="C440" s="1285"/>
      <c r="D440" s="1286"/>
      <c r="E440" s="1287"/>
      <c r="F440" s="1283"/>
      <c r="G440" s="1288"/>
      <c r="H440" s="1289"/>
      <c r="I440" s="1289"/>
      <c r="J440" s="1290"/>
      <c r="K440" s="1291"/>
      <c r="L440" s="1292"/>
      <c r="M440" s="1292"/>
      <c r="N440" s="1292"/>
      <c r="O440" s="1292"/>
    </row>
    <row r="441" ht="33.0" customHeight="1">
      <c r="A441" s="1283"/>
      <c r="B441" s="1284"/>
      <c r="C441" s="1285"/>
      <c r="D441" s="1286"/>
      <c r="E441" s="1287"/>
      <c r="F441" s="1283"/>
      <c r="G441" s="1288"/>
      <c r="H441" s="1289"/>
      <c r="I441" s="1289"/>
      <c r="J441" s="1290"/>
      <c r="K441" s="1291"/>
      <c r="L441" s="1292"/>
      <c r="M441" s="1292"/>
      <c r="N441" s="1292"/>
      <c r="O441" s="1292"/>
    </row>
    <row r="442" ht="33.0" customHeight="1">
      <c r="A442" s="1283"/>
      <c r="B442" s="1284"/>
      <c r="C442" s="1285"/>
      <c r="D442" s="1286"/>
      <c r="E442" s="1287"/>
      <c r="F442" s="1283"/>
      <c r="G442" s="1288"/>
      <c r="H442" s="1289"/>
      <c r="I442" s="1289"/>
      <c r="J442" s="1290"/>
      <c r="K442" s="1291"/>
      <c r="L442" s="1292"/>
      <c r="M442" s="1292"/>
      <c r="N442" s="1292"/>
      <c r="O442" s="1292"/>
    </row>
    <row r="443" ht="33.0" customHeight="1">
      <c r="A443" s="1283"/>
      <c r="B443" s="1284"/>
      <c r="C443" s="1285"/>
      <c r="D443" s="1286"/>
      <c r="E443" s="1287"/>
      <c r="F443" s="1283"/>
      <c r="G443" s="1288"/>
      <c r="H443" s="1289"/>
      <c r="I443" s="1289"/>
      <c r="J443" s="1290"/>
      <c r="K443" s="1291"/>
      <c r="L443" s="1292"/>
      <c r="M443" s="1292"/>
      <c r="N443" s="1292"/>
      <c r="O443" s="1292"/>
    </row>
    <row r="444" ht="33.0" customHeight="1">
      <c r="A444" s="1283"/>
      <c r="B444" s="1284"/>
      <c r="C444" s="1285"/>
      <c r="D444" s="1286"/>
      <c r="E444" s="1287"/>
      <c r="F444" s="1283"/>
      <c r="G444" s="1288"/>
      <c r="H444" s="1289"/>
      <c r="I444" s="1289"/>
      <c r="J444" s="1290"/>
      <c r="K444" s="1291"/>
      <c r="L444" s="1292"/>
      <c r="M444" s="1292"/>
      <c r="N444" s="1292"/>
      <c r="O444" s="1292"/>
    </row>
    <row r="445" ht="33.0" customHeight="1">
      <c r="A445" s="1283"/>
      <c r="B445" s="1284"/>
      <c r="C445" s="1285"/>
      <c r="D445" s="1286"/>
      <c r="E445" s="1287"/>
      <c r="F445" s="1283"/>
      <c r="G445" s="1288"/>
      <c r="H445" s="1289"/>
      <c r="I445" s="1289"/>
      <c r="J445" s="1290"/>
      <c r="K445" s="1291"/>
      <c r="L445" s="1292"/>
      <c r="M445" s="1292"/>
      <c r="N445" s="1292"/>
      <c r="O445" s="1292"/>
    </row>
    <row r="446" ht="33.0" customHeight="1">
      <c r="A446" s="1283"/>
      <c r="B446" s="1284"/>
      <c r="C446" s="1285"/>
      <c r="D446" s="1286"/>
      <c r="E446" s="1287"/>
      <c r="F446" s="1283"/>
      <c r="G446" s="1288"/>
      <c r="H446" s="1289"/>
      <c r="I446" s="1289"/>
      <c r="J446" s="1290"/>
      <c r="K446" s="1291"/>
      <c r="L446" s="1292"/>
      <c r="M446" s="1292"/>
      <c r="N446" s="1292"/>
      <c r="O446" s="1292"/>
    </row>
    <row r="447" ht="33.0" customHeight="1">
      <c r="A447" s="1283"/>
      <c r="B447" s="1284"/>
      <c r="C447" s="1285"/>
      <c r="D447" s="1286"/>
      <c r="E447" s="1287"/>
      <c r="F447" s="1283"/>
      <c r="G447" s="1288"/>
      <c r="H447" s="1289"/>
      <c r="I447" s="1289"/>
      <c r="J447" s="1290"/>
      <c r="K447" s="1291"/>
      <c r="L447" s="1292"/>
      <c r="M447" s="1292"/>
      <c r="N447" s="1292"/>
      <c r="O447" s="1292"/>
    </row>
    <row r="448" ht="33.0" customHeight="1">
      <c r="A448" s="1283"/>
      <c r="B448" s="1284"/>
      <c r="C448" s="1285"/>
      <c r="D448" s="1286"/>
      <c r="E448" s="1287"/>
      <c r="F448" s="1283"/>
      <c r="G448" s="1288"/>
      <c r="H448" s="1289"/>
      <c r="I448" s="1289"/>
      <c r="J448" s="1290"/>
      <c r="K448" s="1291"/>
      <c r="L448" s="1292"/>
      <c r="M448" s="1292"/>
      <c r="N448" s="1292"/>
      <c r="O448" s="1292"/>
    </row>
    <row r="449" ht="33.0" customHeight="1">
      <c r="A449" s="1283"/>
      <c r="B449" s="1284"/>
      <c r="C449" s="1285"/>
      <c r="D449" s="1286"/>
      <c r="E449" s="1287"/>
      <c r="F449" s="1283"/>
      <c r="G449" s="1288"/>
      <c r="H449" s="1289"/>
      <c r="I449" s="1289"/>
      <c r="J449" s="1290"/>
      <c r="K449" s="1291"/>
      <c r="L449" s="1292"/>
      <c r="M449" s="1292"/>
      <c r="N449" s="1292"/>
      <c r="O449" s="1292"/>
    </row>
    <row r="450" ht="33.0" customHeight="1">
      <c r="A450" s="1283"/>
      <c r="B450" s="1284"/>
      <c r="C450" s="1285"/>
      <c r="D450" s="1286"/>
      <c r="E450" s="1287"/>
      <c r="F450" s="1283"/>
      <c r="G450" s="1288"/>
      <c r="H450" s="1289"/>
      <c r="I450" s="1289"/>
      <c r="J450" s="1290"/>
      <c r="K450" s="1291"/>
      <c r="L450" s="1292"/>
      <c r="M450" s="1292"/>
      <c r="N450" s="1292"/>
      <c r="O450" s="1292"/>
    </row>
    <row r="451" ht="33.0" customHeight="1">
      <c r="A451" s="1283"/>
      <c r="B451" s="1284"/>
      <c r="C451" s="1285"/>
      <c r="D451" s="1286"/>
      <c r="E451" s="1287"/>
      <c r="F451" s="1283"/>
      <c r="G451" s="1288"/>
      <c r="H451" s="1289"/>
      <c r="I451" s="1289"/>
      <c r="J451" s="1290"/>
      <c r="K451" s="1291"/>
      <c r="L451" s="1292"/>
      <c r="M451" s="1292"/>
      <c r="N451" s="1292"/>
      <c r="O451" s="1292"/>
    </row>
    <row r="452" ht="33.0" customHeight="1">
      <c r="A452" s="1283"/>
      <c r="B452" s="1284"/>
      <c r="C452" s="1285"/>
      <c r="D452" s="1286"/>
      <c r="E452" s="1287"/>
      <c r="F452" s="1283"/>
      <c r="G452" s="1288"/>
      <c r="H452" s="1289"/>
      <c r="I452" s="1289"/>
      <c r="J452" s="1290"/>
      <c r="K452" s="1291"/>
      <c r="L452" s="1292"/>
      <c r="M452" s="1292"/>
      <c r="N452" s="1292"/>
      <c r="O452" s="1292"/>
    </row>
    <row r="453" ht="33.0" customHeight="1">
      <c r="A453" s="1283"/>
      <c r="B453" s="1284"/>
      <c r="C453" s="1285"/>
      <c r="D453" s="1286"/>
      <c r="E453" s="1287"/>
      <c r="F453" s="1283"/>
      <c r="G453" s="1288"/>
      <c r="H453" s="1289"/>
      <c r="I453" s="1289"/>
      <c r="J453" s="1290"/>
      <c r="K453" s="1291"/>
      <c r="L453" s="1292"/>
      <c r="M453" s="1292"/>
      <c r="N453" s="1292"/>
      <c r="O453" s="1292"/>
    </row>
    <row r="454" ht="33.0" customHeight="1">
      <c r="A454" s="1283"/>
      <c r="B454" s="1284"/>
      <c r="C454" s="1285"/>
      <c r="D454" s="1286"/>
      <c r="E454" s="1287"/>
      <c r="F454" s="1283"/>
      <c r="G454" s="1288"/>
      <c r="H454" s="1289"/>
      <c r="I454" s="1289"/>
      <c r="J454" s="1290"/>
      <c r="K454" s="1291"/>
      <c r="L454" s="1292"/>
      <c r="M454" s="1292"/>
      <c r="N454" s="1292"/>
      <c r="O454" s="1292"/>
    </row>
    <row r="455" ht="33.0" customHeight="1">
      <c r="A455" s="1283"/>
      <c r="B455" s="1284"/>
      <c r="C455" s="1285"/>
      <c r="D455" s="1286"/>
      <c r="E455" s="1287"/>
      <c r="F455" s="1283"/>
      <c r="G455" s="1288"/>
      <c r="H455" s="1289"/>
      <c r="I455" s="1289"/>
      <c r="J455" s="1290"/>
      <c r="K455" s="1291"/>
      <c r="L455" s="1292"/>
      <c r="M455" s="1292"/>
      <c r="N455" s="1292"/>
      <c r="O455" s="1292"/>
    </row>
    <row r="456" ht="33.0" customHeight="1">
      <c r="A456" s="1283"/>
      <c r="B456" s="1284"/>
      <c r="C456" s="1285"/>
      <c r="D456" s="1286"/>
      <c r="E456" s="1287"/>
      <c r="F456" s="1283"/>
      <c r="G456" s="1288"/>
      <c r="H456" s="1289"/>
      <c r="I456" s="1289"/>
      <c r="J456" s="1290"/>
      <c r="K456" s="1291"/>
      <c r="L456" s="1292"/>
      <c r="M456" s="1292"/>
      <c r="N456" s="1292"/>
      <c r="O456" s="1292"/>
    </row>
    <row r="457" ht="33.0" customHeight="1">
      <c r="A457" s="1283"/>
      <c r="B457" s="1284"/>
      <c r="C457" s="1285"/>
      <c r="D457" s="1286"/>
      <c r="E457" s="1287"/>
      <c r="F457" s="1283"/>
      <c r="G457" s="1288"/>
      <c r="H457" s="1289"/>
      <c r="I457" s="1289"/>
      <c r="J457" s="1290"/>
      <c r="K457" s="1291"/>
      <c r="L457" s="1292"/>
      <c r="M457" s="1292"/>
      <c r="N457" s="1292"/>
      <c r="O457" s="1292"/>
    </row>
    <row r="458" ht="33.0" customHeight="1">
      <c r="A458" s="1283"/>
      <c r="B458" s="1284"/>
      <c r="C458" s="1285"/>
      <c r="D458" s="1286"/>
      <c r="E458" s="1287"/>
      <c r="F458" s="1283"/>
      <c r="G458" s="1288"/>
      <c r="H458" s="1289"/>
      <c r="I458" s="1289"/>
      <c r="J458" s="1290"/>
      <c r="K458" s="1291"/>
      <c r="L458" s="1292"/>
      <c r="M458" s="1292"/>
      <c r="N458" s="1292"/>
      <c r="O458" s="1292"/>
    </row>
    <row r="459" ht="33.0" customHeight="1">
      <c r="A459" s="1283"/>
      <c r="B459" s="1284"/>
      <c r="C459" s="1285"/>
      <c r="D459" s="1286"/>
      <c r="E459" s="1287"/>
      <c r="F459" s="1283"/>
      <c r="G459" s="1288"/>
      <c r="H459" s="1289"/>
      <c r="I459" s="1289"/>
      <c r="J459" s="1290"/>
      <c r="K459" s="1291"/>
      <c r="L459" s="1292"/>
      <c r="M459" s="1292"/>
      <c r="N459" s="1292"/>
      <c r="O459" s="1292"/>
    </row>
    <row r="460" ht="33.0" customHeight="1">
      <c r="A460" s="1283"/>
      <c r="B460" s="1284"/>
      <c r="C460" s="1285"/>
      <c r="D460" s="1286"/>
      <c r="E460" s="1287"/>
      <c r="F460" s="1283"/>
      <c r="G460" s="1288"/>
      <c r="H460" s="1289"/>
      <c r="I460" s="1289"/>
      <c r="J460" s="1290"/>
      <c r="K460" s="1291"/>
      <c r="L460" s="1292"/>
      <c r="M460" s="1292"/>
      <c r="N460" s="1292"/>
      <c r="O460" s="1292"/>
    </row>
    <row r="461" ht="33.0" customHeight="1">
      <c r="A461" s="1283"/>
      <c r="B461" s="1284"/>
      <c r="C461" s="1285"/>
      <c r="D461" s="1286"/>
      <c r="E461" s="1287"/>
      <c r="F461" s="1283"/>
      <c r="G461" s="1288"/>
      <c r="H461" s="1289"/>
      <c r="I461" s="1289"/>
      <c r="J461" s="1290"/>
      <c r="K461" s="1291"/>
      <c r="L461" s="1292"/>
      <c r="M461" s="1292"/>
      <c r="N461" s="1292"/>
      <c r="O461" s="1292"/>
    </row>
    <row r="462" ht="33.0" customHeight="1">
      <c r="A462" s="1283"/>
      <c r="B462" s="1284"/>
      <c r="C462" s="1285"/>
      <c r="D462" s="1286"/>
      <c r="E462" s="1287"/>
      <c r="F462" s="1283"/>
      <c r="G462" s="1288"/>
      <c r="H462" s="1289"/>
      <c r="I462" s="1289"/>
      <c r="J462" s="1290"/>
      <c r="K462" s="1291"/>
      <c r="L462" s="1292"/>
      <c r="M462" s="1292"/>
      <c r="N462" s="1292"/>
      <c r="O462" s="1292"/>
    </row>
    <row r="463" ht="33.0" customHeight="1">
      <c r="A463" s="1283"/>
      <c r="B463" s="1284"/>
      <c r="C463" s="1285"/>
      <c r="D463" s="1286"/>
      <c r="E463" s="1287"/>
      <c r="F463" s="1283"/>
      <c r="G463" s="1288"/>
      <c r="H463" s="1289"/>
      <c r="I463" s="1289"/>
      <c r="J463" s="1290"/>
      <c r="K463" s="1291"/>
      <c r="L463" s="1292"/>
      <c r="M463" s="1292"/>
      <c r="N463" s="1292"/>
      <c r="O463" s="1292"/>
    </row>
    <row r="464" ht="33.0" customHeight="1">
      <c r="A464" s="1283"/>
      <c r="B464" s="1284"/>
      <c r="C464" s="1285"/>
      <c r="D464" s="1286"/>
      <c r="E464" s="1287"/>
      <c r="F464" s="1283"/>
      <c r="G464" s="1288"/>
      <c r="H464" s="1289"/>
      <c r="I464" s="1289"/>
      <c r="J464" s="1290"/>
      <c r="K464" s="1291"/>
      <c r="L464" s="1292"/>
      <c r="M464" s="1292"/>
      <c r="N464" s="1292"/>
      <c r="O464" s="1292"/>
    </row>
    <row r="465" ht="33.0" customHeight="1">
      <c r="A465" s="1283"/>
      <c r="B465" s="1284"/>
      <c r="C465" s="1285"/>
      <c r="D465" s="1286"/>
      <c r="E465" s="1287"/>
      <c r="F465" s="1283"/>
      <c r="G465" s="1288"/>
      <c r="H465" s="1289"/>
      <c r="I465" s="1289"/>
      <c r="J465" s="1290"/>
      <c r="K465" s="1291"/>
      <c r="L465" s="1292"/>
      <c r="M465" s="1292"/>
      <c r="N465" s="1292"/>
      <c r="O465" s="1292"/>
    </row>
    <row r="466" ht="33.0" customHeight="1">
      <c r="A466" s="1283"/>
      <c r="B466" s="1284"/>
      <c r="C466" s="1285"/>
      <c r="D466" s="1286"/>
      <c r="E466" s="1287"/>
      <c r="F466" s="1283"/>
      <c r="G466" s="1288"/>
      <c r="H466" s="1289"/>
      <c r="I466" s="1289"/>
      <c r="J466" s="1290"/>
      <c r="K466" s="1291"/>
      <c r="L466" s="1292"/>
      <c r="M466" s="1292"/>
      <c r="N466" s="1292"/>
      <c r="O466" s="1292"/>
    </row>
    <row r="467" ht="33.0" customHeight="1">
      <c r="A467" s="1283"/>
      <c r="B467" s="1284"/>
      <c r="C467" s="1285"/>
      <c r="D467" s="1286"/>
      <c r="E467" s="1287"/>
      <c r="F467" s="1283"/>
      <c r="G467" s="1288"/>
      <c r="H467" s="1289"/>
      <c r="I467" s="1289"/>
      <c r="J467" s="1290"/>
      <c r="K467" s="1291"/>
      <c r="L467" s="1292"/>
      <c r="M467" s="1292"/>
      <c r="N467" s="1292"/>
      <c r="O467" s="1292"/>
    </row>
    <row r="468" ht="33.0" customHeight="1">
      <c r="A468" s="1283"/>
      <c r="B468" s="1284"/>
      <c r="C468" s="1285"/>
      <c r="D468" s="1286"/>
      <c r="E468" s="1287"/>
      <c r="F468" s="1283"/>
      <c r="G468" s="1288"/>
      <c r="H468" s="1289"/>
      <c r="I468" s="1289"/>
      <c r="J468" s="1290"/>
      <c r="K468" s="1291"/>
      <c r="L468" s="1292"/>
      <c r="M468" s="1292"/>
      <c r="N468" s="1292"/>
      <c r="O468" s="1292"/>
    </row>
    <row r="469" ht="33.0" customHeight="1">
      <c r="A469" s="1283"/>
      <c r="B469" s="1284"/>
      <c r="C469" s="1285"/>
      <c r="D469" s="1286"/>
      <c r="E469" s="1287"/>
      <c r="F469" s="1283"/>
      <c r="G469" s="1288"/>
      <c r="H469" s="1289"/>
      <c r="I469" s="1289"/>
      <c r="J469" s="1290"/>
      <c r="K469" s="1291"/>
      <c r="L469" s="1292"/>
      <c r="M469" s="1292"/>
      <c r="N469" s="1292"/>
      <c r="O469" s="1292"/>
    </row>
    <row r="470" ht="33.0" customHeight="1">
      <c r="A470" s="1283"/>
      <c r="B470" s="1284"/>
      <c r="C470" s="1285"/>
      <c r="D470" s="1286"/>
      <c r="E470" s="1287"/>
      <c r="F470" s="1283"/>
      <c r="G470" s="1288"/>
      <c r="H470" s="1289"/>
      <c r="I470" s="1289"/>
      <c r="J470" s="1290"/>
      <c r="K470" s="1291"/>
      <c r="L470" s="1292"/>
      <c r="M470" s="1292"/>
      <c r="N470" s="1292"/>
      <c r="O470" s="1292"/>
    </row>
    <row r="471" ht="33.0" customHeight="1">
      <c r="A471" s="1283"/>
      <c r="B471" s="1284"/>
      <c r="C471" s="1285"/>
      <c r="D471" s="1286"/>
      <c r="E471" s="1287"/>
      <c r="F471" s="1283"/>
      <c r="G471" s="1288"/>
      <c r="H471" s="1289"/>
      <c r="I471" s="1289"/>
      <c r="J471" s="1290"/>
      <c r="K471" s="1291"/>
      <c r="L471" s="1292"/>
      <c r="M471" s="1292"/>
      <c r="N471" s="1292"/>
      <c r="O471" s="1292"/>
    </row>
    <row r="472" ht="33.0" customHeight="1">
      <c r="A472" s="1283"/>
      <c r="B472" s="1284"/>
      <c r="C472" s="1285"/>
      <c r="D472" s="1286"/>
      <c r="E472" s="1287"/>
      <c r="F472" s="1283"/>
      <c r="G472" s="1288"/>
      <c r="H472" s="1289"/>
      <c r="I472" s="1289"/>
      <c r="J472" s="1290"/>
      <c r="K472" s="1291"/>
      <c r="L472" s="1292"/>
      <c r="M472" s="1292"/>
      <c r="N472" s="1292"/>
      <c r="O472" s="1292"/>
    </row>
    <row r="473" ht="33.0" customHeight="1">
      <c r="A473" s="1283"/>
      <c r="B473" s="1284"/>
      <c r="C473" s="1285"/>
      <c r="D473" s="1286"/>
      <c r="E473" s="1287"/>
      <c r="F473" s="1283"/>
      <c r="G473" s="1288"/>
      <c r="H473" s="1289"/>
      <c r="I473" s="1289"/>
      <c r="J473" s="1290"/>
      <c r="K473" s="1291"/>
      <c r="L473" s="1292"/>
      <c r="M473" s="1292"/>
      <c r="N473" s="1292"/>
      <c r="O473" s="1292"/>
    </row>
    <row r="474" ht="33.0" customHeight="1">
      <c r="A474" s="1283"/>
      <c r="B474" s="1284"/>
      <c r="C474" s="1285"/>
      <c r="D474" s="1286"/>
      <c r="E474" s="1287"/>
      <c r="F474" s="1283"/>
      <c r="G474" s="1288"/>
      <c r="H474" s="1289"/>
      <c r="I474" s="1289"/>
      <c r="J474" s="1290"/>
      <c r="K474" s="1291"/>
      <c r="L474" s="1292"/>
      <c r="M474" s="1292"/>
      <c r="N474" s="1292"/>
      <c r="O474" s="1292"/>
    </row>
    <row r="475" ht="33.0" customHeight="1">
      <c r="A475" s="1283"/>
      <c r="B475" s="1284"/>
      <c r="C475" s="1285"/>
      <c r="D475" s="1286"/>
      <c r="E475" s="1287"/>
      <c r="F475" s="1283"/>
      <c r="G475" s="1288"/>
      <c r="H475" s="1289"/>
      <c r="I475" s="1289"/>
      <c r="J475" s="1290"/>
      <c r="K475" s="1291"/>
      <c r="L475" s="1292"/>
      <c r="M475" s="1292"/>
      <c r="N475" s="1292"/>
      <c r="O475" s="1292"/>
    </row>
    <row r="476" ht="33.0" customHeight="1">
      <c r="A476" s="1283"/>
      <c r="B476" s="1284"/>
      <c r="C476" s="1285"/>
      <c r="D476" s="1286"/>
      <c r="E476" s="1287"/>
      <c r="F476" s="1283"/>
      <c r="G476" s="1288"/>
      <c r="H476" s="1289"/>
      <c r="I476" s="1289"/>
      <c r="J476" s="1290"/>
      <c r="K476" s="1291"/>
      <c r="L476" s="1292"/>
      <c r="M476" s="1292"/>
      <c r="N476" s="1292"/>
      <c r="O476" s="1292"/>
    </row>
    <row r="477" ht="33.0" customHeight="1">
      <c r="A477" s="1283"/>
      <c r="B477" s="1284"/>
      <c r="C477" s="1285"/>
      <c r="D477" s="1286"/>
      <c r="E477" s="1287"/>
      <c r="F477" s="1283"/>
      <c r="G477" s="1288"/>
      <c r="H477" s="1289"/>
      <c r="I477" s="1289"/>
      <c r="J477" s="1290"/>
      <c r="K477" s="1291"/>
      <c r="L477" s="1292"/>
      <c r="M477" s="1292"/>
      <c r="N477" s="1292"/>
      <c r="O477" s="1292"/>
    </row>
    <row r="478" ht="33.0" customHeight="1">
      <c r="A478" s="1283"/>
      <c r="B478" s="1284"/>
      <c r="C478" s="1285"/>
      <c r="D478" s="1286"/>
      <c r="E478" s="1287"/>
      <c r="F478" s="1283"/>
      <c r="G478" s="1288"/>
      <c r="H478" s="1289"/>
      <c r="I478" s="1289"/>
      <c r="J478" s="1290"/>
      <c r="K478" s="1291"/>
      <c r="L478" s="1292"/>
      <c r="M478" s="1292"/>
      <c r="N478" s="1292"/>
      <c r="O478" s="1292"/>
    </row>
    <row r="479" ht="33.0" customHeight="1">
      <c r="A479" s="1283"/>
      <c r="B479" s="1284"/>
      <c r="C479" s="1285"/>
      <c r="D479" s="1286"/>
      <c r="E479" s="1287"/>
      <c r="F479" s="1283"/>
      <c r="G479" s="1288"/>
      <c r="H479" s="1289"/>
      <c r="I479" s="1289"/>
      <c r="J479" s="1290"/>
      <c r="K479" s="1291"/>
      <c r="L479" s="1292"/>
      <c r="M479" s="1292"/>
      <c r="N479" s="1292"/>
      <c r="O479" s="1292"/>
    </row>
    <row r="480" ht="33.0" customHeight="1">
      <c r="A480" s="1283"/>
      <c r="B480" s="1284"/>
      <c r="C480" s="1285"/>
      <c r="D480" s="1286"/>
      <c r="E480" s="1287"/>
      <c r="F480" s="1283"/>
      <c r="G480" s="1288"/>
      <c r="H480" s="1289"/>
      <c r="I480" s="1289"/>
      <c r="J480" s="1290"/>
      <c r="K480" s="1291"/>
      <c r="L480" s="1292"/>
      <c r="M480" s="1292"/>
      <c r="N480" s="1292"/>
      <c r="O480" s="1292"/>
    </row>
    <row r="481" ht="33.0" customHeight="1">
      <c r="A481" s="1283"/>
      <c r="B481" s="1284"/>
      <c r="C481" s="1285"/>
      <c r="D481" s="1286"/>
      <c r="E481" s="1287"/>
      <c r="F481" s="1283"/>
      <c r="G481" s="1288"/>
      <c r="H481" s="1289"/>
      <c r="I481" s="1289"/>
      <c r="J481" s="1290"/>
      <c r="K481" s="1291"/>
      <c r="L481" s="1292"/>
      <c r="M481" s="1292"/>
      <c r="N481" s="1292"/>
      <c r="O481" s="1292"/>
    </row>
    <row r="482" ht="33.0" customHeight="1">
      <c r="A482" s="1283"/>
      <c r="B482" s="1284"/>
      <c r="C482" s="1285"/>
      <c r="D482" s="1286"/>
      <c r="E482" s="1287"/>
      <c r="F482" s="1283"/>
      <c r="G482" s="1288"/>
      <c r="H482" s="1289"/>
      <c r="I482" s="1289"/>
      <c r="J482" s="1290"/>
      <c r="K482" s="1291"/>
      <c r="L482" s="1292"/>
      <c r="M482" s="1292"/>
      <c r="N482" s="1292"/>
      <c r="O482" s="1292"/>
    </row>
    <row r="483" ht="33.0" customHeight="1">
      <c r="A483" s="1283"/>
      <c r="B483" s="1284"/>
      <c r="C483" s="1285"/>
      <c r="D483" s="1286"/>
      <c r="E483" s="1287"/>
      <c r="F483" s="1283"/>
      <c r="G483" s="1288"/>
      <c r="H483" s="1289"/>
      <c r="I483" s="1289"/>
      <c r="J483" s="1290"/>
      <c r="K483" s="1291"/>
      <c r="L483" s="1292"/>
      <c r="M483" s="1292"/>
      <c r="N483" s="1292"/>
      <c r="O483" s="1292"/>
    </row>
    <row r="484" ht="33.0" customHeight="1">
      <c r="A484" s="1283"/>
      <c r="B484" s="1284"/>
      <c r="C484" s="1285"/>
      <c r="D484" s="1286"/>
      <c r="E484" s="1287"/>
      <c r="F484" s="1283"/>
      <c r="G484" s="1288"/>
      <c r="H484" s="1289"/>
      <c r="I484" s="1289"/>
      <c r="J484" s="1290"/>
      <c r="K484" s="1291"/>
      <c r="L484" s="1292"/>
      <c r="M484" s="1292"/>
      <c r="N484" s="1292"/>
      <c r="O484" s="1292"/>
    </row>
    <row r="485" ht="33.0" customHeight="1">
      <c r="A485" s="1283"/>
      <c r="B485" s="1284"/>
      <c r="C485" s="1285"/>
      <c r="D485" s="1286"/>
      <c r="E485" s="1287"/>
      <c r="F485" s="1283"/>
      <c r="G485" s="1288"/>
      <c r="H485" s="1289"/>
      <c r="I485" s="1289"/>
      <c r="J485" s="1290"/>
      <c r="K485" s="1291"/>
      <c r="L485" s="1292"/>
      <c r="M485" s="1292"/>
      <c r="N485" s="1292"/>
      <c r="O485" s="1292"/>
    </row>
    <row r="486" ht="33.0" customHeight="1">
      <c r="A486" s="1283"/>
      <c r="B486" s="1284"/>
      <c r="C486" s="1285"/>
      <c r="D486" s="1286"/>
      <c r="E486" s="1287"/>
      <c r="F486" s="1283"/>
      <c r="G486" s="1288"/>
      <c r="H486" s="1289"/>
      <c r="I486" s="1289"/>
      <c r="J486" s="1290"/>
      <c r="K486" s="1291"/>
      <c r="L486" s="1292"/>
      <c r="M486" s="1292"/>
      <c r="N486" s="1292"/>
      <c r="O486" s="1292"/>
    </row>
    <row r="487" ht="33.0" customHeight="1">
      <c r="A487" s="1283"/>
      <c r="B487" s="1284"/>
      <c r="C487" s="1285"/>
      <c r="D487" s="1286"/>
      <c r="E487" s="1287"/>
      <c r="F487" s="1283"/>
      <c r="G487" s="1288"/>
      <c r="H487" s="1289"/>
      <c r="I487" s="1289"/>
      <c r="J487" s="1290"/>
      <c r="K487" s="1291"/>
      <c r="L487" s="1292"/>
      <c r="M487" s="1292"/>
      <c r="N487" s="1292"/>
      <c r="O487" s="1292"/>
    </row>
    <row r="488" ht="33.0" customHeight="1">
      <c r="A488" s="1283"/>
      <c r="B488" s="1284"/>
      <c r="C488" s="1285"/>
      <c r="D488" s="1286"/>
      <c r="E488" s="1287"/>
      <c r="F488" s="1283"/>
      <c r="G488" s="1288"/>
      <c r="H488" s="1289"/>
      <c r="I488" s="1289"/>
      <c r="J488" s="1290"/>
      <c r="K488" s="1291"/>
      <c r="L488" s="1292"/>
      <c r="M488" s="1292"/>
      <c r="N488" s="1292"/>
      <c r="O488" s="1292"/>
    </row>
    <row r="489" ht="33.0" customHeight="1">
      <c r="A489" s="1283"/>
      <c r="B489" s="1284"/>
      <c r="C489" s="1285"/>
      <c r="D489" s="1286"/>
      <c r="E489" s="1287"/>
      <c r="F489" s="1283"/>
      <c r="G489" s="1288"/>
      <c r="H489" s="1289"/>
      <c r="I489" s="1289"/>
      <c r="J489" s="1290"/>
      <c r="K489" s="1291"/>
      <c r="L489" s="1292"/>
      <c r="M489" s="1292"/>
      <c r="N489" s="1292"/>
      <c r="O489" s="1292"/>
    </row>
    <row r="490" ht="33.0" customHeight="1">
      <c r="A490" s="1283"/>
      <c r="B490" s="1284"/>
      <c r="C490" s="1285"/>
      <c r="D490" s="1286"/>
      <c r="E490" s="1287"/>
      <c r="F490" s="1283"/>
      <c r="G490" s="1288"/>
      <c r="H490" s="1289"/>
      <c r="I490" s="1289"/>
      <c r="J490" s="1290"/>
      <c r="K490" s="1291"/>
      <c r="L490" s="1292"/>
      <c r="M490" s="1292"/>
      <c r="N490" s="1292"/>
      <c r="O490" s="1292"/>
    </row>
    <row r="491" ht="33.0" customHeight="1">
      <c r="A491" s="1283"/>
      <c r="B491" s="1284"/>
      <c r="C491" s="1285"/>
      <c r="D491" s="1286"/>
      <c r="E491" s="1287"/>
      <c r="F491" s="1283"/>
      <c r="G491" s="1288"/>
      <c r="H491" s="1289"/>
      <c r="I491" s="1289"/>
      <c r="J491" s="1290"/>
      <c r="K491" s="1291"/>
      <c r="L491" s="1292"/>
      <c r="M491" s="1292"/>
      <c r="N491" s="1292"/>
      <c r="O491" s="1292"/>
    </row>
    <row r="492" ht="33.0" customHeight="1">
      <c r="A492" s="1283"/>
      <c r="B492" s="1284"/>
      <c r="C492" s="1285"/>
      <c r="D492" s="1286"/>
      <c r="E492" s="1287"/>
      <c r="F492" s="1283"/>
      <c r="G492" s="1288"/>
      <c r="H492" s="1289"/>
      <c r="I492" s="1289"/>
      <c r="J492" s="1290"/>
      <c r="K492" s="1291"/>
      <c r="L492" s="1292"/>
      <c r="M492" s="1292"/>
      <c r="N492" s="1292"/>
      <c r="O492" s="1292"/>
    </row>
    <row r="493" ht="33.0" customHeight="1">
      <c r="A493" s="1283"/>
      <c r="B493" s="1284"/>
      <c r="C493" s="1285"/>
      <c r="D493" s="1286"/>
      <c r="E493" s="1287"/>
      <c r="F493" s="1283"/>
      <c r="G493" s="1288"/>
      <c r="H493" s="1289"/>
      <c r="I493" s="1289"/>
      <c r="J493" s="1290"/>
      <c r="K493" s="1291"/>
      <c r="L493" s="1292"/>
      <c r="M493" s="1292"/>
      <c r="N493" s="1292"/>
      <c r="O493" s="1292"/>
    </row>
    <row r="494" ht="33.0" customHeight="1">
      <c r="A494" s="1283"/>
      <c r="B494" s="1284"/>
      <c r="C494" s="1285"/>
      <c r="D494" s="1286"/>
      <c r="E494" s="1287"/>
      <c r="F494" s="1283"/>
      <c r="G494" s="1288"/>
      <c r="H494" s="1289"/>
      <c r="I494" s="1289"/>
      <c r="J494" s="1290"/>
      <c r="K494" s="1291"/>
      <c r="L494" s="1292"/>
      <c r="M494" s="1292"/>
      <c r="N494" s="1292"/>
      <c r="O494" s="1292"/>
    </row>
    <row r="495" ht="33.0" customHeight="1">
      <c r="A495" s="1283"/>
      <c r="B495" s="1284"/>
      <c r="C495" s="1285"/>
      <c r="D495" s="1286"/>
      <c r="E495" s="1287"/>
      <c r="F495" s="1283"/>
      <c r="G495" s="1288"/>
      <c r="H495" s="1289"/>
      <c r="I495" s="1289"/>
      <c r="J495" s="1290"/>
      <c r="K495" s="1291"/>
      <c r="L495" s="1292"/>
      <c r="M495" s="1292"/>
      <c r="N495" s="1292"/>
      <c r="O495" s="1292"/>
    </row>
    <row r="496" ht="33.0" customHeight="1">
      <c r="A496" s="1283"/>
      <c r="B496" s="1284"/>
      <c r="C496" s="1285"/>
      <c r="D496" s="1286"/>
      <c r="E496" s="1287"/>
      <c r="F496" s="1283"/>
      <c r="G496" s="1288"/>
      <c r="H496" s="1289"/>
      <c r="I496" s="1289"/>
      <c r="J496" s="1290"/>
      <c r="K496" s="1291"/>
      <c r="L496" s="1292"/>
      <c r="M496" s="1292"/>
      <c r="N496" s="1292"/>
      <c r="O496" s="1292"/>
    </row>
    <row r="497" ht="33.0" customHeight="1">
      <c r="A497" s="1283"/>
      <c r="B497" s="1284"/>
      <c r="C497" s="1285"/>
      <c r="D497" s="1286"/>
      <c r="E497" s="1287"/>
      <c r="F497" s="1283"/>
      <c r="G497" s="1288"/>
      <c r="H497" s="1289"/>
      <c r="I497" s="1289"/>
      <c r="J497" s="1290"/>
      <c r="K497" s="1291"/>
      <c r="L497" s="1292"/>
      <c r="M497" s="1292"/>
      <c r="N497" s="1292"/>
      <c r="O497" s="1292"/>
    </row>
    <row r="498" ht="33.0" customHeight="1">
      <c r="A498" s="1283"/>
      <c r="B498" s="1284"/>
      <c r="C498" s="1285"/>
      <c r="D498" s="1286"/>
      <c r="E498" s="1287"/>
      <c r="F498" s="1283"/>
      <c r="G498" s="1288"/>
      <c r="H498" s="1289"/>
      <c r="I498" s="1289"/>
      <c r="J498" s="1290"/>
      <c r="K498" s="1291"/>
      <c r="L498" s="1292"/>
      <c r="M498" s="1292"/>
      <c r="N498" s="1292"/>
      <c r="O498" s="1292"/>
    </row>
    <row r="499" ht="33.0" customHeight="1">
      <c r="A499" s="1283"/>
      <c r="B499" s="1284"/>
      <c r="C499" s="1285"/>
      <c r="D499" s="1286"/>
      <c r="E499" s="1287"/>
      <c r="F499" s="1283"/>
      <c r="G499" s="1288"/>
      <c r="H499" s="1289"/>
      <c r="I499" s="1289"/>
      <c r="J499" s="1290"/>
      <c r="K499" s="1291"/>
      <c r="L499" s="1292"/>
      <c r="M499" s="1292"/>
      <c r="N499" s="1292"/>
      <c r="O499" s="1292"/>
    </row>
    <row r="500" ht="33.0" customHeight="1">
      <c r="A500" s="1283"/>
      <c r="B500" s="1284"/>
      <c r="C500" s="1285"/>
      <c r="D500" s="1286"/>
      <c r="E500" s="1287"/>
      <c r="F500" s="1283"/>
      <c r="G500" s="1288"/>
      <c r="H500" s="1289"/>
      <c r="I500" s="1289"/>
      <c r="J500" s="1290"/>
      <c r="K500" s="1291"/>
      <c r="L500" s="1292"/>
      <c r="M500" s="1292"/>
      <c r="N500" s="1292"/>
      <c r="O500" s="1292"/>
    </row>
    <row r="501" ht="33.0" customHeight="1">
      <c r="A501" s="1283"/>
      <c r="B501" s="1284"/>
      <c r="C501" s="1285"/>
      <c r="D501" s="1286"/>
      <c r="E501" s="1287"/>
      <c r="F501" s="1283"/>
      <c r="G501" s="1288"/>
      <c r="H501" s="1289"/>
      <c r="I501" s="1289"/>
      <c r="J501" s="1290"/>
      <c r="K501" s="1291"/>
      <c r="L501" s="1292"/>
      <c r="M501" s="1292"/>
      <c r="N501" s="1292"/>
      <c r="O501" s="1292"/>
    </row>
    <row r="502" ht="33.0" customHeight="1">
      <c r="A502" s="1283"/>
      <c r="B502" s="1284"/>
      <c r="C502" s="1285"/>
      <c r="D502" s="1286"/>
      <c r="E502" s="1287"/>
      <c r="F502" s="1283"/>
      <c r="G502" s="1288"/>
      <c r="H502" s="1289"/>
      <c r="I502" s="1289"/>
      <c r="J502" s="1290"/>
      <c r="K502" s="1291"/>
      <c r="L502" s="1292"/>
      <c r="M502" s="1292"/>
      <c r="N502" s="1292"/>
      <c r="O502" s="1292"/>
    </row>
    <row r="503" ht="33.0" customHeight="1">
      <c r="A503" s="1283"/>
      <c r="B503" s="1284"/>
      <c r="C503" s="1285"/>
      <c r="D503" s="1286"/>
      <c r="E503" s="1287"/>
      <c r="F503" s="1283"/>
      <c r="G503" s="1288"/>
      <c r="H503" s="1289"/>
      <c r="I503" s="1289"/>
      <c r="J503" s="1290"/>
      <c r="K503" s="1291"/>
      <c r="L503" s="1292"/>
      <c r="M503" s="1292"/>
      <c r="N503" s="1292"/>
      <c r="O503" s="1292"/>
    </row>
    <row r="504" ht="33.0" customHeight="1">
      <c r="A504" s="1283"/>
      <c r="B504" s="1284"/>
      <c r="C504" s="1285"/>
      <c r="D504" s="1286"/>
      <c r="E504" s="1287"/>
      <c r="F504" s="1283"/>
      <c r="G504" s="1288"/>
      <c r="H504" s="1289"/>
      <c r="I504" s="1289"/>
      <c r="J504" s="1290"/>
      <c r="K504" s="1291"/>
      <c r="L504" s="1292"/>
      <c r="M504" s="1292"/>
      <c r="N504" s="1292"/>
      <c r="O504" s="1292"/>
    </row>
    <row r="505" ht="33.0" customHeight="1">
      <c r="A505" s="1283"/>
      <c r="B505" s="1284"/>
      <c r="C505" s="1285"/>
      <c r="D505" s="1286"/>
      <c r="E505" s="1287"/>
      <c r="F505" s="1283"/>
      <c r="G505" s="1288"/>
      <c r="H505" s="1289"/>
      <c r="I505" s="1289"/>
      <c r="J505" s="1290"/>
      <c r="K505" s="1291"/>
      <c r="L505" s="1292"/>
      <c r="M505" s="1292"/>
      <c r="N505" s="1292"/>
      <c r="O505" s="1292"/>
    </row>
    <row r="506" ht="33.0" customHeight="1">
      <c r="A506" s="1283"/>
      <c r="B506" s="1284"/>
      <c r="C506" s="1285"/>
      <c r="D506" s="1286"/>
      <c r="E506" s="1287"/>
      <c r="F506" s="1283"/>
      <c r="G506" s="1288"/>
      <c r="H506" s="1289"/>
      <c r="I506" s="1289"/>
      <c r="J506" s="1290"/>
      <c r="K506" s="1291"/>
      <c r="L506" s="1292"/>
      <c r="M506" s="1292"/>
      <c r="N506" s="1292"/>
      <c r="O506" s="1292"/>
    </row>
    <row r="507" ht="33.0" customHeight="1">
      <c r="A507" s="1283"/>
      <c r="B507" s="1284"/>
      <c r="C507" s="1285"/>
      <c r="D507" s="1286"/>
      <c r="E507" s="1287"/>
      <c r="F507" s="1283"/>
      <c r="G507" s="1288"/>
      <c r="H507" s="1289"/>
      <c r="I507" s="1289"/>
      <c r="J507" s="1290"/>
      <c r="K507" s="1291"/>
      <c r="L507" s="1292"/>
      <c r="M507" s="1292"/>
      <c r="N507" s="1292"/>
      <c r="O507" s="1292"/>
    </row>
    <row r="508" ht="33.0" customHeight="1">
      <c r="A508" s="1283"/>
      <c r="B508" s="1284"/>
      <c r="C508" s="1285"/>
      <c r="D508" s="1286"/>
      <c r="E508" s="1287"/>
      <c r="F508" s="1283"/>
      <c r="G508" s="1288"/>
      <c r="H508" s="1289"/>
      <c r="I508" s="1289"/>
      <c r="J508" s="1290"/>
      <c r="K508" s="1291"/>
      <c r="L508" s="1292"/>
      <c r="M508" s="1292"/>
      <c r="N508" s="1292"/>
      <c r="O508" s="1292"/>
    </row>
    <row r="509" ht="33.0" customHeight="1">
      <c r="A509" s="1283"/>
      <c r="B509" s="1284"/>
      <c r="C509" s="1285"/>
      <c r="D509" s="1286"/>
      <c r="E509" s="1287"/>
      <c r="F509" s="1283"/>
      <c r="G509" s="1288"/>
      <c r="H509" s="1289"/>
      <c r="I509" s="1289"/>
      <c r="J509" s="1290"/>
      <c r="K509" s="1291"/>
      <c r="L509" s="1292"/>
      <c r="M509" s="1292"/>
      <c r="N509" s="1292"/>
      <c r="O509" s="1292"/>
    </row>
    <row r="510" ht="33.0" customHeight="1">
      <c r="A510" s="1283"/>
      <c r="B510" s="1284"/>
      <c r="C510" s="1285"/>
      <c r="D510" s="1286"/>
      <c r="E510" s="1287"/>
      <c r="F510" s="1283"/>
      <c r="G510" s="1288"/>
      <c r="H510" s="1289"/>
      <c r="I510" s="1289"/>
      <c r="J510" s="1290"/>
      <c r="K510" s="1291"/>
      <c r="L510" s="1292"/>
      <c r="M510" s="1292"/>
      <c r="N510" s="1292"/>
      <c r="O510" s="1292"/>
    </row>
    <row r="511" ht="33.0" customHeight="1">
      <c r="A511" s="1283"/>
      <c r="B511" s="1284"/>
      <c r="C511" s="1285"/>
      <c r="D511" s="1286"/>
      <c r="E511" s="1287"/>
      <c r="F511" s="1283"/>
      <c r="G511" s="1288"/>
      <c r="H511" s="1289"/>
      <c r="I511" s="1289"/>
      <c r="J511" s="1290"/>
      <c r="K511" s="1291"/>
      <c r="L511" s="1292"/>
      <c r="M511" s="1292"/>
      <c r="N511" s="1292"/>
      <c r="O511" s="1292"/>
    </row>
    <row r="512" ht="33.0" customHeight="1">
      <c r="A512" s="1283"/>
      <c r="B512" s="1284"/>
      <c r="C512" s="1285"/>
      <c r="D512" s="1286"/>
      <c r="E512" s="1287"/>
      <c r="F512" s="1283"/>
      <c r="G512" s="1288"/>
      <c r="H512" s="1289"/>
      <c r="I512" s="1289"/>
      <c r="J512" s="1290"/>
      <c r="K512" s="1291"/>
      <c r="L512" s="1292"/>
      <c r="M512" s="1292"/>
      <c r="N512" s="1292"/>
      <c r="O512" s="1292"/>
    </row>
    <row r="513" ht="33.0" customHeight="1">
      <c r="A513" s="1283"/>
      <c r="B513" s="1284"/>
      <c r="C513" s="1285"/>
      <c r="D513" s="1286"/>
      <c r="E513" s="1287"/>
      <c r="F513" s="1283"/>
      <c r="G513" s="1288"/>
      <c r="H513" s="1289"/>
      <c r="I513" s="1289"/>
      <c r="J513" s="1290"/>
      <c r="K513" s="1291"/>
      <c r="L513" s="1292"/>
      <c r="M513" s="1292"/>
      <c r="N513" s="1292"/>
      <c r="O513" s="1292"/>
    </row>
    <row r="514" ht="33.0" customHeight="1">
      <c r="A514" s="1283"/>
      <c r="B514" s="1284"/>
      <c r="C514" s="1285"/>
      <c r="D514" s="1286"/>
      <c r="E514" s="1287"/>
      <c r="F514" s="1283"/>
      <c r="G514" s="1288"/>
      <c r="H514" s="1289"/>
      <c r="I514" s="1289"/>
      <c r="J514" s="1290"/>
      <c r="K514" s="1291"/>
      <c r="L514" s="1292"/>
      <c r="M514" s="1292"/>
      <c r="N514" s="1292"/>
      <c r="O514" s="1292"/>
    </row>
    <row r="515" ht="33.0" customHeight="1">
      <c r="A515" s="1283"/>
      <c r="B515" s="1284"/>
      <c r="C515" s="1285"/>
      <c r="D515" s="1286"/>
      <c r="E515" s="1287"/>
      <c r="F515" s="1283"/>
      <c r="G515" s="1288"/>
      <c r="H515" s="1289"/>
      <c r="I515" s="1289"/>
      <c r="J515" s="1290"/>
      <c r="K515" s="1291"/>
      <c r="L515" s="1292"/>
      <c r="M515" s="1292"/>
      <c r="N515" s="1292"/>
      <c r="O515" s="1292"/>
    </row>
    <row r="516" ht="33.0" customHeight="1">
      <c r="A516" s="1283"/>
      <c r="B516" s="1284"/>
      <c r="C516" s="1285"/>
      <c r="D516" s="1286"/>
      <c r="E516" s="1287"/>
      <c r="F516" s="1283"/>
      <c r="G516" s="1288"/>
      <c r="H516" s="1289"/>
      <c r="I516" s="1289"/>
      <c r="J516" s="1290"/>
      <c r="K516" s="1291"/>
      <c r="L516" s="1292"/>
      <c r="M516" s="1292"/>
      <c r="N516" s="1292"/>
      <c r="O516" s="1292"/>
    </row>
    <row r="517" ht="33.0" customHeight="1">
      <c r="A517" s="1283"/>
      <c r="B517" s="1284"/>
      <c r="C517" s="1285"/>
      <c r="D517" s="1286"/>
      <c r="E517" s="1287"/>
      <c r="F517" s="1283"/>
      <c r="G517" s="1288"/>
      <c r="H517" s="1289"/>
      <c r="I517" s="1289"/>
      <c r="J517" s="1290"/>
      <c r="K517" s="1291"/>
      <c r="L517" s="1292"/>
      <c r="M517" s="1292"/>
      <c r="N517" s="1292"/>
      <c r="O517" s="1292"/>
    </row>
    <row r="518" ht="33.0" customHeight="1">
      <c r="A518" s="1283"/>
      <c r="B518" s="1284"/>
      <c r="C518" s="1285"/>
      <c r="D518" s="1286"/>
      <c r="E518" s="1287"/>
      <c r="F518" s="1283"/>
      <c r="G518" s="1288"/>
      <c r="H518" s="1289"/>
      <c r="I518" s="1289"/>
      <c r="J518" s="1290"/>
      <c r="K518" s="1291"/>
      <c r="L518" s="1292"/>
      <c r="M518" s="1292"/>
      <c r="N518" s="1292"/>
      <c r="O518" s="1292"/>
    </row>
    <row r="519" ht="33.0" customHeight="1">
      <c r="A519" s="1283"/>
      <c r="B519" s="1284"/>
      <c r="C519" s="1285"/>
      <c r="D519" s="1286"/>
      <c r="E519" s="1287"/>
      <c r="F519" s="1283"/>
      <c r="G519" s="1288"/>
      <c r="H519" s="1289"/>
      <c r="I519" s="1289"/>
      <c r="J519" s="1290"/>
      <c r="K519" s="1291"/>
      <c r="L519" s="1292"/>
      <c r="M519" s="1292"/>
      <c r="N519" s="1292"/>
      <c r="O519" s="1292"/>
    </row>
    <row r="520" ht="33.0" customHeight="1">
      <c r="A520" s="1283"/>
      <c r="B520" s="1284"/>
      <c r="C520" s="1285"/>
      <c r="D520" s="1286"/>
      <c r="E520" s="1287"/>
      <c r="F520" s="1283"/>
      <c r="G520" s="1288"/>
      <c r="H520" s="1289"/>
      <c r="I520" s="1289"/>
      <c r="J520" s="1290"/>
      <c r="K520" s="1291"/>
      <c r="L520" s="1292"/>
      <c r="M520" s="1292"/>
      <c r="N520" s="1292"/>
      <c r="O520" s="1292"/>
    </row>
    <row r="521" ht="33.0" customHeight="1">
      <c r="A521" s="1283"/>
      <c r="B521" s="1284"/>
      <c r="C521" s="1285"/>
      <c r="D521" s="1286"/>
      <c r="E521" s="1287"/>
      <c r="F521" s="1283"/>
      <c r="G521" s="1288"/>
      <c r="H521" s="1289"/>
      <c r="I521" s="1289"/>
      <c r="J521" s="1290"/>
      <c r="K521" s="1291"/>
      <c r="L521" s="1292"/>
      <c r="M521" s="1292"/>
      <c r="N521" s="1292"/>
      <c r="O521" s="1292"/>
    </row>
    <row r="522" ht="33.0" customHeight="1">
      <c r="A522" s="1283"/>
      <c r="B522" s="1284"/>
      <c r="C522" s="1285"/>
      <c r="D522" s="1286"/>
      <c r="E522" s="1287"/>
      <c r="F522" s="1283"/>
      <c r="G522" s="1288"/>
      <c r="H522" s="1289"/>
      <c r="I522" s="1289"/>
      <c r="J522" s="1290"/>
      <c r="K522" s="1291"/>
      <c r="L522" s="1292"/>
      <c r="M522" s="1292"/>
      <c r="N522" s="1292"/>
      <c r="O522" s="1292"/>
    </row>
    <row r="523" ht="33.0" customHeight="1">
      <c r="A523" s="1283"/>
      <c r="B523" s="1284"/>
      <c r="C523" s="1285"/>
      <c r="D523" s="1286"/>
      <c r="E523" s="1287"/>
      <c r="F523" s="1283"/>
      <c r="G523" s="1288"/>
      <c r="H523" s="1289"/>
      <c r="I523" s="1289"/>
      <c r="J523" s="1290"/>
      <c r="K523" s="1291"/>
      <c r="L523" s="1292"/>
      <c r="M523" s="1292"/>
      <c r="N523" s="1292"/>
      <c r="O523" s="1292"/>
    </row>
    <row r="524" ht="33.0" customHeight="1">
      <c r="A524" s="1283"/>
      <c r="B524" s="1284"/>
      <c r="C524" s="1285"/>
      <c r="D524" s="1286"/>
      <c r="E524" s="1287"/>
      <c r="F524" s="1283"/>
      <c r="G524" s="1288"/>
      <c r="H524" s="1289"/>
      <c r="I524" s="1289"/>
      <c r="J524" s="1290"/>
      <c r="K524" s="1291"/>
      <c r="L524" s="1292"/>
      <c r="M524" s="1292"/>
      <c r="N524" s="1292"/>
      <c r="O524" s="1292"/>
    </row>
    <row r="525" ht="33.0" customHeight="1">
      <c r="A525" s="1283"/>
      <c r="B525" s="1284"/>
      <c r="C525" s="1285"/>
      <c r="D525" s="1286"/>
      <c r="E525" s="1287"/>
      <c r="F525" s="1283"/>
      <c r="G525" s="1288"/>
      <c r="H525" s="1289"/>
      <c r="I525" s="1289"/>
      <c r="J525" s="1290"/>
      <c r="K525" s="1291"/>
      <c r="L525" s="1292"/>
      <c r="M525" s="1292"/>
      <c r="N525" s="1292"/>
      <c r="O525" s="1292"/>
    </row>
    <row r="526" ht="33.0" customHeight="1">
      <c r="A526" s="1283"/>
      <c r="B526" s="1284"/>
      <c r="C526" s="1285"/>
      <c r="D526" s="1286"/>
      <c r="E526" s="1287"/>
      <c r="F526" s="1283"/>
      <c r="G526" s="1288"/>
      <c r="H526" s="1289"/>
      <c r="I526" s="1289"/>
      <c r="J526" s="1290"/>
      <c r="K526" s="1291"/>
      <c r="L526" s="1292"/>
      <c r="M526" s="1292"/>
      <c r="N526" s="1292"/>
      <c r="O526" s="1292"/>
    </row>
    <row r="527" ht="33.0" customHeight="1">
      <c r="A527" s="1283"/>
      <c r="B527" s="1284"/>
      <c r="C527" s="1285"/>
      <c r="D527" s="1286"/>
      <c r="E527" s="1287"/>
      <c r="F527" s="1283"/>
      <c r="G527" s="1288"/>
      <c r="H527" s="1289"/>
      <c r="I527" s="1289"/>
      <c r="J527" s="1290"/>
      <c r="K527" s="1291"/>
      <c r="L527" s="1292"/>
      <c r="M527" s="1292"/>
      <c r="N527" s="1292"/>
      <c r="O527" s="1292"/>
    </row>
    <row r="528" ht="33.0" customHeight="1">
      <c r="A528" s="1283"/>
      <c r="B528" s="1284"/>
      <c r="C528" s="1285"/>
      <c r="D528" s="1286"/>
      <c r="E528" s="1287"/>
      <c r="F528" s="1283"/>
      <c r="G528" s="1288"/>
      <c r="H528" s="1289"/>
      <c r="I528" s="1289"/>
      <c r="J528" s="1290"/>
      <c r="K528" s="1291"/>
      <c r="L528" s="1292"/>
      <c r="M528" s="1292"/>
      <c r="N528" s="1292"/>
      <c r="O528" s="1292"/>
    </row>
    <row r="529" ht="33.0" customHeight="1">
      <c r="A529" s="1283"/>
      <c r="B529" s="1284"/>
      <c r="C529" s="1285"/>
      <c r="D529" s="1286"/>
      <c r="E529" s="1287"/>
      <c r="F529" s="1283"/>
      <c r="G529" s="1288"/>
      <c r="H529" s="1289"/>
      <c r="I529" s="1289"/>
      <c r="J529" s="1290"/>
      <c r="K529" s="1291"/>
      <c r="L529" s="1292"/>
      <c r="M529" s="1292"/>
      <c r="N529" s="1292"/>
      <c r="O529" s="1292"/>
    </row>
    <row r="530" ht="33.0" customHeight="1">
      <c r="A530" s="1283"/>
      <c r="B530" s="1284"/>
      <c r="C530" s="1285"/>
      <c r="D530" s="1286"/>
      <c r="E530" s="1287"/>
      <c r="F530" s="1283"/>
      <c r="G530" s="1288"/>
      <c r="H530" s="1289"/>
      <c r="I530" s="1289"/>
      <c r="J530" s="1290"/>
      <c r="K530" s="1291"/>
      <c r="L530" s="1292"/>
      <c r="M530" s="1292"/>
      <c r="N530" s="1292"/>
      <c r="O530" s="1292"/>
    </row>
    <row r="531" ht="33.0" customHeight="1">
      <c r="A531" s="1283"/>
      <c r="B531" s="1284"/>
      <c r="C531" s="1285"/>
      <c r="D531" s="1286"/>
      <c r="E531" s="1287"/>
      <c r="F531" s="1283"/>
      <c r="G531" s="1288"/>
      <c r="H531" s="1289"/>
      <c r="I531" s="1289"/>
      <c r="J531" s="1290"/>
      <c r="K531" s="1291"/>
      <c r="L531" s="1292"/>
      <c r="M531" s="1292"/>
      <c r="N531" s="1292"/>
      <c r="O531" s="1292"/>
    </row>
    <row r="532" ht="33.0" customHeight="1">
      <c r="A532" s="1283"/>
      <c r="B532" s="1284"/>
      <c r="C532" s="1285"/>
      <c r="D532" s="1286"/>
      <c r="E532" s="1287"/>
      <c r="F532" s="1283"/>
      <c r="G532" s="1288"/>
      <c r="H532" s="1289"/>
      <c r="I532" s="1289"/>
      <c r="J532" s="1290"/>
      <c r="K532" s="1291"/>
      <c r="L532" s="1292"/>
      <c r="M532" s="1292"/>
      <c r="N532" s="1292"/>
      <c r="O532" s="1292"/>
    </row>
    <row r="533" ht="33.0" customHeight="1">
      <c r="A533" s="1283"/>
      <c r="B533" s="1284"/>
      <c r="C533" s="1285"/>
      <c r="D533" s="1286"/>
      <c r="E533" s="1287"/>
      <c r="F533" s="1283"/>
      <c r="G533" s="1288"/>
      <c r="H533" s="1289"/>
      <c r="I533" s="1289"/>
      <c r="J533" s="1290"/>
      <c r="K533" s="1291"/>
      <c r="L533" s="1292"/>
      <c r="M533" s="1292"/>
      <c r="N533" s="1292"/>
      <c r="O533" s="1292"/>
    </row>
    <row r="534" ht="33.0" customHeight="1">
      <c r="A534" s="1283"/>
      <c r="B534" s="1284"/>
      <c r="C534" s="1285"/>
      <c r="D534" s="1286"/>
      <c r="E534" s="1287"/>
      <c r="F534" s="1283"/>
      <c r="G534" s="1288"/>
      <c r="H534" s="1289"/>
      <c r="I534" s="1289"/>
      <c r="J534" s="1290"/>
      <c r="K534" s="1291"/>
      <c r="L534" s="1292"/>
      <c r="M534" s="1292"/>
      <c r="N534" s="1292"/>
      <c r="O534" s="1292"/>
    </row>
    <row r="535" ht="33.0" customHeight="1">
      <c r="A535" s="1283"/>
      <c r="B535" s="1284"/>
      <c r="C535" s="1285"/>
      <c r="D535" s="1286"/>
      <c r="E535" s="1287"/>
      <c r="F535" s="1283"/>
      <c r="G535" s="1288"/>
      <c r="H535" s="1289"/>
      <c r="I535" s="1289"/>
      <c r="J535" s="1290"/>
      <c r="K535" s="1291"/>
      <c r="L535" s="1292"/>
      <c r="M535" s="1292"/>
      <c r="N535" s="1292"/>
      <c r="O535" s="1292"/>
    </row>
    <row r="536" ht="33.0" customHeight="1">
      <c r="A536" s="1283"/>
      <c r="B536" s="1284"/>
      <c r="C536" s="1285"/>
      <c r="D536" s="1286"/>
      <c r="E536" s="1287"/>
      <c r="F536" s="1283"/>
      <c r="G536" s="1288"/>
      <c r="H536" s="1289"/>
      <c r="I536" s="1289"/>
      <c r="J536" s="1290"/>
      <c r="K536" s="1291"/>
      <c r="L536" s="1292"/>
      <c r="M536" s="1292"/>
      <c r="N536" s="1292"/>
      <c r="O536" s="1292"/>
    </row>
    <row r="537" ht="33.0" customHeight="1">
      <c r="A537" s="1283"/>
      <c r="B537" s="1284"/>
      <c r="C537" s="1285"/>
      <c r="D537" s="1286"/>
      <c r="E537" s="1287"/>
      <c r="F537" s="1283"/>
      <c r="G537" s="1288"/>
      <c r="H537" s="1289"/>
      <c r="I537" s="1289"/>
      <c r="J537" s="1290"/>
      <c r="K537" s="1291"/>
      <c r="L537" s="1292"/>
      <c r="M537" s="1292"/>
      <c r="N537" s="1292"/>
      <c r="O537" s="1292"/>
    </row>
    <row r="538" ht="33.0" customHeight="1">
      <c r="A538" s="1283"/>
      <c r="B538" s="1284"/>
      <c r="C538" s="1285"/>
      <c r="D538" s="1286"/>
      <c r="E538" s="1287"/>
      <c r="F538" s="1283"/>
      <c r="G538" s="1288"/>
      <c r="H538" s="1289"/>
      <c r="I538" s="1289"/>
      <c r="J538" s="1290"/>
      <c r="K538" s="1291"/>
      <c r="L538" s="1292"/>
      <c r="M538" s="1292"/>
      <c r="N538" s="1292"/>
      <c r="O538" s="1292"/>
    </row>
    <row r="539" ht="33.0" customHeight="1">
      <c r="A539" s="1283"/>
      <c r="B539" s="1284"/>
      <c r="C539" s="1285"/>
      <c r="D539" s="1286"/>
      <c r="E539" s="1287"/>
      <c r="F539" s="1283"/>
      <c r="G539" s="1288"/>
      <c r="H539" s="1289"/>
      <c r="I539" s="1289"/>
      <c r="J539" s="1290"/>
      <c r="K539" s="1291"/>
      <c r="L539" s="1292"/>
      <c r="M539" s="1292"/>
      <c r="N539" s="1292"/>
      <c r="O539" s="1292"/>
    </row>
    <row r="540" ht="33.0" customHeight="1">
      <c r="A540" s="1283"/>
      <c r="B540" s="1284"/>
      <c r="C540" s="1285"/>
      <c r="D540" s="1286"/>
      <c r="E540" s="1287"/>
      <c r="F540" s="1283"/>
      <c r="G540" s="1288"/>
      <c r="H540" s="1289"/>
      <c r="I540" s="1289"/>
      <c r="J540" s="1290"/>
      <c r="K540" s="1291"/>
      <c r="L540" s="1292"/>
      <c r="M540" s="1292"/>
      <c r="N540" s="1292"/>
      <c r="O540" s="1292"/>
    </row>
    <row r="541" ht="33.0" customHeight="1">
      <c r="A541" s="1283"/>
      <c r="B541" s="1284"/>
      <c r="C541" s="1285"/>
      <c r="D541" s="1286"/>
      <c r="E541" s="1287"/>
      <c r="F541" s="1283"/>
      <c r="G541" s="1288"/>
      <c r="H541" s="1289"/>
      <c r="I541" s="1289"/>
      <c r="J541" s="1290"/>
      <c r="K541" s="1291"/>
      <c r="L541" s="1292"/>
      <c r="M541" s="1292"/>
      <c r="N541" s="1292"/>
      <c r="O541" s="1292"/>
    </row>
    <row r="542" ht="33.0" customHeight="1">
      <c r="A542" s="1283"/>
      <c r="B542" s="1284"/>
      <c r="C542" s="1285"/>
      <c r="D542" s="1286"/>
      <c r="E542" s="1287"/>
      <c r="F542" s="1283"/>
      <c r="G542" s="1288"/>
      <c r="H542" s="1289"/>
      <c r="I542" s="1289"/>
      <c r="J542" s="1290"/>
      <c r="K542" s="1291"/>
      <c r="L542" s="1292"/>
      <c r="M542" s="1292"/>
      <c r="N542" s="1292"/>
      <c r="O542" s="1292"/>
    </row>
    <row r="543" ht="33.0" customHeight="1">
      <c r="A543" s="1283"/>
      <c r="B543" s="1284"/>
      <c r="C543" s="1285"/>
      <c r="D543" s="1286"/>
      <c r="E543" s="1287"/>
      <c r="F543" s="1283"/>
      <c r="G543" s="1288"/>
      <c r="H543" s="1289"/>
      <c r="I543" s="1289"/>
      <c r="J543" s="1290"/>
      <c r="K543" s="1291"/>
      <c r="L543" s="1292"/>
      <c r="M543" s="1292"/>
      <c r="N543" s="1292"/>
      <c r="O543" s="1292"/>
    </row>
    <row r="544" ht="33.0" customHeight="1">
      <c r="A544" s="1283"/>
      <c r="B544" s="1284"/>
      <c r="C544" s="1285"/>
      <c r="D544" s="1286"/>
      <c r="E544" s="1287"/>
      <c r="F544" s="1283"/>
      <c r="G544" s="1288"/>
      <c r="H544" s="1289"/>
      <c r="I544" s="1289"/>
      <c r="J544" s="1290"/>
      <c r="K544" s="1291"/>
      <c r="L544" s="1292"/>
      <c r="M544" s="1292"/>
      <c r="N544" s="1292"/>
      <c r="O544" s="1292"/>
    </row>
    <row r="545" ht="33.0" customHeight="1">
      <c r="A545" s="1283"/>
      <c r="B545" s="1284"/>
      <c r="C545" s="1285"/>
      <c r="D545" s="1286"/>
      <c r="E545" s="1287"/>
      <c r="F545" s="1283"/>
      <c r="G545" s="1288"/>
      <c r="H545" s="1289"/>
      <c r="I545" s="1289"/>
      <c r="J545" s="1290"/>
      <c r="K545" s="1291"/>
      <c r="L545" s="1292"/>
      <c r="M545" s="1292"/>
      <c r="N545" s="1292"/>
      <c r="O545" s="1292"/>
    </row>
    <row r="546" ht="33.0" customHeight="1">
      <c r="A546" s="1283"/>
      <c r="B546" s="1284"/>
      <c r="C546" s="1285"/>
      <c r="D546" s="1286"/>
      <c r="E546" s="1287"/>
      <c r="F546" s="1283"/>
      <c r="G546" s="1288"/>
      <c r="H546" s="1289"/>
      <c r="I546" s="1289"/>
      <c r="J546" s="1290"/>
      <c r="K546" s="1291"/>
      <c r="L546" s="1292"/>
      <c r="M546" s="1292"/>
      <c r="N546" s="1292"/>
      <c r="O546" s="1292"/>
    </row>
    <row r="547" ht="33.0" customHeight="1">
      <c r="A547" s="1283"/>
      <c r="B547" s="1284"/>
      <c r="C547" s="1285"/>
      <c r="D547" s="1286"/>
      <c r="E547" s="1287"/>
      <c r="F547" s="1283"/>
      <c r="G547" s="1288"/>
      <c r="H547" s="1289"/>
      <c r="I547" s="1289"/>
      <c r="J547" s="1290"/>
      <c r="K547" s="1291"/>
      <c r="L547" s="1292"/>
      <c r="M547" s="1292"/>
      <c r="N547" s="1292"/>
      <c r="O547" s="1292"/>
    </row>
    <row r="548" ht="33.0" customHeight="1">
      <c r="A548" s="1283"/>
      <c r="B548" s="1284"/>
      <c r="C548" s="1285"/>
      <c r="D548" s="1286"/>
      <c r="E548" s="1287"/>
      <c r="F548" s="1283"/>
      <c r="G548" s="1288"/>
      <c r="H548" s="1289"/>
      <c r="I548" s="1289"/>
      <c r="J548" s="1290"/>
      <c r="K548" s="1291"/>
      <c r="L548" s="1292"/>
      <c r="M548" s="1292"/>
      <c r="N548" s="1292"/>
      <c r="O548" s="1292"/>
    </row>
    <row r="549" ht="33.0" customHeight="1">
      <c r="A549" s="1283"/>
      <c r="B549" s="1284"/>
      <c r="C549" s="1285"/>
      <c r="D549" s="1286"/>
      <c r="E549" s="1287"/>
      <c r="F549" s="1283"/>
      <c r="G549" s="1288"/>
      <c r="H549" s="1289"/>
      <c r="I549" s="1289"/>
      <c r="J549" s="1290"/>
      <c r="K549" s="1291"/>
      <c r="L549" s="1292"/>
      <c r="M549" s="1292"/>
      <c r="N549" s="1292"/>
      <c r="O549" s="1292"/>
    </row>
    <row r="550" ht="33.0" customHeight="1">
      <c r="A550" s="1283"/>
      <c r="B550" s="1284"/>
      <c r="C550" s="1285"/>
      <c r="D550" s="1286"/>
      <c r="E550" s="1287"/>
      <c r="F550" s="1283"/>
      <c r="G550" s="1288"/>
      <c r="H550" s="1289"/>
      <c r="I550" s="1289"/>
      <c r="J550" s="1290"/>
      <c r="K550" s="1291"/>
      <c r="L550" s="1292"/>
      <c r="M550" s="1292"/>
      <c r="N550" s="1292"/>
      <c r="O550" s="1292"/>
    </row>
    <row r="551" ht="33.0" customHeight="1">
      <c r="A551" s="1283"/>
      <c r="B551" s="1284"/>
      <c r="C551" s="1285"/>
      <c r="D551" s="1286"/>
      <c r="E551" s="1287"/>
      <c r="F551" s="1283"/>
      <c r="G551" s="1288"/>
      <c r="H551" s="1289"/>
      <c r="I551" s="1289"/>
      <c r="J551" s="1290"/>
      <c r="K551" s="1291"/>
      <c r="L551" s="1292"/>
      <c r="M551" s="1292"/>
      <c r="N551" s="1292"/>
      <c r="O551" s="1292"/>
    </row>
    <row r="552" ht="33.0" customHeight="1">
      <c r="A552" s="1283"/>
      <c r="B552" s="1284"/>
      <c r="C552" s="1285"/>
      <c r="D552" s="1286"/>
      <c r="E552" s="1287"/>
      <c r="F552" s="1283"/>
      <c r="G552" s="1288"/>
      <c r="H552" s="1289"/>
      <c r="I552" s="1289"/>
      <c r="J552" s="1290"/>
      <c r="K552" s="1291"/>
      <c r="L552" s="1292"/>
      <c r="M552" s="1292"/>
      <c r="N552" s="1292"/>
      <c r="O552" s="1292"/>
    </row>
    <row r="553" ht="33.0" customHeight="1">
      <c r="A553" s="1283"/>
      <c r="B553" s="1284"/>
      <c r="C553" s="1285"/>
      <c r="D553" s="1286"/>
      <c r="E553" s="1287"/>
      <c r="F553" s="1283"/>
      <c r="G553" s="1288"/>
      <c r="H553" s="1289"/>
      <c r="I553" s="1289"/>
      <c r="J553" s="1290"/>
      <c r="K553" s="1291"/>
      <c r="L553" s="1292"/>
      <c r="M553" s="1292"/>
      <c r="N553" s="1292"/>
      <c r="O553" s="1292"/>
    </row>
    <row r="554" ht="33.0" customHeight="1">
      <c r="A554" s="1283"/>
      <c r="B554" s="1284"/>
      <c r="C554" s="1285"/>
      <c r="D554" s="1286"/>
      <c r="E554" s="1287"/>
      <c r="F554" s="1283"/>
      <c r="G554" s="1288"/>
      <c r="H554" s="1289"/>
      <c r="I554" s="1289"/>
      <c r="J554" s="1290"/>
      <c r="K554" s="1291"/>
      <c r="L554" s="1292"/>
      <c r="M554" s="1292"/>
      <c r="N554" s="1292"/>
      <c r="O554" s="1292"/>
    </row>
    <row r="555" ht="33.0" customHeight="1">
      <c r="A555" s="1283"/>
      <c r="B555" s="1284"/>
      <c r="C555" s="1285"/>
      <c r="D555" s="1286"/>
      <c r="E555" s="1287"/>
      <c r="F555" s="1283"/>
      <c r="G555" s="1288"/>
      <c r="H555" s="1289"/>
      <c r="I555" s="1289"/>
      <c r="J555" s="1290"/>
      <c r="K555" s="1291"/>
      <c r="L555" s="1292"/>
      <c r="M555" s="1292"/>
      <c r="N555" s="1292"/>
      <c r="O555" s="1292"/>
    </row>
    <row r="556" ht="33.0" customHeight="1">
      <c r="A556" s="1283"/>
      <c r="B556" s="1284"/>
      <c r="C556" s="1285"/>
      <c r="D556" s="1286"/>
      <c r="E556" s="1287"/>
      <c r="F556" s="1283"/>
      <c r="G556" s="1288"/>
      <c r="H556" s="1289"/>
      <c r="I556" s="1289"/>
      <c r="J556" s="1290"/>
      <c r="K556" s="1291"/>
      <c r="L556" s="1292"/>
      <c r="M556" s="1292"/>
      <c r="N556" s="1292"/>
      <c r="O556" s="1292"/>
    </row>
    <row r="557" ht="33.0" customHeight="1">
      <c r="A557" s="1283"/>
      <c r="B557" s="1284"/>
      <c r="C557" s="1285"/>
      <c r="D557" s="1286"/>
      <c r="E557" s="1287"/>
      <c r="F557" s="1283"/>
      <c r="G557" s="1288"/>
      <c r="H557" s="1289"/>
      <c r="I557" s="1289"/>
      <c r="J557" s="1290"/>
      <c r="K557" s="1291"/>
      <c r="L557" s="1292"/>
      <c r="M557" s="1292"/>
      <c r="N557" s="1292"/>
      <c r="O557" s="1292"/>
    </row>
    <row r="558" ht="33.0" customHeight="1">
      <c r="A558" s="1283"/>
      <c r="B558" s="1284"/>
      <c r="C558" s="1285"/>
      <c r="D558" s="1286"/>
      <c r="E558" s="1287"/>
      <c r="F558" s="1283"/>
      <c r="G558" s="1288"/>
      <c r="H558" s="1289"/>
      <c r="I558" s="1289"/>
      <c r="J558" s="1290"/>
      <c r="K558" s="1291"/>
      <c r="L558" s="1292"/>
      <c r="M558" s="1292"/>
      <c r="N558" s="1292"/>
      <c r="O558" s="1292"/>
    </row>
    <row r="559" ht="33.0" customHeight="1">
      <c r="A559" s="1283"/>
      <c r="B559" s="1284"/>
      <c r="C559" s="1285"/>
      <c r="D559" s="1286"/>
      <c r="E559" s="1287"/>
      <c r="F559" s="1283"/>
      <c r="G559" s="1288"/>
      <c r="H559" s="1289"/>
      <c r="I559" s="1289"/>
      <c r="J559" s="1290"/>
      <c r="K559" s="1291"/>
      <c r="L559" s="1292"/>
      <c r="M559" s="1292"/>
      <c r="N559" s="1292"/>
      <c r="O559" s="1292"/>
    </row>
    <row r="560" ht="33.0" customHeight="1">
      <c r="A560" s="1283"/>
      <c r="B560" s="1284"/>
      <c r="C560" s="1285"/>
      <c r="D560" s="1286"/>
      <c r="E560" s="1287"/>
      <c r="F560" s="1283"/>
      <c r="G560" s="1288"/>
      <c r="H560" s="1289"/>
      <c r="I560" s="1289"/>
      <c r="J560" s="1290"/>
      <c r="K560" s="1291"/>
      <c r="L560" s="1292"/>
      <c r="M560" s="1292"/>
      <c r="N560" s="1292"/>
      <c r="O560" s="1292"/>
    </row>
    <row r="561" ht="33.0" customHeight="1">
      <c r="A561" s="1283"/>
      <c r="B561" s="1284"/>
      <c r="C561" s="1285"/>
      <c r="D561" s="1286"/>
      <c r="E561" s="1287"/>
      <c r="F561" s="1283"/>
      <c r="G561" s="1288"/>
      <c r="H561" s="1289"/>
      <c r="I561" s="1289"/>
      <c r="J561" s="1290"/>
      <c r="K561" s="1291"/>
      <c r="L561" s="1292"/>
      <c r="M561" s="1292"/>
      <c r="N561" s="1292"/>
      <c r="O561" s="1292"/>
    </row>
    <row r="562" ht="33.0" customHeight="1">
      <c r="A562" s="1283"/>
      <c r="B562" s="1284"/>
      <c r="C562" s="1285"/>
      <c r="D562" s="1286"/>
      <c r="E562" s="1287"/>
      <c r="F562" s="1283"/>
      <c r="G562" s="1288"/>
      <c r="H562" s="1289"/>
      <c r="I562" s="1289"/>
      <c r="J562" s="1290"/>
      <c r="K562" s="1291"/>
      <c r="L562" s="1292"/>
      <c r="M562" s="1292"/>
      <c r="N562" s="1292"/>
      <c r="O562" s="1292"/>
    </row>
    <row r="563" ht="33.0" customHeight="1">
      <c r="A563" s="1283"/>
      <c r="B563" s="1284"/>
      <c r="C563" s="1285"/>
      <c r="D563" s="1286"/>
      <c r="E563" s="1287"/>
      <c r="F563" s="1283"/>
      <c r="G563" s="1288"/>
      <c r="H563" s="1289"/>
      <c r="I563" s="1289"/>
      <c r="J563" s="1290"/>
      <c r="K563" s="1291"/>
      <c r="L563" s="1292"/>
      <c r="M563" s="1292"/>
      <c r="N563" s="1292"/>
      <c r="O563" s="1292"/>
    </row>
    <row r="564" ht="33.0" customHeight="1">
      <c r="A564" s="1283"/>
      <c r="B564" s="1284"/>
      <c r="C564" s="1285"/>
      <c r="D564" s="1286"/>
      <c r="E564" s="1287"/>
      <c r="F564" s="1283"/>
      <c r="G564" s="1288"/>
      <c r="H564" s="1289"/>
      <c r="I564" s="1289"/>
      <c r="J564" s="1290"/>
      <c r="K564" s="1291"/>
      <c r="L564" s="1292"/>
      <c r="M564" s="1292"/>
      <c r="N564" s="1292"/>
      <c r="O564" s="1292"/>
    </row>
    <row r="565" ht="33.0" customHeight="1">
      <c r="A565" s="1283"/>
      <c r="B565" s="1284"/>
      <c r="C565" s="1285"/>
      <c r="D565" s="1286"/>
      <c r="E565" s="1287"/>
      <c r="F565" s="1283"/>
      <c r="G565" s="1288"/>
      <c r="H565" s="1289"/>
      <c r="I565" s="1289"/>
      <c r="J565" s="1290"/>
      <c r="K565" s="1291"/>
      <c r="L565" s="1292"/>
      <c r="M565" s="1292"/>
      <c r="N565" s="1292"/>
      <c r="O565" s="1292"/>
    </row>
    <row r="566" ht="33.0" customHeight="1">
      <c r="A566" s="1283"/>
      <c r="B566" s="1284"/>
      <c r="C566" s="1285"/>
      <c r="D566" s="1286"/>
      <c r="E566" s="1287"/>
      <c r="F566" s="1283"/>
      <c r="G566" s="1288"/>
      <c r="H566" s="1289"/>
      <c r="I566" s="1289"/>
      <c r="J566" s="1290"/>
      <c r="K566" s="1291"/>
      <c r="L566" s="1292"/>
      <c r="M566" s="1292"/>
      <c r="N566" s="1292"/>
      <c r="O566" s="1292"/>
    </row>
    <row r="567" ht="33.0" customHeight="1">
      <c r="A567" s="1283"/>
      <c r="B567" s="1284"/>
      <c r="C567" s="1285"/>
      <c r="D567" s="1286"/>
      <c r="E567" s="1287"/>
      <c r="F567" s="1283"/>
      <c r="G567" s="1288"/>
      <c r="H567" s="1289"/>
      <c r="I567" s="1289"/>
      <c r="J567" s="1290"/>
      <c r="K567" s="1291"/>
      <c r="L567" s="1292"/>
      <c r="M567" s="1292"/>
      <c r="N567" s="1292"/>
      <c r="O567" s="1292"/>
    </row>
    <row r="568" ht="33.0" customHeight="1">
      <c r="A568" s="1283"/>
      <c r="B568" s="1284"/>
      <c r="C568" s="1285"/>
      <c r="D568" s="1286"/>
      <c r="E568" s="1287"/>
      <c r="F568" s="1283"/>
      <c r="G568" s="1288"/>
      <c r="H568" s="1289"/>
      <c r="I568" s="1289"/>
      <c r="J568" s="1290"/>
      <c r="K568" s="1291"/>
      <c r="L568" s="1292"/>
      <c r="M568" s="1292"/>
      <c r="N568" s="1292"/>
      <c r="O568" s="1292"/>
    </row>
    <row r="569" ht="33.0" customHeight="1">
      <c r="A569" s="1283"/>
      <c r="B569" s="1284"/>
      <c r="C569" s="1285"/>
      <c r="D569" s="1286"/>
      <c r="E569" s="1287"/>
      <c r="F569" s="1283"/>
      <c r="G569" s="1288"/>
      <c r="H569" s="1289"/>
      <c r="I569" s="1289"/>
      <c r="J569" s="1290"/>
      <c r="K569" s="1291"/>
      <c r="L569" s="1292"/>
      <c r="M569" s="1292"/>
      <c r="N569" s="1292"/>
      <c r="O569" s="1292"/>
    </row>
    <row r="570" ht="33.0" customHeight="1">
      <c r="A570" s="1283"/>
      <c r="B570" s="1284"/>
      <c r="C570" s="1285"/>
      <c r="D570" s="1286"/>
      <c r="E570" s="1287"/>
      <c r="F570" s="1283"/>
      <c r="G570" s="1288"/>
      <c r="H570" s="1289"/>
      <c r="I570" s="1289"/>
      <c r="J570" s="1290"/>
      <c r="K570" s="1291"/>
      <c r="L570" s="1292"/>
      <c r="M570" s="1292"/>
      <c r="N570" s="1292"/>
      <c r="O570" s="1292"/>
    </row>
    <row r="571" ht="33.0" customHeight="1">
      <c r="A571" s="1283"/>
      <c r="B571" s="1284"/>
      <c r="C571" s="1285"/>
      <c r="D571" s="1286"/>
      <c r="E571" s="1287"/>
      <c r="F571" s="1283"/>
      <c r="G571" s="1288"/>
      <c r="H571" s="1289"/>
      <c r="I571" s="1289"/>
      <c r="J571" s="1290"/>
      <c r="K571" s="1291"/>
      <c r="L571" s="1292"/>
      <c r="M571" s="1292"/>
      <c r="N571" s="1292"/>
      <c r="O571" s="1292"/>
    </row>
    <row r="572" ht="33.0" customHeight="1">
      <c r="A572" s="1283"/>
      <c r="B572" s="1284"/>
      <c r="C572" s="1285"/>
      <c r="D572" s="1286"/>
      <c r="E572" s="1287"/>
      <c r="F572" s="1283"/>
      <c r="G572" s="1288"/>
      <c r="H572" s="1289"/>
      <c r="I572" s="1289"/>
      <c r="J572" s="1290"/>
      <c r="K572" s="1291"/>
      <c r="L572" s="1292"/>
      <c r="M572" s="1292"/>
      <c r="N572" s="1292"/>
      <c r="O572" s="1292"/>
    </row>
    <row r="573" ht="33.0" customHeight="1">
      <c r="A573" s="1283"/>
      <c r="B573" s="1284"/>
      <c r="C573" s="1285"/>
      <c r="D573" s="1286"/>
      <c r="E573" s="1287"/>
      <c r="F573" s="1283"/>
      <c r="G573" s="1288"/>
      <c r="H573" s="1289"/>
      <c r="I573" s="1289"/>
      <c r="J573" s="1290"/>
      <c r="K573" s="1291"/>
      <c r="L573" s="1292"/>
      <c r="M573" s="1292"/>
      <c r="N573" s="1292"/>
      <c r="O573" s="1292"/>
    </row>
    <row r="574" ht="33.0" customHeight="1">
      <c r="A574" s="1283"/>
      <c r="B574" s="1284"/>
      <c r="C574" s="1285"/>
      <c r="D574" s="1286"/>
      <c r="E574" s="1287"/>
      <c r="F574" s="1283"/>
      <c r="G574" s="1288"/>
      <c r="H574" s="1289"/>
      <c r="I574" s="1289"/>
      <c r="J574" s="1290"/>
      <c r="K574" s="1291"/>
      <c r="L574" s="1292"/>
      <c r="M574" s="1292"/>
      <c r="N574" s="1292"/>
      <c r="O574" s="1292"/>
    </row>
    <row r="575" ht="33.0" customHeight="1">
      <c r="A575" s="1283"/>
      <c r="B575" s="1284"/>
      <c r="C575" s="1285"/>
      <c r="D575" s="1286"/>
      <c r="E575" s="1287"/>
      <c r="F575" s="1283"/>
      <c r="G575" s="1288"/>
      <c r="H575" s="1289"/>
      <c r="I575" s="1289"/>
      <c r="J575" s="1290"/>
      <c r="K575" s="1291"/>
      <c r="L575" s="1292"/>
      <c r="M575" s="1292"/>
      <c r="N575" s="1292"/>
      <c r="O575" s="1292"/>
    </row>
    <row r="576" ht="33.0" customHeight="1">
      <c r="A576" s="1283"/>
      <c r="B576" s="1284"/>
      <c r="C576" s="1285"/>
      <c r="D576" s="1286"/>
      <c r="E576" s="1287"/>
      <c r="F576" s="1283"/>
      <c r="G576" s="1288"/>
      <c r="H576" s="1289"/>
      <c r="I576" s="1289"/>
      <c r="J576" s="1290"/>
      <c r="K576" s="1291"/>
      <c r="L576" s="1292"/>
      <c r="M576" s="1292"/>
      <c r="N576" s="1292"/>
      <c r="O576" s="1292"/>
    </row>
    <row r="577" ht="33.0" customHeight="1">
      <c r="A577" s="1283"/>
      <c r="B577" s="1284"/>
      <c r="C577" s="1285"/>
      <c r="D577" s="1286"/>
      <c r="E577" s="1287"/>
      <c r="F577" s="1283"/>
      <c r="G577" s="1288"/>
      <c r="H577" s="1289"/>
      <c r="I577" s="1289"/>
      <c r="J577" s="1290"/>
      <c r="K577" s="1291"/>
      <c r="L577" s="1292"/>
      <c r="M577" s="1292"/>
      <c r="N577" s="1292"/>
      <c r="O577" s="1292"/>
    </row>
    <row r="578" ht="33.0" customHeight="1">
      <c r="A578" s="1283"/>
      <c r="B578" s="1284"/>
      <c r="C578" s="1285"/>
      <c r="D578" s="1286"/>
      <c r="E578" s="1287"/>
      <c r="F578" s="1283"/>
      <c r="G578" s="1288"/>
      <c r="H578" s="1289"/>
      <c r="I578" s="1289"/>
      <c r="J578" s="1290"/>
      <c r="K578" s="1291"/>
      <c r="L578" s="1292"/>
      <c r="M578" s="1292"/>
      <c r="N578" s="1292"/>
      <c r="O578" s="1292"/>
    </row>
    <row r="579" ht="33.0" customHeight="1">
      <c r="A579" s="1283"/>
      <c r="B579" s="1284"/>
      <c r="C579" s="1285"/>
      <c r="D579" s="1286"/>
      <c r="E579" s="1287"/>
      <c r="F579" s="1283"/>
      <c r="G579" s="1288"/>
      <c r="H579" s="1289"/>
      <c r="I579" s="1289"/>
      <c r="J579" s="1290"/>
      <c r="K579" s="1291"/>
      <c r="L579" s="1292"/>
      <c r="M579" s="1292"/>
      <c r="N579" s="1292"/>
      <c r="O579" s="1292"/>
    </row>
    <row r="580" ht="33.0" customHeight="1">
      <c r="A580" s="1283"/>
      <c r="B580" s="1284"/>
      <c r="C580" s="1285"/>
      <c r="D580" s="1286"/>
      <c r="E580" s="1287"/>
      <c r="F580" s="1283"/>
      <c r="G580" s="1288"/>
      <c r="H580" s="1289"/>
      <c r="I580" s="1289"/>
      <c r="J580" s="1290"/>
      <c r="K580" s="1291"/>
      <c r="L580" s="1292"/>
      <c r="M580" s="1292"/>
      <c r="N580" s="1292"/>
      <c r="O580" s="1292"/>
    </row>
    <row r="581" ht="33.0" customHeight="1">
      <c r="A581" s="1283"/>
      <c r="B581" s="1284"/>
      <c r="C581" s="1285"/>
      <c r="D581" s="1286"/>
      <c r="E581" s="1287"/>
      <c r="F581" s="1283"/>
      <c r="G581" s="1288"/>
      <c r="H581" s="1289"/>
      <c r="I581" s="1289"/>
      <c r="J581" s="1290"/>
      <c r="K581" s="1291"/>
      <c r="L581" s="1292"/>
      <c r="M581" s="1292"/>
      <c r="N581" s="1292"/>
      <c r="O581" s="1292"/>
    </row>
    <row r="582" ht="33.0" customHeight="1">
      <c r="A582" s="1283"/>
      <c r="B582" s="1284"/>
      <c r="C582" s="1285"/>
      <c r="D582" s="1286"/>
      <c r="E582" s="1287"/>
      <c r="F582" s="1283"/>
      <c r="G582" s="1288"/>
      <c r="H582" s="1289"/>
      <c r="I582" s="1289"/>
      <c r="J582" s="1290"/>
      <c r="K582" s="1291"/>
      <c r="L582" s="1292"/>
      <c r="M582" s="1292"/>
      <c r="N582" s="1292"/>
      <c r="O582" s="1292"/>
    </row>
    <row r="583" ht="33.0" customHeight="1">
      <c r="A583" s="1283"/>
      <c r="B583" s="1284"/>
      <c r="C583" s="1285"/>
      <c r="D583" s="1286"/>
      <c r="E583" s="1287"/>
      <c r="F583" s="1283"/>
      <c r="G583" s="1288"/>
      <c r="H583" s="1289"/>
      <c r="I583" s="1289"/>
      <c r="J583" s="1290"/>
      <c r="K583" s="1291"/>
      <c r="L583" s="1292"/>
      <c r="M583" s="1292"/>
      <c r="N583" s="1292"/>
      <c r="O583" s="1292"/>
    </row>
    <row r="584" ht="33.0" customHeight="1">
      <c r="A584" s="1283"/>
      <c r="B584" s="1284"/>
      <c r="C584" s="1285"/>
      <c r="D584" s="1286"/>
      <c r="E584" s="1287"/>
      <c r="F584" s="1283"/>
      <c r="G584" s="1288"/>
      <c r="H584" s="1289"/>
      <c r="I584" s="1289"/>
      <c r="J584" s="1290"/>
      <c r="K584" s="1291"/>
      <c r="L584" s="1292"/>
      <c r="M584" s="1292"/>
      <c r="N584" s="1292"/>
      <c r="O584" s="1292"/>
    </row>
    <row r="585" ht="33.0" customHeight="1">
      <c r="A585" s="1283"/>
      <c r="B585" s="1284"/>
      <c r="C585" s="1285"/>
      <c r="D585" s="1286"/>
      <c r="E585" s="1287"/>
      <c r="F585" s="1283"/>
      <c r="G585" s="1288"/>
      <c r="H585" s="1289"/>
      <c r="I585" s="1289"/>
      <c r="J585" s="1290"/>
      <c r="K585" s="1291"/>
      <c r="L585" s="1292"/>
      <c r="M585" s="1292"/>
      <c r="N585" s="1292"/>
      <c r="O585" s="1292"/>
    </row>
    <row r="586" ht="33.0" customHeight="1">
      <c r="A586" s="1283"/>
      <c r="B586" s="1284"/>
      <c r="C586" s="1285"/>
      <c r="D586" s="1286"/>
      <c r="E586" s="1287"/>
      <c r="F586" s="1283"/>
      <c r="G586" s="1288"/>
      <c r="H586" s="1289"/>
      <c r="I586" s="1289"/>
      <c r="J586" s="1290"/>
      <c r="K586" s="1291"/>
      <c r="L586" s="1292"/>
      <c r="M586" s="1292"/>
      <c r="N586" s="1292"/>
      <c r="O586" s="1292"/>
    </row>
    <row r="587" ht="33.0" customHeight="1">
      <c r="A587" s="1283"/>
      <c r="B587" s="1284"/>
      <c r="C587" s="1285"/>
      <c r="D587" s="1286"/>
      <c r="E587" s="1287"/>
      <c r="F587" s="1283"/>
      <c r="G587" s="1288"/>
      <c r="H587" s="1289"/>
      <c r="I587" s="1289"/>
      <c r="J587" s="1290"/>
      <c r="K587" s="1291"/>
      <c r="L587" s="1292"/>
      <c r="M587" s="1292"/>
      <c r="N587" s="1292"/>
      <c r="O587" s="1292"/>
    </row>
    <row r="588" ht="33.0" customHeight="1">
      <c r="A588" s="1283"/>
      <c r="B588" s="1284"/>
      <c r="C588" s="1285"/>
      <c r="D588" s="1286"/>
      <c r="E588" s="1287"/>
      <c r="F588" s="1283"/>
      <c r="G588" s="1288"/>
      <c r="H588" s="1289"/>
      <c r="I588" s="1289"/>
      <c r="J588" s="1290"/>
      <c r="K588" s="1291"/>
      <c r="L588" s="1292"/>
      <c r="M588" s="1292"/>
      <c r="N588" s="1292"/>
      <c r="O588" s="1292"/>
    </row>
    <row r="589" ht="33.0" customHeight="1">
      <c r="A589" s="1283"/>
      <c r="B589" s="1284"/>
      <c r="C589" s="1285"/>
      <c r="D589" s="1286"/>
      <c r="E589" s="1287"/>
      <c r="F589" s="1283"/>
      <c r="G589" s="1288"/>
      <c r="H589" s="1289"/>
      <c r="I589" s="1289"/>
      <c r="J589" s="1290"/>
      <c r="K589" s="1291"/>
      <c r="L589" s="1292"/>
      <c r="M589" s="1292"/>
      <c r="N589" s="1292"/>
      <c r="O589" s="1292"/>
    </row>
    <row r="590" ht="33.0" customHeight="1">
      <c r="A590" s="1283"/>
      <c r="B590" s="1284"/>
      <c r="C590" s="1285"/>
      <c r="D590" s="1286"/>
      <c r="E590" s="1287"/>
      <c r="F590" s="1283"/>
      <c r="G590" s="1288"/>
      <c r="H590" s="1289"/>
      <c r="I590" s="1289"/>
      <c r="J590" s="1290"/>
      <c r="K590" s="1291"/>
      <c r="L590" s="1292"/>
      <c r="M590" s="1292"/>
      <c r="N590" s="1292"/>
      <c r="O590" s="1292"/>
    </row>
    <row r="591" ht="33.0" customHeight="1">
      <c r="A591" s="1283"/>
      <c r="B591" s="1284"/>
      <c r="C591" s="1285"/>
      <c r="D591" s="1286"/>
      <c r="E591" s="1287"/>
      <c r="F591" s="1283"/>
      <c r="G591" s="1288"/>
      <c r="H591" s="1289"/>
      <c r="I591" s="1289"/>
      <c r="J591" s="1290"/>
      <c r="K591" s="1291"/>
      <c r="L591" s="1292"/>
      <c r="M591" s="1292"/>
      <c r="N591" s="1292"/>
      <c r="O591" s="1292"/>
    </row>
    <row r="592" ht="33.0" customHeight="1">
      <c r="A592" s="1283"/>
      <c r="B592" s="1284"/>
      <c r="C592" s="1285"/>
      <c r="D592" s="1286"/>
      <c r="E592" s="1287"/>
      <c r="F592" s="1283"/>
      <c r="G592" s="1288"/>
      <c r="H592" s="1289"/>
      <c r="I592" s="1289"/>
      <c r="J592" s="1290"/>
      <c r="K592" s="1291"/>
      <c r="L592" s="1292"/>
      <c r="M592" s="1292"/>
      <c r="N592" s="1292"/>
      <c r="O592" s="1292"/>
    </row>
    <row r="593" ht="33.0" customHeight="1">
      <c r="A593" s="1283"/>
      <c r="B593" s="1284"/>
      <c r="C593" s="1285"/>
      <c r="D593" s="1286"/>
      <c r="E593" s="1287"/>
      <c r="F593" s="1283"/>
      <c r="G593" s="1288"/>
      <c r="H593" s="1289"/>
      <c r="I593" s="1289"/>
      <c r="J593" s="1290"/>
      <c r="K593" s="1291"/>
      <c r="L593" s="1292"/>
      <c r="M593" s="1292"/>
      <c r="N593" s="1292"/>
      <c r="O593" s="1292"/>
    </row>
    <row r="594" ht="33.0" customHeight="1">
      <c r="A594" s="1283"/>
      <c r="B594" s="1284"/>
      <c r="C594" s="1285"/>
      <c r="D594" s="1286"/>
      <c r="E594" s="1287"/>
      <c r="F594" s="1283"/>
      <c r="G594" s="1288"/>
      <c r="H594" s="1289"/>
      <c r="I594" s="1289"/>
      <c r="J594" s="1290"/>
      <c r="K594" s="1291"/>
      <c r="L594" s="1292"/>
      <c r="M594" s="1292"/>
      <c r="N594" s="1292"/>
      <c r="O594" s="1292"/>
    </row>
    <row r="595" ht="33.0" customHeight="1">
      <c r="A595" s="1283"/>
      <c r="B595" s="1284"/>
      <c r="C595" s="1285"/>
      <c r="D595" s="1286"/>
      <c r="E595" s="1287"/>
      <c r="F595" s="1283"/>
      <c r="G595" s="1288"/>
      <c r="H595" s="1289"/>
      <c r="I595" s="1289"/>
      <c r="J595" s="1290"/>
      <c r="K595" s="1291"/>
      <c r="L595" s="1292"/>
      <c r="M595" s="1292"/>
      <c r="N595" s="1292"/>
      <c r="O595" s="1292"/>
    </row>
    <row r="596" ht="33.0" customHeight="1">
      <c r="A596" s="1283"/>
      <c r="B596" s="1284"/>
      <c r="C596" s="1285"/>
      <c r="D596" s="1286"/>
      <c r="E596" s="1287"/>
      <c r="F596" s="1283"/>
      <c r="G596" s="1288"/>
      <c r="H596" s="1289"/>
      <c r="I596" s="1289"/>
      <c r="J596" s="1290"/>
      <c r="K596" s="1291"/>
      <c r="L596" s="1292"/>
      <c r="M596" s="1292"/>
      <c r="N596" s="1292"/>
      <c r="O596" s="1292"/>
    </row>
    <row r="597" ht="33.0" customHeight="1">
      <c r="A597" s="1283"/>
      <c r="B597" s="1284"/>
      <c r="C597" s="1285"/>
      <c r="D597" s="1286"/>
      <c r="E597" s="1287"/>
      <c r="F597" s="1283"/>
      <c r="G597" s="1288"/>
      <c r="H597" s="1289"/>
      <c r="I597" s="1289"/>
      <c r="J597" s="1290"/>
      <c r="K597" s="1291"/>
      <c r="L597" s="1292"/>
      <c r="M597" s="1292"/>
      <c r="N597" s="1292"/>
      <c r="O597" s="1292"/>
    </row>
    <row r="598" ht="33.0" customHeight="1">
      <c r="A598" s="1283"/>
      <c r="B598" s="1284"/>
      <c r="C598" s="1285"/>
      <c r="D598" s="1286"/>
      <c r="E598" s="1287"/>
      <c r="F598" s="1283"/>
      <c r="G598" s="1288"/>
      <c r="H598" s="1289"/>
      <c r="I598" s="1289"/>
      <c r="J598" s="1290"/>
      <c r="K598" s="1291"/>
      <c r="L598" s="1292"/>
      <c r="M598" s="1292"/>
      <c r="N598" s="1292"/>
      <c r="O598" s="1292"/>
    </row>
    <row r="599" ht="33.0" customHeight="1">
      <c r="A599" s="1283"/>
      <c r="B599" s="1284"/>
      <c r="C599" s="1285"/>
      <c r="D599" s="1286"/>
      <c r="E599" s="1287"/>
      <c r="F599" s="1283"/>
      <c r="G599" s="1288"/>
      <c r="H599" s="1289"/>
      <c r="I599" s="1289"/>
      <c r="J599" s="1290"/>
      <c r="K599" s="1291"/>
      <c r="L599" s="1292"/>
      <c r="M599" s="1292"/>
      <c r="N599" s="1292"/>
      <c r="O599" s="1292"/>
    </row>
    <row r="600" ht="33.0" customHeight="1">
      <c r="A600" s="1283"/>
      <c r="B600" s="1284"/>
      <c r="C600" s="1285"/>
      <c r="D600" s="1286"/>
      <c r="E600" s="1287"/>
      <c r="F600" s="1283"/>
      <c r="G600" s="1288"/>
      <c r="H600" s="1289"/>
      <c r="I600" s="1289"/>
      <c r="J600" s="1290"/>
      <c r="K600" s="1291"/>
      <c r="L600" s="1292"/>
      <c r="M600" s="1292"/>
      <c r="N600" s="1292"/>
      <c r="O600" s="1292"/>
    </row>
    <row r="601" ht="33.0" customHeight="1">
      <c r="A601" s="1283"/>
      <c r="B601" s="1284"/>
      <c r="C601" s="1285"/>
      <c r="D601" s="1286"/>
      <c r="E601" s="1287"/>
      <c r="F601" s="1283"/>
      <c r="G601" s="1288"/>
      <c r="H601" s="1289"/>
      <c r="I601" s="1289"/>
      <c r="J601" s="1290"/>
      <c r="K601" s="1291"/>
      <c r="L601" s="1292"/>
      <c r="M601" s="1292"/>
      <c r="N601" s="1292"/>
      <c r="O601" s="1292"/>
    </row>
    <row r="602" ht="33.0" customHeight="1">
      <c r="A602" s="1283"/>
      <c r="B602" s="1284"/>
      <c r="C602" s="1285"/>
      <c r="D602" s="1286"/>
      <c r="E602" s="1287"/>
      <c r="F602" s="1283"/>
      <c r="G602" s="1288"/>
      <c r="H602" s="1289"/>
      <c r="I602" s="1289"/>
      <c r="J602" s="1290"/>
      <c r="K602" s="1291"/>
      <c r="L602" s="1292"/>
      <c r="M602" s="1292"/>
      <c r="N602" s="1292"/>
      <c r="O602" s="1292"/>
    </row>
    <row r="603" ht="33.0" customHeight="1">
      <c r="A603" s="1283"/>
      <c r="B603" s="1284"/>
      <c r="C603" s="1285"/>
      <c r="D603" s="1286"/>
      <c r="E603" s="1287"/>
      <c r="F603" s="1283"/>
      <c r="G603" s="1288"/>
      <c r="H603" s="1289"/>
      <c r="I603" s="1289"/>
      <c r="J603" s="1290"/>
      <c r="K603" s="1291"/>
      <c r="L603" s="1292"/>
      <c r="M603" s="1292"/>
      <c r="N603" s="1292"/>
      <c r="O603" s="1292"/>
    </row>
    <row r="604" ht="33.0" customHeight="1">
      <c r="A604" s="1283"/>
      <c r="B604" s="1284"/>
      <c r="C604" s="1285"/>
      <c r="D604" s="1286"/>
      <c r="E604" s="1287"/>
      <c r="F604" s="1283"/>
      <c r="G604" s="1288"/>
      <c r="H604" s="1289"/>
      <c r="I604" s="1289"/>
      <c r="J604" s="1290"/>
      <c r="K604" s="1291"/>
      <c r="L604" s="1292"/>
      <c r="M604" s="1292"/>
      <c r="N604" s="1292"/>
      <c r="O604" s="1292"/>
    </row>
    <row r="605" ht="33.0" customHeight="1">
      <c r="A605" s="1283"/>
      <c r="B605" s="1284"/>
      <c r="C605" s="1285"/>
      <c r="D605" s="1286"/>
      <c r="E605" s="1287"/>
      <c r="F605" s="1283"/>
      <c r="G605" s="1288"/>
      <c r="H605" s="1289"/>
      <c r="I605" s="1289"/>
      <c r="J605" s="1290"/>
      <c r="K605" s="1291"/>
      <c r="L605" s="1292"/>
      <c r="M605" s="1292"/>
      <c r="N605" s="1292"/>
      <c r="O605" s="1292"/>
    </row>
    <row r="606" ht="33.0" customHeight="1">
      <c r="A606" s="1283"/>
      <c r="B606" s="1284"/>
      <c r="C606" s="1285"/>
      <c r="D606" s="1286"/>
      <c r="E606" s="1287"/>
      <c r="F606" s="1283"/>
      <c r="G606" s="1288"/>
      <c r="H606" s="1289"/>
      <c r="I606" s="1289"/>
      <c r="J606" s="1290"/>
      <c r="K606" s="1291"/>
      <c r="L606" s="1292"/>
      <c r="M606" s="1292"/>
      <c r="N606" s="1292"/>
      <c r="O606" s="1292"/>
    </row>
    <row r="607" ht="33.0" customHeight="1">
      <c r="A607" s="1283"/>
      <c r="B607" s="1284"/>
      <c r="C607" s="1285"/>
      <c r="D607" s="1286"/>
      <c r="E607" s="1287"/>
      <c r="F607" s="1283"/>
      <c r="G607" s="1288"/>
      <c r="H607" s="1289"/>
      <c r="I607" s="1289"/>
      <c r="J607" s="1290"/>
      <c r="K607" s="1291"/>
      <c r="L607" s="1292"/>
      <c r="M607" s="1292"/>
      <c r="N607" s="1292"/>
      <c r="O607" s="1292"/>
    </row>
    <row r="608" ht="33.0" customHeight="1">
      <c r="A608" s="1283"/>
      <c r="B608" s="1284"/>
      <c r="C608" s="1285"/>
      <c r="D608" s="1286"/>
      <c r="E608" s="1287"/>
      <c r="F608" s="1283"/>
      <c r="G608" s="1288"/>
      <c r="H608" s="1289"/>
      <c r="I608" s="1289"/>
      <c r="J608" s="1290"/>
      <c r="K608" s="1291"/>
      <c r="L608" s="1292"/>
      <c r="M608" s="1292"/>
      <c r="N608" s="1292"/>
      <c r="O608" s="1292"/>
    </row>
    <row r="609" ht="33.0" customHeight="1">
      <c r="A609" s="1283"/>
      <c r="B609" s="1284"/>
      <c r="C609" s="1285"/>
      <c r="D609" s="1286"/>
      <c r="E609" s="1287"/>
      <c r="F609" s="1283"/>
      <c r="G609" s="1288"/>
      <c r="H609" s="1289"/>
      <c r="I609" s="1289"/>
      <c r="J609" s="1290"/>
      <c r="K609" s="1291"/>
      <c r="L609" s="1292"/>
      <c r="M609" s="1292"/>
      <c r="N609" s="1292"/>
      <c r="O609" s="1292"/>
    </row>
    <row r="610" ht="33.0" customHeight="1">
      <c r="A610" s="1283"/>
      <c r="B610" s="1284"/>
      <c r="C610" s="1285"/>
      <c r="D610" s="1286"/>
      <c r="E610" s="1287"/>
      <c r="F610" s="1283"/>
      <c r="G610" s="1288"/>
      <c r="H610" s="1289"/>
      <c r="I610" s="1289"/>
      <c r="J610" s="1290"/>
      <c r="K610" s="1291"/>
      <c r="L610" s="1292"/>
      <c r="M610" s="1292"/>
      <c r="N610" s="1292"/>
      <c r="O610" s="1292"/>
    </row>
    <row r="611" ht="33.0" customHeight="1">
      <c r="A611" s="1283"/>
      <c r="B611" s="1284"/>
      <c r="C611" s="1285"/>
      <c r="D611" s="1286"/>
      <c r="E611" s="1287"/>
      <c r="F611" s="1283"/>
      <c r="G611" s="1288"/>
      <c r="H611" s="1289"/>
      <c r="I611" s="1289"/>
      <c r="J611" s="1290"/>
      <c r="K611" s="1291"/>
      <c r="L611" s="1292"/>
      <c r="M611" s="1292"/>
      <c r="N611" s="1292"/>
      <c r="O611" s="1292"/>
    </row>
    <row r="612" ht="33.0" customHeight="1">
      <c r="A612" s="1283"/>
      <c r="B612" s="1284"/>
      <c r="C612" s="1285"/>
      <c r="D612" s="1286"/>
      <c r="E612" s="1287"/>
      <c r="F612" s="1283"/>
      <c r="G612" s="1288"/>
      <c r="H612" s="1289"/>
      <c r="I612" s="1289"/>
      <c r="J612" s="1290"/>
      <c r="K612" s="1291"/>
      <c r="L612" s="1292"/>
      <c r="M612" s="1292"/>
      <c r="N612" s="1292"/>
      <c r="O612" s="1292"/>
    </row>
    <row r="613" ht="33.0" customHeight="1">
      <c r="A613" s="1283"/>
      <c r="B613" s="1284"/>
      <c r="C613" s="1285"/>
      <c r="D613" s="1286"/>
      <c r="E613" s="1287"/>
      <c r="F613" s="1283"/>
      <c r="G613" s="1288"/>
      <c r="H613" s="1289"/>
      <c r="I613" s="1289"/>
      <c r="J613" s="1290"/>
      <c r="K613" s="1291"/>
      <c r="L613" s="1292"/>
      <c r="M613" s="1292"/>
      <c r="N613" s="1292"/>
      <c r="O613" s="1292"/>
    </row>
    <row r="614" ht="33.0" customHeight="1">
      <c r="A614" s="1283"/>
      <c r="B614" s="1284"/>
      <c r="C614" s="1285"/>
      <c r="D614" s="1286"/>
      <c r="E614" s="1287"/>
      <c r="F614" s="1283"/>
      <c r="G614" s="1288"/>
      <c r="H614" s="1289"/>
      <c r="I614" s="1289"/>
      <c r="J614" s="1290"/>
      <c r="K614" s="1291"/>
      <c r="L614" s="1292"/>
      <c r="M614" s="1292"/>
      <c r="N614" s="1292"/>
      <c r="O614" s="1292"/>
    </row>
    <row r="615" ht="33.0" customHeight="1">
      <c r="A615" s="1283"/>
      <c r="B615" s="1284"/>
      <c r="C615" s="1285"/>
      <c r="D615" s="1286"/>
      <c r="E615" s="1287"/>
      <c r="F615" s="1283"/>
      <c r="G615" s="1288"/>
      <c r="H615" s="1289"/>
      <c r="I615" s="1289"/>
      <c r="J615" s="1290"/>
      <c r="K615" s="1291"/>
      <c r="L615" s="1292"/>
      <c r="M615" s="1292"/>
      <c r="N615" s="1292"/>
      <c r="O615" s="1292"/>
    </row>
    <row r="616" ht="33.0" customHeight="1">
      <c r="A616" s="1283"/>
      <c r="B616" s="1284"/>
      <c r="C616" s="1285"/>
      <c r="D616" s="1286"/>
      <c r="E616" s="1287"/>
      <c r="F616" s="1283"/>
      <c r="G616" s="1288"/>
      <c r="H616" s="1289"/>
      <c r="I616" s="1289"/>
      <c r="J616" s="1290"/>
      <c r="K616" s="1291"/>
      <c r="L616" s="1292"/>
      <c r="M616" s="1292"/>
      <c r="N616" s="1292"/>
      <c r="O616" s="1292"/>
    </row>
    <row r="617" ht="33.0" customHeight="1">
      <c r="A617" s="1283"/>
      <c r="B617" s="1284"/>
      <c r="C617" s="1285"/>
      <c r="D617" s="1286"/>
      <c r="E617" s="1287"/>
      <c r="F617" s="1283"/>
      <c r="G617" s="1288"/>
      <c r="H617" s="1289"/>
      <c r="I617" s="1289"/>
      <c r="J617" s="1290"/>
      <c r="K617" s="1291"/>
      <c r="L617" s="1292"/>
      <c r="M617" s="1292"/>
      <c r="N617" s="1292"/>
      <c r="O617" s="1292"/>
    </row>
    <row r="618" ht="33.0" customHeight="1">
      <c r="A618" s="1283"/>
      <c r="B618" s="1284"/>
      <c r="C618" s="1285"/>
      <c r="D618" s="1286"/>
      <c r="E618" s="1287"/>
      <c r="F618" s="1283"/>
      <c r="G618" s="1288"/>
      <c r="H618" s="1289"/>
      <c r="I618" s="1289"/>
      <c r="J618" s="1290"/>
      <c r="K618" s="1291"/>
      <c r="L618" s="1292"/>
      <c r="M618" s="1292"/>
      <c r="N618" s="1292"/>
      <c r="O618" s="1292"/>
    </row>
    <row r="619" ht="33.0" customHeight="1">
      <c r="A619" s="1283"/>
      <c r="B619" s="1284"/>
      <c r="C619" s="1285"/>
      <c r="D619" s="1286"/>
      <c r="E619" s="1287"/>
      <c r="F619" s="1283"/>
      <c r="G619" s="1288"/>
      <c r="H619" s="1289"/>
      <c r="I619" s="1289"/>
      <c r="J619" s="1290"/>
      <c r="K619" s="1291"/>
      <c r="L619" s="1292"/>
      <c r="M619" s="1292"/>
      <c r="N619" s="1292"/>
      <c r="O619" s="1292"/>
    </row>
    <row r="620" ht="33.0" customHeight="1">
      <c r="A620" s="1283"/>
      <c r="B620" s="1284"/>
      <c r="C620" s="1285"/>
      <c r="D620" s="1286"/>
      <c r="E620" s="1287"/>
      <c r="F620" s="1283"/>
      <c r="G620" s="1288"/>
      <c r="H620" s="1289"/>
      <c r="I620" s="1289"/>
      <c r="J620" s="1290"/>
      <c r="K620" s="1291"/>
      <c r="L620" s="1292"/>
      <c r="M620" s="1292"/>
      <c r="N620" s="1292"/>
      <c r="O620" s="1292"/>
    </row>
    <row r="621" ht="33.0" customHeight="1">
      <c r="A621" s="1283"/>
      <c r="B621" s="1284"/>
      <c r="C621" s="1285"/>
      <c r="D621" s="1286"/>
      <c r="E621" s="1287"/>
      <c r="F621" s="1283"/>
      <c r="G621" s="1288"/>
      <c r="H621" s="1289"/>
      <c r="I621" s="1289"/>
      <c r="J621" s="1290"/>
      <c r="K621" s="1291"/>
      <c r="L621" s="1292"/>
      <c r="M621" s="1292"/>
      <c r="N621" s="1292"/>
      <c r="O621" s="1292"/>
    </row>
    <row r="622" ht="33.0" customHeight="1">
      <c r="A622" s="1283"/>
      <c r="B622" s="1284"/>
      <c r="C622" s="1285"/>
      <c r="D622" s="1286"/>
      <c r="E622" s="1287"/>
      <c r="F622" s="1283"/>
      <c r="G622" s="1288"/>
      <c r="H622" s="1289"/>
      <c r="I622" s="1289"/>
      <c r="J622" s="1290"/>
      <c r="K622" s="1291"/>
      <c r="L622" s="1292"/>
      <c r="M622" s="1292"/>
      <c r="N622" s="1292"/>
      <c r="O622" s="1292"/>
    </row>
    <row r="623" ht="33.0" customHeight="1">
      <c r="A623" s="1283"/>
      <c r="B623" s="1284"/>
      <c r="C623" s="1285"/>
      <c r="D623" s="1286"/>
      <c r="E623" s="1287"/>
      <c r="F623" s="1283"/>
      <c r="G623" s="1288"/>
      <c r="H623" s="1289"/>
      <c r="I623" s="1289"/>
      <c r="J623" s="1290"/>
      <c r="K623" s="1291"/>
      <c r="L623" s="1292"/>
      <c r="M623" s="1292"/>
      <c r="N623" s="1292"/>
      <c r="O623" s="1292"/>
    </row>
    <row r="624" ht="33.0" customHeight="1">
      <c r="A624" s="1283"/>
      <c r="B624" s="1284"/>
      <c r="C624" s="1285"/>
      <c r="D624" s="1286"/>
      <c r="E624" s="1287"/>
      <c r="F624" s="1283"/>
      <c r="G624" s="1288"/>
      <c r="H624" s="1289"/>
      <c r="I624" s="1289"/>
      <c r="J624" s="1290"/>
      <c r="K624" s="1291"/>
      <c r="L624" s="1292"/>
      <c r="M624" s="1292"/>
      <c r="N624" s="1292"/>
      <c r="O624" s="1292"/>
    </row>
    <row r="625" ht="33.0" customHeight="1">
      <c r="A625" s="1283"/>
      <c r="B625" s="1284"/>
      <c r="C625" s="1285"/>
      <c r="D625" s="1286"/>
      <c r="E625" s="1287"/>
      <c r="F625" s="1283"/>
      <c r="G625" s="1288"/>
      <c r="H625" s="1289"/>
      <c r="I625" s="1289"/>
      <c r="J625" s="1290"/>
      <c r="K625" s="1291"/>
      <c r="L625" s="1292"/>
      <c r="M625" s="1292"/>
      <c r="N625" s="1292"/>
      <c r="O625" s="1292"/>
    </row>
    <row r="626" ht="33.0" customHeight="1">
      <c r="A626" s="1283"/>
      <c r="B626" s="1284"/>
      <c r="C626" s="1285"/>
      <c r="D626" s="1286"/>
      <c r="E626" s="1287"/>
      <c r="F626" s="1283"/>
      <c r="G626" s="1288"/>
      <c r="H626" s="1289"/>
      <c r="I626" s="1289"/>
      <c r="J626" s="1290"/>
      <c r="K626" s="1291"/>
      <c r="L626" s="1292"/>
      <c r="M626" s="1292"/>
      <c r="N626" s="1292"/>
      <c r="O626" s="1292"/>
    </row>
    <row r="627" ht="33.0" customHeight="1">
      <c r="A627" s="1283"/>
      <c r="B627" s="1284"/>
      <c r="C627" s="1285"/>
      <c r="D627" s="1286"/>
      <c r="E627" s="1287"/>
      <c r="F627" s="1283"/>
      <c r="G627" s="1288"/>
      <c r="H627" s="1289"/>
      <c r="I627" s="1289"/>
      <c r="J627" s="1290"/>
      <c r="K627" s="1291"/>
      <c r="L627" s="1292"/>
      <c r="M627" s="1292"/>
      <c r="N627" s="1292"/>
      <c r="O627" s="1292"/>
    </row>
    <row r="628" ht="33.0" customHeight="1">
      <c r="A628" s="1283"/>
      <c r="B628" s="1284"/>
      <c r="C628" s="1285"/>
      <c r="D628" s="1286"/>
      <c r="E628" s="1287"/>
      <c r="F628" s="1283"/>
      <c r="G628" s="1288"/>
      <c r="H628" s="1289"/>
      <c r="I628" s="1289"/>
      <c r="J628" s="1290"/>
      <c r="K628" s="1291"/>
      <c r="L628" s="1292"/>
      <c r="M628" s="1292"/>
      <c r="N628" s="1292"/>
      <c r="O628" s="1292"/>
    </row>
    <row r="629" ht="33.0" customHeight="1">
      <c r="A629" s="1283"/>
      <c r="B629" s="1284"/>
      <c r="C629" s="1285"/>
      <c r="D629" s="1286"/>
      <c r="E629" s="1287"/>
      <c r="F629" s="1283"/>
      <c r="G629" s="1288"/>
      <c r="H629" s="1289"/>
      <c r="I629" s="1289"/>
      <c r="J629" s="1290"/>
      <c r="K629" s="1291"/>
      <c r="L629" s="1292"/>
      <c r="M629" s="1292"/>
      <c r="N629" s="1292"/>
      <c r="O629" s="1292"/>
    </row>
    <row r="630" ht="33.0" customHeight="1">
      <c r="A630" s="1283"/>
      <c r="B630" s="1284"/>
      <c r="C630" s="1285"/>
      <c r="D630" s="1286"/>
      <c r="E630" s="1287"/>
      <c r="F630" s="1283"/>
      <c r="G630" s="1288"/>
      <c r="H630" s="1289"/>
      <c r="I630" s="1289"/>
      <c r="J630" s="1290"/>
      <c r="K630" s="1291"/>
      <c r="L630" s="1292"/>
      <c r="M630" s="1292"/>
      <c r="N630" s="1292"/>
      <c r="O630" s="1292"/>
    </row>
    <row r="631" ht="33.0" customHeight="1">
      <c r="A631" s="1283"/>
      <c r="B631" s="1284"/>
      <c r="C631" s="1285"/>
      <c r="D631" s="1286"/>
      <c r="E631" s="1287"/>
      <c r="F631" s="1283"/>
      <c r="G631" s="1288"/>
      <c r="H631" s="1289"/>
      <c r="I631" s="1289"/>
      <c r="J631" s="1290"/>
      <c r="K631" s="1291"/>
      <c r="L631" s="1292"/>
      <c r="M631" s="1292"/>
      <c r="N631" s="1292"/>
      <c r="O631" s="1292"/>
    </row>
    <row r="632" ht="33.0" customHeight="1">
      <c r="A632" s="1283"/>
      <c r="B632" s="1284"/>
      <c r="C632" s="1285"/>
      <c r="D632" s="1286"/>
      <c r="E632" s="1287"/>
      <c r="F632" s="1283"/>
      <c r="G632" s="1288"/>
      <c r="H632" s="1289"/>
      <c r="I632" s="1289"/>
      <c r="J632" s="1290"/>
      <c r="K632" s="1291"/>
      <c r="L632" s="1292"/>
      <c r="M632" s="1292"/>
      <c r="N632" s="1292"/>
      <c r="O632" s="1292"/>
    </row>
    <row r="633" ht="33.0" customHeight="1">
      <c r="A633" s="1283"/>
      <c r="B633" s="1284"/>
      <c r="C633" s="1285"/>
      <c r="D633" s="1286"/>
      <c r="E633" s="1287"/>
      <c r="F633" s="1283"/>
      <c r="G633" s="1288"/>
      <c r="H633" s="1289"/>
      <c r="I633" s="1289"/>
      <c r="J633" s="1290"/>
      <c r="K633" s="1291"/>
      <c r="L633" s="1292"/>
      <c r="M633" s="1292"/>
      <c r="N633" s="1292"/>
      <c r="O633" s="1292"/>
    </row>
    <row r="634" ht="33.0" customHeight="1">
      <c r="A634" s="1283"/>
      <c r="B634" s="1284"/>
      <c r="C634" s="1285"/>
      <c r="D634" s="1286"/>
      <c r="E634" s="1287"/>
      <c r="F634" s="1283"/>
      <c r="G634" s="1288"/>
      <c r="H634" s="1289"/>
      <c r="I634" s="1289"/>
      <c r="J634" s="1290"/>
      <c r="K634" s="1291"/>
      <c r="L634" s="1292"/>
      <c r="M634" s="1292"/>
      <c r="N634" s="1292"/>
      <c r="O634" s="1292"/>
    </row>
    <row r="635" ht="33.0" customHeight="1">
      <c r="A635" s="1283"/>
      <c r="B635" s="1284"/>
      <c r="C635" s="1285"/>
      <c r="D635" s="1286"/>
      <c r="E635" s="1287"/>
      <c r="F635" s="1283"/>
      <c r="G635" s="1288"/>
      <c r="H635" s="1289"/>
      <c r="I635" s="1289"/>
      <c r="J635" s="1290"/>
      <c r="K635" s="1291"/>
      <c r="L635" s="1292"/>
      <c r="M635" s="1292"/>
      <c r="N635" s="1292"/>
      <c r="O635" s="1292"/>
    </row>
    <row r="636" ht="33.0" customHeight="1">
      <c r="A636" s="1283"/>
      <c r="B636" s="1284"/>
      <c r="C636" s="1285"/>
      <c r="D636" s="1286"/>
      <c r="E636" s="1287"/>
      <c r="F636" s="1283"/>
      <c r="G636" s="1288"/>
      <c r="H636" s="1289"/>
      <c r="I636" s="1289"/>
      <c r="J636" s="1290"/>
      <c r="K636" s="1291"/>
      <c r="L636" s="1292"/>
      <c r="M636" s="1292"/>
      <c r="N636" s="1292"/>
      <c r="O636" s="1292"/>
    </row>
    <row r="637" ht="33.0" customHeight="1">
      <c r="A637" s="1283"/>
      <c r="B637" s="1284"/>
      <c r="C637" s="1285"/>
      <c r="D637" s="1286"/>
      <c r="E637" s="1287"/>
      <c r="F637" s="1283"/>
      <c r="G637" s="1288"/>
      <c r="H637" s="1289"/>
      <c r="I637" s="1289"/>
      <c r="J637" s="1290"/>
      <c r="K637" s="1291"/>
      <c r="L637" s="1292"/>
      <c r="M637" s="1292"/>
      <c r="N637" s="1292"/>
      <c r="O637" s="1292"/>
    </row>
    <row r="638" ht="33.0" customHeight="1">
      <c r="A638" s="1283"/>
      <c r="B638" s="1284"/>
      <c r="C638" s="1285"/>
      <c r="D638" s="1286"/>
      <c r="E638" s="1287"/>
      <c r="F638" s="1283"/>
      <c r="G638" s="1288"/>
      <c r="H638" s="1289"/>
      <c r="I638" s="1289"/>
      <c r="J638" s="1290"/>
      <c r="K638" s="1291"/>
      <c r="L638" s="1292"/>
      <c r="M638" s="1292"/>
      <c r="N638" s="1292"/>
      <c r="O638" s="1292"/>
    </row>
    <row r="639" ht="33.0" customHeight="1">
      <c r="A639" s="1283"/>
      <c r="B639" s="1284"/>
      <c r="C639" s="1285"/>
      <c r="D639" s="1286"/>
      <c r="E639" s="1287"/>
      <c r="F639" s="1283"/>
      <c r="G639" s="1288"/>
      <c r="H639" s="1289"/>
      <c r="I639" s="1289"/>
      <c r="J639" s="1290"/>
      <c r="K639" s="1291"/>
      <c r="L639" s="1292"/>
      <c r="M639" s="1292"/>
      <c r="N639" s="1292"/>
      <c r="O639" s="1292"/>
    </row>
    <row r="640" ht="33.0" customHeight="1">
      <c r="A640" s="1283"/>
      <c r="B640" s="1284"/>
      <c r="C640" s="1285"/>
      <c r="D640" s="1286"/>
      <c r="E640" s="1287"/>
      <c r="F640" s="1283"/>
      <c r="G640" s="1288"/>
      <c r="H640" s="1289"/>
      <c r="I640" s="1289"/>
      <c r="J640" s="1290"/>
      <c r="K640" s="1291"/>
      <c r="L640" s="1292"/>
      <c r="M640" s="1292"/>
      <c r="N640" s="1292"/>
      <c r="O640" s="1292"/>
    </row>
    <row r="641" ht="33.0" customHeight="1">
      <c r="A641" s="1283"/>
      <c r="B641" s="1284"/>
      <c r="C641" s="1285"/>
      <c r="D641" s="1286"/>
      <c r="E641" s="1287"/>
      <c r="F641" s="1283"/>
      <c r="G641" s="1288"/>
      <c r="H641" s="1289"/>
      <c r="I641" s="1289"/>
      <c r="J641" s="1290"/>
      <c r="K641" s="1291"/>
      <c r="L641" s="1292"/>
      <c r="M641" s="1292"/>
      <c r="N641" s="1292"/>
      <c r="O641" s="1292"/>
    </row>
    <row r="642" ht="33.0" customHeight="1">
      <c r="A642" s="1283"/>
      <c r="B642" s="1284"/>
      <c r="C642" s="1285"/>
      <c r="D642" s="1286"/>
      <c r="E642" s="1287"/>
      <c r="F642" s="1283"/>
      <c r="G642" s="1288"/>
      <c r="H642" s="1289"/>
      <c r="I642" s="1289"/>
      <c r="J642" s="1290"/>
      <c r="K642" s="1291"/>
      <c r="L642" s="1292"/>
      <c r="M642" s="1292"/>
      <c r="N642" s="1292"/>
      <c r="O642" s="1292"/>
    </row>
    <row r="643" ht="33.0" customHeight="1">
      <c r="A643" s="1283"/>
      <c r="B643" s="1284"/>
      <c r="C643" s="1285"/>
      <c r="D643" s="1286"/>
      <c r="E643" s="1287"/>
      <c r="F643" s="1283"/>
      <c r="G643" s="1288"/>
      <c r="H643" s="1289"/>
      <c r="I643" s="1289"/>
      <c r="J643" s="1290"/>
      <c r="K643" s="1291"/>
      <c r="L643" s="1292"/>
      <c r="M643" s="1292"/>
      <c r="N643" s="1292"/>
      <c r="O643" s="1292"/>
    </row>
    <row r="644" ht="33.0" customHeight="1">
      <c r="A644" s="1283"/>
      <c r="B644" s="1284"/>
      <c r="C644" s="1285"/>
      <c r="D644" s="1286"/>
      <c r="E644" s="1287"/>
      <c r="F644" s="1283"/>
      <c r="G644" s="1288"/>
      <c r="H644" s="1289"/>
      <c r="I644" s="1289"/>
      <c r="J644" s="1290"/>
      <c r="K644" s="1291"/>
      <c r="L644" s="1292"/>
      <c r="M644" s="1292"/>
      <c r="N644" s="1292"/>
      <c r="O644" s="1292"/>
    </row>
    <row r="645" ht="33.0" customHeight="1">
      <c r="A645" s="1283"/>
      <c r="B645" s="1284"/>
      <c r="C645" s="1285"/>
      <c r="D645" s="1286"/>
      <c r="E645" s="1287"/>
      <c r="F645" s="1283"/>
      <c r="G645" s="1288"/>
      <c r="H645" s="1289"/>
      <c r="I645" s="1289"/>
      <c r="J645" s="1290"/>
      <c r="K645" s="1291"/>
      <c r="L645" s="1292"/>
      <c r="M645" s="1292"/>
      <c r="N645" s="1292"/>
      <c r="O645" s="1292"/>
    </row>
    <row r="646" ht="33.0" customHeight="1">
      <c r="A646" s="1283"/>
      <c r="B646" s="1284"/>
      <c r="C646" s="1285"/>
      <c r="D646" s="1286"/>
      <c r="E646" s="1287"/>
      <c r="F646" s="1283"/>
      <c r="G646" s="1288"/>
      <c r="H646" s="1289"/>
      <c r="I646" s="1289"/>
      <c r="J646" s="1290"/>
      <c r="K646" s="1291"/>
      <c r="L646" s="1292"/>
      <c r="M646" s="1292"/>
      <c r="N646" s="1292"/>
      <c r="O646" s="1292"/>
    </row>
    <row r="647" ht="33.0" customHeight="1">
      <c r="A647" s="1283"/>
      <c r="B647" s="1284"/>
      <c r="C647" s="1285"/>
      <c r="D647" s="1286"/>
      <c r="E647" s="1287"/>
      <c r="F647" s="1283"/>
      <c r="G647" s="1288"/>
      <c r="H647" s="1289"/>
      <c r="I647" s="1289"/>
      <c r="J647" s="1290"/>
      <c r="K647" s="1291"/>
      <c r="L647" s="1292"/>
      <c r="M647" s="1292"/>
      <c r="N647" s="1292"/>
      <c r="O647" s="1292"/>
    </row>
    <row r="648" ht="33.0" customHeight="1">
      <c r="A648" s="1283"/>
      <c r="B648" s="1284"/>
      <c r="C648" s="1285"/>
      <c r="D648" s="1286"/>
      <c r="E648" s="1287"/>
      <c r="F648" s="1283"/>
      <c r="G648" s="1288"/>
      <c r="H648" s="1289"/>
      <c r="I648" s="1289"/>
      <c r="J648" s="1290"/>
      <c r="K648" s="1291"/>
      <c r="L648" s="1292"/>
      <c r="M648" s="1292"/>
      <c r="N648" s="1292"/>
      <c r="O648" s="1292"/>
    </row>
    <row r="649" ht="33.0" customHeight="1">
      <c r="A649" s="1283"/>
      <c r="B649" s="1284"/>
      <c r="C649" s="1285"/>
      <c r="D649" s="1286"/>
      <c r="E649" s="1287"/>
      <c r="F649" s="1283"/>
      <c r="G649" s="1288"/>
      <c r="H649" s="1289"/>
      <c r="I649" s="1289"/>
      <c r="J649" s="1290"/>
      <c r="K649" s="1291"/>
      <c r="L649" s="1292"/>
      <c r="M649" s="1292"/>
      <c r="N649" s="1292"/>
      <c r="O649" s="1292"/>
    </row>
    <row r="650" ht="33.0" customHeight="1">
      <c r="A650" s="1283"/>
      <c r="B650" s="1284"/>
      <c r="C650" s="1285"/>
      <c r="D650" s="1286"/>
      <c r="E650" s="1287"/>
      <c r="F650" s="1283"/>
      <c r="G650" s="1288"/>
      <c r="H650" s="1289"/>
      <c r="I650" s="1289"/>
      <c r="J650" s="1290"/>
      <c r="K650" s="1291"/>
      <c r="L650" s="1292"/>
      <c r="M650" s="1292"/>
      <c r="N650" s="1292"/>
      <c r="O650" s="1292"/>
    </row>
    <row r="651" ht="33.0" customHeight="1">
      <c r="A651" s="1283"/>
      <c r="B651" s="1284"/>
      <c r="C651" s="1285"/>
      <c r="D651" s="1286"/>
      <c r="E651" s="1287"/>
      <c r="F651" s="1283"/>
      <c r="G651" s="1288"/>
      <c r="H651" s="1289"/>
      <c r="I651" s="1289"/>
      <c r="J651" s="1290"/>
      <c r="K651" s="1291"/>
      <c r="L651" s="1292"/>
      <c r="M651" s="1292"/>
      <c r="N651" s="1292"/>
      <c r="O651" s="1292"/>
    </row>
    <row r="652" ht="33.0" customHeight="1">
      <c r="A652" s="1283"/>
      <c r="B652" s="1284"/>
      <c r="C652" s="1285"/>
      <c r="D652" s="1286"/>
      <c r="E652" s="1287"/>
      <c r="F652" s="1283"/>
      <c r="G652" s="1288"/>
      <c r="H652" s="1289"/>
      <c r="I652" s="1289"/>
      <c r="J652" s="1290"/>
      <c r="K652" s="1291"/>
      <c r="L652" s="1292"/>
      <c r="M652" s="1292"/>
      <c r="N652" s="1292"/>
      <c r="O652" s="1292"/>
    </row>
    <row r="653" ht="33.0" customHeight="1">
      <c r="A653" s="1283"/>
      <c r="B653" s="1284"/>
      <c r="C653" s="1285"/>
      <c r="D653" s="1286"/>
      <c r="E653" s="1287"/>
      <c r="F653" s="1283"/>
      <c r="G653" s="1288"/>
      <c r="H653" s="1289"/>
      <c r="I653" s="1289"/>
      <c r="J653" s="1290"/>
      <c r="K653" s="1291"/>
      <c r="L653" s="1292"/>
      <c r="M653" s="1292"/>
      <c r="N653" s="1292"/>
      <c r="O653" s="1292"/>
    </row>
    <row r="654" ht="33.0" customHeight="1">
      <c r="A654" s="1283"/>
      <c r="B654" s="1284"/>
      <c r="C654" s="1285"/>
      <c r="D654" s="1286"/>
      <c r="E654" s="1287"/>
      <c r="F654" s="1283"/>
      <c r="G654" s="1288"/>
      <c r="H654" s="1289"/>
      <c r="I654" s="1289"/>
      <c r="J654" s="1290"/>
      <c r="K654" s="1291"/>
      <c r="L654" s="1292"/>
      <c r="M654" s="1292"/>
      <c r="N654" s="1292"/>
      <c r="O654" s="1292"/>
    </row>
    <row r="655" ht="33.0" customHeight="1">
      <c r="A655" s="1283"/>
      <c r="B655" s="1284"/>
      <c r="C655" s="1285"/>
      <c r="D655" s="1286"/>
      <c r="E655" s="1287"/>
      <c r="F655" s="1283"/>
      <c r="G655" s="1288"/>
      <c r="H655" s="1289"/>
      <c r="I655" s="1289"/>
      <c r="J655" s="1290"/>
      <c r="K655" s="1291"/>
      <c r="L655" s="1292"/>
      <c r="M655" s="1292"/>
      <c r="N655" s="1292"/>
      <c r="O655" s="1292"/>
    </row>
    <row r="656" ht="33.0" customHeight="1">
      <c r="A656" s="1283"/>
      <c r="B656" s="1284"/>
      <c r="C656" s="1285"/>
      <c r="D656" s="1286"/>
      <c r="E656" s="1287"/>
      <c r="F656" s="1283"/>
      <c r="G656" s="1288"/>
      <c r="H656" s="1289"/>
      <c r="I656" s="1289"/>
      <c r="J656" s="1290"/>
      <c r="K656" s="1291"/>
      <c r="L656" s="1292"/>
      <c r="M656" s="1292"/>
      <c r="N656" s="1292"/>
      <c r="O656" s="1292"/>
    </row>
    <row r="657" ht="33.0" customHeight="1">
      <c r="A657" s="1283"/>
      <c r="B657" s="1284"/>
      <c r="C657" s="1285"/>
      <c r="D657" s="1286"/>
      <c r="E657" s="1287"/>
      <c r="F657" s="1283"/>
      <c r="G657" s="1288"/>
      <c r="H657" s="1289"/>
      <c r="I657" s="1289"/>
      <c r="J657" s="1290"/>
      <c r="K657" s="1291"/>
      <c r="L657" s="1292"/>
      <c r="M657" s="1292"/>
      <c r="N657" s="1292"/>
      <c r="O657" s="1292"/>
    </row>
    <row r="658" ht="33.0" customHeight="1">
      <c r="A658" s="1283"/>
      <c r="B658" s="1284"/>
      <c r="C658" s="1285"/>
      <c r="D658" s="1286"/>
      <c r="E658" s="1287"/>
      <c r="F658" s="1283"/>
      <c r="G658" s="1288"/>
      <c r="H658" s="1289"/>
      <c r="I658" s="1289"/>
      <c r="J658" s="1290"/>
      <c r="K658" s="1291"/>
      <c r="L658" s="1292"/>
      <c r="M658" s="1292"/>
      <c r="N658" s="1292"/>
      <c r="O658" s="1292"/>
    </row>
    <row r="659" ht="33.0" customHeight="1">
      <c r="A659" s="1283"/>
      <c r="B659" s="1284"/>
      <c r="C659" s="1285"/>
      <c r="D659" s="1286"/>
      <c r="E659" s="1287"/>
      <c r="F659" s="1283"/>
      <c r="G659" s="1288"/>
      <c r="H659" s="1289"/>
      <c r="I659" s="1289"/>
      <c r="J659" s="1290"/>
      <c r="K659" s="1291"/>
      <c r="L659" s="1292"/>
      <c r="M659" s="1292"/>
      <c r="N659" s="1292"/>
      <c r="O659" s="1292"/>
    </row>
    <row r="660" ht="33.0" customHeight="1">
      <c r="A660" s="1283"/>
      <c r="B660" s="1284"/>
      <c r="C660" s="1285"/>
      <c r="D660" s="1286"/>
      <c r="E660" s="1287"/>
      <c r="F660" s="1283"/>
      <c r="G660" s="1288"/>
      <c r="H660" s="1289"/>
      <c r="I660" s="1289"/>
      <c r="J660" s="1290"/>
      <c r="K660" s="1291"/>
      <c r="L660" s="1292"/>
      <c r="M660" s="1292"/>
      <c r="N660" s="1292"/>
      <c r="O660" s="1292"/>
    </row>
    <row r="661" ht="33.0" customHeight="1">
      <c r="A661" s="1283"/>
      <c r="B661" s="1284"/>
      <c r="C661" s="1285"/>
      <c r="D661" s="1286"/>
      <c r="E661" s="1287"/>
      <c r="F661" s="1283"/>
      <c r="G661" s="1288"/>
      <c r="H661" s="1289"/>
      <c r="I661" s="1289"/>
      <c r="J661" s="1290"/>
      <c r="K661" s="1291"/>
      <c r="L661" s="1292"/>
      <c r="M661" s="1292"/>
      <c r="N661" s="1292"/>
      <c r="O661" s="1292"/>
    </row>
    <row r="662" ht="33.0" customHeight="1">
      <c r="A662" s="1283"/>
      <c r="B662" s="1284"/>
      <c r="C662" s="1285"/>
      <c r="D662" s="1286"/>
      <c r="E662" s="1287"/>
      <c r="F662" s="1283"/>
      <c r="G662" s="1288"/>
      <c r="H662" s="1289"/>
      <c r="I662" s="1289"/>
      <c r="J662" s="1290"/>
      <c r="K662" s="1291"/>
      <c r="L662" s="1292"/>
      <c r="M662" s="1292"/>
      <c r="N662" s="1292"/>
      <c r="O662" s="1292"/>
    </row>
    <row r="663" ht="33.0" customHeight="1">
      <c r="A663" s="1283"/>
      <c r="B663" s="1284"/>
      <c r="C663" s="1285"/>
      <c r="D663" s="1286"/>
      <c r="E663" s="1287"/>
      <c r="F663" s="1283"/>
      <c r="G663" s="1288"/>
      <c r="H663" s="1289"/>
      <c r="I663" s="1289"/>
      <c r="J663" s="1290"/>
      <c r="K663" s="1291"/>
      <c r="L663" s="1292"/>
      <c r="M663" s="1292"/>
      <c r="N663" s="1292"/>
      <c r="O663" s="1292"/>
    </row>
    <row r="664" ht="33.0" customHeight="1">
      <c r="A664" s="1283"/>
      <c r="B664" s="1284"/>
      <c r="C664" s="1285"/>
      <c r="D664" s="1286"/>
      <c r="E664" s="1287"/>
      <c r="F664" s="1283"/>
      <c r="G664" s="1288"/>
      <c r="H664" s="1289"/>
      <c r="I664" s="1289"/>
      <c r="J664" s="1290"/>
      <c r="K664" s="1291"/>
      <c r="L664" s="1292"/>
      <c r="M664" s="1292"/>
      <c r="N664" s="1292"/>
      <c r="O664" s="1292"/>
    </row>
    <row r="665" ht="33.0" customHeight="1">
      <c r="A665" s="1283"/>
      <c r="B665" s="1284"/>
      <c r="C665" s="1285"/>
      <c r="D665" s="1286"/>
      <c r="E665" s="1287"/>
      <c r="F665" s="1283"/>
      <c r="G665" s="1288"/>
      <c r="H665" s="1289"/>
      <c r="I665" s="1289"/>
      <c r="J665" s="1290"/>
      <c r="K665" s="1291"/>
      <c r="L665" s="1292"/>
      <c r="M665" s="1292"/>
      <c r="N665" s="1292"/>
      <c r="O665" s="1292"/>
    </row>
    <row r="666" ht="33.0" customHeight="1">
      <c r="A666" s="1283"/>
      <c r="B666" s="1284"/>
      <c r="C666" s="1285"/>
      <c r="D666" s="1286"/>
      <c r="E666" s="1287"/>
      <c r="F666" s="1283"/>
      <c r="G666" s="1288"/>
      <c r="H666" s="1289"/>
      <c r="I666" s="1289"/>
      <c r="J666" s="1290"/>
      <c r="K666" s="1291"/>
      <c r="L666" s="1292"/>
      <c r="M666" s="1292"/>
      <c r="N666" s="1292"/>
      <c r="O666" s="1292"/>
    </row>
    <row r="667" ht="33.0" customHeight="1">
      <c r="A667" s="1283"/>
      <c r="B667" s="1284"/>
      <c r="C667" s="1285"/>
      <c r="D667" s="1286"/>
      <c r="E667" s="1287"/>
      <c r="F667" s="1283"/>
      <c r="G667" s="1288"/>
      <c r="H667" s="1289"/>
      <c r="I667" s="1289"/>
      <c r="J667" s="1290"/>
      <c r="K667" s="1291"/>
      <c r="L667" s="1292"/>
      <c r="M667" s="1292"/>
      <c r="N667" s="1292"/>
      <c r="O667" s="1292"/>
    </row>
    <row r="668" ht="33.0" customHeight="1">
      <c r="A668" s="1283"/>
      <c r="B668" s="1284"/>
      <c r="C668" s="1285"/>
      <c r="D668" s="1286"/>
      <c r="E668" s="1287"/>
      <c r="F668" s="1283"/>
      <c r="G668" s="1288"/>
      <c r="H668" s="1289"/>
      <c r="I668" s="1289"/>
      <c r="J668" s="1290"/>
      <c r="K668" s="1291"/>
      <c r="L668" s="1292"/>
      <c r="M668" s="1292"/>
      <c r="N668" s="1292"/>
      <c r="O668" s="1292"/>
    </row>
    <row r="669" ht="33.0" customHeight="1">
      <c r="A669" s="1283"/>
      <c r="B669" s="1284"/>
      <c r="C669" s="1285"/>
      <c r="D669" s="1286"/>
      <c r="E669" s="1287"/>
      <c r="F669" s="1283"/>
      <c r="G669" s="1288"/>
      <c r="H669" s="1289"/>
      <c r="I669" s="1289"/>
      <c r="J669" s="1290"/>
      <c r="K669" s="1291"/>
      <c r="L669" s="1292"/>
      <c r="M669" s="1292"/>
      <c r="N669" s="1292"/>
      <c r="O669" s="1292"/>
    </row>
    <row r="670" ht="33.0" customHeight="1">
      <c r="A670" s="1283"/>
      <c r="B670" s="1284"/>
      <c r="C670" s="1285"/>
      <c r="D670" s="1286"/>
      <c r="E670" s="1287"/>
      <c r="F670" s="1283"/>
      <c r="G670" s="1288"/>
      <c r="H670" s="1289"/>
      <c r="I670" s="1289"/>
      <c r="J670" s="1290"/>
      <c r="K670" s="1291"/>
      <c r="L670" s="1292"/>
      <c r="M670" s="1292"/>
      <c r="N670" s="1292"/>
      <c r="O670" s="1292"/>
    </row>
    <row r="671" ht="33.0" customHeight="1">
      <c r="A671" s="1283"/>
      <c r="B671" s="1284"/>
      <c r="C671" s="1285"/>
      <c r="D671" s="1286"/>
      <c r="E671" s="1287"/>
      <c r="F671" s="1283"/>
      <c r="G671" s="1288"/>
      <c r="H671" s="1289"/>
      <c r="I671" s="1289"/>
      <c r="J671" s="1290"/>
      <c r="K671" s="1291"/>
      <c r="L671" s="1292"/>
      <c r="M671" s="1292"/>
      <c r="N671" s="1292"/>
      <c r="O671" s="1292"/>
    </row>
    <row r="672" ht="33.0" customHeight="1">
      <c r="A672" s="1283"/>
      <c r="B672" s="1284"/>
      <c r="C672" s="1285"/>
      <c r="D672" s="1286"/>
      <c r="E672" s="1287"/>
      <c r="F672" s="1283"/>
      <c r="G672" s="1288"/>
      <c r="H672" s="1289"/>
      <c r="I672" s="1289"/>
      <c r="J672" s="1290"/>
      <c r="K672" s="1291"/>
      <c r="L672" s="1292"/>
      <c r="M672" s="1292"/>
      <c r="N672" s="1292"/>
      <c r="O672" s="1292"/>
    </row>
    <row r="673" ht="33.0" customHeight="1">
      <c r="A673" s="1283"/>
      <c r="B673" s="1284"/>
      <c r="C673" s="1285"/>
      <c r="D673" s="1286"/>
      <c r="E673" s="1287"/>
      <c r="F673" s="1283"/>
      <c r="G673" s="1288"/>
      <c r="H673" s="1289"/>
      <c r="I673" s="1289"/>
      <c r="J673" s="1290"/>
      <c r="K673" s="1291"/>
      <c r="L673" s="1292"/>
      <c r="M673" s="1292"/>
      <c r="N673" s="1292"/>
      <c r="O673" s="1292"/>
    </row>
    <row r="674" ht="33.0" customHeight="1">
      <c r="A674" s="1283"/>
      <c r="B674" s="1284"/>
      <c r="C674" s="1285"/>
      <c r="D674" s="1286"/>
      <c r="E674" s="1287"/>
      <c r="F674" s="1283"/>
      <c r="G674" s="1288"/>
      <c r="H674" s="1289"/>
      <c r="I674" s="1289"/>
      <c r="J674" s="1290"/>
      <c r="K674" s="1291"/>
      <c r="L674" s="1292"/>
      <c r="M674" s="1292"/>
      <c r="N674" s="1292"/>
      <c r="O674" s="1292"/>
    </row>
    <row r="675" ht="33.0" customHeight="1">
      <c r="A675" s="1283"/>
      <c r="B675" s="1284"/>
      <c r="C675" s="1285"/>
      <c r="D675" s="1286"/>
      <c r="E675" s="1287"/>
      <c r="F675" s="1283"/>
      <c r="G675" s="1288"/>
      <c r="H675" s="1289"/>
      <c r="I675" s="1289"/>
      <c r="J675" s="1290"/>
      <c r="K675" s="1291"/>
      <c r="L675" s="1292"/>
      <c r="M675" s="1292"/>
      <c r="N675" s="1292"/>
      <c r="O675" s="1292"/>
    </row>
    <row r="676" ht="33.0" customHeight="1">
      <c r="A676" s="1283"/>
      <c r="B676" s="1284"/>
      <c r="C676" s="1285"/>
      <c r="D676" s="1286"/>
      <c r="E676" s="1287"/>
      <c r="F676" s="1283"/>
      <c r="G676" s="1288"/>
      <c r="H676" s="1289"/>
      <c r="I676" s="1289"/>
      <c r="J676" s="1290"/>
      <c r="K676" s="1291"/>
      <c r="L676" s="1292"/>
      <c r="M676" s="1292"/>
      <c r="N676" s="1292"/>
      <c r="O676" s="1292"/>
    </row>
    <row r="677" ht="33.0" customHeight="1">
      <c r="A677" s="1283"/>
      <c r="B677" s="1284"/>
      <c r="C677" s="1285"/>
      <c r="D677" s="1286"/>
      <c r="E677" s="1287"/>
      <c r="F677" s="1283"/>
      <c r="G677" s="1288"/>
      <c r="H677" s="1289"/>
      <c r="I677" s="1289"/>
      <c r="J677" s="1290"/>
      <c r="K677" s="1291"/>
      <c r="L677" s="1292"/>
      <c r="M677" s="1292"/>
      <c r="N677" s="1292"/>
      <c r="O677" s="1292"/>
    </row>
    <row r="678" ht="33.0" customHeight="1">
      <c r="A678" s="1283"/>
      <c r="B678" s="1284"/>
      <c r="C678" s="1285"/>
      <c r="D678" s="1286"/>
      <c r="E678" s="1287"/>
      <c r="F678" s="1283"/>
      <c r="G678" s="1288"/>
      <c r="H678" s="1289"/>
      <c r="I678" s="1289"/>
      <c r="J678" s="1290"/>
      <c r="K678" s="1291"/>
      <c r="L678" s="1292"/>
      <c r="M678" s="1292"/>
      <c r="N678" s="1292"/>
      <c r="O678" s="1292"/>
    </row>
    <row r="679" ht="33.0" customHeight="1">
      <c r="A679" s="1283"/>
      <c r="B679" s="1284"/>
      <c r="C679" s="1285"/>
      <c r="D679" s="1286"/>
      <c r="E679" s="1287"/>
      <c r="F679" s="1283"/>
      <c r="G679" s="1288"/>
      <c r="H679" s="1289"/>
      <c r="I679" s="1289"/>
      <c r="J679" s="1290"/>
      <c r="K679" s="1291"/>
      <c r="L679" s="1292"/>
      <c r="M679" s="1292"/>
      <c r="N679" s="1292"/>
      <c r="O679" s="1292"/>
    </row>
    <row r="680" ht="33.0" customHeight="1">
      <c r="A680" s="1283"/>
      <c r="B680" s="1284"/>
      <c r="C680" s="1285"/>
      <c r="D680" s="1286"/>
      <c r="E680" s="1287"/>
      <c r="F680" s="1283"/>
      <c r="G680" s="1288"/>
      <c r="H680" s="1289"/>
      <c r="I680" s="1289"/>
      <c r="J680" s="1290"/>
      <c r="K680" s="1291"/>
      <c r="L680" s="1292"/>
      <c r="M680" s="1292"/>
      <c r="N680" s="1292"/>
      <c r="O680" s="1292"/>
    </row>
    <row r="681" ht="33.0" customHeight="1">
      <c r="A681" s="1283"/>
      <c r="B681" s="1284"/>
      <c r="C681" s="1285"/>
      <c r="D681" s="1286"/>
      <c r="E681" s="1287"/>
      <c r="F681" s="1283"/>
      <c r="G681" s="1288"/>
      <c r="H681" s="1289"/>
      <c r="I681" s="1289"/>
      <c r="J681" s="1290"/>
      <c r="K681" s="1291"/>
      <c r="L681" s="1292"/>
      <c r="M681" s="1292"/>
      <c r="N681" s="1292"/>
      <c r="O681" s="1292"/>
    </row>
    <row r="682" ht="33.0" customHeight="1">
      <c r="A682" s="1283"/>
      <c r="B682" s="1284"/>
      <c r="C682" s="1285"/>
      <c r="D682" s="1286"/>
      <c r="E682" s="1287"/>
      <c r="F682" s="1283"/>
      <c r="G682" s="1288"/>
      <c r="H682" s="1289"/>
      <c r="I682" s="1289"/>
      <c r="J682" s="1290"/>
      <c r="K682" s="1291"/>
      <c r="L682" s="1292"/>
      <c r="M682" s="1292"/>
      <c r="N682" s="1292"/>
      <c r="O682" s="1292"/>
    </row>
    <row r="683" ht="33.0" customHeight="1">
      <c r="A683" s="1283"/>
      <c r="B683" s="1284"/>
      <c r="C683" s="1285"/>
      <c r="D683" s="1286"/>
      <c r="E683" s="1287"/>
      <c r="F683" s="1283"/>
      <c r="G683" s="1288"/>
      <c r="H683" s="1289"/>
      <c r="I683" s="1289"/>
      <c r="J683" s="1290"/>
      <c r="K683" s="1291"/>
      <c r="L683" s="1292"/>
      <c r="M683" s="1292"/>
      <c r="N683" s="1292"/>
      <c r="O683" s="1292"/>
    </row>
    <row r="684" ht="33.0" customHeight="1">
      <c r="A684" s="1283"/>
      <c r="B684" s="1284"/>
      <c r="C684" s="1285"/>
      <c r="D684" s="1286"/>
      <c r="E684" s="1287"/>
      <c r="F684" s="1283"/>
      <c r="G684" s="1288"/>
      <c r="H684" s="1289"/>
      <c r="I684" s="1289"/>
      <c r="J684" s="1290"/>
      <c r="K684" s="1291"/>
      <c r="L684" s="1292"/>
      <c r="M684" s="1292"/>
      <c r="N684" s="1292"/>
      <c r="O684" s="1292"/>
    </row>
    <row r="685" ht="33.0" customHeight="1">
      <c r="A685" s="1283"/>
      <c r="B685" s="1284"/>
      <c r="C685" s="1285"/>
      <c r="D685" s="1286"/>
      <c r="E685" s="1287"/>
      <c r="F685" s="1283"/>
      <c r="G685" s="1288"/>
      <c r="H685" s="1289"/>
      <c r="I685" s="1289"/>
      <c r="J685" s="1290"/>
      <c r="K685" s="1291"/>
      <c r="L685" s="1292"/>
      <c r="M685" s="1292"/>
      <c r="N685" s="1292"/>
      <c r="O685" s="1292"/>
    </row>
    <row r="686" ht="33.0" customHeight="1">
      <c r="A686" s="1283"/>
      <c r="B686" s="1284"/>
      <c r="C686" s="1285"/>
      <c r="D686" s="1286"/>
      <c r="E686" s="1287"/>
      <c r="F686" s="1283"/>
      <c r="G686" s="1288"/>
      <c r="H686" s="1289"/>
      <c r="I686" s="1289"/>
      <c r="J686" s="1290"/>
      <c r="K686" s="1291"/>
      <c r="L686" s="1292"/>
      <c r="M686" s="1292"/>
      <c r="N686" s="1292"/>
      <c r="O686" s="1292"/>
    </row>
    <row r="687" ht="33.0" customHeight="1">
      <c r="A687" s="1283"/>
      <c r="B687" s="1284"/>
      <c r="C687" s="1285"/>
      <c r="D687" s="1286"/>
      <c r="E687" s="1287"/>
      <c r="F687" s="1283"/>
      <c r="G687" s="1288"/>
      <c r="H687" s="1289"/>
      <c r="I687" s="1289"/>
      <c r="J687" s="1290"/>
      <c r="K687" s="1291"/>
      <c r="L687" s="1292"/>
      <c r="M687" s="1292"/>
      <c r="N687" s="1292"/>
      <c r="O687" s="1292"/>
    </row>
    <row r="688" ht="33.0" customHeight="1">
      <c r="A688" s="1283"/>
      <c r="B688" s="1284"/>
      <c r="C688" s="1285"/>
      <c r="D688" s="1286"/>
      <c r="E688" s="1287"/>
      <c r="F688" s="1283"/>
      <c r="G688" s="1288"/>
      <c r="H688" s="1289"/>
      <c r="I688" s="1289"/>
      <c r="J688" s="1290"/>
      <c r="K688" s="1291"/>
      <c r="L688" s="1292"/>
      <c r="M688" s="1292"/>
      <c r="N688" s="1292"/>
      <c r="O688" s="1292"/>
    </row>
    <row r="689" ht="33.0" customHeight="1">
      <c r="A689" s="1283"/>
      <c r="B689" s="1284"/>
      <c r="C689" s="1285"/>
      <c r="D689" s="1286"/>
      <c r="E689" s="1287"/>
      <c r="F689" s="1283"/>
      <c r="G689" s="1288"/>
      <c r="H689" s="1289"/>
      <c r="I689" s="1289"/>
      <c r="J689" s="1290"/>
      <c r="K689" s="1291"/>
      <c r="L689" s="1292"/>
      <c r="M689" s="1292"/>
      <c r="N689" s="1292"/>
      <c r="O689" s="1292"/>
    </row>
    <row r="690" ht="33.0" customHeight="1">
      <c r="A690" s="1283"/>
      <c r="B690" s="1284"/>
      <c r="C690" s="1285"/>
      <c r="D690" s="1286"/>
      <c r="E690" s="1287"/>
      <c r="F690" s="1283"/>
      <c r="G690" s="1288"/>
      <c r="H690" s="1289"/>
      <c r="I690" s="1289"/>
      <c r="J690" s="1290"/>
      <c r="K690" s="1291"/>
      <c r="L690" s="1292"/>
      <c r="M690" s="1292"/>
      <c r="N690" s="1292"/>
      <c r="O690" s="1292"/>
    </row>
    <row r="691" ht="33.0" customHeight="1">
      <c r="A691" s="1283"/>
      <c r="B691" s="1284"/>
      <c r="C691" s="1285"/>
      <c r="D691" s="1286"/>
      <c r="E691" s="1287"/>
      <c r="F691" s="1283"/>
      <c r="G691" s="1288"/>
      <c r="H691" s="1289"/>
      <c r="I691" s="1289"/>
      <c r="J691" s="1290"/>
      <c r="K691" s="1291"/>
      <c r="L691" s="1292"/>
      <c r="M691" s="1292"/>
      <c r="N691" s="1292"/>
      <c r="O691" s="1292"/>
    </row>
    <row r="692" ht="33.0" customHeight="1">
      <c r="A692" s="1283"/>
      <c r="B692" s="1284"/>
      <c r="C692" s="1285"/>
      <c r="D692" s="1286"/>
      <c r="E692" s="1287"/>
      <c r="F692" s="1283"/>
      <c r="G692" s="1288"/>
      <c r="H692" s="1289"/>
      <c r="I692" s="1289"/>
      <c r="J692" s="1290"/>
      <c r="K692" s="1291"/>
      <c r="L692" s="1292"/>
      <c r="M692" s="1292"/>
      <c r="N692" s="1292"/>
      <c r="O692" s="1292"/>
    </row>
    <row r="693" ht="33.0" customHeight="1">
      <c r="A693" s="1283"/>
      <c r="B693" s="1284"/>
      <c r="C693" s="1285"/>
      <c r="D693" s="1286"/>
      <c r="E693" s="1287"/>
      <c r="F693" s="1283"/>
      <c r="G693" s="1288"/>
      <c r="H693" s="1289"/>
      <c r="I693" s="1289"/>
      <c r="J693" s="1290"/>
      <c r="K693" s="1291"/>
      <c r="L693" s="1292"/>
      <c r="M693" s="1292"/>
      <c r="N693" s="1292"/>
      <c r="O693" s="1292"/>
    </row>
    <row r="694" ht="33.0" customHeight="1">
      <c r="A694" s="1283"/>
      <c r="B694" s="1284"/>
      <c r="C694" s="1285"/>
      <c r="D694" s="1286"/>
      <c r="E694" s="1287"/>
      <c r="F694" s="1283"/>
      <c r="G694" s="1288"/>
      <c r="H694" s="1289"/>
      <c r="I694" s="1289"/>
      <c r="J694" s="1290"/>
      <c r="K694" s="1291"/>
      <c r="L694" s="1292"/>
      <c r="M694" s="1292"/>
      <c r="N694" s="1292"/>
      <c r="O694" s="1292"/>
    </row>
    <row r="695" ht="33.0" customHeight="1">
      <c r="A695" s="1283"/>
      <c r="B695" s="1284"/>
      <c r="C695" s="1285"/>
      <c r="D695" s="1286"/>
      <c r="E695" s="1287"/>
      <c r="F695" s="1283"/>
      <c r="G695" s="1288"/>
      <c r="H695" s="1289"/>
      <c r="I695" s="1289"/>
      <c r="J695" s="1290"/>
      <c r="K695" s="1291"/>
      <c r="L695" s="1292"/>
      <c r="M695" s="1292"/>
      <c r="N695" s="1292"/>
      <c r="O695" s="1292"/>
    </row>
    <row r="696" ht="33.0" customHeight="1">
      <c r="A696" s="1283"/>
      <c r="B696" s="1284"/>
      <c r="C696" s="1285"/>
      <c r="D696" s="1286"/>
      <c r="E696" s="1287"/>
      <c r="F696" s="1283"/>
      <c r="G696" s="1288"/>
      <c r="H696" s="1289"/>
      <c r="I696" s="1289"/>
      <c r="J696" s="1290"/>
      <c r="K696" s="1291"/>
      <c r="L696" s="1292"/>
      <c r="M696" s="1292"/>
      <c r="N696" s="1292"/>
      <c r="O696" s="1292"/>
    </row>
    <row r="697" ht="33.0" customHeight="1">
      <c r="A697" s="1283"/>
      <c r="B697" s="1284"/>
      <c r="C697" s="1285"/>
      <c r="D697" s="1286"/>
      <c r="E697" s="1287"/>
      <c r="F697" s="1283"/>
      <c r="G697" s="1288"/>
      <c r="H697" s="1289"/>
      <c r="I697" s="1289"/>
      <c r="J697" s="1290"/>
      <c r="K697" s="1291"/>
      <c r="L697" s="1292"/>
      <c r="M697" s="1292"/>
      <c r="N697" s="1292"/>
      <c r="O697" s="1292"/>
    </row>
    <row r="698" ht="33.0" customHeight="1">
      <c r="A698" s="1283"/>
      <c r="B698" s="1284"/>
      <c r="C698" s="1285"/>
      <c r="D698" s="1286"/>
      <c r="E698" s="1287"/>
      <c r="F698" s="1283"/>
      <c r="G698" s="1288"/>
      <c r="H698" s="1289"/>
      <c r="I698" s="1289"/>
      <c r="J698" s="1290"/>
      <c r="K698" s="1291"/>
      <c r="L698" s="1292"/>
      <c r="M698" s="1292"/>
      <c r="N698" s="1292"/>
      <c r="O698" s="1292"/>
    </row>
    <row r="699" ht="33.0" customHeight="1">
      <c r="A699" s="1283"/>
      <c r="B699" s="1284"/>
      <c r="C699" s="1285"/>
      <c r="D699" s="1286"/>
      <c r="E699" s="1287"/>
      <c r="F699" s="1283"/>
      <c r="G699" s="1288"/>
      <c r="H699" s="1289"/>
      <c r="I699" s="1289"/>
      <c r="J699" s="1290"/>
      <c r="K699" s="1291"/>
      <c r="L699" s="1292"/>
      <c r="M699" s="1292"/>
      <c r="N699" s="1292"/>
      <c r="O699" s="1292"/>
    </row>
    <row r="700" ht="33.0" customHeight="1">
      <c r="A700" s="1283"/>
      <c r="B700" s="1284"/>
      <c r="C700" s="1285"/>
      <c r="D700" s="1286"/>
      <c r="E700" s="1287"/>
      <c r="F700" s="1283"/>
      <c r="G700" s="1288"/>
      <c r="H700" s="1289"/>
      <c r="I700" s="1289"/>
      <c r="J700" s="1290"/>
      <c r="K700" s="1291"/>
      <c r="L700" s="1292"/>
      <c r="M700" s="1292"/>
      <c r="N700" s="1292"/>
      <c r="O700" s="1292"/>
    </row>
    <row r="701" ht="33.0" customHeight="1">
      <c r="A701" s="1283"/>
      <c r="B701" s="1284"/>
      <c r="C701" s="1285"/>
      <c r="D701" s="1286"/>
      <c r="E701" s="1287"/>
      <c r="F701" s="1283"/>
      <c r="G701" s="1288"/>
      <c r="H701" s="1289"/>
      <c r="I701" s="1289"/>
      <c r="J701" s="1290"/>
      <c r="K701" s="1291"/>
      <c r="L701" s="1292"/>
      <c r="M701" s="1292"/>
      <c r="N701" s="1292"/>
      <c r="O701" s="1292"/>
    </row>
    <row r="702" ht="33.0" customHeight="1">
      <c r="A702" s="1283"/>
      <c r="B702" s="1284"/>
      <c r="C702" s="1285"/>
      <c r="D702" s="1286"/>
      <c r="E702" s="1287"/>
      <c r="F702" s="1283"/>
      <c r="G702" s="1288"/>
      <c r="H702" s="1289"/>
      <c r="I702" s="1289"/>
      <c r="J702" s="1290"/>
      <c r="K702" s="1291"/>
      <c r="L702" s="1292"/>
      <c r="M702" s="1292"/>
      <c r="N702" s="1292"/>
      <c r="O702" s="1292"/>
    </row>
    <row r="703" ht="33.0" customHeight="1">
      <c r="A703" s="1283"/>
      <c r="B703" s="1284"/>
      <c r="C703" s="1285"/>
      <c r="D703" s="1286"/>
      <c r="E703" s="1287"/>
      <c r="F703" s="1283"/>
      <c r="G703" s="1288"/>
      <c r="H703" s="1289"/>
      <c r="I703" s="1289"/>
      <c r="J703" s="1290"/>
      <c r="K703" s="1291"/>
      <c r="L703" s="1292"/>
      <c r="M703" s="1292"/>
      <c r="N703" s="1292"/>
      <c r="O703" s="1292"/>
    </row>
    <row r="704" ht="33.0" customHeight="1">
      <c r="A704" s="1283"/>
      <c r="B704" s="1284"/>
      <c r="C704" s="1285"/>
      <c r="D704" s="1286"/>
      <c r="E704" s="1287"/>
      <c r="F704" s="1283"/>
      <c r="G704" s="1288"/>
      <c r="H704" s="1289"/>
      <c r="I704" s="1289"/>
      <c r="J704" s="1290"/>
      <c r="K704" s="1291"/>
      <c r="L704" s="1292"/>
      <c r="M704" s="1292"/>
      <c r="N704" s="1292"/>
      <c r="O704" s="1292"/>
    </row>
    <row r="705" ht="33.0" customHeight="1">
      <c r="A705" s="1283"/>
      <c r="B705" s="1284"/>
      <c r="C705" s="1285"/>
      <c r="D705" s="1286"/>
      <c r="E705" s="1287"/>
      <c r="F705" s="1283"/>
      <c r="G705" s="1288"/>
      <c r="H705" s="1289"/>
      <c r="I705" s="1289"/>
      <c r="J705" s="1290"/>
      <c r="K705" s="1291"/>
      <c r="L705" s="1292"/>
      <c r="M705" s="1292"/>
      <c r="N705" s="1292"/>
      <c r="O705" s="1292"/>
    </row>
    <row r="706" ht="33.0" customHeight="1">
      <c r="A706" s="1283"/>
      <c r="B706" s="1284"/>
      <c r="C706" s="1285"/>
      <c r="D706" s="1286"/>
      <c r="E706" s="1287"/>
      <c r="F706" s="1283"/>
      <c r="G706" s="1288"/>
      <c r="H706" s="1289"/>
      <c r="I706" s="1289"/>
      <c r="J706" s="1290"/>
      <c r="K706" s="1291"/>
      <c r="L706" s="1292"/>
      <c r="M706" s="1292"/>
      <c r="N706" s="1292"/>
      <c r="O706" s="1292"/>
    </row>
    <row r="707" ht="33.0" customHeight="1">
      <c r="A707" s="1283"/>
      <c r="B707" s="1284"/>
      <c r="C707" s="1285"/>
      <c r="D707" s="1286"/>
      <c r="E707" s="1287"/>
      <c r="F707" s="1283"/>
      <c r="G707" s="1288"/>
      <c r="H707" s="1289"/>
      <c r="I707" s="1289"/>
      <c r="J707" s="1290"/>
      <c r="K707" s="1291"/>
      <c r="L707" s="1292"/>
      <c r="M707" s="1292"/>
      <c r="N707" s="1292"/>
      <c r="O707" s="1292"/>
    </row>
    <row r="708" ht="33.0" customHeight="1">
      <c r="A708" s="1283"/>
      <c r="B708" s="1284"/>
      <c r="C708" s="1285"/>
      <c r="D708" s="1286"/>
      <c r="E708" s="1287"/>
      <c r="F708" s="1283"/>
      <c r="G708" s="1288"/>
      <c r="H708" s="1289"/>
      <c r="I708" s="1289"/>
      <c r="J708" s="1290"/>
      <c r="K708" s="1291"/>
      <c r="L708" s="1292"/>
      <c r="M708" s="1292"/>
      <c r="N708" s="1292"/>
      <c r="O708" s="1292"/>
    </row>
    <row r="709" ht="33.0" customHeight="1">
      <c r="A709" s="1283"/>
      <c r="B709" s="1284"/>
      <c r="C709" s="1285"/>
      <c r="D709" s="1286"/>
      <c r="E709" s="1287"/>
      <c r="F709" s="1283"/>
      <c r="G709" s="1288"/>
      <c r="H709" s="1289"/>
      <c r="I709" s="1289"/>
      <c r="J709" s="1290"/>
      <c r="K709" s="1291"/>
      <c r="L709" s="1292"/>
      <c r="M709" s="1292"/>
      <c r="N709" s="1292"/>
      <c r="O709" s="1292"/>
    </row>
    <row r="710" ht="33.0" customHeight="1">
      <c r="A710" s="1283"/>
      <c r="B710" s="1284"/>
      <c r="C710" s="1285"/>
      <c r="D710" s="1286"/>
      <c r="E710" s="1287"/>
      <c r="F710" s="1283"/>
      <c r="G710" s="1288"/>
      <c r="H710" s="1289"/>
      <c r="I710" s="1289"/>
      <c r="J710" s="1290"/>
      <c r="K710" s="1291"/>
      <c r="L710" s="1292"/>
      <c r="M710" s="1292"/>
      <c r="N710" s="1292"/>
      <c r="O710" s="1292"/>
    </row>
    <row r="711" ht="33.0" customHeight="1">
      <c r="A711" s="1283"/>
      <c r="B711" s="1284"/>
      <c r="C711" s="1285"/>
      <c r="D711" s="1286"/>
      <c r="E711" s="1287"/>
      <c r="F711" s="1283"/>
      <c r="G711" s="1288"/>
      <c r="H711" s="1289"/>
      <c r="I711" s="1289"/>
      <c r="J711" s="1290"/>
      <c r="K711" s="1291"/>
      <c r="L711" s="1292"/>
      <c r="M711" s="1292"/>
      <c r="N711" s="1292"/>
      <c r="O711" s="1292"/>
    </row>
    <row r="712" ht="33.0" customHeight="1">
      <c r="A712" s="1283"/>
      <c r="B712" s="1284"/>
      <c r="C712" s="1285"/>
      <c r="D712" s="1286"/>
      <c r="E712" s="1287"/>
      <c r="F712" s="1283"/>
      <c r="G712" s="1288"/>
      <c r="H712" s="1289"/>
      <c r="I712" s="1289"/>
      <c r="J712" s="1290"/>
      <c r="K712" s="1291"/>
      <c r="L712" s="1292"/>
      <c r="M712" s="1292"/>
      <c r="N712" s="1292"/>
      <c r="O712" s="1292"/>
    </row>
    <row r="713" ht="33.0" customHeight="1">
      <c r="A713" s="1283"/>
      <c r="B713" s="1284"/>
      <c r="C713" s="1285"/>
      <c r="D713" s="1286"/>
      <c r="E713" s="1287"/>
      <c r="F713" s="1283"/>
      <c r="G713" s="1288"/>
      <c r="H713" s="1289"/>
      <c r="I713" s="1289"/>
      <c r="J713" s="1290"/>
      <c r="K713" s="1291"/>
      <c r="L713" s="1292"/>
      <c r="M713" s="1292"/>
      <c r="N713" s="1292"/>
      <c r="O713" s="1292"/>
    </row>
    <row r="714" ht="33.0" customHeight="1">
      <c r="A714" s="1283"/>
      <c r="B714" s="1284"/>
      <c r="C714" s="1285"/>
      <c r="D714" s="1286"/>
      <c r="E714" s="1287"/>
      <c r="F714" s="1283"/>
      <c r="G714" s="1288"/>
      <c r="H714" s="1289"/>
      <c r="I714" s="1289"/>
      <c r="J714" s="1290"/>
      <c r="K714" s="1291"/>
      <c r="L714" s="1292"/>
      <c r="M714" s="1292"/>
      <c r="N714" s="1292"/>
      <c r="O714" s="1292"/>
    </row>
    <row r="715" ht="33.0" customHeight="1">
      <c r="A715" s="1283"/>
      <c r="B715" s="1284"/>
      <c r="C715" s="1285"/>
      <c r="D715" s="1286"/>
      <c r="E715" s="1287"/>
      <c r="F715" s="1283"/>
      <c r="G715" s="1288"/>
      <c r="H715" s="1289"/>
      <c r="I715" s="1289"/>
      <c r="J715" s="1290"/>
      <c r="K715" s="1291"/>
      <c r="L715" s="1292"/>
      <c r="M715" s="1292"/>
      <c r="N715" s="1292"/>
      <c r="O715" s="1292"/>
    </row>
    <row r="716" ht="33.0" customHeight="1">
      <c r="A716" s="1283"/>
      <c r="B716" s="1284"/>
      <c r="C716" s="1285"/>
      <c r="D716" s="1286"/>
      <c r="E716" s="1287"/>
      <c r="F716" s="1283"/>
      <c r="G716" s="1288"/>
      <c r="H716" s="1289"/>
      <c r="I716" s="1289"/>
      <c r="J716" s="1290"/>
      <c r="K716" s="1291"/>
      <c r="L716" s="1292"/>
      <c r="M716" s="1292"/>
      <c r="N716" s="1292"/>
      <c r="O716" s="1292"/>
    </row>
    <row r="717" ht="33.0" customHeight="1">
      <c r="A717" s="1283"/>
      <c r="B717" s="1284"/>
      <c r="C717" s="1285"/>
      <c r="D717" s="1286"/>
      <c r="E717" s="1287"/>
      <c r="F717" s="1283"/>
      <c r="G717" s="1288"/>
      <c r="H717" s="1289"/>
      <c r="I717" s="1289"/>
      <c r="J717" s="1290"/>
      <c r="K717" s="1291"/>
      <c r="L717" s="1292"/>
      <c r="M717" s="1292"/>
      <c r="N717" s="1292"/>
      <c r="O717" s="1292"/>
    </row>
    <row r="718" ht="33.0" customHeight="1">
      <c r="A718" s="1283"/>
      <c r="B718" s="1284"/>
      <c r="C718" s="1285"/>
      <c r="D718" s="1286"/>
      <c r="E718" s="1287"/>
      <c r="F718" s="1283"/>
      <c r="G718" s="1288"/>
      <c r="H718" s="1289"/>
      <c r="I718" s="1289"/>
      <c r="J718" s="1290"/>
      <c r="K718" s="1291"/>
      <c r="L718" s="1292"/>
      <c r="M718" s="1292"/>
      <c r="N718" s="1292"/>
      <c r="O718" s="1292"/>
    </row>
    <row r="719" ht="33.0" customHeight="1">
      <c r="A719" s="1283"/>
      <c r="B719" s="1284"/>
      <c r="C719" s="1285"/>
      <c r="D719" s="1286"/>
      <c r="E719" s="1287"/>
      <c r="F719" s="1283"/>
      <c r="G719" s="1288"/>
      <c r="H719" s="1289"/>
      <c r="I719" s="1289"/>
      <c r="J719" s="1290"/>
      <c r="K719" s="1291"/>
      <c r="L719" s="1292"/>
      <c r="M719" s="1292"/>
      <c r="N719" s="1292"/>
      <c r="O719" s="1292"/>
    </row>
    <row r="720" ht="33.0" customHeight="1">
      <c r="A720" s="1283"/>
      <c r="B720" s="1284"/>
      <c r="C720" s="1285"/>
      <c r="D720" s="1286"/>
      <c r="E720" s="1287"/>
      <c r="F720" s="1283"/>
      <c r="G720" s="1288"/>
      <c r="H720" s="1289"/>
      <c r="I720" s="1289"/>
      <c r="J720" s="1290"/>
      <c r="K720" s="1291"/>
      <c r="L720" s="1292"/>
      <c r="M720" s="1292"/>
      <c r="N720" s="1292"/>
      <c r="O720" s="1292"/>
    </row>
    <row r="721" ht="33.0" customHeight="1">
      <c r="A721" s="1283"/>
      <c r="B721" s="1284"/>
      <c r="C721" s="1285"/>
      <c r="D721" s="1286"/>
      <c r="E721" s="1287"/>
      <c r="F721" s="1283"/>
      <c r="G721" s="1288"/>
      <c r="H721" s="1289"/>
      <c r="I721" s="1289"/>
      <c r="J721" s="1290"/>
      <c r="K721" s="1291"/>
      <c r="L721" s="1292"/>
      <c r="M721" s="1292"/>
      <c r="N721" s="1292"/>
      <c r="O721" s="1292"/>
    </row>
    <row r="722" ht="33.0" customHeight="1">
      <c r="A722" s="1283"/>
      <c r="B722" s="1284"/>
      <c r="C722" s="1285"/>
      <c r="D722" s="1286"/>
      <c r="E722" s="1287"/>
      <c r="F722" s="1283"/>
      <c r="G722" s="1288"/>
      <c r="H722" s="1289"/>
      <c r="I722" s="1289"/>
      <c r="J722" s="1290"/>
      <c r="K722" s="1291"/>
      <c r="L722" s="1292"/>
      <c r="M722" s="1292"/>
      <c r="N722" s="1292"/>
      <c r="O722" s="1292"/>
    </row>
    <row r="723" ht="33.0" customHeight="1">
      <c r="A723" s="1283"/>
      <c r="B723" s="1284"/>
      <c r="C723" s="1285"/>
      <c r="D723" s="1286"/>
      <c r="E723" s="1287"/>
      <c r="F723" s="1283"/>
      <c r="G723" s="1288"/>
      <c r="H723" s="1289"/>
      <c r="I723" s="1289"/>
      <c r="J723" s="1290"/>
      <c r="K723" s="1291"/>
      <c r="L723" s="1292"/>
      <c r="M723" s="1292"/>
      <c r="N723" s="1292"/>
      <c r="O723" s="1292"/>
    </row>
    <row r="724" ht="33.0" customHeight="1">
      <c r="A724" s="1283"/>
      <c r="B724" s="1284"/>
      <c r="C724" s="1285"/>
      <c r="D724" s="1286"/>
      <c r="E724" s="1287"/>
      <c r="F724" s="1283"/>
      <c r="G724" s="1288"/>
      <c r="H724" s="1289"/>
      <c r="I724" s="1289"/>
      <c r="J724" s="1290"/>
      <c r="K724" s="1291"/>
      <c r="L724" s="1292"/>
      <c r="M724" s="1292"/>
      <c r="N724" s="1292"/>
      <c r="O724" s="1292"/>
    </row>
    <row r="725" ht="33.0" customHeight="1">
      <c r="A725" s="1283"/>
      <c r="B725" s="1284"/>
      <c r="C725" s="1285"/>
      <c r="D725" s="1286"/>
      <c r="E725" s="1287"/>
      <c r="F725" s="1283"/>
      <c r="G725" s="1288"/>
      <c r="H725" s="1289"/>
      <c r="I725" s="1289"/>
      <c r="J725" s="1290"/>
      <c r="K725" s="1291"/>
      <c r="L725" s="1292"/>
      <c r="M725" s="1292"/>
      <c r="N725" s="1292"/>
      <c r="O725" s="1292"/>
    </row>
    <row r="726" ht="33.0" customHeight="1">
      <c r="A726" s="1283"/>
      <c r="B726" s="1284"/>
      <c r="C726" s="1285"/>
      <c r="D726" s="1286"/>
      <c r="E726" s="1287"/>
      <c r="F726" s="1283"/>
      <c r="G726" s="1288"/>
      <c r="H726" s="1289"/>
      <c r="I726" s="1289"/>
      <c r="J726" s="1290"/>
      <c r="K726" s="1291"/>
      <c r="L726" s="1292"/>
      <c r="M726" s="1292"/>
      <c r="N726" s="1292"/>
      <c r="O726" s="1292"/>
    </row>
    <row r="727" ht="33.0" customHeight="1">
      <c r="A727" s="1283"/>
      <c r="B727" s="1284"/>
      <c r="C727" s="1285"/>
      <c r="D727" s="1286"/>
      <c r="E727" s="1287"/>
      <c r="F727" s="1283"/>
      <c r="G727" s="1288"/>
      <c r="H727" s="1289"/>
      <c r="I727" s="1289"/>
      <c r="J727" s="1290"/>
      <c r="K727" s="1291"/>
      <c r="L727" s="1292"/>
      <c r="M727" s="1292"/>
      <c r="N727" s="1292"/>
      <c r="O727" s="1292"/>
    </row>
    <row r="728" ht="33.0" customHeight="1">
      <c r="A728" s="1283"/>
      <c r="B728" s="1284"/>
      <c r="C728" s="1285"/>
      <c r="D728" s="1286"/>
      <c r="E728" s="1287"/>
      <c r="F728" s="1283"/>
      <c r="G728" s="1288"/>
      <c r="H728" s="1289"/>
      <c r="I728" s="1289"/>
      <c r="J728" s="1290"/>
      <c r="K728" s="1291"/>
      <c r="L728" s="1292"/>
      <c r="M728" s="1292"/>
      <c r="N728" s="1292"/>
      <c r="O728" s="1292"/>
    </row>
    <row r="729" ht="33.0" customHeight="1">
      <c r="A729" s="1283"/>
      <c r="B729" s="1284"/>
      <c r="C729" s="1285"/>
      <c r="D729" s="1286"/>
      <c r="E729" s="1287"/>
      <c r="F729" s="1283"/>
      <c r="G729" s="1288"/>
      <c r="H729" s="1289"/>
      <c r="I729" s="1289"/>
      <c r="J729" s="1290"/>
      <c r="K729" s="1291"/>
      <c r="L729" s="1292"/>
      <c r="M729" s="1292"/>
      <c r="N729" s="1292"/>
      <c r="O729" s="1292"/>
    </row>
    <row r="730" ht="33.0" customHeight="1">
      <c r="A730" s="1283"/>
      <c r="B730" s="1284"/>
      <c r="C730" s="1285"/>
      <c r="D730" s="1286"/>
      <c r="E730" s="1287"/>
      <c r="F730" s="1283"/>
      <c r="G730" s="1288"/>
      <c r="H730" s="1289"/>
      <c r="I730" s="1289"/>
      <c r="J730" s="1290"/>
      <c r="K730" s="1291"/>
      <c r="L730" s="1292"/>
      <c r="M730" s="1292"/>
      <c r="N730" s="1292"/>
      <c r="O730" s="1292"/>
    </row>
    <row r="731" ht="33.0" customHeight="1">
      <c r="A731" s="1283"/>
      <c r="B731" s="1284"/>
      <c r="C731" s="1285"/>
      <c r="D731" s="1286"/>
      <c r="E731" s="1287"/>
      <c r="F731" s="1283"/>
      <c r="G731" s="1288"/>
      <c r="H731" s="1289"/>
      <c r="I731" s="1289"/>
      <c r="J731" s="1290"/>
      <c r="K731" s="1291"/>
      <c r="L731" s="1292"/>
      <c r="M731" s="1292"/>
      <c r="N731" s="1292"/>
      <c r="O731" s="1292"/>
    </row>
    <row r="732" ht="33.0" customHeight="1">
      <c r="A732" s="1283"/>
      <c r="B732" s="1284"/>
      <c r="C732" s="1285"/>
      <c r="D732" s="1286"/>
      <c r="E732" s="1287"/>
      <c r="F732" s="1283"/>
      <c r="G732" s="1288"/>
      <c r="H732" s="1289"/>
      <c r="I732" s="1289"/>
      <c r="J732" s="1290"/>
      <c r="K732" s="1291"/>
      <c r="L732" s="1292"/>
      <c r="M732" s="1292"/>
      <c r="N732" s="1292"/>
      <c r="O732" s="1292"/>
    </row>
    <row r="733" ht="33.0" customHeight="1">
      <c r="A733" s="1283"/>
      <c r="B733" s="1284"/>
      <c r="C733" s="1285"/>
      <c r="D733" s="1286"/>
      <c r="E733" s="1287"/>
      <c r="F733" s="1283"/>
      <c r="G733" s="1288"/>
      <c r="H733" s="1289"/>
      <c r="I733" s="1289"/>
      <c r="J733" s="1290"/>
      <c r="K733" s="1291"/>
      <c r="L733" s="1292"/>
      <c r="M733" s="1292"/>
      <c r="N733" s="1292"/>
      <c r="O733" s="1292"/>
    </row>
    <row r="734" ht="33.0" customHeight="1">
      <c r="A734" s="1283"/>
      <c r="B734" s="1284"/>
      <c r="C734" s="1285"/>
      <c r="D734" s="1286"/>
      <c r="E734" s="1287"/>
      <c r="F734" s="1283"/>
      <c r="G734" s="1288"/>
      <c r="H734" s="1289"/>
      <c r="I734" s="1289"/>
      <c r="J734" s="1290"/>
      <c r="K734" s="1291"/>
      <c r="L734" s="1292"/>
      <c r="M734" s="1292"/>
      <c r="N734" s="1292"/>
      <c r="O734" s="1292"/>
    </row>
    <row r="735" ht="33.0" customHeight="1">
      <c r="A735" s="1283"/>
      <c r="B735" s="1284"/>
      <c r="C735" s="1285"/>
      <c r="D735" s="1286"/>
      <c r="E735" s="1287"/>
      <c r="F735" s="1283"/>
      <c r="G735" s="1288"/>
      <c r="H735" s="1289"/>
      <c r="I735" s="1289"/>
      <c r="J735" s="1290"/>
      <c r="K735" s="1291"/>
      <c r="L735" s="1292"/>
      <c r="M735" s="1292"/>
      <c r="N735" s="1292"/>
      <c r="O735" s="1292"/>
    </row>
    <row r="736" ht="33.0" customHeight="1">
      <c r="A736" s="1283"/>
      <c r="B736" s="1284"/>
      <c r="C736" s="1285"/>
      <c r="D736" s="1286"/>
      <c r="E736" s="1287"/>
      <c r="F736" s="1283"/>
      <c r="G736" s="1288"/>
      <c r="H736" s="1289"/>
      <c r="I736" s="1289"/>
      <c r="J736" s="1290"/>
      <c r="K736" s="1291"/>
      <c r="L736" s="1292"/>
      <c r="M736" s="1292"/>
      <c r="N736" s="1292"/>
      <c r="O736" s="1292"/>
    </row>
    <row r="737" ht="33.0" customHeight="1">
      <c r="A737" s="1283"/>
      <c r="B737" s="1284"/>
      <c r="C737" s="1285"/>
      <c r="D737" s="1286"/>
      <c r="E737" s="1287"/>
      <c r="F737" s="1283"/>
      <c r="G737" s="1288"/>
      <c r="H737" s="1289"/>
      <c r="I737" s="1289"/>
      <c r="J737" s="1290"/>
      <c r="K737" s="1291"/>
      <c r="L737" s="1292"/>
      <c r="M737" s="1292"/>
      <c r="N737" s="1292"/>
      <c r="O737" s="1292"/>
    </row>
    <row r="738" ht="33.0" customHeight="1">
      <c r="A738" s="1283"/>
      <c r="B738" s="1284"/>
      <c r="C738" s="1285"/>
      <c r="D738" s="1286"/>
      <c r="E738" s="1287"/>
      <c r="F738" s="1283"/>
      <c r="G738" s="1288"/>
      <c r="H738" s="1289"/>
      <c r="I738" s="1289"/>
      <c r="J738" s="1290"/>
      <c r="K738" s="1291"/>
      <c r="L738" s="1292"/>
      <c r="M738" s="1292"/>
      <c r="N738" s="1292"/>
      <c r="O738" s="1292"/>
    </row>
    <row r="739" ht="33.0" customHeight="1">
      <c r="A739" s="1283"/>
      <c r="B739" s="1284"/>
      <c r="C739" s="1285"/>
      <c r="D739" s="1286"/>
      <c r="E739" s="1287"/>
      <c r="F739" s="1283"/>
      <c r="G739" s="1288"/>
      <c r="H739" s="1289"/>
      <c r="I739" s="1289"/>
      <c r="J739" s="1290"/>
      <c r="K739" s="1291"/>
      <c r="L739" s="1292"/>
      <c r="M739" s="1292"/>
      <c r="N739" s="1292"/>
      <c r="O739" s="1292"/>
    </row>
    <row r="740" ht="33.0" customHeight="1">
      <c r="A740" s="1283"/>
      <c r="B740" s="1284"/>
      <c r="C740" s="1285"/>
      <c r="D740" s="1286"/>
      <c r="E740" s="1287"/>
      <c r="F740" s="1283"/>
      <c r="G740" s="1288"/>
      <c r="H740" s="1289"/>
      <c r="I740" s="1289"/>
      <c r="J740" s="1290"/>
      <c r="K740" s="1291"/>
      <c r="L740" s="1292"/>
      <c r="M740" s="1292"/>
      <c r="N740" s="1292"/>
      <c r="O740" s="1292"/>
    </row>
    <row r="741" ht="33.0" customHeight="1">
      <c r="A741" s="1283"/>
      <c r="B741" s="1284"/>
      <c r="C741" s="1285"/>
      <c r="D741" s="1286"/>
      <c r="E741" s="1287"/>
      <c r="F741" s="1283"/>
      <c r="G741" s="1288"/>
      <c r="H741" s="1289"/>
      <c r="I741" s="1289"/>
      <c r="J741" s="1290"/>
      <c r="K741" s="1291"/>
      <c r="L741" s="1292"/>
      <c r="M741" s="1292"/>
      <c r="N741" s="1292"/>
      <c r="O741" s="1292"/>
    </row>
    <row r="742" ht="33.0" customHeight="1">
      <c r="A742" s="1283"/>
      <c r="B742" s="1284"/>
      <c r="C742" s="1285"/>
      <c r="D742" s="1286"/>
      <c r="E742" s="1287"/>
      <c r="F742" s="1283"/>
      <c r="G742" s="1288"/>
      <c r="H742" s="1289"/>
      <c r="I742" s="1289"/>
      <c r="J742" s="1290"/>
      <c r="K742" s="1291"/>
      <c r="L742" s="1292"/>
      <c r="M742" s="1292"/>
      <c r="N742" s="1292"/>
      <c r="O742" s="1292"/>
    </row>
    <row r="743" ht="33.0" customHeight="1">
      <c r="A743" s="1283"/>
      <c r="B743" s="1284"/>
      <c r="C743" s="1285"/>
      <c r="D743" s="1286"/>
      <c r="E743" s="1287"/>
      <c r="F743" s="1283"/>
      <c r="G743" s="1288"/>
      <c r="H743" s="1289"/>
      <c r="I743" s="1289"/>
      <c r="J743" s="1290"/>
      <c r="K743" s="1291"/>
      <c r="L743" s="1292"/>
      <c r="M743" s="1292"/>
      <c r="N743" s="1292"/>
      <c r="O743" s="1292"/>
    </row>
    <row r="744" ht="33.0" customHeight="1">
      <c r="A744" s="1283"/>
      <c r="B744" s="1284"/>
      <c r="C744" s="1285"/>
      <c r="D744" s="1286"/>
      <c r="E744" s="1287"/>
      <c r="F744" s="1283"/>
      <c r="G744" s="1288"/>
      <c r="H744" s="1289"/>
      <c r="I744" s="1289"/>
      <c r="J744" s="1290"/>
      <c r="K744" s="1291"/>
      <c r="L744" s="1292"/>
      <c r="M744" s="1292"/>
      <c r="N744" s="1292"/>
      <c r="O744" s="1292"/>
    </row>
    <row r="745" ht="33.0" customHeight="1">
      <c r="A745" s="1283"/>
      <c r="B745" s="1284"/>
      <c r="C745" s="1285"/>
      <c r="D745" s="1286"/>
      <c r="E745" s="1287"/>
      <c r="F745" s="1283"/>
      <c r="G745" s="1288"/>
      <c r="H745" s="1289"/>
      <c r="I745" s="1289"/>
      <c r="J745" s="1290"/>
      <c r="K745" s="1291"/>
      <c r="L745" s="1292"/>
      <c r="M745" s="1292"/>
      <c r="N745" s="1292"/>
      <c r="O745" s="1292"/>
    </row>
    <row r="746" ht="33.0" customHeight="1">
      <c r="A746" s="1283"/>
      <c r="B746" s="1284"/>
      <c r="C746" s="1285"/>
      <c r="D746" s="1286"/>
      <c r="E746" s="1287"/>
      <c r="F746" s="1283"/>
      <c r="G746" s="1288"/>
      <c r="H746" s="1289"/>
      <c r="I746" s="1289"/>
      <c r="J746" s="1290"/>
      <c r="K746" s="1291"/>
      <c r="L746" s="1292"/>
      <c r="M746" s="1292"/>
      <c r="N746" s="1292"/>
      <c r="O746" s="1292"/>
    </row>
    <row r="747" ht="33.0" customHeight="1">
      <c r="A747" s="1283"/>
      <c r="B747" s="1284"/>
      <c r="C747" s="1285"/>
      <c r="D747" s="1286"/>
      <c r="E747" s="1287"/>
      <c r="F747" s="1283"/>
      <c r="G747" s="1288"/>
      <c r="H747" s="1289"/>
      <c r="I747" s="1289"/>
      <c r="J747" s="1290"/>
      <c r="K747" s="1291"/>
      <c r="L747" s="1292"/>
      <c r="M747" s="1292"/>
      <c r="N747" s="1292"/>
      <c r="O747" s="1292"/>
    </row>
    <row r="748" ht="33.0" customHeight="1">
      <c r="A748" s="1283"/>
      <c r="B748" s="1284"/>
      <c r="C748" s="1285"/>
      <c r="D748" s="1286"/>
      <c r="E748" s="1287"/>
      <c r="F748" s="1283"/>
      <c r="G748" s="1288"/>
      <c r="H748" s="1289"/>
      <c r="I748" s="1289"/>
      <c r="J748" s="1290"/>
      <c r="K748" s="1291"/>
      <c r="L748" s="1292"/>
      <c r="M748" s="1292"/>
      <c r="N748" s="1292"/>
      <c r="O748" s="1292"/>
    </row>
    <row r="749" ht="33.0" customHeight="1">
      <c r="A749" s="1283"/>
      <c r="B749" s="1284"/>
      <c r="C749" s="1285"/>
      <c r="D749" s="1286"/>
      <c r="E749" s="1287"/>
      <c r="F749" s="1283"/>
      <c r="G749" s="1288"/>
      <c r="H749" s="1289"/>
      <c r="I749" s="1289"/>
      <c r="J749" s="1290"/>
      <c r="K749" s="1291"/>
      <c r="L749" s="1292"/>
      <c r="M749" s="1292"/>
      <c r="N749" s="1292"/>
      <c r="O749" s="1292"/>
    </row>
    <row r="750" ht="33.0" customHeight="1">
      <c r="A750" s="1283"/>
      <c r="B750" s="1284"/>
      <c r="C750" s="1285"/>
      <c r="D750" s="1286"/>
      <c r="E750" s="1287"/>
      <c r="F750" s="1283"/>
      <c r="G750" s="1288"/>
      <c r="H750" s="1289"/>
      <c r="I750" s="1289"/>
      <c r="J750" s="1290"/>
      <c r="K750" s="1291"/>
      <c r="L750" s="1292"/>
      <c r="M750" s="1292"/>
      <c r="N750" s="1292"/>
      <c r="O750" s="1292"/>
    </row>
    <row r="751" ht="33.0" customHeight="1">
      <c r="A751" s="1283"/>
      <c r="B751" s="1284"/>
      <c r="C751" s="1285"/>
      <c r="D751" s="1286"/>
      <c r="E751" s="1287"/>
      <c r="F751" s="1283"/>
      <c r="G751" s="1288"/>
      <c r="H751" s="1289"/>
      <c r="I751" s="1289"/>
      <c r="J751" s="1290"/>
      <c r="K751" s="1291"/>
      <c r="L751" s="1292"/>
      <c r="M751" s="1292"/>
      <c r="N751" s="1292"/>
      <c r="O751" s="1292"/>
    </row>
    <row r="752" ht="33.0" customHeight="1">
      <c r="A752" s="1283"/>
      <c r="B752" s="1284"/>
      <c r="C752" s="1285"/>
      <c r="D752" s="1286"/>
      <c r="E752" s="1287"/>
      <c r="F752" s="1283"/>
      <c r="G752" s="1288"/>
      <c r="H752" s="1289"/>
      <c r="I752" s="1289"/>
      <c r="J752" s="1290"/>
      <c r="K752" s="1291"/>
      <c r="L752" s="1292"/>
      <c r="M752" s="1292"/>
      <c r="N752" s="1292"/>
      <c r="O752" s="1292"/>
    </row>
    <row r="753" ht="33.0" customHeight="1">
      <c r="A753" s="1283"/>
      <c r="B753" s="1284"/>
      <c r="C753" s="1285"/>
      <c r="D753" s="1286"/>
      <c r="E753" s="1287"/>
      <c r="F753" s="1283"/>
      <c r="G753" s="1288"/>
      <c r="H753" s="1289"/>
      <c r="I753" s="1289"/>
      <c r="J753" s="1290"/>
      <c r="K753" s="1291"/>
      <c r="L753" s="1292"/>
      <c r="M753" s="1292"/>
      <c r="N753" s="1292"/>
      <c r="O753" s="1292"/>
    </row>
    <row r="754" ht="33.0" customHeight="1">
      <c r="A754" s="1283"/>
      <c r="B754" s="1284"/>
      <c r="C754" s="1285"/>
      <c r="D754" s="1286"/>
      <c r="E754" s="1287"/>
      <c r="F754" s="1283"/>
      <c r="G754" s="1288"/>
      <c r="H754" s="1289"/>
      <c r="I754" s="1289"/>
      <c r="J754" s="1290"/>
      <c r="K754" s="1291"/>
      <c r="L754" s="1292"/>
      <c r="M754" s="1292"/>
      <c r="N754" s="1292"/>
      <c r="O754" s="1292"/>
    </row>
    <row r="755" ht="33.0" customHeight="1">
      <c r="A755" s="1283"/>
      <c r="B755" s="1284"/>
      <c r="C755" s="1285"/>
      <c r="D755" s="1286"/>
      <c r="E755" s="1287"/>
      <c r="F755" s="1283"/>
      <c r="G755" s="1288"/>
      <c r="H755" s="1289"/>
      <c r="I755" s="1289"/>
      <c r="J755" s="1290"/>
      <c r="K755" s="1291"/>
      <c r="L755" s="1292"/>
      <c r="M755" s="1292"/>
      <c r="N755" s="1292"/>
      <c r="O755" s="1292"/>
    </row>
    <row r="756" ht="33.0" customHeight="1">
      <c r="A756" s="1283"/>
      <c r="B756" s="1284"/>
      <c r="C756" s="1285"/>
      <c r="D756" s="1286"/>
      <c r="E756" s="1287"/>
      <c r="F756" s="1283"/>
      <c r="G756" s="1288"/>
      <c r="H756" s="1289"/>
      <c r="I756" s="1289"/>
      <c r="J756" s="1290"/>
      <c r="K756" s="1291"/>
      <c r="L756" s="1292"/>
      <c r="M756" s="1292"/>
      <c r="N756" s="1292"/>
      <c r="O756" s="1292"/>
    </row>
    <row r="757" ht="33.0" customHeight="1">
      <c r="A757" s="1283"/>
      <c r="B757" s="1284"/>
      <c r="C757" s="1285"/>
      <c r="D757" s="1286"/>
      <c r="E757" s="1287"/>
      <c r="F757" s="1283"/>
      <c r="G757" s="1288"/>
      <c r="H757" s="1289"/>
      <c r="I757" s="1289"/>
      <c r="J757" s="1290"/>
      <c r="K757" s="1291"/>
      <c r="L757" s="1292"/>
      <c r="M757" s="1292"/>
      <c r="N757" s="1292"/>
      <c r="O757" s="1292"/>
    </row>
    <row r="758" ht="33.0" customHeight="1">
      <c r="A758" s="1283"/>
      <c r="B758" s="1284"/>
      <c r="C758" s="1285"/>
      <c r="D758" s="1286"/>
      <c r="E758" s="1287"/>
      <c r="F758" s="1283"/>
      <c r="G758" s="1288"/>
      <c r="H758" s="1289"/>
      <c r="I758" s="1289"/>
      <c r="J758" s="1290"/>
      <c r="K758" s="1291"/>
      <c r="L758" s="1292"/>
      <c r="M758" s="1292"/>
      <c r="N758" s="1292"/>
      <c r="O758" s="1292"/>
    </row>
    <row r="759" ht="33.0" customHeight="1">
      <c r="A759" s="1283"/>
      <c r="B759" s="1284"/>
      <c r="C759" s="1285"/>
      <c r="D759" s="1286"/>
      <c r="E759" s="1287"/>
      <c r="F759" s="1283"/>
      <c r="G759" s="1288"/>
      <c r="H759" s="1289"/>
      <c r="I759" s="1289"/>
      <c r="J759" s="1290"/>
      <c r="K759" s="1291"/>
      <c r="L759" s="1292"/>
      <c r="M759" s="1292"/>
      <c r="N759" s="1292"/>
      <c r="O759" s="1292"/>
    </row>
    <row r="760" ht="33.0" customHeight="1">
      <c r="A760" s="1283"/>
      <c r="B760" s="1284"/>
      <c r="C760" s="1285"/>
      <c r="D760" s="1286"/>
      <c r="E760" s="1287"/>
      <c r="F760" s="1283"/>
      <c r="G760" s="1288"/>
      <c r="H760" s="1289"/>
      <c r="I760" s="1289"/>
      <c r="J760" s="1290"/>
      <c r="K760" s="1291"/>
      <c r="L760" s="1292"/>
      <c r="M760" s="1292"/>
      <c r="N760" s="1292"/>
      <c r="O760" s="1292"/>
    </row>
    <row r="761" ht="33.0" customHeight="1">
      <c r="A761" s="1283"/>
      <c r="B761" s="1284"/>
      <c r="C761" s="1285"/>
      <c r="D761" s="1286"/>
      <c r="E761" s="1287"/>
      <c r="F761" s="1283"/>
      <c r="G761" s="1288"/>
      <c r="H761" s="1289"/>
      <c r="I761" s="1289"/>
      <c r="J761" s="1290"/>
      <c r="K761" s="1291"/>
      <c r="L761" s="1292"/>
      <c r="M761" s="1292"/>
      <c r="N761" s="1292"/>
      <c r="O761" s="1292"/>
    </row>
    <row r="762" ht="33.0" customHeight="1">
      <c r="A762" s="1283"/>
      <c r="B762" s="1284"/>
      <c r="C762" s="1285"/>
      <c r="D762" s="1286"/>
      <c r="E762" s="1287"/>
      <c r="F762" s="1283"/>
      <c r="G762" s="1288"/>
      <c r="H762" s="1289"/>
      <c r="I762" s="1289"/>
      <c r="J762" s="1290"/>
      <c r="K762" s="1291"/>
      <c r="L762" s="1292"/>
      <c r="M762" s="1292"/>
      <c r="N762" s="1292"/>
      <c r="O762" s="1292"/>
    </row>
    <row r="763" ht="33.0" customHeight="1">
      <c r="A763" s="1283"/>
      <c r="B763" s="1284"/>
      <c r="C763" s="1285"/>
      <c r="D763" s="1286"/>
      <c r="E763" s="1287"/>
      <c r="F763" s="1283"/>
      <c r="G763" s="1288"/>
      <c r="H763" s="1289"/>
      <c r="I763" s="1289"/>
      <c r="J763" s="1290"/>
      <c r="K763" s="1291"/>
      <c r="L763" s="1292"/>
      <c r="M763" s="1292"/>
      <c r="N763" s="1292"/>
      <c r="O763" s="1292"/>
    </row>
    <row r="764" ht="33.0" customHeight="1">
      <c r="A764" s="1283"/>
      <c r="B764" s="1284"/>
      <c r="C764" s="1285"/>
      <c r="D764" s="1286"/>
      <c r="E764" s="1287"/>
      <c r="F764" s="1283"/>
      <c r="G764" s="1288"/>
      <c r="H764" s="1289"/>
      <c r="I764" s="1289"/>
      <c r="J764" s="1290"/>
      <c r="K764" s="1291"/>
      <c r="L764" s="1292"/>
      <c r="M764" s="1292"/>
      <c r="N764" s="1292"/>
      <c r="O764" s="1292"/>
    </row>
    <row r="765" ht="33.0" customHeight="1">
      <c r="A765" s="1283"/>
      <c r="B765" s="1284"/>
      <c r="C765" s="1285"/>
      <c r="D765" s="1286"/>
      <c r="E765" s="1287"/>
      <c r="F765" s="1283"/>
      <c r="G765" s="1288"/>
      <c r="H765" s="1289"/>
      <c r="I765" s="1289"/>
      <c r="J765" s="1290"/>
      <c r="K765" s="1291"/>
      <c r="L765" s="1292"/>
      <c r="M765" s="1292"/>
      <c r="N765" s="1292"/>
      <c r="O765" s="1292"/>
    </row>
    <row r="766" ht="33.0" customHeight="1">
      <c r="A766" s="1283"/>
      <c r="B766" s="1284"/>
      <c r="C766" s="1285"/>
      <c r="D766" s="1286"/>
      <c r="E766" s="1287"/>
      <c r="F766" s="1283"/>
      <c r="G766" s="1288"/>
      <c r="H766" s="1289"/>
      <c r="I766" s="1289"/>
      <c r="J766" s="1290"/>
      <c r="K766" s="1291"/>
      <c r="L766" s="1292"/>
      <c r="M766" s="1292"/>
      <c r="N766" s="1292"/>
      <c r="O766" s="1292"/>
    </row>
    <row r="767" ht="33.0" customHeight="1">
      <c r="A767" s="1283"/>
      <c r="B767" s="1284"/>
      <c r="C767" s="1285"/>
      <c r="D767" s="1286"/>
      <c r="E767" s="1287"/>
      <c r="F767" s="1283"/>
      <c r="G767" s="1288"/>
      <c r="H767" s="1289"/>
      <c r="I767" s="1289"/>
      <c r="J767" s="1290"/>
      <c r="K767" s="1291"/>
      <c r="L767" s="1292"/>
      <c r="M767" s="1292"/>
      <c r="N767" s="1292"/>
      <c r="O767" s="1292"/>
    </row>
    <row r="768" ht="33.0" customHeight="1">
      <c r="A768" s="1283"/>
      <c r="B768" s="1284"/>
      <c r="C768" s="1285"/>
      <c r="D768" s="1286"/>
      <c r="E768" s="1287"/>
      <c r="F768" s="1283"/>
      <c r="G768" s="1288"/>
      <c r="H768" s="1289"/>
      <c r="I768" s="1289"/>
      <c r="J768" s="1290"/>
      <c r="K768" s="1291"/>
      <c r="L768" s="1292"/>
      <c r="M768" s="1292"/>
      <c r="N768" s="1292"/>
      <c r="O768" s="1292"/>
    </row>
    <row r="769" ht="33.0" customHeight="1">
      <c r="A769" s="1283"/>
      <c r="B769" s="1284"/>
      <c r="C769" s="1285"/>
      <c r="D769" s="1286"/>
      <c r="E769" s="1287"/>
      <c r="F769" s="1283"/>
      <c r="G769" s="1288"/>
      <c r="H769" s="1289"/>
      <c r="I769" s="1289"/>
      <c r="J769" s="1290"/>
      <c r="K769" s="1291"/>
      <c r="L769" s="1292"/>
      <c r="M769" s="1292"/>
      <c r="N769" s="1292"/>
      <c r="O769" s="1292"/>
    </row>
    <row r="770" ht="33.0" customHeight="1">
      <c r="A770" s="1283"/>
      <c r="B770" s="1284"/>
      <c r="C770" s="1285"/>
      <c r="D770" s="1286"/>
      <c r="E770" s="1287"/>
      <c r="F770" s="1283"/>
      <c r="G770" s="1288"/>
      <c r="H770" s="1289"/>
      <c r="I770" s="1289"/>
      <c r="J770" s="1290"/>
      <c r="K770" s="1291"/>
      <c r="L770" s="1292"/>
      <c r="M770" s="1292"/>
      <c r="N770" s="1292"/>
      <c r="O770" s="1292"/>
    </row>
    <row r="771" ht="33.0" customHeight="1">
      <c r="A771" s="1283"/>
      <c r="B771" s="1284"/>
      <c r="C771" s="1285"/>
      <c r="D771" s="1286"/>
      <c r="E771" s="1287"/>
      <c r="F771" s="1283"/>
      <c r="G771" s="1288"/>
      <c r="H771" s="1289"/>
      <c r="I771" s="1289"/>
      <c r="J771" s="1290"/>
      <c r="K771" s="1291"/>
      <c r="L771" s="1292"/>
      <c r="M771" s="1292"/>
      <c r="N771" s="1292"/>
      <c r="O771" s="1292"/>
    </row>
    <row r="772" ht="33.0" customHeight="1">
      <c r="A772" s="1283"/>
      <c r="B772" s="1284"/>
      <c r="C772" s="1285"/>
      <c r="D772" s="1286"/>
      <c r="E772" s="1287"/>
      <c r="F772" s="1283"/>
      <c r="G772" s="1288"/>
      <c r="H772" s="1289"/>
      <c r="I772" s="1289"/>
      <c r="J772" s="1290"/>
      <c r="K772" s="1291"/>
      <c r="L772" s="1292"/>
      <c r="M772" s="1292"/>
      <c r="N772" s="1292"/>
      <c r="O772" s="1292"/>
    </row>
    <row r="773" ht="33.0" customHeight="1">
      <c r="A773" s="1283"/>
      <c r="B773" s="1284"/>
      <c r="C773" s="1285"/>
      <c r="D773" s="1286"/>
      <c r="E773" s="1287"/>
      <c r="F773" s="1283"/>
      <c r="G773" s="1288"/>
      <c r="H773" s="1289"/>
      <c r="I773" s="1289"/>
      <c r="J773" s="1290"/>
      <c r="K773" s="1291"/>
      <c r="L773" s="1292"/>
      <c r="M773" s="1292"/>
      <c r="N773" s="1292"/>
      <c r="O773" s="1292"/>
    </row>
    <row r="774" ht="33.0" customHeight="1">
      <c r="A774" s="1283"/>
      <c r="B774" s="1284"/>
      <c r="C774" s="1285"/>
      <c r="D774" s="1286"/>
      <c r="E774" s="1287"/>
      <c r="F774" s="1283"/>
      <c r="G774" s="1288"/>
      <c r="H774" s="1289"/>
      <c r="I774" s="1289"/>
      <c r="J774" s="1290"/>
      <c r="K774" s="1291"/>
      <c r="L774" s="1292"/>
      <c r="M774" s="1292"/>
      <c r="N774" s="1292"/>
      <c r="O774" s="1292"/>
    </row>
    <row r="775" ht="33.0" customHeight="1">
      <c r="A775" s="1283"/>
      <c r="B775" s="1284"/>
      <c r="C775" s="1285"/>
      <c r="D775" s="1286"/>
      <c r="E775" s="1287"/>
      <c r="F775" s="1283"/>
      <c r="G775" s="1288"/>
      <c r="H775" s="1289"/>
      <c r="I775" s="1289"/>
      <c r="J775" s="1290"/>
      <c r="K775" s="1291"/>
      <c r="L775" s="1292"/>
      <c r="M775" s="1292"/>
      <c r="N775" s="1292"/>
      <c r="O775" s="1292"/>
    </row>
    <row r="776" ht="33.0" customHeight="1">
      <c r="A776" s="1283"/>
      <c r="B776" s="1284"/>
      <c r="C776" s="1285"/>
      <c r="D776" s="1286"/>
      <c r="E776" s="1287"/>
      <c r="F776" s="1283"/>
      <c r="G776" s="1288"/>
      <c r="H776" s="1289"/>
      <c r="I776" s="1289"/>
      <c r="J776" s="1290"/>
      <c r="K776" s="1291"/>
      <c r="L776" s="1292"/>
      <c r="M776" s="1292"/>
      <c r="N776" s="1292"/>
      <c r="O776" s="1292"/>
    </row>
    <row r="777" ht="33.0" customHeight="1">
      <c r="A777" s="1283"/>
      <c r="B777" s="1284"/>
      <c r="C777" s="1285"/>
      <c r="D777" s="1286"/>
      <c r="E777" s="1287"/>
      <c r="F777" s="1283"/>
      <c r="G777" s="1288"/>
      <c r="H777" s="1289"/>
      <c r="I777" s="1289"/>
      <c r="J777" s="1290"/>
      <c r="K777" s="1291"/>
      <c r="L777" s="1292"/>
      <c r="M777" s="1292"/>
      <c r="N777" s="1292"/>
      <c r="O777" s="1292"/>
    </row>
    <row r="778" ht="33.0" customHeight="1">
      <c r="A778" s="1283"/>
      <c r="B778" s="1284"/>
      <c r="C778" s="1285"/>
      <c r="D778" s="1286"/>
      <c r="E778" s="1287"/>
      <c r="F778" s="1283"/>
      <c r="G778" s="1288"/>
      <c r="H778" s="1289"/>
      <c r="I778" s="1289"/>
      <c r="J778" s="1290"/>
      <c r="K778" s="1291"/>
      <c r="L778" s="1292"/>
      <c r="M778" s="1292"/>
      <c r="N778" s="1292"/>
      <c r="O778" s="1292"/>
    </row>
    <row r="779" ht="33.0" customHeight="1">
      <c r="A779" s="1283"/>
      <c r="B779" s="1284"/>
      <c r="C779" s="1285"/>
      <c r="D779" s="1286"/>
      <c r="E779" s="1287"/>
      <c r="F779" s="1283"/>
      <c r="G779" s="1288"/>
      <c r="H779" s="1289"/>
      <c r="I779" s="1289"/>
      <c r="J779" s="1290"/>
      <c r="K779" s="1291"/>
      <c r="L779" s="1292"/>
      <c r="M779" s="1292"/>
      <c r="N779" s="1292"/>
      <c r="O779" s="1292"/>
    </row>
    <row r="780" ht="33.0" customHeight="1">
      <c r="A780" s="1283"/>
      <c r="B780" s="1284"/>
      <c r="C780" s="1285"/>
      <c r="D780" s="1286"/>
      <c r="E780" s="1287"/>
      <c r="F780" s="1283"/>
      <c r="G780" s="1288"/>
      <c r="H780" s="1289"/>
      <c r="I780" s="1289"/>
      <c r="J780" s="1290"/>
      <c r="K780" s="1291"/>
      <c r="L780" s="1292"/>
      <c r="M780" s="1292"/>
      <c r="N780" s="1292"/>
      <c r="O780" s="1292"/>
    </row>
    <row r="781" ht="33.0" customHeight="1">
      <c r="A781" s="1283"/>
      <c r="B781" s="1284"/>
      <c r="C781" s="1285"/>
      <c r="D781" s="1286"/>
      <c r="E781" s="1287"/>
      <c r="F781" s="1283"/>
      <c r="G781" s="1288"/>
      <c r="H781" s="1289"/>
      <c r="I781" s="1289"/>
      <c r="J781" s="1290"/>
      <c r="K781" s="1291"/>
      <c r="L781" s="1292"/>
      <c r="M781" s="1292"/>
      <c r="N781" s="1292"/>
      <c r="O781" s="1292"/>
    </row>
    <row r="782" ht="33.0" customHeight="1">
      <c r="A782" s="1283"/>
      <c r="B782" s="1284"/>
      <c r="C782" s="1285"/>
      <c r="D782" s="1286"/>
      <c r="E782" s="1287"/>
      <c r="F782" s="1283"/>
      <c r="G782" s="1288"/>
      <c r="H782" s="1289"/>
      <c r="I782" s="1289"/>
      <c r="J782" s="1290"/>
      <c r="K782" s="1291"/>
      <c r="L782" s="1292"/>
      <c r="M782" s="1292"/>
      <c r="N782" s="1292"/>
      <c r="O782" s="1292"/>
    </row>
    <row r="783" ht="33.0" customHeight="1">
      <c r="A783" s="1283"/>
      <c r="B783" s="1284"/>
      <c r="C783" s="1285"/>
      <c r="D783" s="1286"/>
      <c r="E783" s="1287"/>
      <c r="F783" s="1283"/>
      <c r="G783" s="1288"/>
      <c r="H783" s="1289"/>
      <c r="I783" s="1289"/>
      <c r="J783" s="1290"/>
      <c r="K783" s="1291"/>
      <c r="L783" s="1292"/>
      <c r="M783" s="1292"/>
      <c r="N783" s="1292"/>
      <c r="O783" s="1292"/>
    </row>
    <row r="784" ht="33.0" customHeight="1">
      <c r="A784" s="1283"/>
      <c r="B784" s="1284"/>
      <c r="C784" s="1285"/>
      <c r="D784" s="1286"/>
      <c r="E784" s="1287"/>
      <c r="F784" s="1283"/>
      <c r="G784" s="1288"/>
      <c r="H784" s="1289"/>
      <c r="I784" s="1289"/>
      <c r="J784" s="1290"/>
      <c r="K784" s="1291"/>
      <c r="L784" s="1292"/>
      <c r="M784" s="1292"/>
      <c r="N784" s="1292"/>
      <c r="O784" s="1292"/>
    </row>
    <row r="785" ht="33.0" customHeight="1">
      <c r="A785" s="1283"/>
      <c r="B785" s="1284"/>
      <c r="C785" s="1285"/>
      <c r="D785" s="1286"/>
      <c r="E785" s="1287"/>
      <c r="F785" s="1283"/>
      <c r="G785" s="1288"/>
      <c r="H785" s="1289"/>
      <c r="I785" s="1289"/>
      <c r="J785" s="1290"/>
      <c r="K785" s="1291"/>
      <c r="L785" s="1292"/>
      <c r="M785" s="1292"/>
      <c r="N785" s="1292"/>
      <c r="O785" s="1292"/>
    </row>
    <row r="786" ht="33.0" customHeight="1">
      <c r="A786" s="1283"/>
      <c r="B786" s="1284"/>
      <c r="C786" s="1285"/>
      <c r="D786" s="1286"/>
      <c r="E786" s="1287"/>
      <c r="F786" s="1283"/>
      <c r="G786" s="1288"/>
      <c r="H786" s="1289"/>
      <c r="I786" s="1289"/>
      <c r="J786" s="1290"/>
      <c r="K786" s="1291"/>
      <c r="L786" s="1292"/>
      <c r="M786" s="1292"/>
      <c r="N786" s="1292"/>
      <c r="O786" s="1292"/>
    </row>
    <row r="787" ht="33.0" customHeight="1">
      <c r="A787" s="1283"/>
      <c r="B787" s="1284"/>
      <c r="C787" s="1285"/>
      <c r="D787" s="1286"/>
      <c r="E787" s="1287"/>
      <c r="F787" s="1283"/>
      <c r="G787" s="1288"/>
      <c r="H787" s="1289"/>
      <c r="I787" s="1289"/>
      <c r="J787" s="1290"/>
      <c r="K787" s="1291"/>
      <c r="L787" s="1292"/>
      <c r="M787" s="1292"/>
      <c r="N787" s="1292"/>
      <c r="O787" s="1292"/>
    </row>
    <row r="788" ht="33.0" customHeight="1">
      <c r="A788" s="1283"/>
      <c r="B788" s="1284"/>
      <c r="C788" s="1285"/>
      <c r="D788" s="1286"/>
      <c r="E788" s="1287"/>
      <c r="F788" s="1283"/>
      <c r="G788" s="1288"/>
      <c r="H788" s="1289"/>
      <c r="I788" s="1289"/>
      <c r="J788" s="1290"/>
      <c r="K788" s="1291"/>
      <c r="L788" s="1292"/>
      <c r="M788" s="1292"/>
      <c r="N788" s="1292"/>
      <c r="O788" s="1292"/>
    </row>
    <row r="789" ht="33.0" customHeight="1">
      <c r="A789" s="1283"/>
      <c r="B789" s="1284"/>
      <c r="C789" s="1285"/>
      <c r="D789" s="1286"/>
      <c r="E789" s="1287"/>
      <c r="F789" s="1283"/>
      <c r="G789" s="1288"/>
      <c r="H789" s="1289"/>
      <c r="I789" s="1289"/>
      <c r="J789" s="1290"/>
      <c r="K789" s="1291"/>
      <c r="L789" s="1292"/>
      <c r="M789" s="1292"/>
      <c r="N789" s="1292"/>
      <c r="O789" s="1292"/>
    </row>
    <row r="790" ht="33.0" customHeight="1">
      <c r="A790" s="1283"/>
      <c r="B790" s="1284"/>
      <c r="C790" s="1285"/>
      <c r="D790" s="1286"/>
      <c r="E790" s="1287"/>
      <c r="F790" s="1283"/>
      <c r="G790" s="1288"/>
      <c r="H790" s="1289"/>
      <c r="I790" s="1289"/>
      <c r="J790" s="1290"/>
      <c r="K790" s="1291"/>
      <c r="L790" s="1292"/>
      <c r="M790" s="1292"/>
      <c r="N790" s="1292"/>
      <c r="O790" s="1292"/>
    </row>
    <row r="791" ht="33.0" customHeight="1">
      <c r="A791" s="1283"/>
      <c r="B791" s="1284"/>
      <c r="C791" s="1285"/>
      <c r="D791" s="1286"/>
      <c r="E791" s="1287"/>
      <c r="F791" s="1283"/>
      <c r="G791" s="1288"/>
      <c r="H791" s="1289"/>
      <c r="I791" s="1289"/>
      <c r="J791" s="1290"/>
      <c r="K791" s="1291"/>
      <c r="L791" s="1292"/>
      <c r="M791" s="1292"/>
      <c r="N791" s="1292"/>
      <c r="O791" s="1292"/>
    </row>
    <row r="792" ht="33.0" customHeight="1">
      <c r="A792" s="1283"/>
      <c r="B792" s="1284"/>
      <c r="C792" s="1285"/>
      <c r="D792" s="1286"/>
      <c r="E792" s="1287"/>
      <c r="F792" s="1283"/>
      <c r="G792" s="1288"/>
      <c r="H792" s="1289"/>
      <c r="I792" s="1289"/>
      <c r="J792" s="1290"/>
      <c r="K792" s="1291"/>
      <c r="L792" s="1292"/>
      <c r="M792" s="1292"/>
      <c r="N792" s="1292"/>
      <c r="O792" s="1292"/>
    </row>
    <row r="793" ht="33.0" customHeight="1">
      <c r="A793" s="1283"/>
      <c r="B793" s="1284"/>
      <c r="C793" s="1285"/>
      <c r="D793" s="1286"/>
      <c r="E793" s="1287"/>
      <c r="F793" s="1283"/>
      <c r="G793" s="1288"/>
      <c r="H793" s="1289"/>
      <c r="I793" s="1289"/>
      <c r="J793" s="1290"/>
      <c r="K793" s="1291"/>
      <c r="L793" s="1292"/>
      <c r="M793" s="1292"/>
      <c r="N793" s="1292"/>
      <c r="O793" s="1292"/>
    </row>
    <row r="794" ht="33.0" customHeight="1">
      <c r="A794" s="1283"/>
      <c r="B794" s="1284"/>
      <c r="C794" s="1285"/>
      <c r="D794" s="1286"/>
      <c r="E794" s="1287"/>
      <c r="F794" s="1283"/>
      <c r="G794" s="1288"/>
      <c r="H794" s="1289"/>
      <c r="I794" s="1289"/>
      <c r="J794" s="1290"/>
      <c r="K794" s="1291"/>
      <c r="L794" s="1292"/>
      <c r="M794" s="1292"/>
      <c r="N794" s="1292"/>
      <c r="O794" s="1292"/>
    </row>
    <row r="795" ht="33.0" customHeight="1">
      <c r="A795" s="1283"/>
      <c r="B795" s="1284"/>
      <c r="C795" s="1285"/>
      <c r="D795" s="1286"/>
      <c r="E795" s="1287"/>
      <c r="F795" s="1283"/>
      <c r="G795" s="1288"/>
      <c r="H795" s="1289"/>
      <c r="I795" s="1289"/>
      <c r="J795" s="1290"/>
      <c r="K795" s="1291"/>
      <c r="L795" s="1292"/>
      <c r="M795" s="1292"/>
      <c r="N795" s="1292"/>
      <c r="O795" s="1292"/>
    </row>
    <row r="796" ht="33.0" customHeight="1">
      <c r="A796" s="1283"/>
      <c r="B796" s="1284"/>
      <c r="C796" s="1285"/>
      <c r="D796" s="1286"/>
      <c r="E796" s="1287"/>
      <c r="F796" s="1283"/>
      <c r="G796" s="1288"/>
      <c r="H796" s="1289"/>
      <c r="I796" s="1289"/>
      <c r="J796" s="1290"/>
      <c r="K796" s="1291"/>
      <c r="L796" s="1292"/>
      <c r="M796" s="1292"/>
      <c r="N796" s="1292"/>
      <c r="O796" s="1292"/>
    </row>
    <row r="797" ht="33.0" customHeight="1">
      <c r="A797" s="1283"/>
      <c r="B797" s="1284"/>
      <c r="C797" s="1285"/>
      <c r="D797" s="1286"/>
      <c r="E797" s="1287"/>
      <c r="F797" s="1283"/>
      <c r="G797" s="1288"/>
      <c r="H797" s="1289"/>
      <c r="I797" s="1289"/>
      <c r="J797" s="1290"/>
      <c r="K797" s="1291"/>
      <c r="L797" s="1292"/>
      <c r="M797" s="1292"/>
      <c r="N797" s="1292"/>
      <c r="O797" s="1292"/>
    </row>
    <row r="798" ht="33.0" customHeight="1">
      <c r="A798" s="1283"/>
      <c r="B798" s="1284"/>
      <c r="C798" s="1285"/>
      <c r="D798" s="1286"/>
      <c r="E798" s="1287"/>
      <c r="F798" s="1283"/>
      <c r="G798" s="1288"/>
      <c r="H798" s="1289"/>
      <c r="I798" s="1289"/>
      <c r="J798" s="1290"/>
      <c r="K798" s="1291"/>
      <c r="L798" s="1292"/>
      <c r="M798" s="1292"/>
      <c r="N798" s="1292"/>
      <c r="O798" s="1292"/>
    </row>
    <row r="799" ht="33.0" customHeight="1">
      <c r="A799" s="1283"/>
      <c r="B799" s="1284"/>
      <c r="C799" s="1285"/>
      <c r="D799" s="1286"/>
      <c r="E799" s="1287"/>
      <c r="F799" s="1283"/>
      <c r="G799" s="1288"/>
      <c r="H799" s="1289"/>
      <c r="I799" s="1289"/>
      <c r="J799" s="1290"/>
      <c r="K799" s="1291"/>
      <c r="L799" s="1292"/>
      <c r="M799" s="1292"/>
      <c r="N799" s="1292"/>
      <c r="O799" s="1292"/>
    </row>
    <row r="800" ht="33.0" customHeight="1">
      <c r="A800" s="1283"/>
      <c r="B800" s="1284"/>
      <c r="C800" s="1285"/>
      <c r="D800" s="1286"/>
      <c r="E800" s="1287"/>
      <c r="F800" s="1283"/>
      <c r="G800" s="1288"/>
      <c r="H800" s="1289"/>
      <c r="I800" s="1289"/>
      <c r="J800" s="1290"/>
      <c r="K800" s="1291"/>
      <c r="L800" s="1292"/>
      <c r="M800" s="1292"/>
      <c r="N800" s="1292"/>
      <c r="O800" s="1292"/>
    </row>
    <row r="801" ht="33.0" customHeight="1">
      <c r="A801" s="1283"/>
      <c r="B801" s="1284"/>
      <c r="C801" s="1285"/>
      <c r="D801" s="1286"/>
      <c r="E801" s="1287"/>
      <c r="F801" s="1283"/>
      <c r="G801" s="1288"/>
      <c r="H801" s="1289"/>
      <c r="I801" s="1289"/>
      <c r="J801" s="1290"/>
      <c r="K801" s="1291"/>
      <c r="L801" s="1292"/>
      <c r="M801" s="1292"/>
      <c r="N801" s="1292"/>
      <c r="O801" s="1292"/>
    </row>
    <row r="802" ht="33.0" customHeight="1">
      <c r="A802" s="1283"/>
      <c r="B802" s="1284"/>
      <c r="C802" s="1285"/>
      <c r="D802" s="1286"/>
      <c r="E802" s="1287"/>
      <c r="F802" s="1283"/>
      <c r="G802" s="1288"/>
      <c r="H802" s="1289"/>
      <c r="I802" s="1289"/>
      <c r="J802" s="1290"/>
      <c r="K802" s="1291"/>
      <c r="L802" s="1292"/>
      <c r="M802" s="1292"/>
      <c r="N802" s="1292"/>
      <c r="O802" s="1292"/>
    </row>
    <row r="803" ht="33.0" customHeight="1">
      <c r="A803" s="1283"/>
      <c r="B803" s="1284"/>
      <c r="C803" s="1285"/>
      <c r="D803" s="1286"/>
      <c r="E803" s="1287"/>
      <c r="F803" s="1283"/>
      <c r="G803" s="1288"/>
      <c r="H803" s="1289"/>
      <c r="I803" s="1289"/>
      <c r="J803" s="1290"/>
      <c r="K803" s="1291"/>
      <c r="L803" s="1292"/>
      <c r="M803" s="1292"/>
      <c r="N803" s="1292"/>
      <c r="O803" s="1292"/>
    </row>
    <row r="804" ht="33.0" customHeight="1">
      <c r="A804" s="1283"/>
      <c r="B804" s="1284"/>
      <c r="C804" s="1285"/>
      <c r="D804" s="1286"/>
      <c r="E804" s="1287"/>
      <c r="F804" s="1283"/>
      <c r="G804" s="1288"/>
      <c r="H804" s="1289"/>
      <c r="I804" s="1289"/>
      <c r="J804" s="1290"/>
      <c r="K804" s="1291"/>
      <c r="L804" s="1292"/>
      <c r="M804" s="1292"/>
      <c r="N804" s="1292"/>
      <c r="O804" s="1292"/>
    </row>
    <row r="805" ht="33.0" customHeight="1">
      <c r="A805" s="1283"/>
      <c r="B805" s="1284"/>
      <c r="C805" s="1285"/>
      <c r="D805" s="1286"/>
      <c r="E805" s="1287"/>
      <c r="F805" s="1283"/>
      <c r="G805" s="1288"/>
      <c r="H805" s="1289"/>
      <c r="I805" s="1289"/>
      <c r="J805" s="1290"/>
      <c r="K805" s="1291"/>
      <c r="L805" s="1292"/>
      <c r="M805" s="1292"/>
      <c r="N805" s="1292"/>
      <c r="O805" s="1292"/>
    </row>
    <row r="806" ht="33.0" customHeight="1">
      <c r="A806" s="1283"/>
      <c r="B806" s="1284"/>
      <c r="C806" s="1285"/>
      <c r="D806" s="1286"/>
      <c r="E806" s="1287"/>
      <c r="F806" s="1283"/>
      <c r="G806" s="1288"/>
      <c r="H806" s="1289"/>
      <c r="I806" s="1289"/>
      <c r="J806" s="1290"/>
      <c r="K806" s="1291"/>
      <c r="L806" s="1292"/>
      <c r="M806" s="1292"/>
      <c r="N806" s="1292"/>
      <c r="O806" s="1292"/>
    </row>
    <row r="807" ht="33.0" customHeight="1">
      <c r="A807" s="1283"/>
      <c r="B807" s="1284"/>
      <c r="C807" s="1285"/>
      <c r="D807" s="1286"/>
      <c r="E807" s="1287"/>
      <c r="F807" s="1283"/>
      <c r="G807" s="1288"/>
      <c r="H807" s="1289"/>
      <c r="I807" s="1289"/>
      <c r="J807" s="1290"/>
      <c r="K807" s="1291"/>
      <c r="L807" s="1292"/>
      <c r="M807" s="1292"/>
      <c r="N807" s="1292"/>
      <c r="O807" s="1292"/>
    </row>
    <row r="808" ht="33.0" customHeight="1">
      <c r="A808" s="1283"/>
      <c r="B808" s="1284"/>
      <c r="C808" s="1285"/>
      <c r="D808" s="1286"/>
      <c r="E808" s="1287"/>
      <c r="F808" s="1283"/>
      <c r="G808" s="1288"/>
      <c r="H808" s="1289"/>
      <c r="I808" s="1289"/>
      <c r="J808" s="1290"/>
      <c r="K808" s="1291"/>
      <c r="L808" s="1292"/>
      <c r="M808" s="1292"/>
      <c r="N808" s="1292"/>
      <c r="O808" s="1292"/>
    </row>
    <row r="809" ht="33.0" customHeight="1">
      <c r="A809" s="1283"/>
      <c r="B809" s="1284"/>
      <c r="C809" s="1285"/>
      <c r="D809" s="1286"/>
      <c r="E809" s="1287"/>
      <c r="F809" s="1283"/>
      <c r="G809" s="1288"/>
      <c r="H809" s="1289"/>
      <c r="I809" s="1289"/>
      <c r="J809" s="1290"/>
      <c r="K809" s="1291"/>
      <c r="L809" s="1292"/>
      <c r="M809" s="1292"/>
      <c r="N809" s="1292"/>
      <c r="O809" s="1292"/>
    </row>
    <row r="810" ht="33.0" customHeight="1">
      <c r="A810" s="1283"/>
      <c r="B810" s="1284"/>
      <c r="C810" s="1285"/>
      <c r="D810" s="1286"/>
      <c r="E810" s="1287"/>
      <c r="F810" s="1283"/>
      <c r="G810" s="1288"/>
      <c r="H810" s="1289"/>
      <c r="I810" s="1289"/>
      <c r="J810" s="1290"/>
      <c r="K810" s="1291"/>
      <c r="L810" s="1292"/>
      <c r="M810" s="1292"/>
      <c r="N810" s="1292"/>
      <c r="O810" s="1292"/>
    </row>
    <row r="811" ht="33.0" customHeight="1">
      <c r="A811" s="1283"/>
      <c r="B811" s="1284"/>
      <c r="C811" s="1285"/>
      <c r="D811" s="1286"/>
      <c r="E811" s="1287"/>
      <c r="F811" s="1283"/>
      <c r="G811" s="1288"/>
      <c r="H811" s="1289"/>
      <c r="I811" s="1289"/>
      <c r="J811" s="1290"/>
      <c r="K811" s="1291"/>
      <c r="L811" s="1292"/>
      <c r="M811" s="1292"/>
      <c r="N811" s="1292"/>
      <c r="O811" s="1292"/>
    </row>
    <row r="812" ht="33.0" customHeight="1">
      <c r="A812" s="1283"/>
      <c r="B812" s="1284"/>
      <c r="C812" s="1285"/>
      <c r="D812" s="1286"/>
      <c r="E812" s="1287"/>
      <c r="F812" s="1283"/>
      <c r="G812" s="1288"/>
      <c r="H812" s="1289"/>
      <c r="I812" s="1289"/>
      <c r="J812" s="1290"/>
      <c r="K812" s="1291"/>
      <c r="L812" s="1292"/>
      <c r="M812" s="1292"/>
      <c r="N812" s="1292"/>
      <c r="O812" s="1292"/>
    </row>
    <row r="813" ht="33.0" customHeight="1">
      <c r="A813" s="1283"/>
      <c r="B813" s="1284"/>
      <c r="C813" s="1285"/>
      <c r="D813" s="1286"/>
      <c r="E813" s="1287"/>
      <c r="F813" s="1283"/>
      <c r="G813" s="1288"/>
      <c r="H813" s="1289"/>
      <c r="I813" s="1289"/>
      <c r="J813" s="1290"/>
      <c r="K813" s="1291"/>
      <c r="L813" s="1292"/>
      <c r="M813" s="1292"/>
      <c r="N813" s="1292"/>
      <c r="O813" s="1292"/>
    </row>
    <row r="814" ht="33.0" customHeight="1">
      <c r="A814" s="1283"/>
      <c r="B814" s="1284"/>
      <c r="C814" s="1285"/>
      <c r="D814" s="1286"/>
      <c r="E814" s="1287"/>
      <c r="F814" s="1283"/>
      <c r="G814" s="1288"/>
      <c r="H814" s="1289"/>
      <c r="I814" s="1289"/>
      <c r="J814" s="1290"/>
      <c r="K814" s="1291"/>
      <c r="L814" s="1292"/>
      <c r="M814" s="1292"/>
      <c r="N814" s="1292"/>
      <c r="O814" s="1292"/>
    </row>
    <row r="815" ht="33.0" customHeight="1">
      <c r="A815" s="1283"/>
      <c r="B815" s="1284"/>
      <c r="C815" s="1285"/>
      <c r="D815" s="1286"/>
      <c r="E815" s="1287"/>
      <c r="F815" s="1283"/>
      <c r="G815" s="1288"/>
      <c r="H815" s="1289"/>
      <c r="I815" s="1289"/>
      <c r="J815" s="1290"/>
      <c r="K815" s="1291"/>
      <c r="L815" s="1292"/>
      <c r="M815" s="1292"/>
      <c r="N815" s="1292"/>
      <c r="O815" s="1292"/>
    </row>
    <row r="816" ht="33.0" customHeight="1">
      <c r="A816" s="1283"/>
      <c r="B816" s="1284"/>
      <c r="C816" s="1285"/>
      <c r="D816" s="1286"/>
      <c r="E816" s="1287"/>
      <c r="F816" s="1283"/>
      <c r="G816" s="1288"/>
      <c r="H816" s="1289"/>
      <c r="I816" s="1289"/>
      <c r="J816" s="1290"/>
      <c r="K816" s="1291"/>
      <c r="L816" s="1292"/>
      <c r="M816" s="1292"/>
      <c r="N816" s="1292"/>
      <c r="O816" s="1292"/>
    </row>
    <row r="817" ht="33.0" customHeight="1">
      <c r="A817" s="1283"/>
      <c r="B817" s="1284"/>
      <c r="C817" s="1285"/>
      <c r="D817" s="1286"/>
      <c r="E817" s="1287"/>
      <c r="F817" s="1283"/>
      <c r="G817" s="1288"/>
      <c r="H817" s="1289"/>
      <c r="I817" s="1289"/>
      <c r="J817" s="1290"/>
      <c r="K817" s="1291"/>
      <c r="L817" s="1292"/>
      <c r="M817" s="1292"/>
      <c r="N817" s="1292"/>
      <c r="O817" s="1292"/>
    </row>
    <row r="818" ht="33.0" customHeight="1">
      <c r="A818" s="1283"/>
      <c r="B818" s="1284"/>
      <c r="C818" s="1285"/>
      <c r="D818" s="1286"/>
      <c r="E818" s="1287"/>
      <c r="F818" s="1283"/>
      <c r="G818" s="1288"/>
      <c r="H818" s="1289"/>
      <c r="I818" s="1289"/>
      <c r="J818" s="1290"/>
      <c r="K818" s="1291"/>
      <c r="L818" s="1292"/>
      <c r="M818" s="1292"/>
      <c r="N818" s="1292"/>
      <c r="O818" s="1292"/>
    </row>
    <row r="819" ht="33.0" customHeight="1">
      <c r="A819" s="1283"/>
      <c r="B819" s="1284"/>
      <c r="C819" s="1285"/>
      <c r="D819" s="1286"/>
      <c r="E819" s="1287"/>
      <c r="F819" s="1283"/>
      <c r="G819" s="1288"/>
      <c r="H819" s="1289"/>
      <c r="I819" s="1289"/>
      <c r="J819" s="1290"/>
      <c r="K819" s="1291"/>
      <c r="L819" s="1292"/>
      <c r="M819" s="1292"/>
      <c r="N819" s="1292"/>
      <c r="O819" s="1292"/>
    </row>
    <row r="820" ht="33.0" customHeight="1">
      <c r="A820" s="1283"/>
      <c r="B820" s="1284"/>
      <c r="C820" s="1285"/>
      <c r="D820" s="1286"/>
      <c r="E820" s="1287"/>
      <c r="F820" s="1283"/>
      <c r="G820" s="1288"/>
      <c r="H820" s="1289"/>
      <c r="I820" s="1289"/>
      <c r="J820" s="1290"/>
      <c r="K820" s="1291"/>
      <c r="L820" s="1292"/>
      <c r="M820" s="1292"/>
      <c r="N820" s="1292"/>
      <c r="O820" s="1292"/>
    </row>
    <row r="821" ht="33.0" customHeight="1">
      <c r="A821" s="1283"/>
      <c r="B821" s="1284"/>
      <c r="C821" s="1285"/>
      <c r="D821" s="1286"/>
      <c r="E821" s="1287"/>
      <c r="F821" s="1283"/>
      <c r="G821" s="1288"/>
      <c r="H821" s="1289"/>
      <c r="I821" s="1289"/>
      <c r="J821" s="1290"/>
      <c r="K821" s="1291"/>
      <c r="L821" s="1292"/>
      <c r="M821" s="1292"/>
      <c r="N821" s="1292"/>
      <c r="O821" s="1292"/>
    </row>
    <row r="822" ht="33.0" customHeight="1">
      <c r="A822" s="1283"/>
      <c r="B822" s="1284"/>
      <c r="C822" s="1285"/>
      <c r="D822" s="1286"/>
      <c r="E822" s="1287"/>
      <c r="F822" s="1283"/>
      <c r="G822" s="1288"/>
      <c r="H822" s="1289"/>
      <c r="I822" s="1289"/>
      <c r="J822" s="1290"/>
      <c r="K822" s="1291"/>
      <c r="L822" s="1292"/>
      <c r="M822" s="1292"/>
      <c r="N822" s="1292"/>
      <c r="O822" s="1292"/>
    </row>
    <row r="823" ht="33.0" customHeight="1">
      <c r="A823" s="1283"/>
      <c r="B823" s="1284"/>
      <c r="C823" s="1285"/>
      <c r="D823" s="1286"/>
      <c r="E823" s="1287"/>
      <c r="F823" s="1283"/>
      <c r="G823" s="1288"/>
      <c r="H823" s="1289"/>
      <c r="I823" s="1289"/>
      <c r="J823" s="1290"/>
      <c r="K823" s="1291"/>
      <c r="L823" s="1292"/>
      <c r="M823" s="1292"/>
      <c r="N823" s="1292"/>
      <c r="O823" s="1292"/>
    </row>
    <row r="824" ht="33.0" customHeight="1">
      <c r="A824" s="1283"/>
      <c r="B824" s="1284"/>
      <c r="C824" s="1285"/>
      <c r="D824" s="1286"/>
      <c r="E824" s="1287"/>
      <c r="F824" s="1283"/>
      <c r="G824" s="1288"/>
      <c r="H824" s="1289"/>
      <c r="I824" s="1289"/>
      <c r="J824" s="1290"/>
      <c r="K824" s="1291"/>
      <c r="L824" s="1292"/>
      <c r="M824" s="1292"/>
      <c r="N824" s="1292"/>
      <c r="O824" s="1292"/>
    </row>
    <row r="825" ht="33.0" customHeight="1">
      <c r="A825" s="1283"/>
      <c r="B825" s="1284"/>
      <c r="C825" s="1285"/>
      <c r="D825" s="1286"/>
      <c r="E825" s="1287"/>
      <c r="F825" s="1283"/>
      <c r="G825" s="1288"/>
      <c r="H825" s="1289"/>
      <c r="I825" s="1289"/>
      <c r="J825" s="1290"/>
      <c r="K825" s="1291"/>
      <c r="L825" s="1292"/>
      <c r="M825" s="1292"/>
      <c r="N825" s="1292"/>
      <c r="O825" s="1292"/>
    </row>
    <row r="826" ht="33.0" customHeight="1">
      <c r="A826" s="1283"/>
      <c r="B826" s="1284"/>
      <c r="C826" s="1285"/>
      <c r="D826" s="1286"/>
      <c r="E826" s="1287"/>
      <c r="F826" s="1283"/>
      <c r="G826" s="1288"/>
      <c r="H826" s="1289"/>
      <c r="I826" s="1289"/>
      <c r="J826" s="1290"/>
      <c r="K826" s="1291"/>
      <c r="L826" s="1292"/>
      <c r="M826" s="1292"/>
      <c r="N826" s="1292"/>
      <c r="O826" s="1292"/>
    </row>
    <row r="827" ht="33.0" customHeight="1">
      <c r="A827" s="1283"/>
      <c r="B827" s="1284"/>
      <c r="C827" s="1285"/>
      <c r="D827" s="1286"/>
      <c r="E827" s="1287"/>
      <c r="F827" s="1283"/>
      <c r="G827" s="1288"/>
      <c r="H827" s="1289"/>
      <c r="I827" s="1289"/>
      <c r="J827" s="1290"/>
      <c r="K827" s="1291"/>
      <c r="L827" s="1292"/>
      <c r="M827" s="1292"/>
      <c r="N827" s="1292"/>
      <c r="O827" s="1292"/>
    </row>
    <row r="828" ht="33.0" customHeight="1">
      <c r="A828" s="1283"/>
      <c r="B828" s="1284"/>
      <c r="C828" s="1285"/>
      <c r="D828" s="1286"/>
      <c r="E828" s="1287"/>
      <c r="F828" s="1283"/>
      <c r="G828" s="1288"/>
      <c r="H828" s="1289"/>
      <c r="I828" s="1289"/>
      <c r="J828" s="1290"/>
      <c r="K828" s="1291"/>
      <c r="L828" s="1292"/>
      <c r="M828" s="1292"/>
      <c r="N828" s="1292"/>
      <c r="O828" s="1292"/>
    </row>
    <row r="829" ht="33.0" customHeight="1">
      <c r="A829" s="1283"/>
      <c r="B829" s="1284"/>
      <c r="C829" s="1285"/>
      <c r="D829" s="1286"/>
      <c r="E829" s="1287"/>
      <c r="F829" s="1283"/>
      <c r="G829" s="1288"/>
      <c r="H829" s="1289"/>
      <c r="I829" s="1289"/>
      <c r="J829" s="1290"/>
      <c r="K829" s="1291"/>
      <c r="L829" s="1292"/>
      <c r="M829" s="1292"/>
      <c r="N829" s="1292"/>
      <c r="O829" s="1292"/>
    </row>
    <row r="830" ht="33.0" customHeight="1">
      <c r="A830" s="1283"/>
      <c r="B830" s="1284"/>
      <c r="C830" s="1285"/>
      <c r="D830" s="1286"/>
      <c r="E830" s="1287"/>
      <c r="F830" s="1283"/>
      <c r="G830" s="1288"/>
      <c r="H830" s="1289"/>
      <c r="I830" s="1289"/>
      <c r="J830" s="1290"/>
      <c r="K830" s="1291"/>
      <c r="L830" s="1292"/>
      <c r="M830" s="1292"/>
      <c r="N830" s="1292"/>
      <c r="O830" s="1292"/>
    </row>
    <row r="831" ht="33.0" customHeight="1">
      <c r="A831" s="1283"/>
      <c r="B831" s="1284"/>
      <c r="C831" s="1285"/>
      <c r="D831" s="1286"/>
      <c r="E831" s="1287"/>
      <c r="F831" s="1283"/>
      <c r="G831" s="1288"/>
      <c r="H831" s="1289"/>
      <c r="I831" s="1289"/>
      <c r="J831" s="1290"/>
      <c r="K831" s="1291"/>
      <c r="L831" s="1292"/>
      <c r="M831" s="1292"/>
      <c r="N831" s="1292"/>
      <c r="O831" s="1292"/>
    </row>
    <row r="832" ht="33.0" customHeight="1">
      <c r="A832" s="1283"/>
      <c r="B832" s="1284"/>
      <c r="C832" s="1285"/>
      <c r="D832" s="1286"/>
      <c r="E832" s="1287"/>
      <c r="F832" s="1283"/>
      <c r="G832" s="1288"/>
      <c r="H832" s="1289"/>
      <c r="I832" s="1289"/>
      <c r="J832" s="1290"/>
      <c r="K832" s="1291"/>
      <c r="L832" s="1292"/>
      <c r="M832" s="1292"/>
      <c r="N832" s="1292"/>
      <c r="O832" s="1292"/>
    </row>
    <row r="833" ht="33.0" customHeight="1">
      <c r="A833" s="1283"/>
      <c r="B833" s="1284"/>
      <c r="C833" s="1285"/>
      <c r="D833" s="1286"/>
      <c r="E833" s="1287"/>
      <c r="F833" s="1283"/>
      <c r="G833" s="1288"/>
      <c r="H833" s="1289"/>
      <c r="I833" s="1289"/>
      <c r="J833" s="1290"/>
      <c r="K833" s="1291"/>
      <c r="L833" s="1292"/>
      <c r="M833" s="1292"/>
      <c r="N833" s="1292"/>
      <c r="O833" s="1292"/>
    </row>
    <row r="834" ht="33.0" customHeight="1">
      <c r="A834" s="1283"/>
      <c r="B834" s="1284"/>
      <c r="C834" s="1285"/>
      <c r="D834" s="1286"/>
      <c r="E834" s="1287"/>
      <c r="F834" s="1283"/>
      <c r="G834" s="1288"/>
      <c r="H834" s="1289"/>
      <c r="I834" s="1289"/>
      <c r="J834" s="1290"/>
      <c r="K834" s="1291"/>
      <c r="L834" s="1292"/>
      <c r="M834" s="1292"/>
      <c r="N834" s="1292"/>
      <c r="O834" s="1292"/>
    </row>
    <row r="835" ht="33.0" customHeight="1">
      <c r="A835" s="1283"/>
      <c r="B835" s="1284"/>
      <c r="C835" s="1285"/>
      <c r="D835" s="1286"/>
      <c r="E835" s="1287"/>
      <c r="F835" s="1283"/>
      <c r="G835" s="1288"/>
      <c r="H835" s="1289"/>
      <c r="I835" s="1289"/>
      <c r="J835" s="1290"/>
      <c r="K835" s="1291"/>
      <c r="L835" s="1292"/>
      <c r="M835" s="1292"/>
      <c r="N835" s="1292"/>
      <c r="O835" s="1292"/>
    </row>
    <row r="836" ht="33.0" customHeight="1">
      <c r="A836" s="1283"/>
      <c r="B836" s="1284"/>
      <c r="C836" s="1285"/>
      <c r="D836" s="1286"/>
      <c r="E836" s="1287"/>
      <c r="F836" s="1283"/>
      <c r="G836" s="1288"/>
      <c r="H836" s="1289"/>
      <c r="I836" s="1289"/>
      <c r="J836" s="1290"/>
      <c r="K836" s="1291"/>
      <c r="L836" s="1292"/>
      <c r="M836" s="1292"/>
      <c r="N836" s="1292"/>
      <c r="O836" s="1292"/>
    </row>
    <row r="837" ht="33.0" customHeight="1">
      <c r="A837" s="1283"/>
      <c r="B837" s="1284"/>
      <c r="C837" s="1285"/>
      <c r="D837" s="1286"/>
      <c r="E837" s="1287"/>
      <c r="F837" s="1283"/>
      <c r="G837" s="1288"/>
      <c r="H837" s="1289"/>
      <c r="I837" s="1289"/>
      <c r="J837" s="1290"/>
      <c r="K837" s="1291"/>
      <c r="L837" s="1292"/>
      <c r="M837" s="1292"/>
      <c r="N837" s="1292"/>
      <c r="O837" s="1292"/>
    </row>
    <row r="838" ht="33.0" customHeight="1">
      <c r="A838" s="1283"/>
      <c r="B838" s="1284"/>
      <c r="C838" s="1285"/>
      <c r="D838" s="1286"/>
      <c r="E838" s="1287"/>
      <c r="F838" s="1283"/>
      <c r="G838" s="1288"/>
      <c r="H838" s="1289"/>
      <c r="I838" s="1289"/>
      <c r="J838" s="1290"/>
      <c r="K838" s="1291"/>
      <c r="L838" s="1292"/>
      <c r="M838" s="1292"/>
      <c r="N838" s="1292"/>
      <c r="O838" s="1292"/>
    </row>
    <row r="839" ht="33.0" customHeight="1">
      <c r="A839" s="1283"/>
      <c r="B839" s="1284"/>
      <c r="C839" s="1285"/>
      <c r="D839" s="1286"/>
      <c r="E839" s="1287"/>
      <c r="F839" s="1283"/>
      <c r="G839" s="1288"/>
      <c r="H839" s="1289"/>
      <c r="I839" s="1289"/>
      <c r="J839" s="1290"/>
      <c r="K839" s="1291"/>
      <c r="L839" s="1292"/>
      <c r="M839" s="1292"/>
      <c r="N839" s="1292"/>
      <c r="O839" s="1292"/>
    </row>
    <row r="840" ht="33.0" customHeight="1">
      <c r="A840" s="1283"/>
      <c r="B840" s="1284"/>
      <c r="C840" s="1285"/>
      <c r="D840" s="1286"/>
      <c r="E840" s="1287"/>
      <c r="F840" s="1283"/>
      <c r="G840" s="1288"/>
      <c r="H840" s="1289"/>
      <c r="I840" s="1289"/>
      <c r="J840" s="1290"/>
      <c r="K840" s="1291"/>
      <c r="L840" s="1292"/>
      <c r="M840" s="1292"/>
      <c r="N840" s="1292"/>
      <c r="O840" s="1292"/>
    </row>
    <row r="841" ht="33.0" customHeight="1">
      <c r="A841" s="1283"/>
      <c r="B841" s="1284"/>
      <c r="C841" s="1285"/>
      <c r="D841" s="1286"/>
      <c r="E841" s="1287"/>
      <c r="F841" s="1283"/>
      <c r="G841" s="1288"/>
      <c r="H841" s="1289"/>
      <c r="I841" s="1289"/>
      <c r="J841" s="1290"/>
      <c r="K841" s="1291"/>
      <c r="L841" s="1292"/>
      <c r="M841" s="1292"/>
      <c r="N841" s="1292"/>
      <c r="O841" s="1292"/>
    </row>
    <row r="842" ht="33.0" customHeight="1">
      <c r="A842" s="1283"/>
      <c r="B842" s="1284"/>
      <c r="C842" s="1285"/>
      <c r="D842" s="1286"/>
      <c r="E842" s="1287"/>
      <c r="F842" s="1283"/>
      <c r="G842" s="1288"/>
      <c r="H842" s="1289"/>
      <c r="I842" s="1289"/>
      <c r="J842" s="1290"/>
      <c r="K842" s="1291"/>
      <c r="L842" s="1292"/>
      <c r="M842" s="1292"/>
      <c r="N842" s="1292"/>
      <c r="O842" s="1292"/>
    </row>
    <row r="843" ht="33.0" customHeight="1">
      <c r="A843" s="1283"/>
      <c r="B843" s="1284"/>
      <c r="C843" s="1285"/>
      <c r="D843" s="1286"/>
      <c r="E843" s="1287"/>
      <c r="F843" s="1283"/>
      <c r="G843" s="1288"/>
      <c r="H843" s="1289"/>
      <c r="I843" s="1289"/>
      <c r="J843" s="1290"/>
      <c r="K843" s="1291"/>
      <c r="L843" s="1292"/>
      <c r="M843" s="1292"/>
      <c r="N843" s="1292"/>
      <c r="O843" s="1292"/>
    </row>
    <row r="844" ht="33.0" customHeight="1">
      <c r="A844" s="1283"/>
      <c r="B844" s="1284"/>
      <c r="C844" s="1285"/>
      <c r="D844" s="1286"/>
      <c r="E844" s="1287"/>
      <c r="F844" s="1283"/>
      <c r="G844" s="1288"/>
      <c r="H844" s="1289"/>
      <c r="I844" s="1289"/>
      <c r="J844" s="1290"/>
      <c r="K844" s="1291"/>
      <c r="L844" s="1292"/>
      <c r="M844" s="1292"/>
      <c r="N844" s="1292"/>
      <c r="O844" s="1292"/>
    </row>
    <row r="845" ht="33.0" customHeight="1">
      <c r="A845" s="1283"/>
      <c r="B845" s="1284"/>
      <c r="C845" s="1285"/>
      <c r="D845" s="1286"/>
      <c r="E845" s="1287"/>
      <c r="F845" s="1283"/>
      <c r="G845" s="1288"/>
      <c r="H845" s="1289"/>
      <c r="I845" s="1289"/>
      <c r="J845" s="1290"/>
      <c r="K845" s="1291"/>
      <c r="L845" s="1292"/>
      <c r="M845" s="1292"/>
      <c r="N845" s="1292"/>
      <c r="O845" s="1292"/>
    </row>
    <row r="846" ht="33.0" customHeight="1">
      <c r="A846" s="1283"/>
      <c r="B846" s="1284"/>
      <c r="C846" s="1285"/>
      <c r="D846" s="1286"/>
      <c r="E846" s="1287"/>
      <c r="F846" s="1283"/>
      <c r="G846" s="1288"/>
      <c r="H846" s="1289"/>
      <c r="I846" s="1289"/>
      <c r="J846" s="1290"/>
      <c r="K846" s="1291"/>
      <c r="L846" s="1292"/>
      <c r="M846" s="1292"/>
      <c r="N846" s="1292"/>
      <c r="O846" s="1292"/>
    </row>
    <row r="847" ht="33.0" customHeight="1">
      <c r="A847" s="1283"/>
      <c r="B847" s="1284"/>
      <c r="C847" s="1285"/>
      <c r="D847" s="1286"/>
      <c r="E847" s="1287"/>
      <c r="F847" s="1283"/>
      <c r="G847" s="1288"/>
      <c r="H847" s="1289"/>
      <c r="I847" s="1289"/>
      <c r="J847" s="1290"/>
      <c r="K847" s="1291"/>
      <c r="L847" s="1292"/>
      <c r="M847" s="1292"/>
      <c r="N847" s="1292"/>
      <c r="O847" s="1292"/>
    </row>
    <row r="848" ht="33.0" customHeight="1">
      <c r="A848" s="1283"/>
      <c r="B848" s="1284"/>
      <c r="C848" s="1285"/>
      <c r="D848" s="1286"/>
      <c r="E848" s="1287"/>
      <c r="F848" s="1283"/>
      <c r="G848" s="1288"/>
      <c r="H848" s="1289"/>
      <c r="I848" s="1289"/>
      <c r="J848" s="1290"/>
      <c r="K848" s="1291"/>
      <c r="L848" s="1292"/>
      <c r="M848" s="1292"/>
      <c r="N848" s="1292"/>
      <c r="O848" s="1292"/>
    </row>
    <row r="849" ht="33.0" customHeight="1">
      <c r="A849" s="1283"/>
      <c r="B849" s="1284"/>
      <c r="C849" s="1285"/>
      <c r="D849" s="1286"/>
      <c r="E849" s="1287"/>
      <c r="F849" s="1283"/>
      <c r="G849" s="1288"/>
      <c r="H849" s="1289"/>
      <c r="I849" s="1289"/>
      <c r="J849" s="1290"/>
      <c r="K849" s="1291"/>
      <c r="L849" s="1292"/>
      <c r="M849" s="1292"/>
      <c r="N849" s="1292"/>
      <c r="O849" s="1292"/>
    </row>
    <row r="850" ht="33.0" customHeight="1">
      <c r="A850" s="1283"/>
      <c r="B850" s="1284"/>
      <c r="C850" s="1285"/>
      <c r="D850" s="1286"/>
      <c r="E850" s="1287"/>
      <c r="F850" s="1283"/>
      <c r="G850" s="1288"/>
      <c r="H850" s="1289"/>
      <c r="I850" s="1289"/>
      <c r="J850" s="1290"/>
      <c r="K850" s="1291"/>
      <c r="L850" s="1292"/>
      <c r="M850" s="1292"/>
      <c r="N850" s="1292"/>
      <c r="O850" s="1292"/>
    </row>
    <row r="851" ht="33.0" customHeight="1">
      <c r="A851" s="1283"/>
      <c r="B851" s="1284"/>
      <c r="C851" s="1285"/>
      <c r="D851" s="1286"/>
      <c r="E851" s="1287"/>
      <c r="F851" s="1283"/>
      <c r="G851" s="1288"/>
      <c r="H851" s="1289"/>
      <c r="I851" s="1289"/>
      <c r="J851" s="1290"/>
      <c r="K851" s="1291"/>
      <c r="L851" s="1292"/>
      <c r="M851" s="1292"/>
      <c r="N851" s="1292"/>
      <c r="O851" s="1292"/>
    </row>
    <row r="852" ht="33.0" customHeight="1">
      <c r="A852" s="1283"/>
      <c r="B852" s="1284"/>
      <c r="C852" s="1285"/>
      <c r="D852" s="1286"/>
      <c r="E852" s="1287"/>
      <c r="F852" s="1283"/>
      <c r="G852" s="1288"/>
      <c r="H852" s="1289"/>
      <c r="I852" s="1289"/>
      <c r="J852" s="1290"/>
      <c r="K852" s="1291"/>
      <c r="L852" s="1292"/>
      <c r="M852" s="1292"/>
      <c r="N852" s="1292"/>
      <c r="O852" s="1292"/>
    </row>
    <row r="853" ht="33.0" customHeight="1">
      <c r="A853" s="1283"/>
      <c r="B853" s="1284"/>
      <c r="C853" s="1285"/>
      <c r="D853" s="1286"/>
      <c r="E853" s="1287"/>
      <c r="F853" s="1283"/>
      <c r="G853" s="1288"/>
      <c r="H853" s="1289"/>
      <c r="I853" s="1289"/>
      <c r="J853" s="1290"/>
      <c r="K853" s="1291"/>
      <c r="L853" s="1292"/>
      <c r="M853" s="1292"/>
      <c r="N853" s="1292"/>
      <c r="O853" s="1292"/>
    </row>
    <row r="854" ht="33.0" customHeight="1">
      <c r="A854" s="1283"/>
      <c r="B854" s="1284"/>
      <c r="C854" s="1285"/>
      <c r="D854" s="1286"/>
      <c r="E854" s="1287"/>
      <c r="F854" s="1283"/>
      <c r="G854" s="1288"/>
      <c r="H854" s="1289"/>
      <c r="I854" s="1289"/>
      <c r="J854" s="1290"/>
      <c r="K854" s="1291"/>
      <c r="L854" s="1292"/>
      <c r="M854" s="1292"/>
      <c r="N854" s="1292"/>
      <c r="O854" s="1292"/>
    </row>
    <row r="855" ht="33.0" customHeight="1">
      <c r="A855" s="1283"/>
      <c r="B855" s="1284"/>
      <c r="C855" s="1285"/>
      <c r="D855" s="1286"/>
      <c r="E855" s="1287"/>
      <c r="F855" s="1283"/>
      <c r="G855" s="1288"/>
      <c r="H855" s="1289"/>
      <c r="I855" s="1289"/>
      <c r="J855" s="1290"/>
      <c r="K855" s="1291"/>
      <c r="L855" s="1292"/>
      <c r="M855" s="1292"/>
      <c r="N855" s="1292"/>
      <c r="O855" s="1292"/>
    </row>
    <row r="856" ht="33.0" customHeight="1">
      <c r="A856" s="1283"/>
      <c r="B856" s="1284"/>
      <c r="C856" s="1285"/>
      <c r="D856" s="1286"/>
      <c r="E856" s="1287"/>
      <c r="F856" s="1283"/>
      <c r="G856" s="1288"/>
      <c r="H856" s="1289"/>
      <c r="I856" s="1289"/>
      <c r="J856" s="1290"/>
      <c r="K856" s="1291"/>
      <c r="L856" s="1292"/>
      <c r="M856" s="1292"/>
      <c r="N856" s="1292"/>
      <c r="O856" s="1292"/>
    </row>
    <row r="857" ht="33.0" customHeight="1">
      <c r="A857" s="1283"/>
      <c r="B857" s="1284"/>
      <c r="C857" s="1285"/>
      <c r="D857" s="1286"/>
      <c r="E857" s="1287"/>
      <c r="F857" s="1283"/>
      <c r="G857" s="1288"/>
      <c r="H857" s="1289"/>
      <c r="I857" s="1289"/>
      <c r="J857" s="1290"/>
      <c r="K857" s="1291"/>
      <c r="L857" s="1292"/>
      <c r="M857" s="1292"/>
      <c r="N857" s="1292"/>
      <c r="O857" s="1292"/>
    </row>
    <row r="858" ht="33.0" customHeight="1">
      <c r="A858" s="1283"/>
      <c r="B858" s="1284"/>
      <c r="C858" s="1285"/>
      <c r="D858" s="1286"/>
      <c r="E858" s="1287"/>
      <c r="F858" s="1283"/>
      <c r="G858" s="1288"/>
      <c r="H858" s="1289"/>
      <c r="I858" s="1289"/>
      <c r="J858" s="1290"/>
      <c r="K858" s="1291"/>
      <c r="L858" s="1292"/>
      <c r="M858" s="1292"/>
      <c r="N858" s="1292"/>
      <c r="O858" s="1292"/>
    </row>
    <row r="859" ht="33.0" customHeight="1">
      <c r="A859" s="1283"/>
      <c r="B859" s="1284"/>
      <c r="C859" s="1285"/>
      <c r="D859" s="1286"/>
      <c r="E859" s="1287"/>
      <c r="F859" s="1283"/>
      <c r="G859" s="1288"/>
      <c r="H859" s="1289"/>
      <c r="I859" s="1289"/>
      <c r="J859" s="1290"/>
      <c r="K859" s="1291"/>
      <c r="L859" s="1292"/>
      <c r="M859" s="1292"/>
      <c r="N859" s="1292"/>
      <c r="O859" s="1292"/>
    </row>
    <row r="860" ht="33.0" customHeight="1">
      <c r="A860" s="1283"/>
      <c r="B860" s="1284"/>
      <c r="C860" s="1285"/>
      <c r="D860" s="1286"/>
      <c r="E860" s="1287"/>
      <c r="F860" s="1283"/>
      <c r="G860" s="1288"/>
      <c r="H860" s="1289"/>
      <c r="I860" s="1289"/>
      <c r="J860" s="1290"/>
      <c r="K860" s="1291"/>
      <c r="L860" s="1292"/>
      <c r="M860" s="1292"/>
      <c r="N860" s="1292"/>
      <c r="O860" s="1292"/>
    </row>
    <row r="861" ht="33.0" customHeight="1">
      <c r="A861" s="1283"/>
      <c r="B861" s="1284"/>
      <c r="C861" s="1285"/>
      <c r="D861" s="1286"/>
      <c r="E861" s="1287"/>
      <c r="F861" s="1283"/>
      <c r="G861" s="1288"/>
      <c r="H861" s="1289"/>
      <c r="I861" s="1289"/>
      <c r="J861" s="1290"/>
      <c r="K861" s="1291"/>
      <c r="L861" s="1292"/>
      <c r="M861" s="1292"/>
      <c r="N861" s="1292"/>
      <c r="O861" s="1292"/>
    </row>
    <row r="862" ht="33.0" customHeight="1">
      <c r="A862" s="1283"/>
      <c r="B862" s="1284"/>
      <c r="C862" s="1285"/>
      <c r="D862" s="1286"/>
      <c r="E862" s="1287"/>
      <c r="F862" s="1283"/>
      <c r="G862" s="1288"/>
      <c r="H862" s="1289"/>
      <c r="I862" s="1289"/>
      <c r="J862" s="1290"/>
      <c r="K862" s="1291"/>
      <c r="L862" s="1292"/>
      <c r="M862" s="1292"/>
      <c r="N862" s="1292"/>
      <c r="O862" s="1292"/>
    </row>
    <row r="863" ht="33.0" customHeight="1">
      <c r="A863" s="1283"/>
      <c r="B863" s="1284"/>
      <c r="C863" s="1285"/>
      <c r="D863" s="1286"/>
      <c r="E863" s="1287"/>
      <c r="F863" s="1283"/>
      <c r="G863" s="1288"/>
      <c r="H863" s="1289"/>
      <c r="I863" s="1289"/>
      <c r="J863" s="1290"/>
      <c r="K863" s="1291"/>
      <c r="L863" s="1292"/>
      <c r="M863" s="1292"/>
      <c r="N863" s="1292"/>
      <c r="O863" s="1292"/>
    </row>
    <row r="864" ht="33.0" customHeight="1">
      <c r="A864" s="1283"/>
      <c r="B864" s="1284"/>
      <c r="C864" s="1285"/>
      <c r="D864" s="1286"/>
      <c r="E864" s="1287"/>
      <c r="F864" s="1283"/>
      <c r="G864" s="1288"/>
      <c r="H864" s="1289"/>
      <c r="I864" s="1289"/>
      <c r="J864" s="1290"/>
      <c r="K864" s="1291"/>
      <c r="L864" s="1292"/>
      <c r="M864" s="1292"/>
      <c r="N864" s="1292"/>
      <c r="O864" s="1292"/>
    </row>
    <row r="865" ht="33.0" customHeight="1">
      <c r="A865" s="1283"/>
      <c r="B865" s="1284"/>
      <c r="C865" s="1285"/>
      <c r="D865" s="1286"/>
      <c r="E865" s="1287"/>
      <c r="F865" s="1283"/>
      <c r="G865" s="1288"/>
      <c r="H865" s="1289"/>
      <c r="I865" s="1289"/>
      <c r="J865" s="1290"/>
      <c r="K865" s="1291"/>
      <c r="L865" s="1292"/>
      <c r="M865" s="1292"/>
      <c r="N865" s="1292"/>
      <c r="O865" s="1292"/>
    </row>
    <row r="866" ht="33.0" customHeight="1">
      <c r="A866" s="1283"/>
      <c r="B866" s="1284"/>
      <c r="C866" s="1285"/>
      <c r="D866" s="1286"/>
      <c r="E866" s="1287"/>
      <c r="F866" s="1283"/>
      <c r="G866" s="1288"/>
      <c r="H866" s="1289"/>
      <c r="I866" s="1289"/>
      <c r="J866" s="1290"/>
      <c r="K866" s="1291"/>
      <c r="L866" s="1292"/>
      <c r="M866" s="1292"/>
      <c r="N866" s="1292"/>
      <c r="O866" s="1292"/>
    </row>
    <row r="867" ht="33.0" customHeight="1">
      <c r="A867" s="1283"/>
      <c r="B867" s="1284"/>
      <c r="C867" s="1285"/>
      <c r="D867" s="1286"/>
      <c r="E867" s="1287"/>
      <c r="F867" s="1283"/>
      <c r="G867" s="1288"/>
      <c r="H867" s="1289"/>
      <c r="I867" s="1289"/>
      <c r="J867" s="1290"/>
      <c r="K867" s="1291"/>
      <c r="L867" s="1292"/>
      <c r="M867" s="1292"/>
      <c r="N867" s="1292"/>
      <c r="O867" s="1292"/>
    </row>
    <row r="868" ht="33.0" customHeight="1">
      <c r="A868" s="1283"/>
      <c r="B868" s="1284"/>
      <c r="C868" s="1285"/>
      <c r="D868" s="1286"/>
      <c r="E868" s="1287"/>
      <c r="F868" s="1283"/>
      <c r="G868" s="1288"/>
      <c r="H868" s="1289"/>
      <c r="I868" s="1289"/>
      <c r="J868" s="1290"/>
      <c r="K868" s="1291"/>
      <c r="L868" s="1292"/>
      <c r="M868" s="1292"/>
      <c r="N868" s="1292"/>
      <c r="O868" s="1292"/>
    </row>
    <row r="869" ht="33.0" customHeight="1">
      <c r="A869" s="1283"/>
      <c r="B869" s="1284"/>
      <c r="C869" s="1285"/>
      <c r="D869" s="1286"/>
      <c r="E869" s="1287"/>
      <c r="F869" s="1283"/>
      <c r="G869" s="1288"/>
      <c r="H869" s="1289"/>
      <c r="I869" s="1289"/>
      <c r="J869" s="1290"/>
      <c r="K869" s="1291"/>
      <c r="L869" s="1292"/>
      <c r="M869" s="1292"/>
      <c r="N869" s="1292"/>
      <c r="O869" s="1292"/>
    </row>
    <row r="870" ht="33.0" customHeight="1">
      <c r="A870" s="1283"/>
      <c r="B870" s="1284"/>
      <c r="C870" s="1285"/>
      <c r="D870" s="1286"/>
      <c r="E870" s="1287"/>
      <c r="F870" s="1283"/>
      <c r="G870" s="1288"/>
      <c r="H870" s="1289"/>
      <c r="I870" s="1289"/>
      <c r="J870" s="1290"/>
      <c r="K870" s="1291"/>
      <c r="L870" s="1292"/>
      <c r="M870" s="1292"/>
      <c r="N870" s="1292"/>
      <c r="O870" s="1292"/>
    </row>
    <row r="871" ht="33.0" customHeight="1">
      <c r="A871" s="1283"/>
      <c r="B871" s="1284"/>
      <c r="C871" s="1285"/>
      <c r="D871" s="1286"/>
      <c r="E871" s="1287"/>
      <c r="F871" s="1283"/>
      <c r="G871" s="1288"/>
      <c r="H871" s="1289"/>
      <c r="I871" s="1289"/>
      <c r="J871" s="1290"/>
      <c r="K871" s="1291"/>
      <c r="L871" s="1292"/>
      <c r="M871" s="1292"/>
      <c r="N871" s="1292"/>
      <c r="O871" s="1292"/>
    </row>
    <row r="872" ht="33.0" customHeight="1">
      <c r="A872" s="1283"/>
      <c r="B872" s="1284"/>
      <c r="C872" s="1285"/>
      <c r="D872" s="1286"/>
      <c r="E872" s="1287"/>
      <c r="F872" s="1283"/>
      <c r="G872" s="1288"/>
      <c r="H872" s="1289"/>
      <c r="I872" s="1289"/>
      <c r="J872" s="1290"/>
      <c r="K872" s="1291"/>
      <c r="L872" s="1292"/>
      <c r="M872" s="1292"/>
      <c r="N872" s="1292"/>
      <c r="O872" s="1292"/>
    </row>
    <row r="873" ht="33.0" customHeight="1">
      <c r="A873" s="1283"/>
      <c r="B873" s="1284"/>
      <c r="C873" s="1285"/>
      <c r="D873" s="1286"/>
      <c r="E873" s="1287"/>
      <c r="F873" s="1283"/>
      <c r="G873" s="1288"/>
      <c r="H873" s="1289"/>
      <c r="I873" s="1289"/>
      <c r="J873" s="1290"/>
      <c r="K873" s="1291"/>
      <c r="L873" s="1292"/>
      <c r="M873" s="1292"/>
      <c r="N873" s="1292"/>
      <c r="O873" s="1292"/>
    </row>
    <row r="874" ht="33.0" customHeight="1">
      <c r="A874" s="1283"/>
      <c r="B874" s="1284"/>
      <c r="C874" s="1285"/>
      <c r="D874" s="1286"/>
      <c r="E874" s="1287"/>
      <c r="F874" s="1283"/>
      <c r="G874" s="1288"/>
      <c r="H874" s="1289"/>
      <c r="I874" s="1289"/>
      <c r="J874" s="1290"/>
      <c r="K874" s="1291"/>
      <c r="L874" s="1292"/>
      <c r="M874" s="1292"/>
      <c r="N874" s="1292"/>
      <c r="O874" s="1292"/>
    </row>
    <row r="875" ht="33.0" customHeight="1">
      <c r="A875" s="1283"/>
      <c r="B875" s="1284"/>
      <c r="C875" s="1285"/>
      <c r="D875" s="1286"/>
      <c r="E875" s="1287"/>
      <c r="F875" s="1283"/>
      <c r="G875" s="1288"/>
      <c r="H875" s="1289"/>
      <c r="I875" s="1289"/>
      <c r="J875" s="1290"/>
      <c r="K875" s="1291"/>
      <c r="L875" s="1292"/>
      <c r="M875" s="1292"/>
      <c r="N875" s="1292"/>
      <c r="O875" s="1292"/>
    </row>
    <row r="876" ht="33.0" customHeight="1">
      <c r="A876" s="1283"/>
      <c r="B876" s="1284"/>
      <c r="C876" s="1285"/>
      <c r="D876" s="1286"/>
      <c r="E876" s="1287"/>
      <c r="F876" s="1283"/>
      <c r="G876" s="1288"/>
      <c r="H876" s="1289"/>
      <c r="I876" s="1289"/>
      <c r="J876" s="1290"/>
      <c r="K876" s="1291"/>
      <c r="L876" s="1292"/>
      <c r="M876" s="1292"/>
      <c r="N876" s="1292"/>
      <c r="O876" s="1292"/>
    </row>
    <row r="877" ht="33.0" customHeight="1">
      <c r="A877" s="1283"/>
      <c r="B877" s="1284"/>
      <c r="C877" s="1285"/>
      <c r="D877" s="1286"/>
      <c r="E877" s="1287"/>
      <c r="F877" s="1283"/>
      <c r="G877" s="1288"/>
      <c r="H877" s="1289"/>
      <c r="I877" s="1289"/>
      <c r="J877" s="1290"/>
      <c r="K877" s="1291"/>
      <c r="L877" s="1292"/>
      <c r="M877" s="1292"/>
      <c r="N877" s="1292"/>
      <c r="O877" s="1292"/>
    </row>
    <row r="878" ht="33.0" customHeight="1">
      <c r="A878" s="1283"/>
      <c r="B878" s="1284"/>
      <c r="C878" s="1285"/>
      <c r="D878" s="1286"/>
      <c r="E878" s="1287"/>
      <c r="F878" s="1283"/>
      <c r="G878" s="1288"/>
      <c r="H878" s="1289"/>
      <c r="I878" s="1289"/>
      <c r="J878" s="1290"/>
      <c r="K878" s="1291"/>
      <c r="L878" s="1292"/>
      <c r="M878" s="1292"/>
      <c r="N878" s="1292"/>
      <c r="O878" s="1292"/>
    </row>
    <row r="879" ht="33.0" customHeight="1">
      <c r="A879" s="1283"/>
      <c r="B879" s="1284"/>
      <c r="C879" s="1285"/>
      <c r="D879" s="1286"/>
      <c r="E879" s="1287"/>
      <c r="F879" s="1283"/>
      <c r="G879" s="1288"/>
      <c r="H879" s="1289"/>
      <c r="I879" s="1289"/>
      <c r="J879" s="1290"/>
      <c r="K879" s="1291"/>
      <c r="L879" s="1292"/>
      <c r="M879" s="1292"/>
      <c r="N879" s="1292"/>
      <c r="O879" s="1292"/>
    </row>
    <row r="880" ht="33.0" customHeight="1">
      <c r="A880" s="1283"/>
      <c r="B880" s="1284"/>
      <c r="C880" s="1285"/>
      <c r="D880" s="1286"/>
      <c r="E880" s="1287"/>
      <c r="F880" s="1283"/>
      <c r="G880" s="1288"/>
      <c r="H880" s="1289"/>
      <c r="I880" s="1289"/>
      <c r="J880" s="1290"/>
      <c r="K880" s="1291"/>
      <c r="L880" s="1292"/>
      <c r="M880" s="1292"/>
      <c r="N880" s="1292"/>
      <c r="O880" s="1292"/>
    </row>
    <row r="881" ht="33.0" customHeight="1">
      <c r="A881" s="1283"/>
      <c r="B881" s="1284"/>
      <c r="C881" s="1285"/>
      <c r="D881" s="1286"/>
      <c r="E881" s="1287"/>
      <c r="F881" s="1283"/>
      <c r="G881" s="1288"/>
      <c r="H881" s="1289"/>
      <c r="I881" s="1289"/>
      <c r="J881" s="1290"/>
      <c r="K881" s="1291"/>
      <c r="L881" s="1292"/>
      <c r="M881" s="1292"/>
      <c r="N881" s="1292"/>
      <c r="O881" s="1292"/>
    </row>
    <row r="882" ht="33.0" customHeight="1">
      <c r="A882" s="1283"/>
      <c r="B882" s="1284"/>
      <c r="C882" s="1285"/>
      <c r="D882" s="1286"/>
      <c r="E882" s="1287"/>
      <c r="F882" s="1283"/>
      <c r="G882" s="1288"/>
      <c r="H882" s="1289"/>
      <c r="I882" s="1289"/>
      <c r="J882" s="1290"/>
      <c r="K882" s="1291"/>
      <c r="L882" s="1292"/>
      <c r="M882" s="1292"/>
      <c r="N882" s="1292"/>
      <c r="O882" s="1292"/>
    </row>
    <row r="883" ht="33.0" customHeight="1">
      <c r="A883" s="1283"/>
      <c r="B883" s="1284"/>
      <c r="C883" s="1285"/>
      <c r="D883" s="1286"/>
      <c r="E883" s="1287"/>
      <c r="F883" s="1283"/>
      <c r="G883" s="1288"/>
      <c r="H883" s="1289"/>
      <c r="I883" s="1289"/>
      <c r="J883" s="1290"/>
      <c r="K883" s="1291"/>
      <c r="L883" s="1292"/>
      <c r="M883" s="1292"/>
      <c r="N883" s="1292"/>
      <c r="O883" s="1292"/>
    </row>
    <row r="884" ht="33.0" customHeight="1">
      <c r="A884" s="1283"/>
      <c r="B884" s="1284"/>
      <c r="C884" s="1285"/>
      <c r="D884" s="1286"/>
      <c r="E884" s="1287"/>
      <c r="F884" s="1283"/>
      <c r="G884" s="1288"/>
      <c r="H884" s="1289"/>
      <c r="I884" s="1289"/>
      <c r="J884" s="1290"/>
      <c r="K884" s="1291"/>
      <c r="L884" s="1292"/>
      <c r="M884" s="1292"/>
      <c r="N884" s="1292"/>
      <c r="O884" s="1292"/>
    </row>
    <row r="885" ht="33.0" customHeight="1">
      <c r="A885" s="1283"/>
      <c r="B885" s="1284"/>
      <c r="C885" s="1285"/>
      <c r="D885" s="1286"/>
      <c r="E885" s="1287"/>
      <c r="F885" s="1283"/>
      <c r="G885" s="1288"/>
      <c r="H885" s="1289"/>
      <c r="I885" s="1289"/>
      <c r="J885" s="1290"/>
      <c r="K885" s="1291"/>
      <c r="L885" s="1292"/>
      <c r="M885" s="1292"/>
      <c r="N885" s="1292"/>
      <c r="O885" s="1292"/>
    </row>
    <row r="886" ht="33.0" customHeight="1">
      <c r="A886" s="1283"/>
      <c r="B886" s="1284"/>
      <c r="C886" s="1285"/>
      <c r="D886" s="1286"/>
      <c r="E886" s="1287"/>
      <c r="F886" s="1283"/>
      <c r="G886" s="1288"/>
      <c r="H886" s="1289"/>
      <c r="I886" s="1289"/>
      <c r="J886" s="1290"/>
      <c r="K886" s="1291"/>
      <c r="L886" s="1292"/>
      <c r="M886" s="1292"/>
      <c r="N886" s="1292"/>
      <c r="O886" s="1292"/>
    </row>
    <row r="887" ht="33.0" customHeight="1">
      <c r="A887" s="1283"/>
      <c r="B887" s="1284"/>
      <c r="C887" s="1285"/>
      <c r="D887" s="1286"/>
      <c r="E887" s="1287"/>
      <c r="F887" s="1283"/>
      <c r="G887" s="1288"/>
      <c r="H887" s="1289"/>
      <c r="I887" s="1289"/>
      <c r="J887" s="1290"/>
      <c r="K887" s="1291"/>
      <c r="L887" s="1292"/>
      <c r="M887" s="1292"/>
      <c r="N887" s="1292"/>
      <c r="O887" s="1292"/>
    </row>
    <row r="888" ht="33.0" customHeight="1">
      <c r="A888" s="1283"/>
      <c r="B888" s="1284"/>
      <c r="C888" s="1285"/>
      <c r="D888" s="1286"/>
      <c r="E888" s="1287"/>
      <c r="F888" s="1283"/>
      <c r="G888" s="1288"/>
      <c r="H888" s="1289"/>
      <c r="I888" s="1289"/>
      <c r="J888" s="1290"/>
      <c r="K888" s="1291"/>
      <c r="L888" s="1292"/>
      <c r="M888" s="1292"/>
      <c r="N888" s="1292"/>
      <c r="O888" s="1292"/>
    </row>
    <row r="889" ht="33.0" customHeight="1">
      <c r="A889" s="1283"/>
      <c r="B889" s="1284"/>
      <c r="C889" s="1285"/>
      <c r="D889" s="1286"/>
      <c r="E889" s="1287"/>
      <c r="F889" s="1283"/>
      <c r="G889" s="1288"/>
      <c r="H889" s="1289"/>
      <c r="I889" s="1289"/>
      <c r="J889" s="1290"/>
      <c r="K889" s="1291"/>
      <c r="L889" s="1292"/>
      <c r="M889" s="1292"/>
      <c r="N889" s="1292"/>
      <c r="O889" s="1292"/>
    </row>
    <row r="890" ht="33.0" customHeight="1">
      <c r="A890" s="1283"/>
      <c r="B890" s="1284"/>
      <c r="C890" s="1285"/>
      <c r="D890" s="1286"/>
      <c r="E890" s="1287"/>
      <c r="F890" s="1283"/>
      <c r="G890" s="1288"/>
      <c r="H890" s="1289"/>
      <c r="I890" s="1289"/>
      <c r="J890" s="1290"/>
      <c r="K890" s="1291"/>
      <c r="L890" s="1292"/>
      <c r="M890" s="1292"/>
      <c r="N890" s="1292"/>
      <c r="O890" s="1292"/>
    </row>
    <row r="891" ht="33.0" customHeight="1">
      <c r="A891" s="1283"/>
      <c r="B891" s="1284"/>
      <c r="C891" s="1285"/>
      <c r="D891" s="1286"/>
      <c r="E891" s="1287"/>
      <c r="F891" s="1283"/>
      <c r="G891" s="1288"/>
      <c r="H891" s="1289"/>
      <c r="I891" s="1289"/>
      <c r="J891" s="1290"/>
      <c r="K891" s="1291"/>
      <c r="L891" s="1292"/>
      <c r="M891" s="1292"/>
      <c r="N891" s="1292"/>
      <c r="O891" s="1292"/>
    </row>
    <row r="892" ht="33.0" customHeight="1">
      <c r="A892" s="1283"/>
      <c r="B892" s="1284"/>
      <c r="C892" s="1285"/>
      <c r="D892" s="1286"/>
      <c r="E892" s="1287"/>
      <c r="F892" s="1283"/>
      <c r="G892" s="1288"/>
      <c r="H892" s="1289"/>
      <c r="I892" s="1289"/>
      <c r="J892" s="1290"/>
      <c r="K892" s="1291"/>
      <c r="L892" s="1292"/>
      <c r="M892" s="1292"/>
      <c r="N892" s="1292"/>
      <c r="O892" s="1292"/>
    </row>
    <row r="893" ht="33.0" customHeight="1">
      <c r="A893" s="1283"/>
      <c r="B893" s="1284"/>
      <c r="C893" s="1285"/>
      <c r="D893" s="1286"/>
      <c r="E893" s="1287"/>
      <c r="F893" s="1283"/>
      <c r="G893" s="1288"/>
      <c r="H893" s="1289"/>
      <c r="I893" s="1289"/>
      <c r="J893" s="1290"/>
      <c r="K893" s="1291"/>
      <c r="L893" s="1292"/>
      <c r="M893" s="1292"/>
      <c r="N893" s="1292"/>
      <c r="O893" s="1292"/>
    </row>
    <row r="894" ht="33.0" customHeight="1">
      <c r="A894" s="1283"/>
      <c r="B894" s="1284"/>
      <c r="C894" s="1285"/>
      <c r="D894" s="1286"/>
      <c r="E894" s="1287"/>
      <c r="F894" s="1283"/>
      <c r="G894" s="1288"/>
      <c r="H894" s="1289"/>
      <c r="I894" s="1289"/>
      <c r="J894" s="1290"/>
      <c r="K894" s="1291"/>
      <c r="L894" s="1292"/>
      <c r="M894" s="1292"/>
      <c r="N894" s="1292"/>
      <c r="O894" s="1292"/>
    </row>
    <row r="895" ht="33.0" customHeight="1">
      <c r="A895" s="1283"/>
      <c r="B895" s="1284"/>
      <c r="C895" s="1285"/>
      <c r="D895" s="1286"/>
      <c r="E895" s="1287"/>
      <c r="F895" s="1283"/>
      <c r="G895" s="1288"/>
      <c r="H895" s="1289"/>
      <c r="I895" s="1289"/>
      <c r="J895" s="1290"/>
      <c r="K895" s="1291"/>
      <c r="L895" s="1292"/>
      <c r="M895" s="1292"/>
      <c r="N895" s="1292"/>
      <c r="O895" s="1292"/>
    </row>
    <row r="896" ht="33.0" customHeight="1">
      <c r="A896" s="1283"/>
      <c r="B896" s="1284"/>
      <c r="C896" s="1285"/>
      <c r="D896" s="1286"/>
      <c r="E896" s="1287"/>
      <c r="F896" s="1283"/>
      <c r="G896" s="1288"/>
      <c r="H896" s="1289"/>
      <c r="I896" s="1289"/>
      <c r="J896" s="1290"/>
      <c r="K896" s="1291"/>
      <c r="L896" s="1292"/>
      <c r="M896" s="1292"/>
      <c r="N896" s="1292"/>
      <c r="O896" s="1292"/>
    </row>
    <row r="897" ht="33.0" customHeight="1">
      <c r="A897" s="1283"/>
      <c r="B897" s="1284"/>
      <c r="C897" s="1285"/>
      <c r="D897" s="1286"/>
      <c r="E897" s="1287"/>
      <c r="F897" s="1283"/>
      <c r="G897" s="1288"/>
      <c r="H897" s="1289"/>
      <c r="I897" s="1289"/>
      <c r="J897" s="1290"/>
      <c r="K897" s="1291"/>
      <c r="L897" s="1292"/>
      <c r="M897" s="1292"/>
      <c r="N897" s="1292"/>
      <c r="O897" s="1292"/>
    </row>
    <row r="898" ht="33.0" customHeight="1">
      <c r="A898" s="1283"/>
      <c r="B898" s="1284"/>
      <c r="C898" s="1285"/>
      <c r="D898" s="1286"/>
      <c r="E898" s="1287"/>
      <c r="F898" s="1283"/>
      <c r="G898" s="1288"/>
      <c r="H898" s="1289"/>
      <c r="I898" s="1289"/>
      <c r="J898" s="1290"/>
      <c r="K898" s="1291"/>
      <c r="L898" s="1292"/>
      <c r="M898" s="1292"/>
      <c r="N898" s="1292"/>
      <c r="O898" s="1292"/>
    </row>
    <row r="899" ht="33.0" customHeight="1">
      <c r="A899" s="1283"/>
      <c r="B899" s="1284"/>
      <c r="C899" s="1285"/>
      <c r="D899" s="1286"/>
      <c r="E899" s="1287"/>
      <c r="F899" s="1283"/>
      <c r="G899" s="1288"/>
      <c r="H899" s="1289"/>
      <c r="I899" s="1289"/>
      <c r="J899" s="1290"/>
      <c r="K899" s="1291"/>
      <c r="L899" s="1292"/>
      <c r="M899" s="1292"/>
      <c r="N899" s="1292"/>
      <c r="O899" s="1292"/>
    </row>
    <row r="900" ht="33.0" customHeight="1">
      <c r="A900" s="1283"/>
      <c r="B900" s="1284"/>
      <c r="C900" s="1285"/>
      <c r="D900" s="1286"/>
      <c r="E900" s="1287"/>
      <c r="F900" s="1283"/>
      <c r="G900" s="1288"/>
      <c r="H900" s="1289"/>
      <c r="I900" s="1289"/>
      <c r="J900" s="1290"/>
      <c r="K900" s="1291"/>
      <c r="L900" s="1292"/>
      <c r="M900" s="1292"/>
      <c r="N900" s="1292"/>
      <c r="O900" s="1292"/>
    </row>
    <row r="901" ht="33.0" customHeight="1">
      <c r="A901" s="1283"/>
      <c r="B901" s="1284"/>
      <c r="C901" s="1285"/>
      <c r="D901" s="1286"/>
      <c r="E901" s="1287"/>
      <c r="F901" s="1283"/>
      <c r="G901" s="1288"/>
      <c r="H901" s="1289"/>
      <c r="I901" s="1289"/>
      <c r="J901" s="1290"/>
      <c r="K901" s="1291"/>
      <c r="L901" s="1292"/>
      <c r="M901" s="1292"/>
      <c r="N901" s="1292"/>
      <c r="O901" s="1292"/>
    </row>
    <row r="902" ht="33.0" customHeight="1">
      <c r="A902" s="1283"/>
      <c r="B902" s="1284"/>
      <c r="C902" s="1285"/>
      <c r="D902" s="1286"/>
      <c r="E902" s="1287"/>
      <c r="F902" s="1283"/>
      <c r="G902" s="1288"/>
      <c r="H902" s="1289"/>
      <c r="I902" s="1289"/>
      <c r="J902" s="1290"/>
      <c r="K902" s="1291"/>
      <c r="L902" s="1292"/>
      <c r="M902" s="1292"/>
      <c r="N902" s="1292"/>
      <c r="O902" s="1292"/>
    </row>
    <row r="903" ht="33.0" customHeight="1">
      <c r="A903" s="1283"/>
      <c r="B903" s="1284"/>
      <c r="C903" s="1285"/>
      <c r="D903" s="1286"/>
      <c r="E903" s="1287"/>
      <c r="F903" s="1283"/>
      <c r="G903" s="1288"/>
      <c r="H903" s="1289"/>
      <c r="I903" s="1289"/>
      <c r="J903" s="1290"/>
      <c r="K903" s="1291"/>
      <c r="L903" s="1292"/>
      <c r="M903" s="1292"/>
      <c r="N903" s="1292"/>
      <c r="O903" s="1292"/>
    </row>
    <row r="904" ht="33.0" customHeight="1">
      <c r="A904" s="1283"/>
      <c r="B904" s="1284"/>
      <c r="C904" s="1285"/>
      <c r="D904" s="1286"/>
      <c r="E904" s="1287"/>
      <c r="F904" s="1283"/>
      <c r="G904" s="1288"/>
      <c r="H904" s="1289"/>
      <c r="I904" s="1289"/>
      <c r="J904" s="1290"/>
      <c r="K904" s="1291"/>
      <c r="L904" s="1292"/>
      <c r="M904" s="1292"/>
      <c r="N904" s="1292"/>
      <c r="O904" s="1292"/>
    </row>
    <row r="905" ht="33.0" customHeight="1">
      <c r="A905" s="1283"/>
      <c r="B905" s="1284"/>
      <c r="C905" s="1285"/>
      <c r="D905" s="1286"/>
      <c r="E905" s="1287"/>
      <c r="F905" s="1283"/>
      <c r="G905" s="1288"/>
      <c r="H905" s="1289"/>
      <c r="I905" s="1289"/>
      <c r="J905" s="1290"/>
      <c r="K905" s="1291"/>
      <c r="L905" s="1292"/>
      <c r="M905" s="1292"/>
      <c r="N905" s="1292"/>
      <c r="O905" s="1292"/>
    </row>
    <row r="906" ht="33.0" customHeight="1">
      <c r="A906" s="1283"/>
      <c r="B906" s="1284"/>
      <c r="C906" s="1285"/>
      <c r="D906" s="1286"/>
      <c r="E906" s="1287"/>
      <c r="F906" s="1283"/>
      <c r="G906" s="1288"/>
      <c r="H906" s="1289"/>
      <c r="I906" s="1289"/>
      <c r="J906" s="1290"/>
      <c r="K906" s="1291"/>
      <c r="L906" s="1292"/>
      <c r="M906" s="1292"/>
      <c r="N906" s="1292"/>
      <c r="O906" s="1292"/>
    </row>
    <row r="907" ht="33.0" customHeight="1">
      <c r="A907" s="1283"/>
      <c r="B907" s="1284"/>
      <c r="C907" s="1285"/>
      <c r="D907" s="1286"/>
      <c r="E907" s="1287"/>
      <c r="F907" s="1283"/>
      <c r="G907" s="1288"/>
      <c r="H907" s="1289"/>
      <c r="I907" s="1289"/>
      <c r="J907" s="1290"/>
      <c r="K907" s="1291"/>
      <c r="L907" s="1292"/>
      <c r="M907" s="1292"/>
      <c r="N907" s="1292"/>
      <c r="O907" s="1292"/>
    </row>
    <row r="908" ht="33.0" customHeight="1">
      <c r="A908" s="1283"/>
      <c r="B908" s="1284"/>
      <c r="C908" s="1285"/>
      <c r="D908" s="1286"/>
      <c r="E908" s="1287"/>
      <c r="F908" s="1283"/>
      <c r="G908" s="1288"/>
      <c r="H908" s="1289"/>
      <c r="I908" s="1289"/>
      <c r="J908" s="1290"/>
      <c r="K908" s="1291"/>
      <c r="L908" s="1292"/>
      <c r="M908" s="1292"/>
      <c r="N908" s="1292"/>
      <c r="O908" s="1292"/>
    </row>
    <row r="909" ht="33.0" customHeight="1">
      <c r="A909" s="1283"/>
      <c r="B909" s="1284"/>
      <c r="C909" s="1285"/>
      <c r="D909" s="1286"/>
      <c r="E909" s="1287"/>
      <c r="F909" s="1283"/>
      <c r="G909" s="1288"/>
      <c r="H909" s="1289"/>
      <c r="I909" s="1289"/>
      <c r="J909" s="1290"/>
      <c r="K909" s="1291"/>
      <c r="L909" s="1292"/>
      <c r="M909" s="1292"/>
      <c r="N909" s="1292"/>
      <c r="O909" s="1292"/>
    </row>
    <row r="910" ht="33.0" customHeight="1">
      <c r="A910" s="1283"/>
      <c r="B910" s="1284"/>
      <c r="C910" s="1285"/>
      <c r="D910" s="1286"/>
      <c r="E910" s="1287"/>
      <c r="F910" s="1283"/>
      <c r="G910" s="1288"/>
      <c r="H910" s="1289"/>
      <c r="I910" s="1289"/>
      <c r="J910" s="1290"/>
      <c r="K910" s="1291"/>
      <c r="L910" s="1292"/>
      <c r="M910" s="1292"/>
      <c r="N910" s="1292"/>
      <c r="O910" s="1292"/>
    </row>
    <row r="911" ht="33.0" customHeight="1">
      <c r="A911" s="1283"/>
      <c r="B911" s="1284"/>
      <c r="C911" s="1285"/>
      <c r="D911" s="1286"/>
      <c r="E911" s="1287"/>
      <c r="F911" s="1283"/>
      <c r="G911" s="1288"/>
      <c r="H911" s="1289"/>
      <c r="I911" s="1289"/>
      <c r="J911" s="1290"/>
      <c r="K911" s="1291"/>
      <c r="L911" s="1292"/>
      <c r="M911" s="1292"/>
      <c r="N911" s="1292"/>
      <c r="O911" s="1292"/>
    </row>
    <row r="912" ht="33.0" customHeight="1">
      <c r="A912" s="1283"/>
      <c r="B912" s="1284"/>
      <c r="C912" s="1285"/>
      <c r="D912" s="1286"/>
      <c r="E912" s="1287"/>
      <c r="F912" s="1283"/>
      <c r="G912" s="1288"/>
      <c r="H912" s="1289"/>
      <c r="I912" s="1289"/>
      <c r="J912" s="1290"/>
      <c r="K912" s="1291"/>
      <c r="L912" s="1292"/>
      <c r="M912" s="1292"/>
      <c r="N912" s="1292"/>
      <c r="O912" s="1292"/>
    </row>
    <row r="913" ht="33.0" customHeight="1">
      <c r="A913" s="1283"/>
      <c r="B913" s="1284"/>
      <c r="C913" s="1285"/>
      <c r="D913" s="1286"/>
      <c r="E913" s="1287"/>
      <c r="F913" s="1283"/>
      <c r="G913" s="1288"/>
      <c r="H913" s="1289"/>
      <c r="I913" s="1289"/>
      <c r="J913" s="1290"/>
      <c r="K913" s="1291"/>
      <c r="L913" s="1292"/>
      <c r="M913" s="1292"/>
      <c r="N913" s="1292"/>
      <c r="O913" s="1292"/>
    </row>
    <row r="914" ht="33.0" customHeight="1">
      <c r="A914" s="1283"/>
      <c r="B914" s="1284"/>
      <c r="C914" s="1285"/>
      <c r="D914" s="1286"/>
      <c r="E914" s="1287"/>
      <c r="F914" s="1283"/>
      <c r="G914" s="1288"/>
      <c r="H914" s="1289"/>
      <c r="I914" s="1289"/>
      <c r="J914" s="1290"/>
      <c r="K914" s="1291"/>
      <c r="L914" s="1292"/>
      <c r="M914" s="1292"/>
      <c r="N914" s="1292"/>
      <c r="O914" s="1292"/>
    </row>
    <row r="915" ht="33.0" customHeight="1">
      <c r="A915" s="1283"/>
      <c r="B915" s="1284"/>
      <c r="C915" s="1285"/>
      <c r="D915" s="1286"/>
      <c r="E915" s="1287"/>
      <c r="F915" s="1283"/>
      <c r="G915" s="1288"/>
      <c r="H915" s="1289"/>
      <c r="I915" s="1289"/>
      <c r="J915" s="1290"/>
      <c r="K915" s="1291"/>
      <c r="L915" s="1292"/>
      <c r="M915" s="1292"/>
      <c r="N915" s="1292"/>
      <c r="O915" s="1292"/>
    </row>
    <row r="916" ht="33.0" customHeight="1">
      <c r="A916" s="1283"/>
      <c r="B916" s="1284"/>
      <c r="C916" s="1285"/>
      <c r="D916" s="1286"/>
      <c r="E916" s="1287"/>
      <c r="F916" s="1283"/>
      <c r="G916" s="1288"/>
      <c r="H916" s="1289"/>
      <c r="I916" s="1289"/>
      <c r="J916" s="1290"/>
      <c r="K916" s="1291"/>
      <c r="L916" s="1292"/>
      <c r="M916" s="1292"/>
      <c r="N916" s="1292"/>
      <c r="O916" s="1292"/>
    </row>
    <row r="917" ht="33.0" customHeight="1">
      <c r="A917" s="1283"/>
      <c r="B917" s="1284"/>
      <c r="C917" s="1285"/>
      <c r="D917" s="1286"/>
      <c r="E917" s="1287"/>
      <c r="F917" s="1283"/>
      <c r="G917" s="1288"/>
      <c r="H917" s="1289"/>
      <c r="I917" s="1289"/>
      <c r="J917" s="1290"/>
      <c r="K917" s="1291"/>
      <c r="L917" s="1292"/>
      <c r="M917" s="1292"/>
      <c r="N917" s="1292"/>
      <c r="O917" s="1292"/>
    </row>
    <row r="918" ht="33.0" customHeight="1">
      <c r="A918" s="1283"/>
      <c r="B918" s="1284"/>
      <c r="C918" s="1285"/>
      <c r="D918" s="1286"/>
      <c r="E918" s="1287"/>
      <c r="F918" s="1283"/>
      <c r="G918" s="1288"/>
      <c r="H918" s="1289"/>
      <c r="I918" s="1289"/>
      <c r="J918" s="1290"/>
      <c r="K918" s="1291"/>
      <c r="L918" s="1292"/>
      <c r="M918" s="1292"/>
      <c r="N918" s="1292"/>
      <c r="O918" s="1292"/>
    </row>
    <row r="919" ht="33.0" customHeight="1">
      <c r="A919" s="1283"/>
      <c r="B919" s="1284"/>
      <c r="C919" s="1285"/>
      <c r="D919" s="1286"/>
      <c r="E919" s="1287"/>
      <c r="F919" s="1283"/>
      <c r="G919" s="1288"/>
      <c r="H919" s="1289"/>
      <c r="I919" s="1289"/>
      <c r="J919" s="1290"/>
      <c r="K919" s="1291"/>
      <c r="L919" s="1292"/>
      <c r="M919" s="1292"/>
      <c r="N919" s="1292"/>
      <c r="O919" s="1292"/>
    </row>
    <row r="920" ht="33.0" customHeight="1">
      <c r="A920" s="1283"/>
      <c r="B920" s="1284"/>
      <c r="C920" s="1285"/>
      <c r="D920" s="1286"/>
      <c r="E920" s="1287"/>
      <c r="F920" s="1283"/>
      <c r="G920" s="1288"/>
      <c r="H920" s="1289"/>
      <c r="I920" s="1289"/>
      <c r="J920" s="1290"/>
      <c r="K920" s="1291"/>
      <c r="L920" s="1292"/>
      <c r="M920" s="1292"/>
      <c r="N920" s="1292"/>
      <c r="O920" s="1292"/>
    </row>
    <row r="921" ht="33.0" customHeight="1">
      <c r="A921" s="1283"/>
      <c r="B921" s="1284"/>
      <c r="C921" s="1285"/>
      <c r="D921" s="1286"/>
      <c r="E921" s="1287"/>
      <c r="F921" s="1283"/>
      <c r="G921" s="1288"/>
      <c r="H921" s="1289"/>
      <c r="I921" s="1289"/>
      <c r="J921" s="1290"/>
      <c r="K921" s="1291"/>
      <c r="L921" s="1292"/>
      <c r="M921" s="1292"/>
      <c r="N921" s="1292"/>
      <c r="O921" s="1292"/>
    </row>
    <row r="922" ht="33.0" customHeight="1">
      <c r="A922" s="1283"/>
      <c r="B922" s="1284"/>
      <c r="C922" s="1285"/>
      <c r="D922" s="1286"/>
      <c r="E922" s="1287"/>
      <c r="F922" s="1283"/>
      <c r="G922" s="1288"/>
      <c r="H922" s="1289"/>
      <c r="I922" s="1289"/>
      <c r="J922" s="1290"/>
      <c r="K922" s="1291"/>
      <c r="L922" s="1292"/>
      <c r="M922" s="1292"/>
      <c r="N922" s="1292"/>
      <c r="O922" s="1292"/>
    </row>
    <row r="923" ht="33.0" customHeight="1">
      <c r="A923" s="1283"/>
      <c r="B923" s="1284"/>
      <c r="C923" s="1285"/>
      <c r="D923" s="1286"/>
      <c r="E923" s="1287"/>
      <c r="F923" s="1283"/>
      <c r="G923" s="1288"/>
      <c r="H923" s="1289"/>
      <c r="I923" s="1289"/>
      <c r="J923" s="1290"/>
      <c r="K923" s="1291"/>
      <c r="L923" s="1292"/>
      <c r="M923" s="1292"/>
      <c r="N923" s="1292"/>
      <c r="O923" s="1292"/>
    </row>
    <row r="924" ht="33.0" customHeight="1">
      <c r="A924" s="1283"/>
      <c r="B924" s="1284"/>
      <c r="C924" s="1285"/>
      <c r="D924" s="1286"/>
      <c r="E924" s="1287"/>
      <c r="F924" s="1283"/>
      <c r="G924" s="1288"/>
      <c r="H924" s="1289"/>
      <c r="I924" s="1289"/>
      <c r="J924" s="1290"/>
      <c r="K924" s="1291"/>
      <c r="L924" s="1292"/>
      <c r="M924" s="1292"/>
      <c r="N924" s="1292"/>
      <c r="O924" s="1292"/>
    </row>
    <row r="925" ht="33.0" customHeight="1">
      <c r="A925" s="1283"/>
      <c r="B925" s="1284"/>
      <c r="C925" s="1285"/>
      <c r="D925" s="1286"/>
      <c r="E925" s="1287"/>
      <c r="F925" s="1283"/>
      <c r="G925" s="1288"/>
      <c r="H925" s="1289"/>
      <c r="I925" s="1289"/>
      <c r="J925" s="1290"/>
      <c r="K925" s="1291"/>
      <c r="L925" s="1292"/>
      <c r="M925" s="1292"/>
      <c r="N925" s="1292"/>
      <c r="O925" s="1292"/>
    </row>
    <row r="926" ht="33.0" customHeight="1">
      <c r="A926" s="1283"/>
      <c r="B926" s="1284"/>
      <c r="C926" s="1285"/>
      <c r="D926" s="1286"/>
      <c r="E926" s="1287"/>
      <c r="F926" s="1283"/>
      <c r="G926" s="1288"/>
      <c r="H926" s="1289"/>
      <c r="I926" s="1289"/>
      <c r="J926" s="1290"/>
      <c r="K926" s="1291"/>
      <c r="L926" s="1292"/>
      <c r="M926" s="1292"/>
      <c r="N926" s="1292"/>
      <c r="O926" s="1292"/>
    </row>
    <row r="927" ht="33.0" customHeight="1">
      <c r="A927" s="1283"/>
      <c r="B927" s="1284"/>
      <c r="C927" s="1285"/>
      <c r="D927" s="1286"/>
      <c r="E927" s="1287"/>
      <c r="F927" s="1283"/>
      <c r="G927" s="1288"/>
      <c r="H927" s="1289"/>
      <c r="I927" s="1289"/>
      <c r="J927" s="1290"/>
      <c r="K927" s="1291"/>
      <c r="L927" s="1292"/>
      <c r="M927" s="1292"/>
      <c r="N927" s="1292"/>
      <c r="O927" s="1292"/>
    </row>
    <row r="928" ht="33.0" customHeight="1">
      <c r="A928" s="1283"/>
      <c r="B928" s="1284"/>
      <c r="C928" s="1285"/>
      <c r="D928" s="1286"/>
      <c r="E928" s="1287"/>
      <c r="F928" s="1283"/>
      <c r="G928" s="1288"/>
      <c r="H928" s="1289"/>
      <c r="I928" s="1289"/>
      <c r="J928" s="1290"/>
      <c r="K928" s="1291"/>
      <c r="L928" s="1292"/>
      <c r="M928" s="1292"/>
      <c r="N928" s="1292"/>
      <c r="O928" s="1292"/>
    </row>
    <row r="929" ht="33.0" customHeight="1">
      <c r="A929" s="1283"/>
      <c r="B929" s="1284"/>
      <c r="C929" s="1285"/>
      <c r="D929" s="1286"/>
      <c r="E929" s="1287"/>
      <c r="F929" s="1283"/>
      <c r="G929" s="1288"/>
      <c r="H929" s="1289"/>
      <c r="I929" s="1289"/>
      <c r="J929" s="1290"/>
      <c r="K929" s="1291"/>
      <c r="L929" s="1292"/>
      <c r="M929" s="1292"/>
      <c r="N929" s="1292"/>
      <c r="O929" s="1292"/>
    </row>
    <row r="930" ht="33.0" customHeight="1">
      <c r="A930" s="1283"/>
      <c r="B930" s="1284"/>
      <c r="C930" s="1285"/>
      <c r="D930" s="1286"/>
      <c r="E930" s="1287"/>
      <c r="F930" s="1283"/>
      <c r="G930" s="1288"/>
      <c r="H930" s="1289"/>
      <c r="I930" s="1289"/>
      <c r="J930" s="1290"/>
      <c r="K930" s="1291"/>
      <c r="L930" s="1292"/>
      <c r="M930" s="1292"/>
      <c r="N930" s="1292"/>
      <c r="O930" s="1292"/>
    </row>
    <row r="931" ht="33.0" customHeight="1">
      <c r="A931" s="1283"/>
      <c r="B931" s="1284"/>
      <c r="C931" s="1285"/>
      <c r="D931" s="1286"/>
      <c r="E931" s="1287"/>
      <c r="F931" s="1283"/>
      <c r="G931" s="1288"/>
      <c r="H931" s="1289"/>
      <c r="I931" s="1289"/>
      <c r="J931" s="1290"/>
      <c r="K931" s="1291"/>
      <c r="L931" s="1292"/>
      <c r="M931" s="1292"/>
      <c r="N931" s="1292"/>
      <c r="O931" s="1292"/>
    </row>
    <row r="932" ht="33.0" customHeight="1">
      <c r="A932" s="1283"/>
      <c r="B932" s="1284"/>
      <c r="C932" s="1285"/>
      <c r="D932" s="1286"/>
      <c r="E932" s="1287"/>
      <c r="F932" s="1283"/>
      <c r="G932" s="1288"/>
      <c r="H932" s="1289"/>
      <c r="I932" s="1289"/>
      <c r="J932" s="1290"/>
      <c r="K932" s="1291"/>
      <c r="L932" s="1292"/>
      <c r="M932" s="1292"/>
      <c r="N932" s="1292"/>
      <c r="O932" s="1292"/>
    </row>
    <row r="933" ht="33.0" customHeight="1">
      <c r="A933" s="1283"/>
      <c r="B933" s="1284"/>
      <c r="C933" s="1285"/>
      <c r="D933" s="1286"/>
      <c r="E933" s="1287"/>
      <c r="F933" s="1283"/>
      <c r="G933" s="1288"/>
      <c r="H933" s="1289"/>
      <c r="I933" s="1289"/>
      <c r="J933" s="1290"/>
      <c r="K933" s="1291"/>
      <c r="L933" s="1292"/>
      <c r="M933" s="1292"/>
      <c r="N933" s="1292"/>
      <c r="O933" s="1292"/>
    </row>
    <row r="934" ht="33.0" customHeight="1">
      <c r="A934" s="1283"/>
      <c r="B934" s="1284"/>
      <c r="C934" s="1285"/>
      <c r="D934" s="1286"/>
      <c r="E934" s="1287"/>
      <c r="F934" s="1283"/>
      <c r="G934" s="1288"/>
      <c r="H934" s="1289"/>
      <c r="I934" s="1289"/>
      <c r="J934" s="1290"/>
      <c r="K934" s="1291"/>
      <c r="L934" s="1292"/>
      <c r="M934" s="1292"/>
      <c r="N934" s="1292"/>
      <c r="O934" s="1292"/>
    </row>
    <row r="935" ht="33.0" customHeight="1">
      <c r="A935" s="1283"/>
      <c r="B935" s="1284"/>
      <c r="C935" s="1285"/>
      <c r="D935" s="1286"/>
      <c r="E935" s="1287"/>
      <c r="F935" s="1283"/>
      <c r="G935" s="1288"/>
      <c r="H935" s="1289"/>
      <c r="I935" s="1289"/>
      <c r="J935" s="1290"/>
      <c r="K935" s="1291"/>
      <c r="L935" s="1292"/>
      <c r="M935" s="1292"/>
      <c r="N935" s="1292"/>
      <c r="O935" s="1292"/>
    </row>
    <row r="936" ht="33.0" customHeight="1">
      <c r="A936" s="1283"/>
      <c r="B936" s="1284"/>
      <c r="C936" s="1285"/>
      <c r="D936" s="1286"/>
      <c r="E936" s="1287"/>
      <c r="F936" s="1283"/>
      <c r="G936" s="1288"/>
      <c r="H936" s="1289"/>
      <c r="I936" s="1289"/>
      <c r="J936" s="1290"/>
      <c r="K936" s="1291"/>
      <c r="L936" s="1292"/>
      <c r="M936" s="1292"/>
      <c r="N936" s="1292"/>
      <c r="O936" s="1292"/>
    </row>
    <row r="937" ht="33.0" customHeight="1">
      <c r="A937" s="1283"/>
      <c r="B937" s="1284"/>
      <c r="C937" s="1285"/>
      <c r="D937" s="1286"/>
      <c r="E937" s="1287"/>
      <c r="F937" s="1283"/>
      <c r="G937" s="1288"/>
      <c r="H937" s="1289"/>
      <c r="I937" s="1289"/>
      <c r="J937" s="1290"/>
      <c r="K937" s="1291"/>
      <c r="L937" s="1292"/>
      <c r="M937" s="1292"/>
      <c r="N937" s="1292"/>
      <c r="O937" s="1292"/>
    </row>
    <row r="938" ht="33.0" customHeight="1">
      <c r="A938" s="1283"/>
      <c r="B938" s="1284"/>
      <c r="C938" s="1285"/>
      <c r="D938" s="1286"/>
      <c r="E938" s="1287"/>
      <c r="F938" s="1283"/>
      <c r="G938" s="1288"/>
      <c r="H938" s="1289"/>
      <c r="I938" s="1289"/>
      <c r="J938" s="1290"/>
      <c r="K938" s="1291"/>
      <c r="L938" s="1292"/>
      <c r="M938" s="1292"/>
      <c r="N938" s="1292"/>
      <c r="O938" s="1292"/>
    </row>
    <row r="939" ht="33.0" customHeight="1">
      <c r="A939" s="1283"/>
      <c r="B939" s="1284"/>
      <c r="C939" s="1285"/>
      <c r="D939" s="1286"/>
      <c r="E939" s="1287"/>
      <c r="F939" s="1283"/>
      <c r="G939" s="1288"/>
      <c r="H939" s="1289"/>
      <c r="I939" s="1289"/>
      <c r="J939" s="1290"/>
      <c r="K939" s="1291"/>
      <c r="L939" s="1292"/>
      <c r="M939" s="1292"/>
      <c r="N939" s="1292"/>
      <c r="O939" s="1292"/>
    </row>
    <row r="940" ht="33.0" customHeight="1">
      <c r="A940" s="1283"/>
      <c r="B940" s="1284"/>
      <c r="C940" s="1285"/>
      <c r="D940" s="1286"/>
      <c r="E940" s="1287"/>
      <c r="F940" s="1283"/>
      <c r="G940" s="1288"/>
      <c r="H940" s="1289"/>
      <c r="I940" s="1289"/>
      <c r="J940" s="1290"/>
      <c r="K940" s="1291"/>
      <c r="L940" s="1292"/>
      <c r="M940" s="1292"/>
      <c r="N940" s="1292"/>
      <c r="O940" s="1292"/>
    </row>
    <row r="941" ht="33.0" customHeight="1">
      <c r="A941" s="1283"/>
      <c r="B941" s="1284"/>
      <c r="C941" s="1285"/>
      <c r="D941" s="1286"/>
      <c r="E941" s="1287"/>
      <c r="F941" s="1283"/>
      <c r="G941" s="1288"/>
      <c r="H941" s="1289"/>
      <c r="I941" s="1289"/>
      <c r="J941" s="1290"/>
      <c r="K941" s="1291"/>
      <c r="L941" s="1292"/>
      <c r="M941" s="1292"/>
      <c r="N941" s="1292"/>
      <c r="O941" s="1292"/>
    </row>
    <row r="942" ht="33.0" customHeight="1">
      <c r="A942" s="1283"/>
      <c r="B942" s="1284"/>
      <c r="C942" s="1285"/>
      <c r="D942" s="1286"/>
      <c r="E942" s="1287"/>
      <c r="F942" s="1283"/>
      <c r="G942" s="1288"/>
      <c r="H942" s="1289"/>
      <c r="I942" s="1289"/>
      <c r="J942" s="1290"/>
      <c r="K942" s="1291"/>
      <c r="L942" s="1292"/>
      <c r="M942" s="1292"/>
      <c r="N942" s="1292"/>
      <c r="O942" s="1292"/>
    </row>
    <row r="943" ht="33.0" customHeight="1">
      <c r="A943" s="1283"/>
      <c r="B943" s="1284"/>
      <c r="C943" s="1285"/>
      <c r="D943" s="1286"/>
      <c r="E943" s="1287"/>
      <c r="F943" s="1283"/>
      <c r="G943" s="1288"/>
      <c r="H943" s="1289"/>
      <c r="I943" s="1289"/>
      <c r="J943" s="1290"/>
      <c r="K943" s="1291"/>
      <c r="L943" s="1292"/>
      <c r="M943" s="1292"/>
      <c r="N943" s="1292"/>
      <c r="O943" s="1292"/>
    </row>
    <row r="944" ht="33.0" customHeight="1">
      <c r="A944" s="1283"/>
      <c r="B944" s="1284"/>
      <c r="C944" s="1285"/>
      <c r="D944" s="1286"/>
      <c r="E944" s="1287"/>
      <c r="F944" s="1283"/>
      <c r="G944" s="1288"/>
      <c r="H944" s="1289"/>
      <c r="I944" s="1289"/>
      <c r="J944" s="1290"/>
      <c r="K944" s="1291"/>
      <c r="L944" s="1292"/>
      <c r="M944" s="1292"/>
      <c r="N944" s="1292"/>
      <c r="O944" s="1292"/>
    </row>
    <row r="945" ht="33.0" customHeight="1">
      <c r="A945" s="1283"/>
      <c r="B945" s="1284"/>
      <c r="C945" s="1285"/>
      <c r="D945" s="1286"/>
      <c r="E945" s="1287"/>
      <c r="F945" s="1283"/>
      <c r="G945" s="1288"/>
      <c r="H945" s="1289"/>
      <c r="I945" s="1289"/>
      <c r="J945" s="1290"/>
      <c r="K945" s="1291"/>
      <c r="L945" s="1292"/>
      <c r="M945" s="1292"/>
      <c r="N945" s="1292"/>
      <c r="O945" s="1292"/>
    </row>
    <row r="946" ht="33.0" customHeight="1">
      <c r="A946" s="1283"/>
      <c r="B946" s="1284"/>
      <c r="C946" s="1285"/>
      <c r="D946" s="1286"/>
      <c r="E946" s="1287"/>
      <c r="F946" s="1283"/>
      <c r="G946" s="1288"/>
      <c r="H946" s="1289"/>
      <c r="I946" s="1289"/>
      <c r="J946" s="1290"/>
      <c r="K946" s="1291"/>
      <c r="L946" s="1292"/>
      <c r="M946" s="1292"/>
      <c r="N946" s="1292"/>
      <c r="O946" s="1292"/>
    </row>
    <row r="947" ht="33.0" customHeight="1">
      <c r="A947" s="1283"/>
      <c r="B947" s="1284"/>
      <c r="C947" s="1285"/>
      <c r="D947" s="1286"/>
      <c r="E947" s="1287"/>
      <c r="F947" s="1283"/>
      <c r="G947" s="1288"/>
      <c r="H947" s="1289"/>
      <c r="I947" s="1289"/>
      <c r="J947" s="1290"/>
      <c r="K947" s="1291"/>
      <c r="L947" s="1292"/>
      <c r="M947" s="1292"/>
      <c r="N947" s="1292"/>
      <c r="O947" s="1292"/>
    </row>
    <row r="948" ht="33.0" customHeight="1">
      <c r="A948" s="1283"/>
      <c r="B948" s="1284"/>
      <c r="C948" s="1285"/>
      <c r="D948" s="1286"/>
      <c r="E948" s="1287"/>
      <c r="F948" s="1283"/>
      <c r="G948" s="1288"/>
      <c r="H948" s="1289"/>
      <c r="I948" s="1289"/>
      <c r="J948" s="1290"/>
      <c r="K948" s="1291"/>
      <c r="L948" s="1292"/>
      <c r="M948" s="1292"/>
      <c r="N948" s="1292"/>
      <c r="O948" s="1292"/>
    </row>
    <row r="949" ht="33.0" customHeight="1">
      <c r="A949" s="1283"/>
      <c r="B949" s="1284"/>
      <c r="C949" s="1285"/>
      <c r="D949" s="1286"/>
      <c r="E949" s="1287"/>
      <c r="F949" s="1283"/>
      <c r="G949" s="1288"/>
      <c r="H949" s="1289"/>
      <c r="I949" s="1289"/>
      <c r="J949" s="1290"/>
      <c r="K949" s="1291"/>
      <c r="L949" s="1292"/>
      <c r="M949" s="1292"/>
      <c r="N949" s="1292"/>
      <c r="O949" s="1292"/>
    </row>
    <row r="950" ht="33.0" customHeight="1">
      <c r="A950" s="1283"/>
      <c r="B950" s="1284"/>
      <c r="C950" s="1285"/>
      <c r="D950" s="1286"/>
      <c r="E950" s="1287"/>
      <c r="F950" s="1283"/>
      <c r="G950" s="1288"/>
      <c r="H950" s="1289"/>
      <c r="I950" s="1289"/>
      <c r="J950" s="1290"/>
      <c r="K950" s="1291"/>
      <c r="L950" s="1292"/>
      <c r="M950" s="1292"/>
      <c r="N950" s="1292"/>
      <c r="O950" s="1292"/>
    </row>
    <row r="951" ht="33.0" customHeight="1">
      <c r="A951" s="1283"/>
      <c r="B951" s="1284"/>
      <c r="C951" s="1285"/>
      <c r="D951" s="1286"/>
      <c r="E951" s="1287"/>
      <c r="F951" s="1283"/>
      <c r="G951" s="1288"/>
      <c r="H951" s="1289"/>
      <c r="I951" s="1289"/>
      <c r="J951" s="1290"/>
      <c r="K951" s="1291"/>
      <c r="L951" s="1292"/>
      <c r="M951" s="1292"/>
      <c r="N951" s="1292"/>
      <c r="O951" s="1292"/>
    </row>
    <row r="952" ht="33.0" customHeight="1">
      <c r="A952" s="1283"/>
      <c r="B952" s="1284"/>
      <c r="C952" s="1285"/>
      <c r="D952" s="1286"/>
      <c r="E952" s="1287"/>
      <c r="F952" s="1283"/>
      <c r="G952" s="1288"/>
      <c r="H952" s="1289"/>
      <c r="I952" s="1289"/>
      <c r="J952" s="1290"/>
      <c r="K952" s="1291"/>
      <c r="L952" s="1292"/>
      <c r="M952" s="1292"/>
      <c r="N952" s="1292"/>
      <c r="O952" s="1292"/>
    </row>
    <row r="953" ht="33.0" customHeight="1">
      <c r="A953" s="1283"/>
      <c r="B953" s="1284"/>
      <c r="C953" s="1285"/>
      <c r="D953" s="1286"/>
      <c r="E953" s="1287"/>
      <c r="F953" s="1283"/>
      <c r="G953" s="1288"/>
      <c r="H953" s="1289"/>
      <c r="I953" s="1289"/>
      <c r="J953" s="1290"/>
      <c r="K953" s="1291"/>
      <c r="L953" s="1292"/>
      <c r="M953" s="1292"/>
      <c r="N953" s="1292"/>
      <c r="O953" s="1292"/>
    </row>
    <row r="954" ht="33.0" customHeight="1">
      <c r="A954" s="1283"/>
      <c r="B954" s="1284"/>
      <c r="C954" s="1285"/>
      <c r="D954" s="1286"/>
      <c r="E954" s="1287"/>
      <c r="F954" s="1283"/>
      <c r="G954" s="1288"/>
      <c r="H954" s="1289"/>
      <c r="I954" s="1289"/>
      <c r="J954" s="1290"/>
      <c r="K954" s="1291"/>
      <c r="L954" s="1292"/>
      <c r="M954" s="1292"/>
      <c r="N954" s="1292"/>
      <c r="O954" s="1292"/>
    </row>
    <row r="955" ht="33.0" customHeight="1">
      <c r="A955" s="1283"/>
      <c r="B955" s="1284"/>
      <c r="C955" s="1285"/>
      <c r="D955" s="1286"/>
      <c r="E955" s="1287"/>
      <c r="F955" s="1283"/>
      <c r="G955" s="1288"/>
      <c r="H955" s="1289"/>
      <c r="I955" s="1289"/>
      <c r="J955" s="1290"/>
      <c r="K955" s="1291"/>
      <c r="L955" s="1292"/>
      <c r="M955" s="1292"/>
      <c r="N955" s="1292"/>
      <c r="O955" s="1292"/>
    </row>
    <row r="956" ht="33.0" customHeight="1">
      <c r="A956" s="1283"/>
      <c r="B956" s="1284"/>
      <c r="C956" s="1285"/>
      <c r="D956" s="1286"/>
      <c r="E956" s="1287"/>
      <c r="F956" s="1283"/>
      <c r="G956" s="1288"/>
      <c r="H956" s="1289"/>
      <c r="I956" s="1289"/>
      <c r="J956" s="1290"/>
      <c r="K956" s="1291"/>
      <c r="L956" s="1292"/>
      <c r="M956" s="1292"/>
      <c r="N956" s="1292"/>
      <c r="O956" s="1292"/>
    </row>
    <row r="957" ht="33.0" customHeight="1">
      <c r="A957" s="1283"/>
      <c r="B957" s="1284"/>
      <c r="C957" s="1285"/>
      <c r="D957" s="1286"/>
      <c r="E957" s="1287"/>
      <c r="F957" s="1283"/>
      <c r="G957" s="1288"/>
      <c r="H957" s="1289"/>
      <c r="I957" s="1289"/>
      <c r="J957" s="1290"/>
      <c r="K957" s="1291"/>
      <c r="L957" s="1292"/>
      <c r="M957" s="1292"/>
      <c r="N957" s="1292"/>
      <c r="O957" s="1292"/>
    </row>
    <row r="958" ht="33.0" customHeight="1">
      <c r="A958" s="1283"/>
      <c r="B958" s="1284"/>
      <c r="C958" s="1285"/>
      <c r="D958" s="1286"/>
      <c r="E958" s="1287"/>
      <c r="F958" s="1283"/>
      <c r="G958" s="1288"/>
      <c r="H958" s="1289"/>
      <c r="I958" s="1289"/>
      <c r="J958" s="1290"/>
      <c r="K958" s="1291"/>
      <c r="L958" s="1292"/>
      <c r="M958" s="1292"/>
      <c r="N958" s="1292"/>
      <c r="O958" s="1292"/>
    </row>
    <row r="959" ht="33.0" customHeight="1">
      <c r="A959" s="1283"/>
      <c r="B959" s="1284"/>
      <c r="C959" s="1285"/>
      <c r="D959" s="1286"/>
      <c r="E959" s="1287"/>
      <c r="F959" s="1283"/>
      <c r="G959" s="1288"/>
      <c r="H959" s="1289"/>
      <c r="I959" s="1289"/>
      <c r="J959" s="1290"/>
      <c r="K959" s="1291"/>
      <c r="L959" s="1292"/>
      <c r="M959" s="1292"/>
      <c r="N959" s="1292"/>
      <c r="O959" s="1292"/>
    </row>
    <row r="960" ht="33.0" customHeight="1">
      <c r="A960" s="1283"/>
      <c r="B960" s="1284"/>
      <c r="C960" s="1285"/>
      <c r="D960" s="1286"/>
      <c r="E960" s="1287"/>
      <c r="F960" s="1283"/>
      <c r="G960" s="1288"/>
      <c r="H960" s="1289"/>
      <c r="I960" s="1289"/>
      <c r="J960" s="1290"/>
      <c r="K960" s="1291"/>
      <c r="L960" s="1292"/>
      <c r="M960" s="1292"/>
      <c r="N960" s="1292"/>
      <c r="O960" s="1292"/>
    </row>
    <row r="961" ht="33.0" customHeight="1">
      <c r="A961" s="1283"/>
      <c r="B961" s="1284"/>
      <c r="C961" s="1285"/>
      <c r="D961" s="1286"/>
      <c r="E961" s="1287"/>
      <c r="F961" s="1283"/>
      <c r="G961" s="1288"/>
      <c r="H961" s="1289"/>
      <c r="I961" s="1289"/>
      <c r="J961" s="1290"/>
      <c r="K961" s="1291"/>
      <c r="L961" s="1292"/>
      <c r="M961" s="1292"/>
      <c r="N961" s="1292"/>
      <c r="O961" s="1292"/>
    </row>
    <row r="962" ht="33.0" customHeight="1">
      <c r="A962" s="1283"/>
      <c r="B962" s="1284"/>
      <c r="C962" s="1285"/>
      <c r="D962" s="1286"/>
      <c r="E962" s="1287"/>
      <c r="F962" s="1283"/>
      <c r="G962" s="1288"/>
      <c r="H962" s="1289"/>
      <c r="I962" s="1289"/>
      <c r="J962" s="1290"/>
      <c r="K962" s="1291"/>
      <c r="L962" s="1292"/>
      <c r="M962" s="1292"/>
      <c r="N962" s="1292"/>
      <c r="O962" s="1292"/>
    </row>
    <row r="963" ht="33.0" customHeight="1">
      <c r="A963" s="1283"/>
      <c r="B963" s="1284"/>
      <c r="C963" s="1285"/>
      <c r="D963" s="1286"/>
      <c r="E963" s="1287"/>
      <c r="F963" s="1283"/>
      <c r="G963" s="1288"/>
      <c r="H963" s="1289"/>
      <c r="I963" s="1289"/>
      <c r="J963" s="1290"/>
      <c r="K963" s="1291"/>
      <c r="L963" s="1292"/>
      <c r="M963" s="1292"/>
      <c r="N963" s="1292"/>
      <c r="O963" s="1292"/>
    </row>
    <row r="964" ht="33.0" customHeight="1">
      <c r="A964" s="1283"/>
      <c r="B964" s="1284"/>
      <c r="C964" s="1285"/>
      <c r="D964" s="1286"/>
      <c r="E964" s="1287"/>
      <c r="F964" s="1283"/>
      <c r="G964" s="1288"/>
      <c r="H964" s="1289"/>
      <c r="I964" s="1289"/>
      <c r="J964" s="1290"/>
      <c r="K964" s="1291"/>
      <c r="L964" s="1292"/>
      <c r="M964" s="1292"/>
      <c r="N964" s="1292"/>
      <c r="O964" s="1292"/>
    </row>
    <row r="965" ht="33.0" customHeight="1">
      <c r="A965" s="1283"/>
      <c r="B965" s="1284"/>
      <c r="C965" s="1285"/>
      <c r="D965" s="1286"/>
      <c r="E965" s="1287"/>
      <c r="F965" s="1283"/>
      <c r="G965" s="1288"/>
      <c r="H965" s="1289"/>
      <c r="I965" s="1289"/>
      <c r="J965" s="1290"/>
      <c r="K965" s="1291"/>
      <c r="L965" s="1292"/>
      <c r="M965" s="1292"/>
      <c r="N965" s="1292"/>
      <c r="O965" s="1292"/>
    </row>
    <row r="966" ht="33.0" customHeight="1">
      <c r="A966" s="1283"/>
      <c r="B966" s="1284"/>
      <c r="C966" s="1285"/>
      <c r="D966" s="1286"/>
      <c r="E966" s="1287"/>
      <c r="F966" s="1283"/>
      <c r="G966" s="1288"/>
      <c r="H966" s="1289"/>
      <c r="I966" s="1289"/>
      <c r="J966" s="1290"/>
      <c r="K966" s="1291"/>
      <c r="L966" s="1292"/>
      <c r="M966" s="1292"/>
      <c r="N966" s="1292"/>
      <c r="O966" s="1292"/>
    </row>
    <row r="967" ht="33.0" customHeight="1">
      <c r="A967" s="1283"/>
      <c r="B967" s="1284"/>
      <c r="C967" s="1285"/>
      <c r="D967" s="1286"/>
      <c r="E967" s="1287"/>
      <c r="F967" s="1283"/>
      <c r="G967" s="1288"/>
      <c r="H967" s="1289"/>
      <c r="I967" s="1289"/>
      <c r="J967" s="1290"/>
      <c r="K967" s="1291"/>
      <c r="L967" s="1292"/>
      <c r="M967" s="1292"/>
      <c r="N967" s="1292"/>
      <c r="O967" s="1292"/>
    </row>
    <row r="968" ht="33.0" customHeight="1">
      <c r="A968" s="1283"/>
      <c r="B968" s="1284"/>
      <c r="C968" s="1285"/>
      <c r="D968" s="1286"/>
      <c r="E968" s="1287"/>
      <c r="F968" s="1283"/>
      <c r="G968" s="1288"/>
      <c r="H968" s="1289"/>
      <c r="I968" s="1289"/>
      <c r="J968" s="1290"/>
      <c r="K968" s="1291"/>
      <c r="L968" s="1292"/>
      <c r="M968" s="1292"/>
      <c r="N968" s="1292"/>
      <c r="O968" s="1292"/>
    </row>
    <row r="969" ht="33.0" customHeight="1">
      <c r="A969" s="1283"/>
      <c r="B969" s="1284"/>
      <c r="C969" s="1285"/>
      <c r="D969" s="1286"/>
      <c r="E969" s="1287"/>
      <c r="F969" s="1283"/>
      <c r="G969" s="1288"/>
      <c r="H969" s="1289"/>
      <c r="I969" s="1289"/>
      <c r="J969" s="1290"/>
      <c r="K969" s="1291"/>
      <c r="L969" s="1292"/>
      <c r="M969" s="1292"/>
      <c r="N969" s="1292"/>
      <c r="O969" s="1292"/>
    </row>
    <row r="970" ht="33.0" customHeight="1">
      <c r="A970" s="1283"/>
      <c r="B970" s="1284"/>
      <c r="C970" s="1285"/>
      <c r="D970" s="1286"/>
      <c r="E970" s="1287"/>
      <c r="F970" s="1283"/>
      <c r="G970" s="1288"/>
      <c r="H970" s="1289"/>
      <c r="I970" s="1289"/>
      <c r="J970" s="1290"/>
      <c r="K970" s="1291"/>
      <c r="L970" s="1292"/>
      <c r="M970" s="1292"/>
      <c r="N970" s="1292"/>
      <c r="O970" s="1292"/>
    </row>
    <row r="971" ht="33.0" customHeight="1">
      <c r="A971" s="1283"/>
      <c r="B971" s="1284"/>
      <c r="C971" s="1285"/>
      <c r="D971" s="1286"/>
      <c r="E971" s="1287"/>
      <c r="F971" s="1283"/>
      <c r="G971" s="1288"/>
      <c r="H971" s="1289"/>
      <c r="I971" s="1289"/>
      <c r="J971" s="1290"/>
      <c r="K971" s="1291"/>
      <c r="L971" s="1292"/>
      <c r="M971" s="1292"/>
      <c r="N971" s="1292"/>
      <c r="O971" s="1292"/>
    </row>
    <row r="972" ht="33.0" customHeight="1">
      <c r="A972" s="1283"/>
      <c r="B972" s="1284"/>
      <c r="C972" s="1285"/>
      <c r="D972" s="1286"/>
      <c r="E972" s="1287"/>
      <c r="F972" s="1283"/>
      <c r="G972" s="1288"/>
      <c r="H972" s="1289"/>
      <c r="I972" s="1289"/>
      <c r="J972" s="1290"/>
      <c r="K972" s="1291"/>
      <c r="L972" s="1292"/>
      <c r="M972" s="1292"/>
      <c r="N972" s="1292"/>
      <c r="O972" s="1292"/>
    </row>
    <row r="973" ht="33.0" customHeight="1">
      <c r="A973" s="1283"/>
      <c r="B973" s="1284"/>
      <c r="C973" s="1285"/>
      <c r="D973" s="1286"/>
      <c r="E973" s="1287"/>
      <c r="F973" s="1283"/>
      <c r="G973" s="1288"/>
      <c r="H973" s="1289"/>
      <c r="I973" s="1289"/>
      <c r="J973" s="1290"/>
      <c r="K973" s="1291"/>
      <c r="L973" s="1292"/>
      <c r="M973" s="1292"/>
      <c r="N973" s="1292"/>
      <c r="O973" s="1292"/>
    </row>
    <row r="974" ht="33.0" customHeight="1">
      <c r="A974" s="1283"/>
      <c r="B974" s="1284"/>
      <c r="C974" s="1285"/>
      <c r="D974" s="1286"/>
      <c r="E974" s="1287"/>
      <c r="F974" s="1283"/>
      <c r="G974" s="1288"/>
      <c r="H974" s="1289"/>
      <c r="I974" s="1289"/>
      <c r="J974" s="1290"/>
      <c r="K974" s="1291"/>
      <c r="L974" s="1292"/>
      <c r="M974" s="1292"/>
      <c r="N974" s="1292"/>
      <c r="O974" s="1292"/>
    </row>
    <row r="975" ht="33.0" customHeight="1">
      <c r="A975" s="1283"/>
      <c r="B975" s="1284"/>
      <c r="C975" s="1285"/>
      <c r="D975" s="1286"/>
      <c r="E975" s="1287"/>
      <c r="F975" s="1283"/>
      <c r="G975" s="1288"/>
      <c r="H975" s="1289"/>
      <c r="I975" s="1289"/>
      <c r="J975" s="1290"/>
      <c r="K975" s="1291"/>
      <c r="L975" s="1292"/>
      <c r="M975" s="1292"/>
      <c r="N975" s="1292"/>
      <c r="O975" s="1292"/>
    </row>
    <row r="976" ht="33.0" customHeight="1">
      <c r="A976" s="1283"/>
      <c r="B976" s="1284"/>
      <c r="C976" s="1285"/>
      <c r="D976" s="1286"/>
      <c r="E976" s="1287"/>
      <c r="F976" s="1283"/>
      <c r="G976" s="1288"/>
      <c r="H976" s="1289"/>
      <c r="I976" s="1289"/>
      <c r="J976" s="1290"/>
      <c r="K976" s="1291"/>
      <c r="L976" s="1292"/>
      <c r="M976" s="1292"/>
      <c r="N976" s="1292"/>
      <c r="O976" s="1292"/>
    </row>
    <row r="977" ht="33.0" customHeight="1">
      <c r="A977" s="1283"/>
      <c r="B977" s="1284"/>
      <c r="C977" s="1285"/>
      <c r="D977" s="1286"/>
      <c r="E977" s="1287"/>
      <c r="F977" s="1283"/>
      <c r="G977" s="1288"/>
      <c r="H977" s="1289"/>
      <c r="I977" s="1289"/>
      <c r="J977" s="1290"/>
      <c r="K977" s="1291"/>
      <c r="L977" s="1292"/>
      <c r="M977" s="1292"/>
      <c r="N977" s="1292"/>
      <c r="O977" s="1292"/>
    </row>
    <row r="978" ht="33.0" customHeight="1">
      <c r="A978" s="1283"/>
      <c r="B978" s="1284"/>
      <c r="C978" s="1285"/>
      <c r="D978" s="1286"/>
      <c r="E978" s="1287"/>
      <c r="F978" s="1283"/>
      <c r="G978" s="1288"/>
      <c r="H978" s="1289"/>
      <c r="I978" s="1289"/>
      <c r="J978" s="1290"/>
      <c r="K978" s="1291"/>
      <c r="L978" s="1292"/>
      <c r="M978" s="1292"/>
      <c r="N978" s="1292"/>
      <c r="O978" s="1292"/>
    </row>
    <row r="979" ht="33.0" customHeight="1">
      <c r="A979" s="1283"/>
      <c r="B979" s="1284"/>
      <c r="C979" s="1285"/>
      <c r="D979" s="1286"/>
      <c r="E979" s="1287"/>
      <c r="F979" s="1283"/>
      <c r="G979" s="1288"/>
      <c r="H979" s="1289"/>
      <c r="I979" s="1289"/>
      <c r="J979" s="1290"/>
      <c r="K979" s="1291"/>
      <c r="L979" s="1292"/>
      <c r="M979" s="1292"/>
      <c r="N979" s="1292"/>
      <c r="O979" s="1292"/>
    </row>
    <row r="980" ht="33.0" customHeight="1">
      <c r="A980" s="1283"/>
      <c r="B980" s="1284"/>
      <c r="C980" s="1285"/>
      <c r="D980" s="1286"/>
      <c r="E980" s="1287"/>
      <c r="F980" s="1283"/>
      <c r="G980" s="1288"/>
      <c r="H980" s="1289"/>
      <c r="I980" s="1289"/>
      <c r="J980" s="1290"/>
      <c r="K980" s="1291"/>
      <c r="L980" s="1292"/>
      <c r="M980" s="1292"/>
      <c r="N980" s="1292"/>
      <c r="O980" s="1292"/>
    </row>
    <row r="981" ht="33.0" customHeight="1">
      <c r="A981" s="1283"/>
      <c r="B981" s="1284"/>
      <c r="C981" s="1285"/>
      <c r="D981" s="1286"/>
      <c r="E981" s="1287"/>
      <c r="F981" s="1283"/>
      <c r="G981" s="1288"/>
      <c r="H981" s="1289"/>
      <c r="I981" s="1289"/>
      <c r="J981" s="1290"/>
      <c r="K981" s="1291"/>
      <c r="L981" s="1292"/>
      <c r="M981" s="1292"/>
      <c r="N981" s="1292"/>
      <c r="O981" s="1292"/>
    </row>
    <row r="982" ht="33.0" customHeight="1">
      <c r="A982" s="1283"/>
      <c r="B982" s="1284"/>
      <c r="C982" s="1285"/>
      <c r="D982" s="1286"/>
      <c r="E982" s="1287"/>
      <c r="F982" s="1283"/>
      <c r="G982" s="1288"/>
      <c r="H982" s="1289"/>
      <c r="I982" s="1289"/>
      <c r="J982" s="1290"/>
      <c r="K982" s="1291"/>
      <c r="L982" s="1292"/>
      <c r="M982" s="1292"/>
      <c r="N982" s="1292"/>
      <c r="O982" s="1292"/>
    </row>
    <row r="983" ht="33.0" customHeight="1">
      <c r="A983" s="1283"/>
      <c r="B983" s="1284"/>
      <c r="C983" s="1285"/>
      <c r="D983" s="1286"/>
      <c r="E983" s="1287"/>
      <c r="F983" s="1283"/>
      <c r="G983" s="1288"/>
      <c r="H983" s="1289"/>
      <c r="I983" s="1289"/>
      <c r="J983" s="1290"/>
      <c r="K983" s="1291"/>
      <c r="L983" s="1292"/>
      <c r="M983" s="1292"/>
      <c r="N983" s="1292"/>
      <c r="O983" s="1292"/>
    </row>
    <row r="984" ht="33.0" customHeight="1">
      <c r="A984" s="1283"/>
      <c r="B984" s="1284"/>
      <c r="C984" s="1285"/>
      <c r="D984" s="1286"/>
      <c r="E984" s="1287"/>
      <c r="F984" s="1283"/>
      <c r="G984" s="1288"/>
      <c r="H984" s="1289"/>
      <c r="I984" s="1289"/>
      <c r="J984" s="1290"/>
      <c r="K984" s="1291"/>
      <c r="L984" s="1292"/>
      <c r="M984" s="1292"/>
      <c r="N984" s="1292"/>
      <c r="O984" s="1292"/>
    </row>
    <row r="985" ht="33.0" customHeight="1">
      <c r="A985" s="1283"/>
      <c r="B985" s="1284"/>
      <c r="C985" s="1285"/>
      <c r="D985" s="1286"/>
      <c r="E985" s="1287"/>
      <c r="F985" s="1283"/>
      <c r="G985" s="1288"/>
      <c r="H985" s="1289"/>
      <c r="I985" s="1289"/>
      <c r="J985" s="1290"/>
      <c r="K985" s="1291"/>
      <c r="L985" s="1292"/>
      <c r="M985" s="1292"/>
      <c r="N985" s="1292"/>
      <c r="O985" s="1292"/>
    </row>
    <row r="986" ht="33.0" customHeight="1">
      <c r="A986" s="1283"/>
      <c r="B986" s="1284"/>
      <c r="C986" s="1285"/>
      <c r="D986" s="1286"/>
      <c r="E986" s="1287"/>
      <c r="F986" s="1283"/>
      <c r="G986" s="1288"/>
      <c r="H986" s="1289"/>
      <c r="I986" s="1289"/>
      <c r="J986" s="1290"/>
      <c r="K986" s="1291"/>
      <c r="L986" s="1292"/>
      <c r="M986" s="1292"/>
      <c r="N986" s="1292"/>
      <c r="O986" s="1292"/>
    </row>
    <row r="987" ht="33.0" customHeight="1">
      <c r="A987" s="1283"/>
      <c r="B987" s="1284"/>
      <c r="C987" s="1285"/>
      <c r="D987" s="1286"/>
      <c r="E987" s="1287"/>
      <c r="F987" s="1283"/>
      <c r="G987" s="1288"/>
      <c r="H987" s="1289"/>
      <c r="I987" s="1289"/>
      <c r="J987" s="1290"/>
      <c r="K987" s="1291"/>
      <c r="L987" s="1292"/>
      <c r="M987" s="1292"/>
      <c r="N987" s="1292"/>
      <c r="O987" s="1292"/>
    </row>
    <row r="988" ht="33.0" customHeight="1">
      <c r="A988" s="1283"/>
      <c r="B988" s="1284"/>
      <c r="C988" s="1285"/>
      <c r="D988" s="1286"/>
      <c r="E988" s="1287"/>
      <c r="F988" s="1283"/>
      <c r="G988" s="1288"/>
      <c r="H988" s="1289"/>
      <c r="I988" s="1289"/>
      <c r="J988" s="1290"/>
      <c r="K988" s="1291"/>
      <c r="L988" s="1292"/>
      <c r="M988" s="1292"/>
      <c r="N988" s="1292"/>
      <c r="O988" s="1292"/>
    </row>
    <row r="989" ht="33.0" customHeight="1">
      <c r="A989" s="1283"/>
      <c r="B989" s="1284"/>
      <c r="C989" s="1285"/>
      <c r="D989" s="1286"/>
      <c r="E989" s="1287"/>
      <c r="F989" s="1283"/>
      <c r="G989" s="1288"/>
      <c r="H989" s="1289"/>
      <c r="I989" s="1289"/>
      <c r="J989" s="1290"/>
      <c r="K989" s="1291"/>
      <c r="L989" s="1292"/>
      <c r="M989" s="1292"/>
      <c r="N989" s="1292"/>
      <c r="O989" s="1292"/>
    </row>
    <row r="990" ht="33.0" customHeight="1">
      <c r="A990" s="1283"/>
      <c r="B990" s="1284"/>
      <c r="C990" s="1285"/>
      <c r="D990" s="1286"/>
      <c r="E990" s="1287"/>
      <c r="F990" s="1283"/>
      <c r="G990" s="1288"/>
      <c r="H990" s="1289"/>
      <c r="I990" s="1289"/>
      <c r="J990" s="1290"/>
      <c r="K990" s="1291"/>
      <c r="L990" s="1292"/>
      <c r="M990" s="1292"/>
      <c r="N990" s="1292"/>
      <c r="O990" s="1292"/>
    </row>
    <row r="991" ht="33.0" customHeight="1">
      <c r="A991" s="1283"/>
      <c r="B991" s="1284"/>
      <c r="C991" s="1285"/>
      <c r="D991" s="1286"/>
      <c r="E991" s="1287"/>
      <c r="F991" s="1283"/>
      <c r="G991" s="1288"/>
      <c r="H991" s="1289"/>
      <c r="I991" s="1289"/>
      <c r="J991" s="1290"/>
      <c r="K991" s="1291"/>
      <c r="L991" s="1292"/>
      <c r="M991" s="1292"/>
      <c r="N991" s="1292"/>
      <c r="O991" s="1292"/>
    </row>
    <row r="992" ht="33.0" customHeight="1">
      <c r="A992" s="1283"/>
      <c r="B992" s="1284"/>
      <c r="C992" s="1285"/>
      <c r="D992" s="1286"/>
      <c r="E992" s="1287"/>
      <c r="F992" s="1283"/>
      <c r="G992" s="1288"/>
      <c r="H992" s="1289"/>
      <c r="I992" s="1289"/>
      <c r="J992" s="1290"/>
      <c r="K992" s="1291"/>
      <c r="L992" s="1292"/>
      <c r="M992" s="1292"/>
      <c r="N992" s="1292"/>
      <c r="O992" s="1292"/>
    </row>
    <row r="993" ht="33.0" customHeight="1">
      <c r="A993" s="1283"/>
      <c r="B993" s="1284"/>
      <c r="C993" s="1285"/>
      <c r="D993" s="1286"/>
      <c r="E993" s="1287"/>
      <c r="F993" s="1283"/>
      <c r="G993" s="1288"/>
      <c r="H993" s="1289"/>
      <c r="I993" s="1289"/>
      <c r="J993" s="1290"/>
      <c r="K993" s="1291"/>
      <c r="L993" s="1292"/>
      <c r="M993" s="1292"/>
      <c r="N993" s="1292"/>
      <c r="O993" s="1292"/>
    </row>
    <row r="994" ht="33.0" customHeight="1">
      <c r="A994" s="1283"/>
      <c r="B994" s="1284"/>
      <c r="C994" s="1285"/>
      <c r="D994" s="1286"/>
      <c r="E994" s="1287"/>
      <c r="F994" s="1283"/>
      <c r="G994" s="1288"/>
      <c r="H994" s="1289"/>
      <c r="I994" s="1289"/>
      <c r="J994" s="1290"/>
      <c r="K994" s="1291"/>
      <c r="L994" s="1292"/>
      <c r="M994" s="1292"/>
      <c r="N994" s="1292"/>
      <c r="O994" s="1292"/>
    </row>
    <row r="995" ht="33.0" customHeight="1">
      <c r="A995" s="1283"/>
      <c r="B995" s="1284"/>
      <c r="C995" s="1285"/>
      <c r="D995" s="1286"/>
      <c r="E995" s="1287"/>
      <c r="F995" s="1283"/>
      <c r="G995" s="1288"/>
      <c r="H995" s="1289"/>
      <c r="I995" s="1289"/>
      <c r="J995" s="1290"/>
      <c r="K995" s="1291"/>
      <c r="L995" s="1292"/>
      <c r="M995" s="1292"/>
      <c r="N995" s="1292"/>
      <c r="O995" s="1292"/>
    </row>
    <row r="996" ht="33.0" customHeight="1">
      <c r="A996" s="1283"/>
      <c r="B996" s="1284"/>
      <c r="C996" s="1285"/>
      <c r="D996" s="1286"/>
      <c r="E996" s="1287"/>
      <c r="F996" s="1283"/>
      <c r="G996" s="1288"/>
      <c r="H996" s="1289"/>
      <c r="I996" s="1289"/>
      <c r="J996" s="1290"/>
      <c r="K996" s="1291"/>
      <c r="L996" s="1292"/>
      <c r="M996" s="1292"/>
      <c r="N996" s="1292"/>
      <c r="O996" s="1292"/>
    </row>
    <row r="997" ht="33.0" customHeight="1">
      <c r="A997" s="1283"/>
      <c r="B997" s="1284"/>
      <c r="C997" s="1285"/>
      <c r="D997" s="1286"/>
      <c r="E997" s="1287"/>
      <c r="F997" s="1283"/>
      <c r="G997" s="1288"/>
      <c r="H997" s="1289"/>
      <c r="I997" s="1289"/>
      <c r="J997" s="1290"/>
      <c r="K997" s="1291"/>
      <c r="L997" s="1292"/>
      <c r="M997" s="1292"/>
      <c r="N997" s="1292"/>
      <c r="O997" s="1292"/>
    </row>
    <row r="998" ht="33.0" customHeight="1">
      <c r="A998" s="1283"/>
      <c r="B998" s="1284"/>
      <c r="C998" s="1285"/>
      <c r="D998" s="1286"/>
      <c r="E998" s="1287"/>
      <c r="F998" s="1283"/>
      <c r="G998" s="1288"/>
      <c r="H998" s="1289"/>
      <c r="I998" s="1289"/>
      <c r="J998" s="1290"/>
      <c r="K998" s="1291"/>
      <c r="L998" s="1292"/>
      <c r="M998" s="1292"/>
      <c r="N998" s="1292"/>
      <c r="O998" s="1292"/>
    </row>
    <row r="999" ht="33.0" customHeight="1">
      <c r="A999" s="1283"/>
      <c r="B999" s="1284"/>
      <c r="C999" s="1285"/>
      <c r="D999" s="1286"/>
      <c r="E999" s="1287"/>
      <c r="F999" s="1283"/>
      <c r="G999" s="1288"/>
      <c r="H999" s="1289"/>
      <c r="I999" s="1289"/>
      <c r="J999" s="1290"/>
      <c r="K999" s="1291"/>
      <c r="L999" s="1292"/>
      <c r="M999" s="1292"/>
      <c r="N999" s="1292"/>
      <c r="O999" s="1292"/>
    </row>
    <row r="1000" ht="33.0" customHeight="1">
      <c r="A1000" s="1283"/>
      <c r="B1000" s="1284"/>
      <c r="C1000" s="1285"/>
      <c r="D1000" s="1286"/>
      <c r="E1000" s="1287"/>
      <c r="F1000" s="1283"/>
      <c r="G1000" s="1288"/>
      <c r="H1000" s="1289"/>
      <c r="I1000" s="1289"/>
      <c r="J1000" s="1290"/>
      <c r="K1000" s="1291"/>
      <c r="L1000" s="1292"/>
      <c r="M1000" s="1292"/>
      <c r="N1000" s="1292"/>
      <c r="O1000" s="1292"/>
    </row>
    <row r="1001" ht="33.0" customHeight="1">
      <c r="A1001" s="1283"/>
      <c r="B1001" s="1284"/>
      <c r="C1001" s="1285"/>
      <c r="D1001" s="1286"/>
      <c r="E1001" s="1287"/>
      <c r="F1001" s="1283"/>
      <c r="G1001" s="1288"/>
      <c r="H1001" s="1289"/>
      <c r="I1001" s="1289"/>
      <c r="J1001" s="1290"/>
      <c r="K1001" s="1291"/>
      <c r="L1001" s="1292"/>
      <c r="M1001" s="1292"/>
      <c r="N1001" s="1292"/>
      <c r="O1001" s="1292"/>
    </row>
  </sheetData>
  <mergeCells count="15">
    <mergeCell ref="A19:J19"/>
    <mergeCell ref="C20:C21"/>
    <mergeCell ref="C22:C24"/>
    <mergeCell ref="A27:J27"/>
    <mergeCell ref="A28:J28"/>
    <mergeCell ref="H29:H62"/>
    <mergeCell ref="A68:J68"/>
    <mergeCell ref="A69:J69"/>
    <mergeCell ref="A3:J3"/>
    <mergeCell ref="A4:J4"/>
    <mergeCell ref="A8:J8"/>
    <mergeCell ref="A9:J9"/>
    <mergeCell ref="A13:J13"/>
    <mergeCell ref="A14:J14"/>
    <mergeCell ref="A18:J18"/>
  </mergeCells>
  <conditionalFormatting sqref="A4 A9 A14 A19 A28 A69">
    <cfRule type="expression" dxfId="3" priority="1">
      <formula>$G4&gt;TODAY()</formula>
    </cfRule>
  </conditionalFormatting>
  <conditionalFormatting sqref="A4:J5 A9:J11 A14:J16 A18:J25 A28:J66 B68:J72 A69:A72">
    <cfRule type="expression" dxfId="3" priority="2">
      <formula>$I4&gt;TODAY()</formula>
    </cfRule>
  </conditionalFormatting>
  <conditionalFormatting sqref="H63:J64 G74:O1001">
    <cfRule type="containsBlanks" dxfId="6" priority="3">
      <formula>LEN(TRIM(H63))=0</formula>
    </cfRule>
  </conditionalFormatting>
  <conditionalFormatting sqref="H63:J64 G74:J1001 K74:O76 K78:O78 K80:O80 K82:O82 K84:O84 K86:O86 K88:O88 K90:O90 K93:O94 K96:O96 K98:O98 K100:O100 K102:O102">
    <cfRule type="containsBlanks" dxfId="6" priority="4">
      <formula>LEN(TRIM(H63))=0</formula>
    </cfRule>
  </conditionalFormatting>
  <conditionalFormatting sqref="H63:J64 G74:J1001 K74:O76 K78:O78 K80:O80 K82:O82 K84:O84 K86:O86 K88:O88 K90:O90 K93:O94 K96:O96 K98:O98 K100:O100 K102:O102">
    <cfRule type="expression" dxfId="4" priority="5">
      <formula>$K63&lt;=TODAY()</formula>
    </cfRule>
  </conditionalFormatting>
  <conditionalFormatting sqref="K74:O1001">
    <cfRule type="expression" dxfId="5" priority="6">
      <formula>$K74&lt;=TODAY()</formula>
    </cfRule>
  </conditionalFormatting>
  <conditionalFormatting sqref="H63:J64 A74:O1001">
    <cfRule type="expression" dxfId="3" priority="7">
      <formula>IF(($A63-TODAY())&gt;8,TRUE,FALSE)</formula>
    </cfRule>
  </conditionalFormatting>
  <conditionalFormatting sqref="K74:K1001 L74:O102">
    <cfRule type="expression" dxfId="7" priority="8">
      <formula>IF(#REF!="Opé future",TRUE,FALSE)</formula>
    </cfRule>
  </conditionalFormatting>
  <hyperlinks>
    <hyperlink r:id="rId1" ref="H5"/>
    <hyperlink r:id="rId2" ref="D10"/>
    <hyperlink r:id="rId3" ref="H10"/>
    <hyperlink r:id="rId4" ref="H29"/>
    <hyperlink r:id="rId5" ref="H73"/>
  </hyperlinks>
  <printOptions gridLines="1" horizontalCentered="1"/>
  <pageMargins bottom="0.75" footer="0.0" header="0.0" left="0.7" right="0.7" top="0.75"/>
  <pageSetup fitToHeight="0" paperSize="9" cellComments="atEnd" orientation="landscape" pageOrder="overThenDown"/>
  <drawing r:id="rId6"/>
  <tableParts count="11">
    <tablePart r:id="rId18"/>
    <tablePart r:id="rId19"/>
    <tablePart r:id="rId20"/>
    <tablePart r:id="rId21"/>
    <tablePart r:id="rId22"/>
    <tablePart r:id="rId23"/>
    <tablePart r:id="rId24"/>
    <tablePart r:id="rId25"/>
    <tablePart r:id="rId26"/>
    <tablePart r:id="rId27"/>
    <tablePart r:id="rId28"/>
  </tableParts>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34.38"/>
    <col customWidth="1" min="2" max="2" width="14.75"/>
    <col customWidth="1" min="5" max="5" width="14.38"/>
    <col customWidth="1" min="6" max="6" width="13.38"/>
    <col customWidth="1" min="7" max="7" width="16.75"/>
    <col customWidth="1" min="8" max="8" width="18.13"/>
    <col customWidth="1" min="9" max="9" width="45.5"/>
    <col customWidth="1" min="10" max="10" width="10.5"/>
    <col customWidth="1" min="11" max="11" width="14.0"/>
    <col customWidth="1" min="13" max="13" width="32.88"/>
    <col customWidth="1" min="14" max="14" width="16.88"/>
  </cols>
  <sheetData>
    <row r="1">
      <c r="A1" s="861" t="s">
        <v>2402</v>
      </c>
      <c r="B1" s="862" t="s">
        <v>2403</v>
      </c>
      <c r="C1" s="862" t="s">
        <v>2404</v>
      </c>
      <c r="D1" s="862" t="s">
        <v>2405</v>
      </c>
      <c r="E1" s="862" t="s">
        <v>2406</v>
      </c>
      <c r="F1" s="862" t="s">
        <v>573</v>
      </c>
      <c r="G1" s="862" t="s">
        <v>2407</v>
      </c>
      <c r="H1" s="862" t="s">
        <v>2601</v>
      </c>
      <c r="I1" s="862" t="s">
        <v>2408</v>
      </c>
      <c r="J1" s="1293" t="s">
        <v>2409</v>
      </c>
      <c r="K1" s="862" t="s">
        <v>2602</v>
      </c>
      <c r="L1" s="862" t="s">
        <v>2410</v>
      </c>
      <c r="M1" s="862" t="s">
        <v>2411</v>
      </c>
      <c r="N1" s="863" t="s">
        <v>161</v>
      </c>
    </row>
    <row r="2">
      <c r="A2" s="1294" t="s">
        <v>2603</v>
      </c>
      <c r="B2" s="856"/>
      <c r="C2" s="856"/>
      <c r="D2" s="856"/>
      <c r="E2" s="856"/>
      <c r="F2" s="856"/>
      <c r="G2" s="856"/>
      <c r="H2" s="856"/>
      <c r="I2" s="856"/>
      <c r="J2" s="856"/>
      <c r="K2" s="856"/>
      <c r="L2" s="856"/>
      <c r="M2" s="856"/>
      <c r="N2" s="857"/>
    </row>
    <row r="3">
      <c r="A3" s="1295" t="s">
        <v>2604</v>
      </c>
      <c r="B3" s="1175"/>
      <c r="C3" s="1175"/>
      <c r="D3" s="1175"/>
      <c r="E3" s="1175"/>
      <c r="F3" s="1175"/>
      <c r="G3" s="1175"/>
      <c r="H3" s="1175"/>
      <c r="I3" s="1175"/>
      <c r="J3" s="1175"/>
      <c r="K3" s="1175"/>
      <c r="L3" s="1175"/>
      <c r="M3" s="1175"/>
      <c r="N3" s="1296"/>
    </row>
    <row r="4">
      <c r="A4" s="1297" t="s">
        <v>2605</v>
      </c>
      <c r="B4" s="1298">
        <v>45974.0</v>
      </c>
      <c r="C4" s="1299">
        <v>45980.0</v>
      </c>
      <c r="D4" s="1300">
        <v>1209446.0</v>
      </c>
      <c r="E4" s="1300">
        <v>1215413.0</v>
      </c>
      <c r="F4" s="1301"/>
      <c r="G4" s="1300" t="s">
        <v>2606</v>
      </c>
      <c r="H4" s="1300" t="s">
        <v>2607</v>
      </c>
      <c r="I4" s="1300" t="s">
        <v>2608</v>
      </c>
      <c r="J4" s="1300" t="s">
        <v>543</v>
      </c>
      <c r="K4" s="1302">
        <v>189.98</v>
      </c>
      <c r="L4" s="1303">
        <v>98.98</v>
      </c>
      <c r="M4" s="1304">
        <v>-0.48</v>
      </c>
      <c r="N4" s="1305"/>
    </row>
    <row r="5">
      <c r="A5" s="901"/>
      <c r="B5" s="362"/>
      <c r="C5" s="362"/>
      <c r="D5" s="1306">
        <v>1209448.0</v>
      </c>
      <c r="E5" s="1306">
        <v>1215414.0</v>
      </c>
      <c r="F5" s="362"/>
      <c r="G5" s="1306" t="s">
        <v>2606</v>
      </c>
      <c r="H5" s="1306" t="s">
        <v>2607</v>
      </c>
      <c r="I5" s="1306" t="s">
        <v>2609</v>
      </c>
      <c r="J5" s="1306" t="s">
        <v>488</v>
      </c>
      <c r="K5" s="1307">
        <v>189.98</v>
      </c>
      <c r="L5" s="1308">
        <v>98.98</v>
      </c>
      <c r="M5" s="1309">
        <v>-0.48</v>
      </c>
      <c r="N5" s="1310" t="s">
        <v>130</v>
      </c>
    </row>
    <row r="6">
      <c r="A6" s="892"/>
      <c r="B6" s="351"/>
      <c r="C6" s="351"/>
      <c r="D6" s="1311">
        <v>1191722.0</v>
      </c>
      <c r="E6" s="1311">
        <v>1215420.0</v>
      </c>
      <c r="F6" s="351"/>
      <c r="G6" s="1311" t="s">
        <v>2606</v>
      </c>
      <c r="H6" s="1311" t="s">
        <v>2607</v>
      </c>
      <c r="I6" s="1311" t="s">
        <v>2610</v>
      </c>
      <c r="J6" s="1311" t="s">
        <v>491</v>
      </c>
      <c r="K6" s="1312">
        <v>219.98</v>
      </c>
      <c r="L6" s="1313">
        <v>118.98</v>
      </c>
      <c r="M6" s="1314">
        <v>-0.46</v>
      </c>
      <c r="N6" s="1315" t="s">
        <v>130</v>
      </c>
    </row>
    <row r="7">
      <c r="A7" s="901"/>
      <c r="B7" s="362"/>
      <c r="C7" s="362"/>
      <c r="D7" s="1306">
        <v>1191721.0</v>
      </c>
      <c r="E7" s="1306">
        <v>1215421.0</v>
      </c>
      <c r="F7" s="362"/>
      <c r="G7" s="1306" t="s">
        <v>2606</v>
      </c>
      <c r="H7" s="1306" t="s">
        <v>2607</v>
      </c>
      <c r="I7" s="1306" t="s">
        <v>2611</v>
      </c>
      <c r="J7" s="1306" t="s">
        <v>543</v>
      </c>
      <c r="K7" s="1307">
        <v>219.98</v>
      </c>
      <c r="L7" s="1308">
        <v>118.98</v>
      </c>
      <c r="M7" s="1309">
        <v>-0.46</v>
      </c>
      <c r="N7" s="1316"/>
    </row>
    <row r="8">
      <c r="A8" s="892"/>
      <c r="B8" s="351"/>
      <c r="C8" s="351"/>
      <c r="D8" s="1311">
        <v>1191723.0</v>
      </c>
      <c r="E8" s="1311">
        <v>1231859.0</v>
      </c>
      <c r="F8" s="351"/>
      <c r="G8" s="1311" t="s">
        <v>2606</v>
      </c>
      <c r="H8" s="1311" t="s">
        <v>2607</v>
      </c>
      <c r="I8" s="1311" t="s">
        <v>2612</v>
      </c>
      <c r="J8" s="1311" t="s">
        <v>496</v>
      </c>
      <c r="K8" s="1312">
        <v>219.98</v>
      </c>
      <c r="L8" s="1313">
        <v>118.98</v>
      </c>
      <c r="M8" s="1314">
        <v>-0.46</v>
      </c>
      <c r="N8" s="1315" t="s">
        <v>130</v>
      </c>
    </row>
    <row r="9">
      <c r="A9" s="878"/>
      <c r="B9" s="879"/>
      <c r="C9" s="879"/>
      <c r="D9" s="1317">
        <v>1209447.0</v>
      </c>
      <c r="E9" s="1317">
        <v>1231860.0</v>
      </c>
      <c r="F9" s="879"/>
      <c r="G9" s="1317" t="s">
        <v>2606</v>
      </c>
      <c r="H9" s="1317" t="s">
        <v>2607</v>
      </c>
      <c r="I9" s="1317" t="s">
        <v>2613</v>
      </c>
      <c r="J9" s="1317" t="s">
        <v>543</v>
      </c>
      <c r="K9" s="1318">
        <v>189.98</v>
      </c>
      <c r="L9" s="1319">
        <v>98.98</v>
      </c>
      <c r="M9" s="1320">
        <v>-0.48</v>
      </c>
      <c r="N9" s="1321"/>
    </row>
    <row r="10" ht="13.5" hidden="1" customHeight="1">
      <c r="A10" s="1322"/>
      <c r="B10" s="1323"/>
      <c r="C10" s="1324"/>
      <c r="D10" s="1325"/>
      <c r="E10" s="1326"/>
      <c r="F10" s="1326"/>
      <c r="G10" s="1325"/>
      <c r="H10" s="1325"/>
      <c r="I10" s="1325"/>
      <c r="J10" s="1325"/>
      <c r="K10" s="1327"/>
      <c r="L10" s="1328"/>
      <c r="M10" s="1329"/>
      <c r="N10" s="1330"/>
    </row>
    <row r="11" ht="17.25" hidden="1" customHeight="1">
      <c r="A11" s="1331"/>
      <c r="B11" s="1332"/>
      <c r="C11" s="1333"/>
      <c r="D11" s="1306"/>
      <c r="E11" s="1334"/>
      <c r="F11" s="1334"/>
      <c r="G11" s="1306"/>
      <c r="H11" s="1306"/>
      <c r="I11" s="1306"/>
      <c r="J11" s="1306"/>
      <c r="K11" s="1307"/>
      <c r="L11" s="1308"/>
      <c r="M11" s="1309"/>
      <c r="N11" s="1335"/>
    </row>
    <row r="12" hidden="1">
      <c r="A12" s="1322"/>
      <c r="B12" s="1323"/>
      <c r="C12" s="1324"/>
      <c r="D12" s="1311"/>
      <c r="E12" s="1326"/>
      <c r="F12" s="1326"/>
      <c r="G12" s="1311"/>
      <c r="H12" s="1311"/>
      <c r="I12" s="1311"/>
      <c r="J12" s="1311"/>
      <c r="K12" s="1312"/>
      <c r="L12" s="1313"/>
      <c r="M12" s="1314"/>
      <c r="N12" s="1336"/>
    </row>
    <row r="13" hidden="1">
      <c r="A13" s="1331"/>
      <c r="B13" s="1332"/>
      <c r="C13" s="1333"/>
      <c r="D13" s="1306"/>
      <c r="E13" s="1334"/>
      <c r="F13" s="1334"/>
      <c r="G13" s="1306"/>
      <c r="H13" s="1306"/>
      <c r="I13" s="1306"/>
      <c r="J13" s="1306"/>
      <c r="K13" s="1307"/>
      <c r="L13" s="1337"/>
      <c r="M13" s="1309"/>
      <c r="N13" s="1316"/>
    </row>
    <row r="14" hidden="1">
      <c r="A14" s="1322"/>
      <c r="B14" s="1323"/>
      <c r="C14" s="1324"/>
      <c r="D14" s="1311"/>
      <c r="E14" s="1326"/>
      <c r="F14" s="1326"/>
      <c r="G14" s="1311"/>
      <c r="H14" s="1311"/>
      <c r="I14" s="1311"/>
      <c r="J14" s="1311"/>
      <c r="K14" s="1312"/>
      <c r="L14" s="1338"/>
      <c r="M14" s="1314"/>
      <c r="N14" s="1339"/>
    </row>
    <row r="15" hidden="1">
      <c r="A15" s="1331"/>
      <c r="B15" s="1332"/>
      <c r="C15" s="1333"/>
      <c r="D15" s="1306"/>
      <c r="E15" s="1334"/>
      <c r="F15" s="1334"/>
      <c r="G15" s="1306"/>
      <c r="H15" s="1306"/>
      <c r="I15" s="1306"/>
      <c r="J15" s="1306"/>
      <c r="K15" s="1307"/>
      <c r="L15" s="1337"/>
      <c r="M15" s="1309"/>
      <c r="N15" s="1316"/>
    </row>
    <row r="16" hidden="1">
      <c r="A16" s="1322"/>
      <c r="B16" s="1323"/>
      <c r="C16" s="1324"/>
      <c r="D16" s="1311"/>
      <c r="E16" s="1326"/>
      <c r="F16" s="1326"/>
      <c r="G16" s="1311"/>
      <c r="H16" s="1311"/>
      <c r="I16" s="1311"/>
      <c r="J16" s="1311"/>
      <c r="K16" s="1340"/>
      <c r="L16" s="1313"/>
      <c r="M16" s="1314"/>
      <c r="N16" s="1336"/>
    </row>
    <row r="17" hidden="1">
      <c r="A17" s="1331"/>
      <c r="B17" s="1332"/>
      <c r="C17" s="1333"/>
      <c r="D17" s="1306"/>
      <c r="E17" s="1334"/>
      <c r="F17" s="1334"/>
      <c r="G17" s="1306"/>
      <c r="H17" s="1306"/>
      <c r="I17" s="1306"/>
      <c r="J17" s="1306"/>
      <c r="K17" s="1341"/>
      <c r="L17" s="1308"/>
      <c r="M17" s="1309"/>
      <c r="N17" s="1316"/>
    </row>
    <row r="18" hidden="1">
      <c r="A18" s="1322"/>
      <c r="B18" s="1323"/>
      <c r="C18" s="1324"/>
      <c r="D18" s="1311"/>
      <c r="E18" s="1326"/>
      <c r="F18" s="1326"/>
      <c r="G18" s="1311"/>
      <c r="H18" s="1311"/>
      <c r="I18" s="1311"/>
      <c r="J18" s="1311"/>
      <c r="K18" s="1340"/>
      <c r="L18" s="1313"/>
      <c r="M18" s="1314"/>
      <c r="N18" s="1339"/>
    </row>
    <row r="19" hidden="1">
      <c r="A19" s="1331"/>
      <c r="B19" s="1332"/>
      <c r="C19" s="1333"/>
      <c r="D19" s="1306"/>
      <c r="E19" s="1334"/>
      <c r="F19" s="1334"/>
      <c r="G19" s="1306"/>
      <c r="H19" s="1306"/>
      <c r="I19" s="1306"/>
      <c r="J19" s="1306"/>
      <c r="K19" s="1341"/>
      <c r="L19" s="1308"/>
      <c r="M19" s="1309"/>
      <c r="N19" s="1316"/>
    </row>
    <row r="20" hidden="1">
      <c r="A20" s="1342"/>
      <c r="B20" s="1343"/>
      <c r="C20" s="1344"/>
      <c r="D20" s="1345"/>
      <c r="E20" s="1346"/>
      <c r="F20" s="1346"/>
      <c r="G20" s="1345"/>
      <c r="H20" s="1345"/>
      <c r="I20" s="1345"/>
      <c r="J20" s="1345"/>
      <c r="K20" s="1347"/>
      <c r="L20" s="1348"/>
      <c r="M20" s="1349"/>
      <c r="N20" s="1350"/>
    </row>
    <row r="21" hidden="1">
      <c r="A21" s="1351"/>
      <c r="B21" s="1352"/>
      <c r="C21" s="1352"/>
      <c r="D21" s="1353"/>
      <c r="E21" s="1353"/>
      <c r="F21" s="1354"/>
      <c r="G21" s="1353"/>
      <c r="H21" s="1353"/>
      <c r="I21" s="1353"/>
      <c r="J21" s="1353"/>
      <c r="K21" s="1355"/>
      <c r="L21" s="1356"/>
      <c r="M21" s="1357"/>
      <c r="N21" s="1358"/>
    </row>
    <row r="22" hidden="1">
      <c r="A22" s="892"/>
      <c r="B22" s="351"/>
      <c r="C22" s="351"/>
      <c r="D22" s="1311"/>
      <c r="E22" s="1311"/>
      <c r="F22" s="351"/>
      <c r="G22" s="1311"/>
      <c r="H22" s="1311"/>
      <c r="I22" s="1311"/>
      <c r="J22" s="1311"/>
      <c r="K22" s="1313"/>
      <c r="L22" s="351"/>
      <c r="M22" s="351"/>
      <c r="N22" s="986"/>
    </row>
    <row r="23" hidden="1">
      <c r="A23" s="901"/>
      <c r="B23" s="362"/>
      <c r="C23" s="362"/>
      <c r="D23" s="1306"/>
      <c r="E23" s="1306"/>
      <c r="F23" s="386"/>
      <c r="G23" s="1306"/>
      <c r="H23" s="1306"/>
      <c r="I23" s="1306"/>
      <c r="J23" s="1306"/>
      <c r="K23" s="1308"/>
      <c r="L23" s="386"/>
      <c r="M23" s="386"/>
      <c r="N23" s="994"/>
    </row>
    <row r="24" hidden="1">
      <c r="A24" s="892"/>
      <c r="B24" s="351"/>
      <c r="C24" s="351"/>
      <c r="D24" s="1359"/>
      <c r="E24" s="998"/>
      <c r="F24" s="998"/>
      <c r="G24" s="998"/>
      <c r="H24" s="998"/>
      <c r="I24" s="998"/>
      <c r="J24" s="998"/>
      <c r="K24" s="998"/>
      <c r="L24" s="998"/>
      <c r="M24" s="999"/>
      <c r="N24" s="1000"/>
    </row>
    <row r="25" hidden="1">
      <c r="A25" s="901"/>
      <c r="B25" s="362"/>
      <c r="C25" s="362"/>
      <c r="D25" s="1360"/>
      <c r="E25" s="1360"/>
      <c r="F25" s="1334"/>
      <c r="G25" s="1360"/>
      <c r="H25" s="1360"/>
      <c r="I25" s="1360"/>
      <c r="J25" s="1306"/>
      <c r="K25" s="1361"/>
      <c r="L25" s="1362"/>
      <c r="M25" s="1363"/>
      <c r="N25" s="1364"/>
    </row>
    <row r="26" hidden="1">
      <c r="A26" s="892"/>
      <c r="B26" s="351"/>
      <c r="C26" s="351"/>
      <c r="D26" s="1311"/>
      <c r="E26" s="1311"/>
      <c r="F26" s="351"/>
      <c r="G26" s="1311"/>
      <c r="H26" s="1311"/>
      <c r="I26" s="1311"/>
      <c r="J26" s="1311"/>
      <c r="K26" s="1340"/>
      <c r="L26" s="351"/>
      <c r="M26" s="351"/>
      <c r="N26" s="986"/>
    </row>
    <row r="27" hidden="1">
      <c r="A27" s="901"/>
      <c r="B27" s="362"/>
      <c r="C27" s="362"/>
      <c r="D27" s="1306"/>
      <c r="E27" s="1306"/>
      <c r="F27" s="386"/>
      <c r="G27" s="1306"/>
      <c r="H27" s="1306"/>
      <c r="I27" s="1306"/>
      <c r="J27" s="1306"/>
      <c r="K27" s="1341"/>
      <c r="L27" s="386"/>
      <c r="M27" s="386"/>
      <c r="N27" s="994"/>
    </row>
    <row r="28" hidden="1">
      <c r="A28" s="892"/>
      <c r="B28" s="351"/>
      <c r="C28" s="351"/>
      <c r="D28" s="1359"/>
      <c r="E28" s="998"/>
      <c r="F28" s="998"/>
      <c r="G28" s="998"/>
      <c r="H28" s="998"/>
      <c r="I28" s="998"/>
      <c r="J28" s="998"/>
      <c r="K28" s="998"/>
      <c r="L28" s="998"/>
      <c r="M28" s="999"/>
      <c r="N28" s="1000"/>
    </row>
    <row r="29" hidden="1">
      <c r="A29" s="1365"/>
      <c r="B29" s="1366"/>
      <c r="C29" s="1366"/>
      <c r="D29" s="1367"/>
      <c r="E29" s="1368"/>
      <c r="F29" s="1368"/>
      <c r="G29" s="1368"/>
      <c r="H29" s="1368"/>
      <c r="I29" s="1368"/>
      <c r="J29" s="1368"/>
      <c r="K29" s="1368"/>
      <c r="L29" s="1368"/>
      <c r="M29" s="1369"/>
      <c r="N29" s="1370"/>
    </row>
    <row r="30" hidden="1">
      <c r="A30" s="1371" t="s">
        <v>1437</v>
      </c>
      <c r="N30" s="1372"/>
    </row>
    <row r="31" hidden="1">
      <c r="A31" s="1373"/>
      <c r="B31" s="1374"/>
      <c r="C31" s="1374"/>
      <c r="D31" s="1375"/>
      <c r="E31" s="1376"/>
      <c r="F31" s="1375"/>
      <c r="G31" s="1377"/>
      <c r="H31" s="1377"/>
      <c r="I31" s="1377"/>
      <c r="J31" s="1377"/>
      <c r="K31" s="1378"/>
      <c r="L31" s="1378"/>
      <c r="M31" s="1379"/>
      <c r="N31" s="1380"/>
    </row>
    <row r="32" hidden="1">
      <c r="A32" s="878"/>
      <c r="B32" s="879"/>
      <c r="C32" s="879"/>
      <c r="D32" s="1381"/>
      <c r="E32" s="1382"/>
      <c r="F32" s="1381"/>
      <c r="G32" s="1383"/>
      <c r="H32" s="1383"/>
      <c r="I32" s="1383"/>
      <c r="J32" s="1383"/>
      <c r="K32" s="1384"/>
      <c r="L32" s="1384"/>
      <c r="M32" s="1385"/>
      <c r="N32" s="1386"/>
    </row>
    <row r="33">
      <c r="A33" s="1387" t="s">
        <v>2614</v>
      </c>
      <c r="B33" s="1156"/>
      <c r="C33" s="1156"/>
      <c r="D33" s="1156"/>
      <c r="E33" s="1156"/>
      <c r="F33" s="1156"/>
      <c r="G33" s="1156"/>
      <c r="H33" s="1156"/>
      <c r="I33" s="1156"/>
      <c r="J33" s="1156"/>
      <c r="K33" s="1156"/>
      <c r="L33" s="1156"/>
      <c r="M33" s="1156"/>
      <c r="N33" s="1388"/>
    </row>
    <row r="34">
      <c r="A34" s="1389" t="s">
        <v>2615</v>
      </c>
      <c r="B34" s="868"/>
      <c r="C34" s="868"/>
      <c r="D34" s="868"/>
      <c r="E34" s="868"/>
      <c r="F34" s="865"/>
      <c r="G34" s="865"/>
      <c r="H34" s="865"/>
      <c r="I34" s="865"/>
      <c r="J34" s="865"/>
      <c r="K34" s="865"/>
      <c r="L34" s="865"/>
      <c r="M34" s="865"/>
      <c r="N34" s="866"/>
    </row>
    <row r="35">
      <c r="A35" s="1390" t="s">
        <v>2418</v>
      </c>
      <c r="B35" s="1391">
        <v>45931.0</v>
      </c>
      <c r="C35" s="1392">
        <v>45981.0</v>
      </c>
      <c r="D35" s="1393">
        <v>1201054.0</v>
      </c>
      <c r="E35" s="1394"/>
      <c r="F35" s="1395"/>
      <c r="G35" s="1396" t="s">
        <v>2616</v>
      </c>
      <c r="H35" s="1397" t="s">
        <v>2617</v>
      </c>
      <c r="I35" s="1397" t="s">
        <v>2618</v>
      </c>
      <c r="J35" s="1397" t="s">
        <v>506</v>
      </c>
      <c r="K35" s="1398">
        <v>299.99</v>
      </c>
      <c r="L35" s="1398">
        <v>239.99</v>
      </c>
      <c r="M35" s="1399">
        <v>-0.2</v>
      </c>
      <c r="N35" s="1400" t="s">
        <v>130</v>
      </c>
    </row>
    <row r="36">
      <c r="A36" s="1401"/>
      <c r="B36" s="1402"/>
      <c r="C36" s="1403">
        <v>46022.0</v>
      </c>
      <c r="D36" s="1404">
        <v>1147913.0</v>
      </c>
      <c r="E36" s="1405"/>
      <c r="F36" s="1406"/>
      <c r="G36" s="1407" t="s">
        <v>2619</v>
      </c>
      <c r="H36" s="1407" t="s">
        <v>2617</v>
      </c>
      <c r="I36" s="1407" t="s">
        <v>2620</v>
      </c>
      <c r="J36" s="1407" t="s">
        <v>2621</v>
      </c>
      <c r="K36" s="1408">
        <v>299.99</v>
      </c>
      <c r="L36" s="1408">
        <v>149.99</v>
      </c>
      <c r="M36" s="1409">
        <v>-0.5</v>
      </c>
      <c r="N36" s="1410"/>
    </row>
    <row r="37">
      <c r="A37" s="1401"/>
      <c r="B37" s="1411">
        <v>45943.0</v>
      </c>
      <c r="C37" s="1403">
        <v>45980.0</v>
      </c>
      <c r="D37" s="1404">
        <v>1179647.0</v>
      </c>
      <c r="E37" s="1405"/>
      <c r="F37" s="1406"/>
      <c r="G37" s="1407" t="s">
        <v>2619</v>
      </c>
      <c r="H37" s="1407" t="s">
        <v>2617</v>
      </c>
      <c r="I37" s="1407" t="s">
        <v>2622</v>
      </c>
      <c r="J37" s="1407" t="s">
        <v>496</v>
      </c>
      <c r="K37" s="1408">
        <v>329.99</v>
      </c>
      <c r="L37" s="1408">
        <v>269.99</v>
      </c>
      <c r="M37" s="1409">
        <v>-0.18</v>
      </c>
      <c r="N37" s="1410"/>
    </row>
    <row r="38">
      <c r="A38" s="1401"/>
      <c r="B38" s="1411">
        <v>45961.0</v>
      </c>
      <c r="C38" s="1403">
        <v>45992.0</v>
      </c>
      <c r="D38" s="1404">
        <v>1221219.0</v>
      </c>
      <c r="E38" s="1412"/>
      <c r="F38" s="1410"/>
      <c r="G38" s="1407" t="s">
        <v>2616</v>
      </c>
      <c r="H38" s="1407" t="s">
        <v>2623</v>
      </c>
      <c r="I38" s="1407" t="s">
        <v>2624</v>
      </c>
      <c r="J38" s="1407" t="s">
        <v>506</v>
      </c>
      <c r="K38" s="1408">
        <v>159.99</v>
      </c>
      <c r="L38" s="1408">
        <v>79.99</v>
      </c>
      <c r="M38" s="1409">
        <v>-0.5</v>
      </c>
      <c r="N38" s="1410"/>
    </row>
    <row r="39">
      <c r="A39" s="1401"/>
      <c r="B39" s="1411">
        <v>45964.0</v>
      </c>
      <c r="C39" s="1403">
        <v>45992.0</v>
      </c>
      <c r="D39" s="1404">
        <v>1201030.0</v>
      </c>
      <c r="E39" s="1412"/>
      <c r="F39" s="1410"/>
      <c r="G39" s="1407" t="s">
        <v>2459</v>
      </c>
      <c r="H39" s="1407" t="s">
        <v>2617</v>
      </c>
      <c r="I39" s="1407" t="s">
        <v>2625</v>
      </c>
      <c r="J39" s="1407" t="s">
        <v>488</v>
      </c>
      <c r="K39" s="1408">
        <v>229.99</v>
      </c>
      <c r="L39" s="1408">
        <v>129.99</v>
      </c>
      <c r="M39" s="1409">
        <v>-0.43</v>
      </c>
      <c r="N39" s="1410"/>
    </row>
    <row r="40">
      <c r="A40" s="1401"/>
      <c r="B40" s="1411">
        <v>45967.0</v>
      </c>
      <c r="C40" s="1403">
        <v>45980.0</v>
      </c>
      <c r="D40" s="1404">
        <v>1201000.0</v>
      </c>
      <c r="E40" s="1412"/>
      <c r="F40" s="1410"/>
      <c r="G40" s="1407" t="s">
        <v>2626</v>
      </c>
      <c r="H40" s="1407" t="s">
        <v>2627</v>
      </c>
      <c r="I40" s="1407" t="s">
        <v>2628</v>
      </c>
      <c r="J40" s="1407" t="s">
        <v>491</v>
      </c>
      <c r="K40" s="1408">
        <v>159.99</v>
      </c>
      <c r="L40" s="1408">
        <v>109.99</v>
      </c>
      <c r="M40" s="1409">
        <v>-0.31</v>
      </c>
      <c r="N40" s="1410"/>
    </row>
    <row r="41">
      <c r="A41" s="1413" t="s">
        <v>2426</v>
      </c>
      <c r="B41" s="1414">
        <v>45975.0</v>
      </c>
      <c r="C41" s="1415">
        <v>45992.0</v>
      </c>
      <c r="D41" s="1416">
        <v>1210438.0</v>
      </c>
      <c r="E41" s="1417"/>
      <c r="F41" s="1418"/>
      <c r="G41" s="1419" t="s">
        <v>2617</v>
      </c>
      <c r="H41" s="1419" t="s">
        <v>2616</v>
      </c>
      <c r="I41" s="1419" t="s">
        <v>2629</v>
      </c>
      <c r="J41" s="1419" t="s">
        <v>491</v>
      </c>
      <c r="K41" s="1420">
        <v>519.99</v>
      </c>
      <c r="L41" s="1420">
        <v>249.99</v>
      </c>
      <c r="M41" s="1421">
        <v>-0.52</v>
      </c>
      <c r="N41" s="1422" t="s">
        <v>130</v>
      </c>
    </row>
    <row r="42">
      <c r="A42" s="1423" t="s">
        <v>2418</v>
      </c>
      <c r="B42" s="1424">
        <v>45981.0</v>
      </c>
      <c r="C42" s="1425">
        <v>46005.0</v>
      </c>
      <c r="D42" s="1404">
        <v>1153481.0</v>
      </c>
      <c r="E42" s="1426"/>
      <c r="F42" s="1427"/>
      <c r="G42" s="1407" t="s">
        <v>2630</v>
      </c>
      <c r="H42" s="1407" t="s">
        <v>2631</v>
      </c>
      <c r="I42" s="1407" t="s">
        <v>2632</v>
      </c>
      <c r="J42" s="1407" t="s">
        <v>2621</v>
      </c>
      <c r="K42" s="1408">
        <v>44.99</v>
      </c>
      <c r="L42" s="1408">
        <v>26.99</v>
      </c>
      <c r="M42" s="1409">
        <v>-0.4</v>
      </c>
      <c r="N42" s="1410"/>
    </row>
    <row r="43">
      <c r="A43" s="1401"/>
      <c r="B43" s="1401"/>
      <c r="C43" s="1401"/>
      <c r="D43" s="1404">
        <v>1160851.0</v>
      </c>
      <c r="E43" s="1401"/>
      <c r="F43" s="1401"/>
      <c r="G43" s="1407" t="s">
        <v>2617</v>
      </c>
      <c r="H43" s="1407" t="s">
        <v>2619</v>
      </c>
      <c r="I43" s="1407" t="s">
        <v>2633</v>
      </c>
      <c r="J43" s="1407" t="s">
        <v>543</v>
      </c>
      <c r="K43" s="1408">
        <v>349.99</v>
      </c>
      <c r="L43" s="1408">
        <v>119.99</v>
      </c>
      <c r="M43" s="1409">
        <v>-0.66</v>
      </c>
      <c r="N43" s="1410"/>
    </row>
    <row r="44">
      <c r="A44" s="1401"/>
      <c r="B44" s="1401"/>
      <c r="C44" s="1401"/>
      <c r="D44" s="1404">
        <v>1160852.0</v>
      </c>
      <c r="E44" s="1401"/>
      <c r="F44" s="1401"/>
      <c r="G44" s="1407" t="s">
        <v>2617</v>
      </c>
      <c r="H44" s="1407" t="s">
        <v>2459</v>
      </c>
      <c r="I44" s="1407" t="s">
        <v>2634</v>
      </c>
      <c r="J44" s="1407" t="s">
        <v>543</v>
      </c>
      <c r="K44" s="1408">
        <v>699.99</v>
      </c>
      <c r="L44" s="1408">
        <v>244.99</v>
      </c>
      <c r="M44" s="1409">
        <v>-0.65</v>
      </c>
      <c r="N44" s="1410"/>
    </row>
    <row r="45">
      <c r="A45" s="1401"/>
      <c r="B45" s="1401"/>
      <c r="C45" s="1401"/>
      <c r="D45" s="1404">
        <v>1160853.0</v>
      </c>
      <c r="E45" s="1401"/>
      <c r="F45" s="1401"/>
      <c r="G45" s="1407" t="s">
        <v>2617</v>
      </c>
      <c r="H45" s="1407" t="s">
        <v>2459</v>
      </c>
      <c r="I45" s="1407" t="s">
        <v>2635</v>
      </c>
      <c r="J45" s="1407" t="s">
        <v>543</v>
      </c>
      <c r="K45" s="1408">
        <v>189.99</v>
      </c>
      <c r="L45" s="1408">
        <v>314.99</v>
      </c>
      <c r="M45" s="1409">
        <v>0.66</v>
      </c>
      <c r="N45" s="1410"/>
    </row>
    <row r="46">
      <c r="A46" s="1401"/>
      <c r="B46" s="1401"/>
      <c r="C46" s="1401"/>
      <c r="D46" s="1404">
        <v>1160854.0</v>
      </c>
      <c r="E46" s="1401"/>
      <c r="F46" s="1401"/>
      <c r="G46" s="1407" t="s">
        <v>2617</v>
      </c>
      <c r="H46" s="1407" t="s">
        <v>2459</v>
      </c>
      <c r="I46" s="1407" t="s">
        <v>2636</v>
      </c>
      <c r="J46" s="1407" t="s">
        <v>543</v>
      </c>
      <c r="K46" s="1408">
        <v>1099.99</v>
      </c>
      <c r="L46" s="1408">
        <v>384.99</v>
      </c>
      <c r="M46" s="1409">
        <v>-0.65</v>
      </c>
      <c r="N46" s="1410"/>
    </row>
    <row r="47">
      <c r="A47" s="1401"/>
      <c r="B47" s="1401"/>
      <c r="C47" s="1401"/>
      <c r="D47" s="1404">
        <v>1166256.0</v>
      </c>
      <c r="E47" s="1401"/>
      <c r="F47" s="1401"/>
      <c r="G47" s="1407" t="s">
        <v>2637</v>
      </c>
      <c r="H47" s="1407" t="s">
        <v>2638</v>
      </c>
      <c r="I47" s="1407" t="s">
        <v>2639</v>
      </c>
      <c r="J47" s="1407" t="s">
        <v>2429</v>
      </c>
      <c r="K47" s="1408">
        <v>69.99</v>
      </c>
      <c r="L47" s="1408">
        <v>41.99</v>
      </c>
      <c r="M47" s="1409">
        <v>-0.4</v>
      </c>
      <c r="N47" s="1410"/>
    </row>
    <row r="48">
      <c r="A48" s="1401"/>
      <c r="B48" s="1401"/>
      <c r="C48" s="1401"/>
      <c r="D48" s="1404">
        <v>1166257.0</v>
      </c>
      <c r="E48" s="1401"/>
      <c r="F48" s="1401"/>
      <c r="G48" s="1407" t="s">
        <v>2637</v>
      </c>
      <c r="H48" s="1407" t="s">
        <v>2638</v>
      </c>
      <c r="I48" s="1407" t="s">
        <v>2640</v>
      </c>
      <c r="J48" s="1407" t="s">
        <v>2621</v>
      </c>
      <c r="K48" s="1408">
        <v>69.99</v>
      </c>
      <c r="L48" s="1408">
        <v>41.99</v>
      </c>
      <c r="M48" s="1409">
        <v>-0.4</v>
      </c>
      <c r="N48" s="1410"/>
    </row>
    <row r="49">
      <c r="A49" s="1401"/>
      <c r="B49" s="1401"/>
      <c r="C49" s="1401"/>
      <c r="D49" s="1404">
        <v>1166325.0</v>
      </c>
      <c r="E49" s="1401"/>
      <c r="F49" s="1401"/>
      <c r="G49" s="1407" t="s">
        <v>2630</v>
      </c>
      <c r="H49" s="1407" t="s">
        <v>2641</v>
      </c>
      <c r="I49" s="1407" t="s">
        <v>2642</v>
      </c>
      <c r="J49" s="1407" t="s">
        <v>2621</v>
      </c>
      <c r="K49" s="1408">
        <v>44.99</v>
      </c>
      <c r="L49" s="1408">
        <v>26.99</v>
      </c>
      <c r="M49" s="1409">
        <v>-0.4</v>
      </c>
      <c r="N49" s="1410"/>
    </row>
    <row r="50">
      <c r="A50" s="1401"/>
      <c r="B50" s="1401"/>
      <c r="C50" s="1401"/>
      <c r="D50" s="1404">
        <v>1178848.0</v>
      </c>
      <c r="E50" s="1401"/>
      <c r="F50" s="1401"/>
      <c r="G50" s="1407" t="s">
        <v>2643</v>
      </c>
      <c r="H50" s="1407" t="s">
        <v>2644</v>
      </c>
      <c r="I50" s="1407" t="s">
        <v>2645</v>
      </c>
      <c r="J50" s="1407" t="s">
        <v>2621</v>
      </c>
      <c r="K50" s="1408">
        <v>17.99</v>
      </c>
      <c r="L50" s="1408">
        <v>9.99</v>
      </c>
      <c r="M50" s="1409">
        <v>-0.44</v>
      </c>
      <c r="N50" s="1410"/>
    </row>
    <row r="51">
      <c r="A51" s="1401"/>
      <c r="B51" s="1401"/>
      <c r="C51" s="1401"/>
      <c r="D51" s="1404">
        <v>1179647.0</v>
      </c>
      <c r="E51" s="1401"/>
      <c r="F51" s="1401"/>
      <c r="G51" s="1407" t="s">
        <v>2617</v>
      </c>
      <c r="H51" s="1407" t="s">
        <v>2619</v>
      </c>
      <c r="I51" s="1407" t="s">
        <v>2622</v>
      </c>
      <c r="J51" s="1407" t="s">
        <v>496</v>
      </c>
      <c r="K51" s="1408">
        <v>329.99</v>
      </c>
      <c r="L51" s="1408">
        <v>189.99</v>
      </c>
      <c r="M51" s="1409">
        <v>-0.42</v>
      </c>
      <c r="N51" s="1410"/>
    </row>
    <row r="52">
      <c r="A52" s="1401"/>
      <c r="B52" s="1401"/>
      <c r="C52" s="1401"/>
      <c r="D52" s="1404">
        <v>1193723.0</v>
      </c>
      <c r="E52" s="1401"/>
      <c r="F52" s="1401"/>
      <c r="G52" s="1407" t="s">
        <v>2643</v>
      </c>
      <c r="H52" s="1407" t="s">
        <v>2646</v>
      </c>
      <c r="I52" s="1407" t="s">
        <v>2647</v>
      </c>
      <c r="J52" s="1407" t="s">
        <v>2621</v>
      </c>
      <c r="K52" s="1408">
        <v>34.99</v>
      </c>
      <c r="L52" s="1408">
        <v>19.99</v>
      </c>
      <c r="M52" s="1409">
        <v>-0.43</v>
      </c>
      <c r="N52" s="1410"/>
    </row>
    <row r="53">
      <c r="A53" s="1401"/>
      <c r="B53" s="1401"/>
      <c r="C53" s="1401"/>
      <c r="D53" s="1404">
        <v>1194613.0</v>
      </c>
      <c r="E53" s="1401"/>
      <c r="F53" s="1401"/>
      <c r="G53" s="1407" t="s">
        <v>2648</v>
      </c>
      <c r="H53" s="1407" t="s">
        <v>2649</v>
      </c>
      <c r="I53" s="1407" t="s">
        <v>2650</v>
      </c>
      <c r="J53" s="1407" t="s">
        <v>543</v>
      </c>
      <c r="K53" s="1408">
        <v>129.99</v>
      </c>
      <c r="L53" s="1408">
        <v>77.99</v>
      </c>
      <c r="M53" s="1409">
        <v>-0.4</v>
      </c>
      <c r="N53" s="1410"/>
    </row>
    <row r="54">
      <c r="A54" s="1401"/>
      <c r="B54" s="1401"/>
      <c r="C54" s="1401"/>
      <c r="D54" s="1404">
        <v>1199897.0</v>
      </c>
      <c r="E54" s="1401"/>
      <c r="F54" s="1401"/>
      <c r="G54" s="1407" t="s">
        <v>2648</v>
      </c>
      <c r="H54" s="1407" t="s">
        <v>2651</v>
      </c>
      <c r="I54" s="1407" t="s">
        <v>2652</v>
      </c>
      <c r="J54" s="1407" t="s">
        <v>543</v>
      </c>
      <c r="K54" s="1408">
        <v>14.99</v>
      </c>
      <c r="L54" s="1408">
        <v>11.99</v>
      </c>
      <c r="M54" s="1409">
        <v>-0.2</v>
      </c>
      <c r="N54" s="1410"/>
    </row>
    <row r="55">
      <c r="A55" s="1401"/>
      <c r="B55" s="1401"/>
      <c r="C55" s="1401"/>
      <c r="D55" s="1404">
        <v>1201029.0</v>
      </c>
      <c r="E55" s="1401"/>
      <c r="F55" s="1401"/>
      <c r="G55" s="1407" t="s">
        <v>2637</v>
      </c>
      <c r="H55" s="1407" t="s">
        <v>2638</v>
      </c>
      <c r="I55" s="1407" t="s">
        <v>2653</v>
      </c>
      <c r="J55" s="1407" t="s">
        <v>506</v>
      </c>
      <c r="K55" s="1408">
        <v>44.99</v>
      </c>
      <c r="L55" s="1408">
        <v>26.99</v>
      </c>
      <c r="M55" s="1409">
        <v>-0.4</v>
      </c>
      <c r="N55" s="1410"/>
    </row>
    <row r="56">
      <c r="A56" s="1401"/>
      <c r="B56" s="1401"/>
      <c r="C56" s="1401"/>
      <c r="D56" s="1404">
        <v>1201031.0</v>
      </c>
      <c r="E56" s="1401"/>
      <c r="F56" s="1401"/>
      <c r="G56" s="1407" t="s">
        <v>2627</v>
      </c>
      <c r="H56" s="1407" t="s">
        <v>2626</v>
      </c>
      <c r="I56" s="1407" t="s">
        <v>2654</v>
      </c>
      <c r="J56" s="1407" t="s">
        <v>543</v>
      </c>
      <c r="K56" s="1408">
        <v>189.99</v>
      </c>
      <c r="L56" s="1408">
        <v>99.99</v>
      </c>
      <c r="M56" s="1409">
        <v>-0.47</v>
      </c>
      <c r="N56" s="1410"/>
    </row>
    <row r="57">
      <c r="A57" s="1401"/>
      <c r="B57" s="1401"/>
      <c r="C57" s="1401"/>
      <c r="D57" s="1404">
        <v>1201052.0</v>
      </c>
      <c r="E57" s="1401"/>
      <c r="F57" s="1401"/>
      <c r="G57" s="1407" t="s">
        <v>2655</v>
      </c>
      <c r="H57" s="1407" t="s">
        <v>2459</v>
      </c>
      <c r="I57" s="1407" t="s">
        <v>2656</v>
      </c>
      <c r="J57" s="1407" t="s">
        <v>488</v>
      </c>
      <c r="K57" s="1408">
        <v>179.99</v>
      </c>
      <c r="L57" s="1408">
        <v>94.99</v>
      </c>
      <c r="M57" s="1409">
        <v>-0.47</v>
      </c>
      <c r="N57" s="1410"/>
    </row>
    <row r="58">
      <c r="A58" s="1401"/>
      <c r="B58" s="1401"/>
      <c r="C58" s="1401"/>
      <c r="D58" s="1404">
        <v>1209449.0</v>
      </c>
      <c r="E58" s="1401"/>
      <c r="F58" s="1401"/>
      <c r="G58" s="1407" t="s">
        <v>2617</v>
      </c>
      <c r="H58" s="1407" t="s">
        <v>2459</v>
      </c>
      <c r="I58" s="1407" t="s">
        <v>2657</v>
      </c>
      <c r="J58" s="1407" t="s">
        <v>2621</v>
      </c>
      <c r="K58" s="1408">
        <v>399.99</v>
      </c>
      <c r="L58" s="1408">
        <v>179.99</v>
      </c>
      <c r="M58" s="1409">
        <v>-0.55</v>
      </c>
      <c r="N58" s="1410"/>
    </row>
    <row r="59">
      <c r="A59" s="1401"/>
      <c r="B59" s="1401"/>
      <c r="C59" s="1401"/>
      <c r="D59" s="1404">
        <v>1209450.0</v>
      </c>
      <c r="E59" s="1401"/>
      <c r="F59" s="1401"/>
      <c r="G59" s="1407" t="s">
        <v>2617</v>
      </c>
      <c r="H59" s="1407" t="s">
        <v>2459</v>
      </c>
      <c r="I59" s="1407" t="s">
        <v>2658</v>
      </c>
      <c r="J59" s="1407" t="s">
        <v>2621</v>
      </c>
      <c r="K59" s="1408">
        <v>519.99</v>
      </c>
      <c r="L59" s="1408">
        <v>234.99</v>
      </c>
      <c r="M59" s="1409">
        <v>-0.55</v>
      </c>
      <c r="N59" s="1410"/>
    </row>
    <row r="60">
      <c r="A60" s="1401"/>
      <c r="B60" s="1401"/>
      <c r="C60" s="1401"/>
      <c r="D60" s="1428">
        <v>1209451.0</v>
      </c>
      <c r="E60" s="1402"/>
      <c r="F60" s="1402"/>
      <c r="G60" s="1429" t="s">
        <v>2617</v>
      </c>
      <c r="H60" s="1429" t="s">
        <v>2459</v>
      </c>
      <c r="I60" s="1429" t="s">
        <v>2659</v>
      </c>
      <c r="J60" s="1429" t="s">
        <v>543</v>
      </c>
      <c r="K60" s="1430">
        <v>639.99</v>
      </c>
      <c r="L60" s="1430">
        <v>289.99</v>
      </c>
      <c r="M60" s="1431">
        <v>-0.55</v>
      </c>
      <c r="N60" s="1432"/>
    </row>
    <row r="61">
      <c r="A61" s="1402"/>
      <c r="B61" s="1411">
        <v>45982.0</v>
      </c>
      <c r="C61" s="1403">
        <v>45992.0</v>
      </c>
      <c r="D61" s="1404">
        <v>1201054.0</v>
      </c>
      <c r="E61" s="1433"/>
      <c r="F61" s="1433"/>
      <c r="G61" s="1429" t="s">
        <v>2617</v>
      </c>
      <c r="H61" s="1429" t="s">
        <v>2616</v>
      </c>
      <c r="I61" s="1429" t="s">
        <v>2618</v>
      </c>
      <c r="J61" s="1429" t="s">
        <v>506</v>
      </c>
      <c r="K61" s="1430">
        <v>239.99</v>
      </c>
      <c r="L61" s="1430">
        <v>149.99</v>
      </c>
      <c r="M61" s="1431">
        <v>-0.38</v>
      </c>
      <c r="N61" s="1434"/>
    </row>
    <row r="62">
      <c r="A62" s="1389" t="s">
        <v>2660</v>
      </c>
      <c r="B62" s="868"/>
      <c r="C62" s="868"/>
      <c r="D62" s="868"/>
      <c r="E62" s="868"/>
      <c r="F62" s="868"/>
      <c r="G62" s="868"/>
      <c r="H62" s="868"/>
      <c r="I62" s="868"/>
      <c r="J62" s="868"/>
      <c r="K62" s="868"/>
      <c r="L62" s="868"/>
      <c r="M62" s="868"/>
      <c r="N62" s="946"/>
    </row>
    <row r="63" hidden="1">
      <c r="A63" s="1373"/>
      <c r="B63" s="1435"/>
      <c r="C63" s="1436"/>
      <c r="D63" s="1300"/>
      <c r="E63" s="1437"/>
      <c r="F63" s="1300"/>
      <c r="G63" s="1438"/>
      <c r="H63" s="1438"/>
      <c r="I63" s="1438"/>
      <c r="J63" s="1438"/>
      <c r="K63" s="1302"/>
      <c r="L63" s="1302"/>
      <c r="M63" s="1304"/>
      <c r="N63" s="1439"/>
    </row>
    <row r="64" hidden="1">
      <c r="A64" s="901"/>
      <c r="B64" s="362"/>
      <c r="C64" s="362"/>
      <c r="D64" s="1306"/>
      <c r="E64" s="362"/>
      <c r="F64" s="1306"/>
      <c r="G64" s="1440"/>
      <c r="H64" s="1440"/>
      <c r="I64" s="1440"/>
      <c r="J64" s="1440"/>
      <c r="K64" s="1307"/>
      <c r="L64" s="1307"/>
      <c r="M64" s="1309"/>
      <c r="N64" s="994"/>
    </row>
    <row r="65" hidden="1">
      <c r="A65" s="892"/>
      <c r="B65" s="351"/>
      <c r="C65" s="351"/>
      <c r="D65" s="1311"/>
      <c r="E65" s="351"/>
      <c r="F65" s="1311"/>
      <c r="G65" s="1441"/>
      <c r="H65" s="1441"/>
      <c r="I65" s="1441"/>
      <c r="J65" s="1441"/>
      <c r="K65" s="1312"/>
      <c r="L65" s="1312"/>
      <c r="M65" s="1314"/>
      <c r="N65" s="986"/>
    </row>
    <row r="66" hidden="1">
      <c r="A66" s="878"/>
      <c r="B66" s="879"/>
      <c r="C66" s="879"/>
      <c r="D66" s="1317"/>
      <c r="E66" s="879"/>
      <c r="F66" s="1317"/>
      <c r="G66" s="1442"/>
      <c r="H66" s="1442"/>
      <c r="I66" s="1442"/>
      <c r="J66" s="1442"/>
      <c r="K66" s="1318"/>
      <c r="L66" s="1318"/>
      <c r="M66" s="1320"/>
      <c r="N66" s="882"/>
    </row>
    <row r="67" hidden="1">
      <c r="A67" s="1373"/>
      <c r="B67" s="1435"/>
      <c r="C67" s="1436"/>
      <c r="D67" s="1300"/>
      <c r="E67" s="1437"/>
      <c r="F67" s="1300"/>
      <c r="G67" s="1377"/>
      <c r="H67" s="1377"/>
      <c r="I67" s="1377"/>
      <c r="J67" s="1377"/>
      <c r="K67" s="1443"/>
      <c r="L67" s="1443"/>
      <c r="M67" s="1444"/>
      <c r="N67" s="1445"/>
    </row>
    <row r="68" hidden="1">
      <c r="A68" s="901"/>
      <c r="B68" s="362"/>
      <c r="C68" s="362"/>
      <c r="D68" s="1306"/>
      <c r="E68" s="362"/>
      <c r="F68" s="1306"/>
      <c r="G68" s="1440"/>
      <c r="H68" s="1440"/>
      <c r="I68" s="1440"/>
      <c r="J68" s="1440"/>
      <c r="K68" s="1307"/>
      <c r="L68" s="1307"/>
      <c r="M68" s="1309"/>
      <c r="N68" s="994"/>
    </row>
    <row r="69" hidden="1">
      <c r="A69" s="892"/>
      <c r="B69" s="351"/>
      <c r="C69" s="351"/>
      <c r="D69" s="1311"/>
      <c r="E69" s="351"/>
      <c r="F69" s="1311"/>
      <c r="G69" s="1441"/>
      <c r="H69" s="1441"/>
      <c r="I69" s="1441"/>
      <c r="J69" s="1441"/>
      <c r="K69" s="1312"/>
      <c r="L69" s="1312"/>
      <c r="M69" s="1314"/>
      <c r="N69" s="986"/>
    </row>
    <row r="70" hidden="1">
      <c r="A70" s="901"/>
      <c r="B70" s="362"/>
      <c r="C70" s="362"/>
      <c r="D70" s="1306"/>
      <c r="E70" s="362"/>
      <c r="F70" s="1306"/>
      <c r="G70" s="1446"/>
      <c r="H70" s="1446"/>
      <c r="I70" s="1446"/>
      <c r="J70" s="1446"/>
      <c r="K70" s="1447"/>
      <c r="L70" s="1447"/>
      <c r="M70" s="1448"/>
      <c r="N70" s="994"/>
    </row>
    <row r="71" hidden="1">
      <c r="A71" s="892"/>
      <c r="B71" s="351"/>
      <c r="C71" s="351"/>
      <c r="D71" s="1311"/>
      <c r="E71" s="351"/>
      <c r="F71" s="1311"/>
      <c r="G71" s="1449"/>
      <c r="H71" s="1449"/>
      <c r="I71" s="1449"/>
      <c r="J71" s="1449"/>
      <c r="K71" s="1450"/>
      <c r="L71" s="1450"/>
      <c r="M71" s="1451"/>
      <c r="N71" s="986"/>
    </row>
    <row r="72" hidden="1">
      <c r="A72" s="901"/>
      <c r="B72" s="362"/>
      <c r="C72" s="362"/>
      <c r="D72" s="1306"/>
      <c r="E72" s="362"/>
      <c r="F72" s="1306"/>
      <c r="G72" s="1446"/>
      <c r="H72" s="1446"/>
      <c r="I72" s="1446"/>
      <c r="J72" s="1446"/>
      <c r="K72" s="1447"/>
      <c r="L72" s="1447"/>
      <c r="M72" s="1448"/>
      <c r="N72" s="994"/>
    </row>
    <row r="73" hidden="1">
      <c r="A73" s="892"/>
      <c r="B73" s="351"/>
      <c r="C73" s="351"/>
      <c r="D73" s="1311"/>
      <c r="E73" s="351"/>
      <c r="F73" s="1311"/>
      <c r="G73" s="1449"/>
      <c r="H73" s="1449"/>
      <c r="I73" s="1449"/>
      <c r="J73" s="1449"/>
      <c r="K73" s="1450"/>
      <c r="L73" s="1450"/>
      <c r="M73" s="1451"/>
      <c r="N73" s="986"/>
    </row>
    <row r="74" hidden="1">
      <c r="A74" s="901"/>
      <c r="B74" s="362"/>
      <c r="C74" s="362"/>
      <c r="D74" s="1306"/>
      <c r="E74" s="362"/>
      <c r="F74" s="1306"/>
      <c r="G74" s="1446"/>
      <c r="H74" s="1446"/>
      <c r="I74" s="1446"/>
      <c r="J74" s="1446"/>
      <c r="K74" s="1447"/>
      <c r="L74" s="1447"/>
      <c r="M74" s="1448"/>
      <c r="N74" s="994"/>
    </row>
    <row r="75" hidden="1">
      <c r="A75" s="1058"/>
      <c r="B75" s="908"/>
      <c r="C75" s="908"/>
      <c r="D75" s="1345"/>
      <c r="E75" s="908"/>
      <c r="F75" s="1345"/>
      <c r="G75" s="1452"/>
      <c r="H75" s="1452"/>
      <c r="I75" s="1452"/>
      <c r="J75" s="1452"/>
      <c r="K75" s="1453"/>
      <c r="L75" s="1453"/>
      <c r="M75" s="1454"/>
      <c r="N75" s="1000"/>
    </row>
    <row r="76">
      <c r="A76" s="1455" t="s">
        <v>2418</v>
      </c>
      <c r="B76" s="1456">
        <v>45962.0</v>
      </c>
      <c r="C76" s="1457">
        <v>46022.0</v>
      </c>
      <c r="D76" s="1334">
        <v>1218832.0</v>
      </c>
      <c r="E76" s="1458"/>
      <c r="F76" s="1459"/>
      <c r="G76" s="1460" t="s">
        <v>2619</v>
      </c>
      <c r="H76" s="1460" t="s">
        <v>2655</v>
      </c>
      <c r="I76" s="1460" t="s">
        <v>2661</v>
      </c>
      <c r="J76" s="1460" t="s">
        <v>491</v>
      </c>
      <c r="K76" s="1461">
        <v>109.99</v>
      </c>
      <c r="L76" s="1461">
        <v>84.99</v>
      </c>
      <c r="M76" s="1462">
        <v>-0.23</v>
      </c>
      <c r="N76" s="1463"/>
    </row>
    <row r="77">
      <c r="A77" s="892"/>
      <c r="B77" s="351"/>
      <c r="C77" s="351"/>
      <c r="D77" s="1326">
        <v>1218833.0</v>
      </c>
      <c r="E77" s="351"/>
      <c r="F77" s="354"/>
      <c r="G77" s="1449" t="s">
        <v>2459</v>
      </c>
      <c r="H77" s="1449" t="s">
        <v>2617</v>
      </c>
      <c r="I77" s="1449" t="s">
        <v>2662</v>
      </c>
      <c r="J77" s="1449" t="s">
        <v>506</v>
      </c>
      <c r="K77" s="1450">
        <v>134.99</v>
      </c>
      <c r="L77" s="1450">
        <v>104.99</v>
      </c>
      <c r="M77" s="1451">
        <v>-0.22</v>
      </c>
      <c r="N77" s="1464"/>
    </row>
    <row r="78">
      <c r="A78" s="901"/>
      <c r="B78" s="362"/>
      <c r="C78" s="362"/>
      <c r="D78" s="1334">
        <v>1218834.0</v>
      </c>
      <c r="E78" s="362"/>
      <c r="F78" s="365"/>
      <c r="G78" s="1446" t="s">
        <v>2626</v>
      </c>
      <c r="H78" s="1446" t="s">
        <v>2627</v>
      </c>
      <c r="I78" s="1446" t="s">
        <v>2663</v>
      </c>
      <c r="J78" s="1446" t="s">
        <v>491</v>
      </c>
      <c r="K78" s="1447">
        <v>119.99</v>
      </c>
      <c r="L78" s="1447">
        <v>89.99</v>
      </c>
      <c r="M78" s="1448">
        <v>-0.25</v>
      </c>
      <c r="N78" s="1465"/>
    </row>
    <row r="79">
      <c r="A79" s="892"/>
      <c r="B79" s="351"/>
      <c r="C79" s="351"/>
      <c r="D79" s="1326">
        <v>1218836.0</v>
      </c>
      <c r="E79" s="351"/>
      <c r="F79" s="354"/>
      <c r="G79" s="1449" t="s">
        <v>2459</v>
      </c>
      <c r="H79" s="1449" t="s">
        <v>2617</v>
      </c>
      <c r="I79" s="1449" t="s">
        <v>2664</v>
      </c>
      <c r="J79" s="1449" t="s">
        <v>543</v>
      </c>
      <c r="K79" s="1450">
        <v>89.99</v>
      </c>
      <c r="L79" s="1450">
        <v>69.99</v>
      </c>
      <c r="M79" s="1451">
        <v>-0.22</v>
      </c>
      <c r="N79" s="1464"/>
    </row>
    <row r="80">
      <c r="A80" s="901"/>
      <c r="B80" s="362"/>
      <c r="C80" s="362"/>
      <c r="D80" s="1334">
        <v>1218837.0</v>
      </c>
      <c r="E80" s="362"/>
      <c r="F80" s="365"/>
      <c r="G80" s="1446" t="s">
        <v>2459</v>
      </c>
      <c r="H80" s="1446" t="s">
        <v>2617</v>
      </c>
      <c r="I80" s="1446" t="s">
        <v>2665</v>
      </c>
      <c r="J80" s="1446" t="s">
        <v>543</v>
      </c>
      <c r="K80" s="1447">
        <v>169.99</v>
      </c>
      <c r="L80" s="1447">
        <v>139.99</v>
      </c>
      <c r="M80" s="1448">
        <v>-0.18</v>
      </c>
      <c r="N80" s="1465"/>
    </row>
    <row r="81">
      <c r="A81" s="892"/>
      <c r="B81" s="351"/>
      <c r="C81" s="351"/>
      <c r="D81" s="1326">
        <v>1218839.0</v>
      </c>
      <c r="E81" s="351"/>
      <c r="F81" s="354"/>
      <c r="G81" s="1449" t="s">
        <v>2619</v>
      </c>
      <c r="H81" s="1449" t="s">
        <v>2655</v>
      </c>
      <c r="I81" s="1449" t="s">
        <v>2666</v>
      </c>
      <c r="J81" s="1449" t="s">
        <v>543</v>
      </c>
      <c r="K81" s="1450">
        <v>99.99</v>
      </c>
      <c r="L81" s="1450">
        <v>84.99</v>
      </c>
      <c r="M81" s="1451">
        <v>-0.15</v>
      </c>
      <c r="N81" s="1464"/>
    </row>
    <row r="82">
      <c r="A82" s="901"/>
      <c r="B82" s="362"/>
      <c r="C82" s="362"/>
      <c r="D82" s="1334">
        <v>1218840.0</v>
      </c>
      <c r="E82" s="362"/>
      <c r="F82" s="365"/>
      <c r="G82" s="1446" t="s">
        <v>2459</v>
      </c>
      <c r="H82" s="1446" t="s">
        <v>2617</v>
      </c>
      <c r="I82" s="1446" t="s">
        <v>2667</v>
      </c>
      <c r="J82" s="1446" t="s">
        <v>543</v>
      </c>
      <c r="K82" s="1447">
        <v>169.99</v>
      </c>
      <c r="L82" s="1447">
        <v>154.99</v>
      </c>
      <c r="M82" s="1448">
        <v>-0.09</v>
      </c>
      <c r="N82" s="1465"/>
    </row>
    <row r="83">
      <c r="A83" s="892"/>
      <c r="B83" s="351"/>
      <c r="C83" s="351"/>
      <c r="D83" s="1326">
        <v>1218841.0</v>
      </c>
      <c r="E83" s="351"/>
      <c r="F83" s="354"/>
      <c r="G83" s="1449" t="s">
        <v>2459</v>
      </c>
      <c r="H83" s="1449" t="s">
        <v>2617</v>
      </c>
      <c r="I83" s="1449" t="s">
        <v>2668</v>
      </c>
      <c r="J83" s="1449" t="s">
        <v>543</v>
      </c>
      <c r="K83" s="1450">
        <v>199.99</v>
      </c>
      <c r="L83" s="1450">
        <v>169.99</v>
      </c>
      <c r="M83" s="1451">
        <v>-0.15</v>
      </c>
      <c r="N83" s="1464"/>
    </row>
    <row r="84">
      <c r="A84" s="901"/>
      <c r="B84" s="362"/>
      <c r="C84" s="362"/>
      <c r="D84" s="1334">
        <v>1218842.0</v>
      </c>
      <c r="E84" s="362"/>
      <c r="F84" s="365"/>
      <c r="G84" s="1446" t="s">
        <v>2669</v>
      </c>
      <c r="H84" s="1446" t="s">
        <v>2648</v>
      </c>
      <c r="I84" s="1446" t="s">
        <v>2670</v>
      </c>
      <c r="J84" s="1446" t="s">
        <v>543</v>
      </c>
      <c r="K84" s="1447">
        <v>109.99</v>
      </c>
      <c r="L84" s="1447">
        <v>99.99</v>
      </c>
      <c r="M84" s="1448">
        <v>-0.09</v>
      </c>
      <c r="N84" s="1465"/>
    </row>
    <row r="85">
      <c r="A85" s="892"/>
      <c r="B85" s="351"/>
      <c r="C85" s="351"/>
      <c r="D85" s="1326">
        <v>1218843.0</v>
      </c>
      <c r="E85" s="351"/>
      <c r="F85" s="354"/>
      <c r="G85" s="1449" t="s">
        <v>2638</v>
      </c>
      <c r="H85" s="1449" t="s">
        <v>2637</v>
      </c>
      <c r="I85" s="1449" t="s">
        <v>2671</v>
      </c>
      <c r="J85" s="1449" t="s">
        <v>543</v>
      </c>
      <c r="K85" s="1450">
        <v>39.99</v>
      </c>
      <c r="L85" s="1450">
        <v>29.99</v>
      </c>
      <c r="M85" s="1451">
        <v>-0.25</v>
      </c>
      <c r="N85" s="1464"/>
    </row>
    <row r="86">
      <c r="A86" s="901"/>
      <c r="B86" s="362"/>
      <c r="C86" s="362"/>
      <c r="D86" s="1334">
        <v>1226295.0</v>
      </c>
      <c r="E86" s="362"/>
      <c r="F86" s="365"/>
      <c r="G86" s="1446" t="s">
        <v>2619</v>
      </c>
      <c r="H86" s="1446" t="s">
        <v>2655</v>
      </c>
      <c r="I86" s="1446" t="s">
        <v>2672</v>
      </c>
      <c r="J86" s="1446" t="s">
        <v>2621</v>
      </c>
      <c r="K86" s="1447">
        <v>59.99</v>
      </c>
      <c r="L86" s="1447">
        <v>49.99</v>
      </c>
      <c r="M86" s="1448">
        <v>-0.17</v>
      </c>
      <c r="N86" s="1465"/>
    </row>
    <row r="87">
      <c r="A87" s="892"/>
      <c r="B87" s="351"/>
      <c r="C87" s="351"/>
      <c r="D87" s="1326">
        <v>1226296.0</v>
      </c>
      <c r="E87" s="351"/>
      <c r="F87" s="354"/>
      <c r="G87" s="1449" t="s">
        <v>2619</v>
      </c>
      <c r="H87" s="1449" t="s">
        <v>2655</v>
      </c>
      <c r="I87" s="1449" t="s">
        <v>2673</v>
      </c>
      <c r="J87" s="1449" t="s">
        <v>2621</v>
      </c>
      <c r="K87" s="1450">
        <v>82.99</v>
      </c>
      <c r="L87" s="1450">
        <v>64.99</v>
      </c>
      <c r="M87" s="1451">
        <v>-0.22</v>
      </c>
      <c r="N87" s="1464"/>
    </row>
    <row r="88">
      <c r="A88" s="901"/>
      <c r="B88" s="362"/>
      <c r="C88" s="362"/>
      <c r="D88" s="1334">
        <v>1227153.0</v>
      </c>
      <c r="E88" s="362"/>
      <c r="F88" s="365"/>
      <c r="G88" s="1446" t="s">
        <v>2619</v>
      </c>
      <c r="H88" s="1446" t="s">
        <v>2655</v>
      </c>
      <c r="I88" s="1446" t="s">
        <v>2674</v>
      </c>
      <c r="J88" s="1446" t="s">
        <v>2621</v>
      </c>
      <c r="K88" s="1447">
        <v>29.99</v>
      </c>
      <c r="L88" s="1447">
        <v>24.99</v>
      </c>
      <c r="M88" s="1448">
        <v>-0.17</v>
      </c>
      <c r="N88" s="1465"/>
    </row>
    <row r="89">
      <c r="A89" s="892"/>
      <c r="B89" s="351"/>
      <c r="C89" s="351"/>
      <c r="D89" s="1326">
        <v>1227154.0</v>
      </c>
      <c r="E89" s="351"/>
      <c r="F89" s="354"/>
      <c r="G89" s="1452" t="s">
        <v>2459</v>
      </c>
      <c r="H89" s="1452" t="s">
        <v>2617</v>
      </c>
      <c r="I89" s="1452" t="s">
        <v>2675</v>
      </c>
      <c r="J89" s="1452" t="s">
        <v>2621</v>
      </c>
      <c r="K89" s="1453">
        <v>219.99</v>
      </c>
      <c r="L89" s="1453">
        <v>199.99</v>
      </c>
      <c r="M89" s="1454">
        <v>-0.09</v>
      </c>
      <c r="N89" s="1466"/>
    </row>
    <row r="90">
      <c r="A90" s="1467" t="s">
        <v>2676</v>
      </c>
      <c r="B90" s="1436">
        <v>45962.0</v>
      </c>
      <c r="C90" s="1435">
        <v>45975.0</v>
      </c>
      <c r="D90" s="1301">
        <v>1218835.0</v>
      </c>
      <c r="E90" s="1468"/>
      <c r="F90" s="1301">
        <v>1231713.0</v>
      </c>
      <c r="G90" s="1377" t="s">
        <v>2655</v>
      </c>
      <c r="H90" s="1377" t="s">
        <v>2619</v>
      </c>
      <c r="I90" s="1377" t="s">
        <v>2677</v>
      </c>
      <c r="J90" s="1377" t="s">
        <v>543</v>
      </c>
      <c r="K90" s="1469">
        <v>49.99</v>
      </c>
      <c r="L90" s="1470" t="s">
        <v>2678</v>
      </c>
      <c r="M90" s="1471"/>
      <c r="N90" s="1472" t="s">
        <v>130</v>
      </c>
    </row>
    <row r="91">
      <c r="A91" s="1473" t="s">
        <v>2679</v>
      </c>
      <c r="B91" s="1474">
        <v>45976.0</v>
      </c>
      <c r="C91" s="1475">
        <v>46022.0</v>
      </c>
      <c r="D91" s="1476">
        <v>1218835.0</v>
      </c>
      <c r="E91" s="1477"/>
      <c r="F91" s="1477"/>
      <c r="G91" s="1478" t="s">
        <v>2655</v>
      </c>
      <c r="H91" s="1478" t="s">
        <v>2619</v>
      </c>
      <c r="I91" s="1478" t="s">
        <v>2677</v>
      </c>
      <c r="J91" s="1478" t="s">
        <v>506</v>
      </c>
      <c r="K91" s="1479">
        <v>49.99</v>
      </c>
      <c r="L91" s="1479">
        <v>29.99</v>
      </c>
      <c r="M91" s="1480"/>
      <c r="N91" s="1481" t="s">
        <v>130</v>
      </c>
    </row>
    <row r="92">
      <c r="A92" s="1389" t="s">
        <v>2680</v>
      </c>
      <c r="B92" s="868"/>
      <c r="C92" s="868"/>
      <c r="D92" s="868"/>
      <c r="E92" s="868"/>
      <c r="F92" s="868"/>
      <c r="G92" s="865"/>
      <c r="H92" s="865"/>
      <c r="I92" s="865"/>
      <c r="J92" s="865"/>
      <c r="K92" s="865"/>
      <c r="L92" s="865"/>
      <c r="M92" s="865"/>
      <c r="N92" s="866"/>
    </row>
    <row r="93">
      <c r="A93" s="1482" t="s">
        <v>2418</v>
      </c>
      <c r="B93" s="1483">
        <v>45961.0</v>
      </c>
      <c r="C93" s="1483">
        <v>45992.0</v>
      </c>
      <c r="D93" s="1484">
        <v>1165067.0</v>
      </c>
      <c r="E93" s="1485"/>
      <c r="F93" s="1485"/>
      <c r="G93" s="1460" t="s">
        <v>2619</v>
      </c>
      <c r="H93" s="1460" t="s">
        <v>2655</v>
      </c>
      <c r="I93" s="1460" t="s">
        <v>2681</v>
      </c>
      <c r="J93" s="1460" t="s">
        <v>543</v>
      </c>
      <c r="K93" s="1461">
        <v>169.99</v>
      </c>
      <c r="L93" s="1461">
        <v>119.99</v>
      </c>
      <c r="M93" s="1462">
        <v>-0.29</v>
      </c>
      <c r="N93" s="1486"/>
    </row>
    <row r="94">
      <c r="A94" s="901"/>
      <c r="B94" s="362"/>
      <c r="C94" s="362"/>
      <c r="D94" s="1487">
        <v>1193463.0</v>
      </c>
      <c r="E94" s="362"/>
      <c r="F94" s="362"/>
      <c r="G94" s="1446" t="s">
        <v>2619</v>
      </c>
      <c r="H94" s="1446" t="s">
        <v>2655</v>
      </c>
      <c r="I94" s="1446" t="s">
        <v>2682</v>
      </c>
      <c r="J94" s="1446" t="s">
        <v>2621</v>
      </c>
      <c r="K94" s="1447">
        <v>51.13</v>
      </c>
      <c r="L94" s="1447">
        <v>39.99</v>
      </c>
      <c r="M94" s="1448">
        <v>-0.22</v>
      </c>
      <c r="N94" s="1488"/>
    </row>
    <row r="95">
      <c r="A95" s="892"/>
      <c r="B95" s="351"/>
      <c r="C95" s="351"/>
      <c r="D95" s="1487">
        <v>1197527.0</v>
      </c>
      <c r="E95" s="351"/>
      <c r="F95" s="351"/>
      <c r="G95" s="1446" t="s">
        <v>2683</v>
      </c>
      <c r="H95" s="1446" t="s">
        <v>2684</v>
      </c>
      <c r="I95" s="1446" t="s">
        <v>2685</v>
      </c>
      <c r="J95" s="1446" t="s">
        <v>543</v>
      </c>
      <c r="K95" s="1447">
        <v>59.99</v>
      </c>
      <c r="L95" s="1447">
        <v>44.99</v>
      </c>
      <c r="M95" s="1448">
        <v>-0.25</v>
      </c>
      <c r="N95" s="1488"/>
    </row>
    <row r="96">
      <c r="A96" s="901"/>
      <c r="B96" s="362"/>
      <c r="C96" s="362"/>
      <c r="D96" s="1487">
        <v>1197538.0</v>
      </c>
      <c r="E96" s="362"/>
      <c r="F96" s="362"/>
      <c r="G96" s="1446" t="s">
        <v>2459</v>
      </c>
      <c r="H96" s="1446" t="s">
        <v>2617</v>
      </c>
      <c r="I96" s="1446" t="s">
        <v>2686</v>
      </c>
      <c r="J96" s="1446" t="s">
        <v>488</v>
      </c>
      <c r="K96" s="1447">
        <v>329.99</v>
      </c>
      <c r="L96" s="1447">
        <v>249.99</v>
      </c>
      <c r="M96" s="1448">
        <v>-0.24</v>
      </c>
      <c r="N96" s="1488"/>
    </row>
    <row r="97">
      <c r="A97" s="892"/>
      <c r="B97" s="351"/>
      <c r="C97" s="351"/>
      <c r="D97" s="1487">
        <v>1199187.0</v>
      </c>
      <c r="E97" s="351"/>
      <c r="F97" s="351"/>
      <c r="G97" s="1446" t="s">
        <v>2459</v>
      </c>
      <c r="H97" s="1446" t="s">
        <v>2684</v>
      </c>
      <c r="I97" s="1446" t="s">
        <v>2687</v>
      </c>
      <c r="J97" s="1446" t="s">
        <v>491</v>
      </c>
      <c r="K97" s="1447">
        <v>159.99</v>
      </c>
      <c r="L97" s="1447">
        <v>99.99</v>
      </c>
      <c r="M97" s="1448">
        <v>-0.38</v>
      </c>
      <c r="N97" s="1488"/>
    </row>
    <row r="98">
      <c r="A98" s="901"/>
      <c r="B98" s="362"/>
      <c r="C98" s="362"/>
      <c r="D98" s="1487">
        <v>1201980.0</v>
      </c>
      <c r="E98" s="362"/>
      <c r="F98" s="362"/>
      <c r="G98" s="1446" t="s">
        <v>2619</v>
      </c>
      <c r="H98" s="1446" t="s">
        <v>2655</v>
      </c>
      <c r="I98" s="1446" t="s">
        <v>2688</v>
      </c>
      <c r="J98" s="1446" t="s">
        <v>543</v>
      </c>
      <c r="K98" s="1447">
        <v>44.99</v>
      </c>
      <c r="L98" s="1447">
        <v>29.99</v>
      </c>
      <c r="M98" s="1448">
        <v>-0.33</v>
      </c>
      <c r="N98" s="1488"/>
    </row>
    <row r="99">
      <c r="A99" s="892"/>
      <c r="B99" s="351"/>
      <c r="C99" s="351"/>
      <c r="D99" s="1487">
        <v>1202003.0</v>
      </c>
      <c r="E99" s="351"/>
      <c r="F99" s="351"/>
      <c r="G99" s="1446" t="s">
        <v>2626</v>
      </c>
      <c r="H99" s="1446" t="s">
        <v>2627</v>
      </c>
      <c r="I99" s="1446" t="s">
        <v>2689</v>
      </c>
      <c r="J99" s="1446" t="s">
        <v>506</v>
      </c>
      <c r="K99" s="1447">
        <v>109.99</v>
      </c>
      <c r="L99" s="1447">
        <v>89.99</v>
      </c>
      <c r="M99" s="1448">
        <v>-0.18</v>
      </c>
      <c r="N99" s="1488"/>
    </row>
    <row r="100">
      <c r="A100" s="901"/>
      <c r="B100" s="362"/>
      <c r="C100" s="362"/>
      <c r="D100" s="1487">
        <v>1209069.0</v>
      </c>
      <c r="E100" s="362"/>
      <c r="F100" s="362"/>
      <c r="G100" s="1446" t="s">
        <v>2619</v>
      </c>
      <c r="H100" s="1446" t="s">
        <v>2655</v>
      </c>
      <c r="I100" s="1446" t="s">
        <v>2690</v>
      </c>
      <c r="J100" s="1446" t="s">
        <v>506</v>
      </c>
      <c r="K100" s="1447">
        <v>59.99</v>
      </c>
      <c r="L100" s="1447">
        <v>44.99</v>
      </c>
      <c r="M100" s="1448">
        <v>-0.25</v>
      </c>
      <c r="N100" s="1488"/>
    </row>
    <row r="101">
      <c r="A101" s="892"/>
      <c r="B101" s="351"/>
      <c r="C101" s="351"/>
      <c r="D101" s="1487">
        <v>1209070.0</v>
      </c>
      <c r="E101" s="351"/>
      <c r="F101" s="351"/>
      <c r="G101" s="1446" t="s">
        <v>2619</v>
      </c>
      <c r="H101" s="1446" t="s">
        <v>2655</v>
      </c>
      <c r="I101" s="1446" t="s">
        <v>2691</v>
      </c>
      <c r="J101" s="1446" t="s">
        <v>2621</v>
      </c>
      <c r="K101" s="1447">
        <v>89.99</v>
      </c>
      <c r="L101" s="1447">
        <v>64.99</v>
      </c>
      <c r="M101" s="1448">
        <v>-0.28</v>
      </c>
      <c r="N101" s="1488"/>
    </row>
    <row r="102">
      <c r="A102" s="901"/>
      <c r="B102" s="362"/>
      <c r="C102" s="362"/>
      <c r="D102" s="1487">
        <v>1213938.0</v>
      </c>
      <c r="E102" s="362"/>
      <c r="F102" s="362"/>
      <c r="G102" s="1446" t="s">
        <v>2616</v>
      </c>
      <c r="H102" s="1446" t="s">
        <v>2617</v>
      </c>
      <c r="I102" s="1446" t="s">
        <v>2692</v>
      </c>
      <c r="J102" s="1446" t="s">
        <v>543</v>
      </c>
      <c r="K102" s="1447">
        <v>189.99</v>
      </c>
      <c r="L102" s="1447">
        <v>149.99</v>
      </c>
      <c r="M102" s="1448">
        <v>-0.21</v>
      </c>
      <c r="N102" s="1488"/>
    </row>
    <row r="103">
      <c r="A103" s="892"/>
      <c r="B103" s="351"/>
      <c r="C103" s="351"/>
      <c r="D103" s="1487">
        <v>1214253.0</v>
      </c>
      <c r="E103" s="351"/>
      <c r="F103" s="351"/>
      <c r="G103" s="1446" t="s">
        <v>2693</v>
      </c>
      <c r="H103" s="1446" t="s">
        <v>2694</v>
      </c>
      <c r="I103" s="1446" t="s">
        <v>2695</v>
      </c>
      <c r="J103" s="1446" t="s">
        <v>491</v>
      </c>
      <c r="K103" s="1447">
        <v>399.99</v>
      </c>
      <c r="L103" s="1447">
        <v>299.99</v>
      </c>
      <c r="M103" s="1448">
        <v>-0.25</v>
      </c>
      <c r="N103" s="1488"/>
    </row>
    <row r="104">
      <c r="A104" s="901"/>
      <c r="B104" s="362"/>
      <c r="C104" s="362"/>
      <c r="D104" s="1487">
        <v>1214255.0</v>
      </c>
      <c r="E104" s="362"/>
      <c r="F104" s="362"/>
      <c r="G104" s="1446" t="s">
        <v>2619</v>
      </c>
      <c r="H104" s="1446" t="s">
        <v>2655</v>
      </c>
      <c r="I104" s="1446" t="s">
        <v>2696</v>
      </c>
      <c r="J104" s="1446" t="s">
        <v>2621</v>
      </c>
      <c r="K104" s="1447">
        <v>69.99</v>
      </c>
      <c r="L104" s="1447">
        <v>49.99</v>
      </c>
      <c r="M104" s="1448">
        <v>-0.29</v>
      </c>
      <c r="N104" s="1488"/>
    </row>
    <row r="105">
      <c r="A105" s="892"/>
      <c r="B105" s="351"/>
      <c r="C105" s="351"/>
      <c r="D105" s="1487">
        <v>1215764.0</v>
      </c>
      <c r="E105" s="351"/>
      <c r="F105" s="351"/>
      <c r="G105" s="1446" t="s">
        <v>2697</v>
      </c>
      <c r="H105" s="1446" t="s">
        <v>2698</v>
      </c>
      <c r="I105" s="1446" t="s">
        <v>2699</v>
      </c>
      <c r="J105" s="1446" t="s">
        <v>491</v>
      </c>
      <c r="K105" s="1447">
        <v>69.99</v>
      </c>
      <c r="L105" s="1447">
        <v>59.99</v>
      </c>
      <c r="M105" s="1448">
        <v>-0.14</v>
      </c>
      <c r="N105" s="1488"/>
    </row>
    <row r="106">
      <c r="A106" s="901"/>
      <c r="B106" s="362"/>
      <c r="C106" s="362"/>
      <c r="D106" s="1487">
        <v>1215765.0</v>
      </c>
      <c r="E106" s="362"/>
      <c r="F106" s="362"/>
      <c r="G106" s="1446" t="s">
        <v>2697</v>
      </c>
      <c r="H106" s="1446" t="s">
        <v>2698</v>
      </c>
      <c r="I106" s="1446" t="s">
        <v>2700</v>
      </c>
      <c r="J106" s="1446" t="s">
        <v>543</v>
      </c>
      <c r="K106" s="1447">
        <v>69.99</v>
      </c>
      <c r="L106" s="1447">
        <v>59.99</v>
      </c>
      <c r="M106" s="1448">
        <v>-0.14</v>
      </c>
      <c r="N106" s="1488"/>
    </row>
    <row r="107">
      <c r="A107" s="892"/>
      <c r="B107" s="351"/>
      <c r="C107" s="351"/>
      <c r="D107" s="1487">
        <v>1218209.0</v>
      </c>
      <c r="E107" s="351"/>
      <c r="F107" s="351"/>
      <c r="G107" s="1446" t="s">
        <v>2701</v>
      </c>
      <c r="H107" s="1446" t="s">
        <v>2702</v>
      </c>
      <c r="I107" s="1446" t="s">
        <v>2703</v>
      </c>
      <c r="J107" s="1446" t="s">
        <v>543</v>
      </c>
      <c r="K107" s="1447">
        <v>159.99</v>
      </c>
      <c r="L107" s="1447">
        <v>124.99</v>
      </c>
      <c r="M107" s="1448">
        <v>-0.22</v>
      </c>
      <c r="N107" s="1488"/>
    </row>
    <row r="108">
      <c r="A108" s="901"/>
      <c r="B108" s="362"/>
      <c r="C108" s="362"/>
      <c r="D108" s="1487">
        <v>1218304.0</v>
      </c>
      <c r="E108" s="362"/>
      <c r="F108" s="362"/>
      <c r="G108" s="1446" t="s">
        <v>2701</v>
      </c>
      <c r="H108" s="1446" t="s">
        <v>2702</v>
      </c>
      <c r="I108" s="1446" t="s">
        <v>2704</v>
      </c>
      <c r="J108" s="1446" t="s">
        <v>543</v>
      </c>
      <c r="K108" s="1447">
        <v>259.99</v>
      </c>
      <c r="L108" s="1447">
        <v>199.99</v>
      </c>
      <c r="M108" s="1448">
        <v>-0.23</v>
      </c>
      <c r="N108" s="1488"/>
    </row>
    <row r="109">
      <c r="A109" s="892"/>
      <c r="B109" s="351"/>
      <c r="C109" s="351"/>
      <c r="D109" s="1487">
        <v>1222429.0</v>
      </c>
      <c r="E109" s="351"/>
      <c r="F109" s="351"/>
      <c r="G109" s="1446" t="s">
        <v>2616</v>
      </c>
      <c r="H109" s="1446" t="s">
        <v>2617</v>
      </c>
      <c r="I109" s="1446" t="s">
        <v>2705</v>
      </c>
      <c r="J109" s="1446" t="s">
        <v>506</v>
      </c>
      <c r="K109" s="1447">
        <v>249.99</v>
      </c>
      <c r="L109" s="1447">
        <v>189.99</v>
      </c>
      <c r="M109" s="1448">
        <v>-0.24</v>
      </c>
      <c r="N109" s="1488"/>
    </row>
    <row r="110">
      <c r="A110" s="901"/>
      <c r="B110" s="362"/>
      <c r="C110" s="362"/>
      <c r="D110" s="1487">
        <v>1223898.0</v>
      </c>
      <c r="E110" s="362"/>
      <c r="F110" s="362"/>
      <c r="G110" s="1446" t="s">
        <v>2706</v>
      </c>
      <c r="H110" s="1446" t="s">
        <v>2707</v>
      </c>
      <c r="I110" s="1446" t="s">
        <v>2708</v>
      </c>
      <c r="J110" s="1446" t="s">
        <v>543</v>
      </c>
      <c r="K110" s="1447">
        <v>449.99</v>
      </c>
      <c r="L110" s="1447">
        <v>359.99</v>
      </c>
      <c r="M110" s="1448">
        <v>-0.2</v>
      </c>
      <c r="N110" s="1488"/>
    </row>
    <row r="111">
      <c r="A111" s="892"/>
      <c r="B111" s="908"/>
      <c r="C111" s="908"/>
      <c r="D111" s="1489">
        <v>1223951.0</v>
      </c>
      <c r="E111" s="908"/>
      <c r="F111" s="908"/>
      <c r="G111" s="1383" t="s">
        <v>2706</v>
      </c>
      <c r="H111" s="1383" t="s">
        <v>2707</v>
      </c>
      <c r="I111" s="1383" t="s">
        <v>2709</v>
      </c>
      <c r="J111" s="1383" t="s">
        <v>543</v>
      </c>
      <c r="K111" s="1490">
        <v>349.99</v>
      </c>
      <c r="L111" s="1490">
        <v>279.99</v>
      </c>
      <c r="M111" s="1491">
        <v>-0.2</v>
      </c>
      <c r="N111" s="1492"/>
    </row>
    <row r="112">
      <c r="A112" s="901"/>
      <c r="B112" s="1457">
        <v>45966.0</v>
      </c>
      <c r="C112" s="1332">
        <v>45993.0</v>
      </c>
      <c r="D112" s="1493">
        <v>1178382.0</v>
      </c>
      <c r="E112" s="1494"/>
      <c r="F112" s="1494"/>
      <c r="G112" s="1495" t="s">
        <v>2619</v>
      </c>
      <c r="H112" s="1495" t="s">
        <v>2617</v>
      </c>
      <c r="I112" s="1495" t="s">
        <v>2710</v>
      </c>
      <c r="J112" s="1495" t="s">
        <v>488</v>
      </c>
      <c r="K112" s="1496">
        <v>199.99</v>
      </c>
      <c r="L112" s="1496">
        <v>119.99</v>
      </c>
      <c r="M112" s="1497">
        <v>-0.4</v>
      </c>
      <c r="N112" s="1498"/>
    </row>
    <row r="113">
      <c r="A113" s="892"/>
      <c r="B113" s="351"/>
      <c r="C113" s="351"/>
      <c r="D113" s="1493">
        <v>1191295.0</v>
      </c>
      <c r="E113" s="351"/>
      <c r="F113" s="351"/>
      <c r="G113" s="1446" t="s">
        <v>2619</v>
      </c>
      <c r="H113" s="1446" t="s">
        <v>2617</v>
      </c>
      <c r="I113" s="1446" t="s">
        <v>2711</v>
      </c>
      <c r="J113" s="1446" t="s">
        <v>496</v>
      </c>
      <c r="K113" s="1447">
        <v>299.99</v>
      </c>
      <c r="L113" s="1447">
        <v>199.99</v>
      </c>
      <c r="M113" s="1448">
        <v>-0.33</v>
      </c>
      <c r="N113" s="1488"/>
    </row>
    <row r="114">
      <c r="A114" s="901"/>
      <c r="B114" s="362"/>
      <c r="C114" s="362"/>
      <c r="D114" s="1493">
        <v>1191299.0</v>
      </c>
      <c r="E114" s="362"/>
      <c r="F114" s="362"/>
      <c r="G114" s="1446" t="s">
        <v>2706</v>
      </c>
      <c r="H114" s="1446" t="s">
        <v>2707</v>
      </c>
      <c r="I114" s="1446" t="s">
        <v>2712</v>
      </c>
      <c r="J114" s="1446" t="s">
        <v>506</v>
      </c>
      <c r="K114" s="1447">
        <v>299.99</v>
      </c>
      <c r="L114" s="1447">
        <v>219.99</v>
      </c>
      <c r="M114" s="1448">
        <v>-0.27</v>
      </c>
      <c r="N114" s="1488"/>
    </row>
    <row r="115">
      <c r="A115" s="892"/>
      <c r="B115" s="351"/>
      <c r="C115" s="351"/>
      <c r="D115" s="1493">
        <v>1197537.0</v>
      </c>
      <c r="E115" s="351"/>
      <c r="F115" s="351"/>
      <c r="G115" s="1446" t="s">
        <v>2459</v>
      </c>
      <c r="H115" s="1446" t="s">
        <v>2617</v>
      </c>
      <c r="I115" s="1446" t="s">
        <v>2713</v>
      </c>
      <c r="J115" s="1446" t="s">
        <v>2621</v>
      </c>
      <c r="K115" s="1447">
        <v>219.99</v>
      </c>
      <c r="L115" s="1447">
        <v>129.99</v>
      </c>
      <c r="M115" s="1448">
        <v>-0.41</v>
      </c>
      <c r="N115" s="1488"/>
    </row>
    <row r="116">
      <c r="A116" s="901"/>
      <c r="B116" s="362"/>
      <c r="C116" s="362"/>
      <c r="D116" s="1493">
        <v>1197880.0</v>
      </c>
      <c r="E116" s="362"/>
      <c r="F116" s="362"/>
      <c r="G116" s="1446" t="s">
        <v>2619</v>
      </c>
      <c r="H116" s="1446" t="s">
        <v>2655</v>
      </c>
      <c r="I116" s="1446" t="s">
        <v>2714</v>
      </c>
      <c r="J116" s="1446" t="s">
        <v>2621</v>
      </c>
      <c r="K116" s="1447">
        <v>49.99</v>
      </c>
      <c r="L116" s="1447">
        <v>39.99</v>
      </c>
      <c r="M116" s="1448">
        <v>-0.2</v>
      </c>
      <c r="N116" s="1488"/>
    </row>
    <row r="117">
      <c r="A117" s="892"/>
      <c r="B117" s="351"/>
      <c r="C117" s="351"/>
      <c r="D117" s="1493">
        <v>1202001.0</v>
      </c>
      <c r="E117" s="351"/>
      <c r="F117" s="351"/>
      <c r="G117" s="1446" t="s">
        <v>2619</v>
      </c>
      <c r="H117" s="1446" t="s">
        <v>2655</v>
      </c>
      <c r="I117" s="1446" t="s">
        <v>2715</v>
      </c>
      <c r="J117" s="1446" t="s">
        <v>2621</v>
      </c>
      <c r="K117" s="1447">
        <v>129.99</v>
      </c>
      <c r="L117" s="1447">
        <v>79.99</v>
      </c>
      <c r="M117" s="1448">
        <v>-0.38</v>
      </c>
      <c r="N117" s="1488"/>
    </row>
    <row r="118">
      <c r="A118" s="901"/>
      <c r="B118" s="362"/>
      <c r="C118" s="362"/>
      <c r="D118" s="1493">
        <v>1202561.0</v>
      </c>
      <c r="E118" s="362"/>
      <c r="F118" s="362"/>
      <c r="G118" s="1446" t="s">
        <v>2706</v>
      </c>
      <c r="H118" s="1446" t="s">
        <v>2707</v>
      </c>
      <c r="I118" s="1446" t="s">
        <v>2716</v>
      </c>
      <c r="J118" s="1446" t="s">
        <v>506</v>
      </c>
      <c r="K118" s="1447">
        <v>399.99</v>
      </c>
      <c r="L118" s="1447">
        <v>279.99</v>
      </c>
      <c r="M118" s="1448">
        <v>-0.3</v>
      </c>
      <c r="N118" s="1488"/>
    </row>
    <row r="119">
      <c r="A119" s="892"/>
      <c r="B119" s="351"/>
      <c r="C119" s="351"/>
      <c r="D119" s="1493">
        <v>1206810.0</v>
      </c>
      <c r="E119" s="351"/>
      <c r="F119" s="351"/>
      <c r="G119" s="1446" t="s">
        <v>2459</v>
      </c>
      <c r="H119" s="1446" t="s">
        <v>2617</v>
      </c>
      <c r="I119" s="1446" t="s">
        <v>2717</v>
      </c>
      <c r="J119" s="1446" t="s">
        <v>2621</v>
      </c>
      <c r="K119" s="1447">
        <v>79.99</v>
      </c>
      <c r="L119" s="1447">
        <v>69.99</v>
      </c>
      <c r="M119" s="1448">
        <v>-0.13</v>
      </c>
      <c r="N119" s="1488"/>
    </row>
    <row r="120">
      <c r="A120" s="901"/>
      <c r="B120" s="362"/>
      <c r="C120" s="362"/>
      <c r="D120" s="1493">
        <v>1209092.0</v>
      </c>
      <c r="E120" s="362"/>
      <c r="F120" s="362"/>
      <c r="G120" s="1446" t="s">
        <v>2619</v>
      </c>
      <c r="H120" s="1446" t="s">
        <v>2617</v>
      </c>
      <c r="I120" s="1446" t="s">
        <v>2718</v>
      </c>
      <c r="J120" s="1446" t="s">
        <v>496</v>
      </c>
      <c r="K120" s="1447">
        <v>149.99</v>
      </c>
      <c r="L120" s="1447">
        <v>109.99</v>
      </c>
      <c r="M120" s="1448">
        <v>-0.27</v>
      </c>
      <c r="N120" s="1488"/>
    </row>
    <row r="121">
      <c r="A121" s="892"/>
      <c r="B121" s="351"/>
      <c r="C121" s="351"/>
      <c r="D121" s="1493">
        <v>1209097.0</v>
      </c>
      <c r="E121" s="351"/>
      <c r="F121" s="351"/>
      <c r="G121" s="1446" t="s">
        <v>2706</v>
      </c>
      <c r="H121" s="1446" t="s">
        <v>2707</v>
      </c>
      <c r="I121" s="1446" t="s">
        <v>2719</v>
      </c>
      <c r="J121" s="1446" t="s">
        <v>506</v>
      </c>
      <c r="K121" s="1447">
        <v>199.99</v>
      </c>
      <c r="L121" s="1447">
        <v>139.99</v>
      </c>
      <c r="M121" s="1448">
        <v>-0.3</v>
      </c>
      <c r="N121" s="1488"/>
    </row>
    <row r="122">
      <c r="A122" s="901"/>
      <c r="B122" s="362"/>
      <c r="C122" s="362"/>
      <c r="D122" s="1493">
        <v>1214254.0</v>
      </c>
      <c r="E122" s="362"/>
      <c r="F122" s="362"/>
      <c r="G122" s="1446" t="s">
        <v>2619</v>
      </c>
      <c r="H122" s="1446" t="s">
        <v>2655</v>
      </c>
      <c r="I122" s="1446" t="s">
        <v>2720</v>
      </c>
      <c r="J122" s="1446" t="s">
        <v>506</v>
      </c>
      <c r="K122" s="1447">
        <v>29.99</v>
      </c>
      <c r="L122" s="1447">
        <v>24.99</v>
      </c>
      <c r="M122" s="1448">
        <v>-0.17</v>
      </c>
      <c r="N122" s="1488"/>
    </row>
    <row r="123">
      <c r="A123" s="892"/>
      <c r="B123" s="351"/>
      <c r="C123" s="351"/>
      <c r="D123" s="1493">
        <v>1214258.0</v>
      </c>
      <c r="E123" s="351"/>
      <c r="F123" s="351"/>
      <c r="G123" s="1446" t="s">
        <v>2619</v>
      </c>
      <c r="H123" s="1446" t="s">
        <v>2617</v>
      </c>
      <c r="I123" s="1446" t="s">
        <v>2721</v>
      </c>
      <c r="J123" s="1446" t="s">
        <v>543</v>
      </c>
      <c r="K123" s="1447">
        <v>139.99</v>
      </c>
      <c r="L123" s="1447">
        <v>99.99</v>
      </c>
      <c r="M123" s="1448">
        <v>-0.29</v>
      </c>
      <c r="N123" s="1488"/>
    </row>
    <row r="124">
      <c r="A124" s="878"/>
      <c r="B124" s="362"/>
      <c r="C124" s="362"/>
      <c r="D124" s="1493">
        <v>1223952.0</v>
      </c>
      <c r="E124" s="362"/>
      <c r="F124" s="362"/>
      <c r="G124" s="1499" t="s">
        <v>2706</v>
      </c>
      <c r="H124" s="1499" t="s">
        <v>2707</v>
      </c>
      <c r="I124" s="1499" t="s">
        <v>2722</v>
      </c>
      <c r="J124" s="1499" t="s">
        <v>506</v>
      </c>
      <c r="K124" s="1500">
        <v>399.99</v>
      </c>
      <c r="L124" s="1500">
        <v>329.99</v>
      </c>
      <c r="M124" s="1501">
        <v>-0.18</v>
      </c>
      <c r="N124" s="1502"/>
    </row>
    <row r="125">
      <c r="A125" s="1503" t="s">
        <v>2723</v>
      </c>
      <c r="B125" s="1504">
        <v>45961.0</v>
      </c>
      <c r="C125" s="1505">
        <v>45992.0</v>
      </c>
      <c r="D125" s="1476">
        <v>1222429.0</v>
      </c>
      <c r="E125" s="1506"/>
      <c r="F125" s="1506"/>
      <c r="G125" s="1478" t="s">
        <v>2616</v>
      </c>
      <c r="H125" s="1478" t="s">
        <v>2617</v>
      </c>
      <c r="I125" s="1478" t="s">
        <v>2705</v>
      </c>
      <c r="J125" s="1478" t="s">
        <v>506</v>
      </c>
      <c r="K125" s="1479">
        <v>249.99</v>
      </c>
      <c r="L125" s="1479">
        <v>189.99</v>
      </c>
      <c r="M125" s="1480">
        <v>-0.24</v>
      </c>
      <c r="N125" s="1507" t="s">
        <v>130</v>
      </c>
    </row>
    <row r="126">
      <c r="A126" s="1389" t="s">
        <v>2724</v>
      </c>
      <c r="B126" s="868"/>
      <c r="C126" s="868"/>
      <c r="D126" s="868"/>
      <c r="E126" s="868"/>
      <c r="F126" s="868"/>
      <c r="G126" s="865"/>
      <c r="H126" s="865"/>
      <c r="I126" s="865"/>
      <c r="J126" s="865"/>
      <c r="K126" s="865"/>
      <c r="L126" s="865"/>
      <c r="M126" s="865"/>
      <c r="N126" s="866"/>
    </row>
    <row r="127" hidden="1">
      <c r="A127" s="1508" t="s">
        <v>2418</v>
      </c>
      <c r="B127" s="1509"/>
      <c r="C127" s="1510"/>
      <c r="D127" s="1511"/>
      <c r="E127" s="1157"/>
      <c r="F127" s="1157"/>
      <c r="G127" s="1512"/>
      <c r="H127" s="1512"/>
      <c r="I127" s="1512"/>
      <c r="J127" s="1512"/>
      <c r="K127" s="1513"/>
      <c r="L127" s="1513"/>
      <c r="M127" s="1514"/>
      <c r="N127" s="1515"/>
    </row>
    <row r="128" hidden="1">
      <c r="A128" s="901"/>
      <c r="B128" s="1456"/>
      <c r="C128" s="1457"/>
      <c r="D128" s="1516"/>
      <c r="E128" s="362"/>
      <c r="F128" s="1334"/>
      <c r="G128" s="1517"/>
      <c r="H128" s="1517"/>
      <c r="I128" s="1517"/>
      <c r="J128" s="1517"/>
      <c r="K128" s="1518"/>
      <c r="L128" s="1518"/>
      <c r="M128" s="1519"/>
      <c r="N128" s="1520"/>
    </row>
    <row r="129" hidden="1">
      <c r="A129" s="892"/>
      <c r="B129" s="351"/>
      <c r="C129" s="351"/>
      <c r="D129" s="1521"/>
      <c r="E129" s="351"/>
      <c r="F129" s="351"/>
      <c r="G129" s="1522"/>
      <c r="H129" s="1522"/>
      <c r="I129" s="1522"/>
      <c r="J129" s="1522"/>
      <c r="K129" s="1523"/>
      <c r="L129" s="1523"/>
      <c r="M129" s="1524"/>
      <c r="N129" s="1525"/>
    </row>
    <row r="130" hidden="1">
      <c r="A130" s="901"/>
      <c r="B130" s="879"/>
      <c r="C130" s="879"/>
      <c r="D130" s="1526"/>
      <c r="E130" s="879"/>
      <c r="F130" s="879"/>
      <c r="G130" s="1527"/>
      <c r="H130" s="1527"/>
      <c r="I130" s="1527"/>
      <c r="J130" s="1527"/>
      <c r="K130" s="1528"/>
      <c r="L130" s="1528"/>
      <c r="M130" s="1529"/>
      <c r="N130" s="1530"/>
    </row>
    <row r="131">
      <c r="A131" s="1058"/>
      <c r="B131" s="1509">
        <v>45961.0</v>
      </c>
      <c r="C131" s="1510">
        <v>45992.0</v>
      </c>
      <c r="D131" s="1511">
        <v>1189084.0</v>
      </c>
      <c r="E131" s="1157"/>
      <c r="F131" s="1157"/>
      <c r="G131" s="1440" t="s">
        <v>2619</v>
      </c>
      <c r="H131" s="1440" t="s">
        <v>2655</v>
      </c>
      <c r="I131" s="1512" t="s">
        <v>2725</v>
      </c>
      <c r="J131" s="1512" t="s">
        <v>488</v>
      </c>
      <c r="K131" s="1513">
        <v>309.99</v>
      </c>
      <c r="L131" s="1513">
        <v>199.99</v>
      </c>
      <c r="M131" s="1514">
        <v>-0.35</v>
      </c>
      <c r="N131" s="1515"/>
    </row>
    <row r="132" hidden="1">
      <c r="A132" s="1531"/>
      <c r="B132" s="1456"/>
      <c r="C132" s="1457"/>
      <c r="D132" s="1516"/>
      <c r="E132" s="362"/>
      <c r="F132" s="1334"/>
      <c r="G132" s="1517"/>
      <c r="H132" s="1517"/>
      <c r="I132" s="1517"/>
      <c r="J132" s="1517"/>
      <c r="K132" s="1518"/>
      <c r="L132" s="1518"/>
      <c r="M132" s="1519"/>
      <c r="N132" s="1520"/>
    </row>
    <row r="133" hidden="1">
      <c r="A133" s="1532"/>
      <c r="B133" s="351"/>
      <c r="C133" s="351"/>
      <c r="D133" s="1521"/>
      <c r="E133" s="351"/>
      <c r="F133" s="351"/>
      <c r="G133" s="1522"/>
      <c r="H133" s="1522"/>
      <c r="I133" s="1522"/>
      <c r="J133" s="1522"/>
      <c r="K133" s="1523"/>
      <c r="L133" s="1523"/>
      <c r="M133" s="1524"/>
      <c r="N133" s="1525"/>
    </row>
    <row r="134" hidden="1">
      <c r="A134" s="1533"/>
      <c r="B134" s="879"/>
      <c r="C134" s="879"/>
      <c r="D134" s="1526"/>
      <c r="E134" s="879"/>
      <c r="F134" s="879"/>
      <c r="G134" s="1527"/>
      <c r="H134" s="1527"/>
      <c r="I134" s="1527"/>
      <c r="J134" s="1527"/>
      <c r="K134" s="1528"/>
      <c r="L134" s="1528"/>
      <c r="M134" s="1529"/>
      <c r="N134" s="1530"/>
    </row>
    <row r="135">
      <c r="A135" s="1389" t="s">
        <v>2726</v>
      </c>
      <c r="B135" s="1156"/>
      <c r="C135" s="1156"/>
      <c r="D135" s="1156"/>
      <c r="E135" s="1156"/>
      <c r="F135" s="1156"/>
      <c r="G135" s="865"/>
      <c r="H135" s="865"/>
      <c r="I135" s="865"/>
      <c r="J135" s="865"/>
      <c r="K135" s="865"/>
      <c r="L135" s="865"/>
      <c r="M135" s="865"/>
      <c r="N135" s="866"/>
    </row>
    <row r="136">
      <c r="A136" s="1534" t="s">
        <v>2418</v>
      </c>
      <c r="B136" s="1535">
        <v>45981.0</v>
      </c>
      <c r="C136" s="1536">
        <v>45992.0</v>
      </c>
      <c r="D136" s="1306">
        <v>1052053.0</v>
      </c>
      <c r="E136" s="1537"/>
      <c r="F136" s="1538"/>
      <c r="G136" s="310" t="s">
        <v>2655</v>
      </c>
      <c r="H136" s="310" t="s">
        <v>2619</v>
      </c>
      <c r="I136" s="310" t="s">
        <v>2727</v>
      </c>
      <c r="J136" s="310" t="s">
        <v>2429</v>
      </c>
      <c r="K136" s="1539">
        <v>199.99</v>
      </c>
      <c r="L136" s="1539">
        <v>109.99</v>
      </c>
      <c r="M136" s="305">
        <v>-0.45</v>
      </c>
      <c r="N136" s="1540"/>
    </row>
    <row r="137">
      <c r="A137" s="892"/>
      <c r="B137" s="351"/>
      <c r="C137" s="354"/>
      <c r="D137" s="1311">
        <v>1129837.0</v>
      </c>
      <c r="E137" s="351"/>
      <c r="F137" s="351"/>
      <c r="G137" s="310" t="s">
        <v>2648</v>
      </c>
      <c r="H137" s="310" t="s">
        <v>2728</v>
      </c>
      <c r="I137" s="310" t="s">
        <v>2729</v>
      </c>
      <c r="J137" s="310" t="s">
        <v>496</v>
      </c>
      <c r="K137" s="1539">
        <v>79.99</v>
      </c>
      <c r="L137" s="1539">
        <v>59.99</v>
      </c>
      <c r="M137" s="305">
        <v>-0.25</v>
      </c>
      <c r="N137" s="1541"/>
    </row>
    <row r="138">
      <c r="A138" s="901"/>
      <c r="B138" s="362"/>
      <c r="C138" s="365"/>
      <c r="D138" s="1306">
        <v>1135617.0</v>
      </c>
      <c r="E138" s="362"/>
      <c r="F138" s="362"/>
      <c r="G138" s="310" t="s">
        <v>2694</v>
      </c>
      <c r="H138" s="310" t="s">
        <v>2693</v>
      </c>
      <c r="I138" s="310" t="s">
        <v>2730</v>
      </c>
      <c r="J138" s="310" t="s">
        <v>491</v>
      </c>
      <c r="K138" s="1539">
        <v>349.99</v>
      </c>
      <c r="L138" s="1539">
        <v>209.99</v>
      </c>
      <c r="M138" s="305">
        <v>-0.4</v>
      </c>
      <c r="N138" s="1541"/>
    </row>
    <row r="139">
      <c r="A139" s="892"/>
      <c r="B139" s="351"/>
      <c r="C139" s="354"/>
      <c r="D139" s="1311">
        <v>1183045.0</v>
      </c>
      <c r="E139" s="351"/>
      <c r="F139" s="351"/>
      <c r="G139" s="310" t="s">
        <v>2655</v>
      </c>
      <c r="H139" s="310" t="s">
        <v>2619</v>
      </c>
      <c r="I139" s="310" t="s">
        <v>2731</v>
      </c>
      <c r="J139" s="310" t="s">
        <v>2621</v>
      </c>
      <c r="K139" s="1539">
        <v>589.99</v>
      </c>
      <c r="L139" s="1539">
        <v>379.99</v>
      </c>
      <c r="M139" s="305">
        <v>-0.36</v>
      </c>
      <c r="N139" s="1541"/>
    </row>
    <row r="140">
      <c r="A140" s="901"/>
      <c r="B140" s="362"/>
      <c r="C140" s="365"/>
      <c r="D140" s="1306">
        <v>1219309.0</v>
      </c>
      <c r="E140" s="362"/>
      <c r="F140" s="362"/>
      <c r="G140" s="310" t="s">
        <v>2702</v>
      </c>
      <c r="H140" s="310" t="s">
        <v>2701</v>
      </c>
      <c r="I140" s="310" t="s">
        <v>2732</v>
      </c>
      <c r="J140" s="310" t="s">
        <v>543</v>
      </c>
      <c r="K140" s="1539">
        <v>379.99</v>
      </c>
      <c r="L140" s="1539">
        <v>299.99</v>
      </c>
      <c r="M140" s="305">
        <v>-0.21</v>
      </c>
      <c r="N140" s="1541"/>
    </row>
    <row r="141">
      <c r="A141" s="892"/>
      <c r="B141" s="351"/>
      <c r="C141" s="354"/>
      <c r="D141" s="1311">
        <v>1219310.0</v>
      </c>
      <c r="E141" s="351"/>
      <c r="F141" s="351"/>
      <c r="G141" s="310" t="s">
        <v>2655</v>
      </c>
      <c r="H141" s="310" t="s">
        <v>2619</v>
      </c>
      <c r="I141" s="310" t="s">
        <v>2733</v>
      </c>
      <c r="J141" s="310" t="s">
        <v>543</v>
      </c>
      <c r="K141" s="1539">
        <v>249.99</v>
      </c>
      <c r="L141" s="1539">
        <v>209.99</v>
      </c>
      <c r="M141" s="305">
        <v>-0.16</v>
      </c>
      <c r="N141" s="1541"/>
    </row>
    <row r="142">
      <c r="A142" s="878"/>
      <c r="B142" s="879"/>
      <c r="C142" s="880"/>
      <c r="D142" s="1526">
        <v>1219491.0</v>
      </c>
      <c r="E142" s="879"/>
      <c r="F142" s="879"/>
      <c r="G142" s="1542" t="s">
        <v>2655</v>
      </c>
      <c r="H142" s="1542" t="s">
        <v>2619</v>
      </c>
      <c r="I142" s="1542" t="s">
        <v>2734</v>
      </c>
      <c r="J142" s="1542" t="s">
        <v>543</v>
      </c>
      <c r="K142" s="1543">
        <v>249.99</v>
      </c>
      <c r="L142" s="1543">
        <v>209.99</v>
      </c>
      <c r="M142" s="1544">
        <v>-0.16</v>
      </c>
      <c r="N142" s="1545"/>
    </row>
    <row r="143" hidden="1">
      <c r="A143" s="1322"/>
      <c r="B143" s="1546"/>
      <c r="C143" s="1546"/>
      <c r="N143" s="1547"/>
    </row>
    <row r="144" hidden="1">
      <c r="A144" s="1331"/>
      <c r="B144" s="1456"/>
      <c r="C144" s="1456"/>
      <c r="N144" s="1547"/>
    </row>
    <row r="145" hidden="1">
      <c r="A145" s="1322"/>
      <c r="B145" s="1546"/>
      <c r="C145" s="1546"/>
      <c r="N145" s="1547"/>
    </row>
    <row r="146" hidden="1">
      <c r="A146" s="1331"/>
      <c r="B146" s="1456"/>
      <c r="C146" s="1456"/>
      <c r="N146" s="1548"/>
    </row>
    <row r="147" hidden="1">
      <c r="A147" s="1322"/>
      <c r="B147" s="1546"/>
      <c r="C147" s="1546"/>
      <c r="N147" s="1547"/>
    </row>
    <row r="148" hidden="1">
      <c r="A148" s="1331"/>
      <c r="B148" s="1456"/>
      <c r="C148" s="1456"/>
      <c r="N148" s="1547"/>
    </row>
    <row r="149" hidden="1">
      <c r="A149" s="1322"/>
      <c r="B149" s="1546"/>
      <c r="C149" s="1546"/>
      <c r="N149" s="1547"/>
    </row>
    <row r="150" hidden="1">
      <c r="A150" s="1331"/>
      <c r="B150" s="1456"/>
      <c r="C150" s="1456"/>
      <c r="N150" s="1547"/>
    </row>
    <row r="151" hidden="1">
      <c r="A151" s="1322"/>
      <c r="B151" s="1546"/>
      <c r="C151" s="1546"/>
      <c r="N151" s="1547"/>
    </row>
    <row r="152" hidden="1">
      <c r="A152" s="1331"/>
      <c r="B152" s="1456"/>
      <c r="C152" s="1456"/>
      <c r="N152" s="1549"/>
    </row>
    <row r="153" hidden="1">
      <c r="A153" s="1342"/>
      <c r="B153" s="1550"/>
      <c r="C153" s="1550"/>
      <c r="N153" s="1549"/>
    </row>
    <row r="154" hidden="1">
      <c r="A154" s="1331"/>
      <c r="B154" s="1456"/>
      <c r="C154" s="1456"/>
      <c r="D154" s="1551"/>
      <c r="E154" s="930"/>
      <c r="F154" s="930"/>
      <c r="G154" s="289"/>
      <c r="H154" s="289"/>
      <c r="I154" s="289"/>
      <c r="J154" s="289"/>
      <c r="K154" s="1552"/>
      <c r="L154" s="1552"/>
      <c r="M154" s="1553"/>
      <c r="N154" s="1549"/>
    </row>
    <row r="155" hidden="1">
      <c r="A155" s="1322"/>
      <c r="B155" s="1546"/>
      <c r="C155" s="1546"/>
      <c r="D155" s="1521"/>
      <c r="E155" s="937"/>
      <c r="F155" s="937"/>
      <c r="G155" s="289"/>
      <c r="H155" s="289"/>
      <c r="I155" s="289"/>
      <c r="J155" s="289"/>
      <c r="K155" s="1552"/>
      <c r="L155" s="1552"/>
      <c r="M155" s="1553"/>
      <c r="N155" s="1549"/>
    </row>
    <row r="156" ht="18.75" hidden="1" customHeight="1">
      <c r="A156" s="1389" t="s">
        <v>1837</v>
      </c>
      <c r="B156" s="868"/>
      <c r="C156" s="868"/>
      <c r="D156" s="868"/>
      <c r="E156" s="868"/>
      <c r="F156" s="868"/>
      <c r="G156" s="865"/>
      <c r="H156" s="865"/>
      <c r="I156" s="865"/>
      <c r="J156" s="865"/>
      <c r="K156" s="865"/>
      <c r="L156" s="865"/>
      <c r="M156" s="865"/>
      <c r="N156" s="866"/>
    </row>
    <row r="157" hidden="1">
      <c r="A157" s="1322"/>
      <c r="B157" s="1546"/>
      <c r="C157" s="1546"/>
      <c r="D157" s="1521"/>
      <c r="E157" s="1554"/>
      <c r="F157" s="1554"/>
      <c r="G157" s="289"/>
      <c r="H157" s="289"/>
      <c r="I157" s="289"/>
      <c r="J157" s="289"/>
      <c r="K157" s="1552"/>
      <c r="L157" s="1552"/>
      <c r="M157" s="1553"/>
      <c r="N157" s="1549"/>
    </row>
    <row r="158" hidden="1">
      <c r="A158" s="901"/>
      <c r="B158" s="362"/>
      <c r="C158" s="362"/>
      <c r="D158" s="1551"/>
      <c r="E158" s="362"/>
      <c r="F158" s="362"/>
      <c r="G158" s="289"/>
      <c r="H158" s="289"/>
      <c r="I158" s="289"/>
      <c r="J158" s="289"/>
      <c r="K158" s="1552"/>
      <c r="L158" s="1552"/>
      <c r="M158" s="1553"/>
      <c r="N158" s="1549"/>
    </row>
    <row r="159" hidden="1">
      <c r="A159" s="892"/>
      <c r="B159" s="351"/>
      <c r="C159" s="351"/>
      <c r="D159" s="1521"/>
      <c r="E159" s="351"/>
      <c r="F159" s="351"/>
      <c r="G159" s="289"/>
      <c r="H159" s="289"/>
      <c r="I159" s="289"/>
      <c r="J159" s="289"/>
      <c r="K159" s="1552"/>
      <c r="L159" s="1552"/>
      <c r="M159" s="1553"/>
      <c r="N159" s="1555"/>
    </row>
    <row r="160" hidden="1">
      <c r="A160" s="901"/>
      <c r="B160" s="362"/>
      <c r="C160" s="362"/>
      <c r="D160" s="1551"/>
      <c r="E160" s="362"/>
      <c r="F160" s="362"/>
      <c r="G160" s="289"/>
      <c r="H160" s="289"/>
      <c r="I160" s="289"/>
      <c r="J160" s="289"/>
      <c r="K160" s="1552"/>
      <c r="L160" s="1552"/>
      <c r="M160" s="1553"/>
      <c r="N160" s="1555"/>
    </row>
    <row r="161" hidden="1">
      <c r="A161" s="892"/>
      <c r="B161" s="351"/>
      <c r="C161" s="351"/>
      <c r="D161" s="1521"/>
      <c r="E161" s="351"/>
      <c r="F161" s="351"/>
      <c r="G161" s="289"/>
      <c r="H161" s="289"/>
      <c r="I161" s="289"/>
      <c r="J161" s="289"/>
      <c r="K161" s="1552"/>
      <c r="L161" s="1552"/>
      <c r="M161" s="1553"/>
      <c r="N161" s="1555"/>
    </row>
    <row r="162" hidden="1">
      <c r="A162" s="901"/>
      <c r="B162" s="362"/>
      <c r="C162" s="362"/>
      <c r="D162" s="1551"/>
      <c r="E162" s="362"/>
      <c r="F162" s="362"/>
      <c r="G162" s="289"/>
      <c r="H162" s="289"/>
      <c r="I162" s="289"/>
      <c r="J162" s="289"/>
      <c r="K162" s="1552"/>
      <c r="L162" s="1552"/>
      <c r="M162" s="1553"/>
      <c r="N162" s="1555"/>
    </row>
    <row r="163" hidden="1">
      <c r="A163" s="892"/>
      <c r="B163" s="351"/>
      <c r="C163" s="351"/>
      <c r="D163" s="1521"/>
      <c r="E163" s="351"/>
      <c r="F163" s="351"/>
      <c r="G163" s="289"/>
      <c r="H163" s="289"/>
      <c r="I163" s="289"/>
      <c r="J163" s="289"/>
      <c r="K163" s="1552"/>
      <c r="L163" s="1552"/>
      <c r="M163" s="1553"/>
      <c r="N163" s="1555"/>
    </row>
    <row r="164" hidden="1">
      <c r="A164" s="901"/>
      <c r="B164" s="362"/>
      <c r="C164" s="362"/>
      <c r="D164" s="1551"/>
      <c r="E164" s="362"/>
      <c r="F164" s="362"/>
      <c r="G164" s="289"/>
      <c r="H164" s="289"/>
      <c r="I164" s="289"/>
      <c r="J164" s="289"/>
      <c r="K164" s="1552"/>
      <c r="L164" s="1552"/>
      <c r="M164" s="1553"/>
      <c r="N164" s="1555"/>
    </row>
    <row r="165" hidden="1">
      <c r="A165" s="892"/>
      <c r="B165" s="351"/>
      <c r="C165" s="351"/>
      <c r="D165" s="1521"/>
      <c r="E165" s="351"/>
      <c r="F165" s="351"/>
      <c r="G165" s="289"/>
      <c r="H165" s="289"/>
      <c r="I165" s="289"/>
      <c r="J165" s="289"/>
      <c r="K165" s="1552"/>
      <c r="L165" s="1552"/>
      <c r="M165" s="1553"/>
      <c r="N165" s="1555"/>
    </row>
    <row r="166" hidden="1">
      <c r="A166" s="901"/>
      <c r="B166" s="362"/>
      <c r="C166" s="362"/>
      <c r="D166" s="1551"/>
      <c r="E166" s="362"/>
      <c r="F166" s="362"/>
      <c r="G166" s="289"/>
      <c r="H166" s="289"/>
      <c r="I166" s="289"/>
      <c r="J166" s="289"/>
      <c r="K166" s="1552"/>
      <c r="L166" s="1552"/>
      <c r="M166" s="1553"/>
      <c r="N166" s="1555"/>
    </row>
    <row r="167" hidden="1">
      <c r="A167" s="892"/>
      <c r="B167" s="351"/>
      <c r="C167" s="351"/>
      <c r="D167" s="1521"/>
      <c r="E167" s="351"/>
      <c r="F167" s="351"/>
      <c r="G167" s="289"/>
      <c r="H167" s="289"/>
      <c r="I167" s="289"/>
      <c r="J167" s="289"/>
      <c r="K167" s="1552"/>
      <c r="L167" s="1552"/>
      <c r="M167" s="1553"/>
      <c r="N167" s="1549"/>
    </row>
    <row r="168" hidden="1">
      <c r="A168" s="901"/>
      <c r="B168" s="362"/>
      <c r="C168" s="362"/>
      <c r="D168" s="1551"/>
      <c r="E168" s="362"/>
      <c r="F168" s="362"/>
      <c r="G168" s="289"/>
      <c r="H168" s="289"/>
      <c r="I168" s="289"/>
      <c r="J168" s="289"/>
      <c r="K168" s="1552"/>
      <c r="L168" s="1552"/>
      <c r="M168" s="1553"/>
      <c r="N168" s="1549"/>
    </row>
    <row r="169" hidden="1">
      <c r="A169" s="892"/>
      <c r="B169" s="351"/>
      <c r="C169" s="351"/>
      <c r="D169" s="1521"/>
      <c r="E169" s="351"/>
      <c r="F169" s="351"/>
      <c r="G169" s="289"/>
      <c r="H169" s="289"/>
      <c r="I169" s="289"/>
      <c r="J169" s="289"/>
      <c r="K169" s="1552"/>
      <c r="L169" s="1552"/>
      <c r="M169" s="1553"/>
      <c r="N169" s="1549"/>
    </row>
    <row r="170" hidden="1">
      <c r="A170" s="901"/>
      <c r="B170" s="362"/>
      <c r="C170" s="362"/>
      <c r="D170" s="1551"/>
      <c r="E170" s="362"/>
      <c r="F170" s="362"/>
      <c r="G170" s="289"/>
      <c r="H170" s="289"/>
      <c r="I170" s="289"/>
      <c r="J170" s="289"/>
      <c r="K170" s="1552"/>
      <c r="L170" s="1552"/>
      <c r="M170" s="1553"/>
      <c r="N170" s="1549"/>
    </row>
    <row r="171" hidden="1">
      <c r="A171" s="892"/>
      <c r="B171" s="351"/>
      <c r="C171" s="351"/>
      <c r="D171" s="1521"/>
      <c r="E171" s="351"/>
      <c r="F171" s="351"/>
      <c r="G171" s="289"/>
      <c r="H171" s="289"/>
      <c r="I171" s="289"/>
      <c r="J171" s="289"/>
      <c r="K171" s="1552"/>
      <c r="L171" s="1552"/>
      <c r="M171" s="1553"/>
      <c r="N171" s="1549"/>
    </row>
    <row r="172" hidden="1">
      <c r="A172" s="901"/>
      <c r="B172" s="362"/>
      <c r="C172" s="362"/>
      <c r="D172" s="1551"/>
      <c r="E172" s="386"/>
      <c r="F172" s="386"/>
      <c r="G172" s="289"/>
      <c r="H172" s="289"/>
      <c r="I172" s="289"/>
      <c r="J172" s="289"/>
      <c r="K172" s="1552"/>
      <c r="L172" s="1552"/>
      <c r="M172" s="1553"/>
      <c r="N172" s="1549"/>
    </row>
    <row r="173" hidden="1">
      <c r="A173" s="1322"/>
      <c r="B173" s="1546"/>
      <c r="C173" s="1546"/>
      <c r="D173" s="1556"/>
      <c r="E173" s="1554"/>
      <c r="F173" s="1554"/>
      <c r="G173" s="293"/>
      <c r="H173" s="293"/>
      <c r="I173" s="293"/>
      <c r="J173" s="293"/>
      <c r="K173" s="1557"/>
      <c r="L173" s="1557"/>
      <c r="M173" s="1558"/>
      <c r="N173" s="1559"/>
    </row>
    <row r="174" hidden="1">
      <c r="A174" s="1560"/>
      <c r="B174" s="1561"/>
      <c r="C174" s="1561"/>
      <c r="D174" s="1551"/>
      <c r="E174" s="930"/>
      <c r="F174" s="930"/>
      <c r="G174" s="289"/>
      <c r="H174" s="289"/>
      <c r="I174" s="289"/>
      <c r="J174" s="289"/>
      <c r="K174" s="1552"/>
      <c r="L174" s="1552"/>
      <c r="M174" s="1553"/>
      <c r="N174" s="1549"/>
    </row>
    <row r="175" ht="18.75" hidden="1" customHeight="1">
      <c r="A175" s="1389" t="s">
        <v>2735</v>
      </c>
      <c r="B175" s="1156"/>
      <c r="C175" s="1156"/>
      <c r="D175" s="1156"/>
      <c r="E175" s="1156"/>
      <c r="F175" s="1156"/>
      <c r="G175" s="865"/>
      <c r="H175" s="865"/>
      <c r="I175" s="865"/>
      <c r="J175" s="865"/>
      <c r="K175" s="865"/>
      <c r="L175" s="865"/>
      <c r="M175" s="865"/>
      <c r="N175" s="866"/>
    </row>
    <row r="176" hidden="1">
      <c r="A176" s="1534"/>
      <c r="B176" s="1535"/>
      <c r="C176" s="1535"/>
      <c r="D176" s="1562"/>
      <c r="E176" s="1563"/>
      <c r="F176" s="1563"/>
      <c r="G176" s="1564"/>
      <c r="H176" s="1564"/>
      <c r="I176" s="1564"/>
      <c r="J176" s="1564"/>
      <c r="K176" s="1565"/>
      <c r="L176" s="1565"/>
      <c r="M176" s="1566"/>
      <c r="N176" s="1567"/>
    </row>
    <row r="177" hidden="1">
      <c r="A177" s="892"/>
      <c r="B177" s="351"/>
      <c r="C177" s="351"/>
      <c r="D177" s="1521"/>
      <c r="E177" s="351"/>
      <c r="F177" s="351"/>
      <c r="G177" s="289"/>
      <c r="H177" s="289"/>
      <c r="I177" s="289"/>
      <c r="J177" s="289"/>
      <c r="K177" s="1552"/>
      <c r="L177" s="1552"/>
      <c r="M177" s="1553"/>
      <c r="N177" s="1568"/>
    </row>
    <row r="178" hidden="1">
      <c r="A178" s="901"/>
      <c r="B178" s="362"/>
      <c r="C178" s="362"/>
      <c r="D178" s="1551"/>
      <c r="E178" s="362"/>
      <c r="F178" s="362"/>
      <c r="G178" s="289"/>
      <c r="H178" s="289"/>
      <c r="I178" s="289"/>
      <c r="J178" s="289"/>
      <c r="K178" s="1552"/>
      <c r="L178" s="1552"/>
      <c r="M178" s="1553"/>
      <c r="N178" s="1568"/>
    </row>
    <row r="179" hidden="1">
      <c r="A179" s="892"/>
      <c r="B179" s="351"/>
      <c r="C179" s="351"/>
      <c r="D179" s="1521"/>
      <c r="E179" s="351"/>
      <c r="F179" s="351"/>
      <c r="G179" s="289"/>
      <c r="H179" s="289"/>
      <c r="I179" s="289"/>
      <c r="J179" s="289"/>
      <c r="K179" s="1552"/>
      <c r="L179" s="1552"/>
      <c r="M179" s="1553"/>
      <c r="N179" s="1568"/>
    </row>
    <row r="180" hidden="1">
      <c r="A180" s="901"/>
      <c r="B180" s="362"/>
      <c r="C180" s="362"/>
      <c r="D180" s="1551"/>
      <c r="E180" s="362"/>
      <c r="F180" s="362"/>
      <c r="G180" s="289"/>
      <c r="H180" s="289"/>
      <c r="I180" s="289"/>
      <c r="J180" s="289"/>
      <c r="K180" s="1552"/>
      <c r="L180" s="1552"/>
      <c r="M180" s="1553"/>
      <c r="N180" s="1568"/>
    </row>
    <row r="181" hidden="1">
      <c r="A181" s="892"/>
      <c r="B181" s="351"/>
      <c r="C181" s="351"/>
      <c r="D181" s="1521"/>
      <c r="E181" s="351"/>
      <c r="F181" s="351"/>
      <c r="G181" s="289"/>
      <c r="H181" s="289"/>
      <c r="I181" s="289"/>
      <c r="J181" s="289"/>
      <c r="K181" s="1552"/>
      <c r="L181" s="1552"/>
      <c r="M181" s="1553"/>
      <c r="N181" s="1568"/>
    </row>
    <row r="182" hidden="1">
      <c r="A182" s="901"/>
      <c r="B182" s="362"/>
      <c r="C182" s="362"/>
      <c r="D182" s="1551"/>
      <c r="E182" s="362"/>
      <c r="F182" s="362"/>
      <c r="G182" s="289"/>
      <c r="H182" s="289"/>
      <c r="I182" s="289"/>
      <c r="J182" s="289"/>
      <c r="K182" s="1552"/>
      <c r="L182" s="1552"/>
      <c r="M182" s="1553"/>
      <c r="N182" s="1568"/>
    </row>
    <row r="183" hidden="1">
      <c r="A183" s="892"/>
      <c r="B183" s="351"/>
      <c r="C183" s="351"/>
      <c r="D183" s="1521"/>
      <c r="E183" s="351"/>
      <c r="F183" s="351"/>
      <c r="G183" s="289"/>
      <c r="H183" s="289"/>
      <c r="I183" s="289"/>
      <c r="J183" s="289"/>
      <c r="K183" s="1552"/>
      <c r="L183" s="1552"/>
      <c r="M183" s="1553"/>
      <c r="N183" s="1568"/>
    </row>
    <row r="184" hidden="1">
      <c r="A184" s="901"/>
      <c r="B184" s="362"/>
      <c r="C184" s="362"/>
      <c r="D184" s="1551"/>
      <c r="E184" s="362"/>
      <c r="F184" s="362"/>
      <c r="G184" s="289"/>
      <c r="H184" s="289"/>
      <c r="I184" s="289"/>
      <c r="J184" s="289"/>
      <c r="K184" s="1552"/>
      <c r="L184" s="1552"/>
      <c r="M184" s="1553"/>
      <c r="N184" s="1568"/>
    </row>
    <row r="185" hidden="1">
      <c r="A185" s="892"/>
      <c r="B185" s="351"/>
      <c r="C185" s="351"/>
      <c r="D185" s="1521"/>
      <c r="E185" s="351"/>
      <c r="F185" s="351"/>
      <c r="G185" s="289"/>
      <c r="H185" s="289"/>
      <c r="I185" s="289"/>
      <c r="J185" s="289"/>
      <c r="K185" s="1552"/>
      <c r="L185" s="1552"/>
      <c r="M185" s="1553"/>
      <c r="N185" s="1568"/>
    </row>
    <row r="186" hidden="1">
      <c r="A186" s="901"/>
      <c r="B186" s="362"/>
      <c r="C186" s="362"/>
      <c r="D186" s="1526"/>
      <c r="E186" s="879"/>
      <c r="F186" s="879"/>
      <c r="G186" s="1542"/>
      <c r="H186" s="1542"/>
      <c r="I186" s="1542"/>
      <c r="J186" s="1542"/>
      <c r="K186" s="1543"/>
      <c r="L186" s="1543"/>
      <c r="M186" s="1544"/>
      <c r="N186" s="1569"/>
    </row>
    <row r="187" hidden="1">
      <c r="A187" s="892"/>
      <c r="B187" s="351"/>
      <c r="C187" s="351"/>
      <c r="D187" s="1570"/>
      <c r="E187" s="351"/>
      <c r="F187" s="1326"/>
      <c r="G187" s="1571"/>
      <c r="H187" s="1571"/>
      <c r="I187" s="1571"/>
      <c r="J187" s="1571"/>
      <c r="K187" s="1572"/>
      <c r="L187" s="1572"/>
      <c r="M187" s="1573"/>
      <c r="N187" s="1547"/>
    </row>
    <row r="188" hidden="1">
      <c r="A188" s="901"/>
      <c r="B188" s="362"/>
      <c r="C188" s="362"/>
      <c r="D188" s="1551"/>
      <c r="E188" s="362"/>
      <c r="F188" s="362"/>
      <c r="G188" s="289"/>
      <c r="H188" s="289"/>
      <c r="I188" s="289"/>
      <c r="J188" s="289"/>
      <c r="K188" s="1552"/>
      <c r="L188" s="1552"/>
      <c r="M188" s="1553"/>
      <c r="N188" s="1549"/>
    </row>
    <row r="189" hidden="1">
      <c r="A189" s="892"/>
      <c r="B189" s="351"/>
      <c r="C189" s="351"/>
      <c r="D189" s="1521"/>
      <c r="E189" s="351"/>
      <c r="F189" s="351"/>
      <c r="G189" s="289"/>
      <c r="H189" s="289"/>
      <c r="I189" s="289"/>
      <c r="J189" s="289"/>
      <c r="K189" s="1552"/>
      <c r="L189" s="1552"/>
      <c r="M189" s="1553"/>
      <c r="N189" s="1549"/>
    </row>
    <row r="190" hidden="1">
      <c r="A190" s="901"/>
      <c r="B190" s="362"/>
      <c r="C190" s="362"/>
      <c r="D190" s="1551"/>
      <c r="E190" s="362"/>
      <c r="F190" s="362"/>
      <c r="G190" s="289"/>
      <c r="H190" s="289"/>
      <c r="I190" s="289"/>
      <c r="J190" s="289"/>
      <c r="K190" s="1552"/>
      <c r="L190" s="1552"/>
      <c r="M190" s="1553"/>
      <c r="N190" s="1549"/>
    </row>
    <row r="191" hidden="1">
      <c r="A191" s="892"/>
      <c r="B191" s="351"/>
      <c r="C191" s="351"/>
      <c r="D191" s="1521"/>
      <c r="E191" s="79"/>
      <c r="F191" s="79"/>
      <c r="G191" s="289"/>
      <c r="H191" s="289"/>
      <c r="I191" s="289"/>
      <c r="J191" s="289"/>
      <c r="K191" s="1552"/>
      <c r="L191" s="1552"/>
      <c r="M191" s="1553"/>
      <c r="N191" s="1549"/>
    </row>
    <row r="192" hidden="1">
      <c r="A192" s="901"/>
      <c r="B192" s="362"/>
      <c r="C192" s="362"/>
      <c r="D192" s="1574"/>
      <c r="E192" s="1368"/>
      <c r="F192" s="1368"/>
      <c r="G192" s="1575"/>
      <c r="H192" s="1575"/>
      <c r="I192" s="1575"/>
      <c r="J192" s="1575"/>
      <c r="K192" s="1575"/>
      <c r="L192" s="1575"/>
      <c r="M192" s="1575"/>
      <c r="N192" s="1576"/>
    </row>
    <row r="193" hidden="1">
      <c r="A193" s="892"/>
      <c r="B193" s="351"/>
      <c r="C193" s="351"/>
      <c r="D193" s="1570"/>
      <c r="E193" s="351"/>
      <c r="F193" s="1326"/>
      <c r="G193" s="1571"/>
      <c r="H193" s="1571"/>
      <c r="I193" s="1571"/>
      <c r="J193" s="1571"/>
      <c r="K193" s="1572"/>
      <c r="L193" s="1572"/>
      <c r="M193" s="1573"/>
      <c r="N193" s="1547"/>
    </row>
    <row r="194" hidden="1">
      <c r="A194" s="901"/>
      <c r="B194" s="362"/>
      <c r="C194" s="362"/>
      <c r="D194" s="1551"/>
      <c r="E194" s="362"/>
      <c r="F194" s="362"/>
      <c r="G194" s="289"/>
      <c r="H194" s="289"/>
      <c r="I194" s="289"/>
      <c r="J194" s="289"/>
      <c r="K194" s="1552"/>
      <c r="L194" s="1552"/>
      <c r="M194" s="1553"/>
      <c r="N194" s="1549"/>
    </row>
    <row r="195" hidden="1">
      <c r="A195" s="892"/>
      <c r="B195" s="351"/>
      <c r="C195" s="351"/>
      <c r="D195" s="1521"/>
      <c r="E195" s="351"/>
      <c r="F195" s="351"/>
      <c r="G195" s="289"/>
      <c r="H195" s="289"/>
      <c r="I195" s="289"/>
      <c r="J195" s="289"/>
      <c r="K195" s="1552"/>
      <c r="L195" s="1552"/>
      <c r="M195" s="1553"/>
      <c r="N195" s="1549"/>
    </row>
    <row r="196" hidden="1">
      <c r="A196" s="901"/>
      <c r="B196" s="362"/>
      <c r="C196" s="362"/>
      <c r="D196" s="1551"/>
      <c r="E196" s="362"/>
      <c r="F196" s="362"/>
      <c r="G196" s="289"/>
      <c r="H196" s="289"/>
      <c r="I196" s="289"/>
      <c r="J196" s="289"/>
      <c r="K196" s="1552"/>
      <c r="L196" s="1552"/>
      <c r="M196" s="1553"/>
      <c r="N196" s="1549"/>
    </row>
    <row r="197" hidden="1">
      <c r="A197" s="892"/>
      <c r="B197" s="351"/>
      <c r="C197" s="351"/>
      <c r="D197" s="1521"/>
      <c r="E197" s="79"/>
      <c r="F197" s="79"/>
      <c r="G197" s="289"/>
      <c r="H197" s="293"/>
      <c r="I197" s="289"/>
      <c r="J197" s="289"/>
      <c r="K197" s="1552"/>
      <c r="L197" s="1552"/>
      <c r="M197" s="1577"/>
      <c r="N197" s="1549"/>
    </row>
    <row r="198" hidden="1">
      <c r="A198" s="878"/>
      <c r="B198" s="879"/>
      <c r="C198" s="879"/>
      <c r="D198" s="1574"/>
      <c r="E198" s="1368"/>
      <c r="F198" s="1368"/>
      <c r="G198" s="1575"/>
      <c r="H198" s="1575"/>
      <c r="I198" s="1575"/>
      <c r="J198" s="1575"/>
      <c r="K198" s="1575"/>
      <c r="L198" s="1575"/>
      <c r="M198" s="1575"/>
      <c r="N198" s="1576"/>
    </row>
    <row r="199" ht="18.75" customHeight="1">
      <c r="A199" s="1389" t="s">
        <v>2736</v>
      </c>
      <c r="B199" s="1156"/>
      <c r="C199" s="1156"/>
      <c r="D199" s="1156"/>
      <c r="E199" s="1156"/>
      <c r="F199" s="1156"/>
      <c r="G199" s="865"/>
      <c r="H199" s="865"/>
      <c r="I199" s="865"/>
      <c r="J199" s="865"/>
      <c r="K199" s="865"/>
      <c r="L199" s="865"/>
      <c r="M199" s="865"/>
      <c r="N199" s="866"/>
    </row>
    <row r="200">
      <c r="A200" s="1331" t="s">
        <v>2737</v>
      </c>
      <c r="B200" s="1535">
        <v>45960.0</v>
      </c>
      <c r="C200" s="1535">
        <v>45992.0</v>
      </c>
      <c r="D200" s="1578">
        <v>1206764.0</v>
      </c>
      <c r="E200" s="1563"/>
      <c r="F200" s="1563"/>
      <c r="G200" s="1579" t="s">
        <v>2619</v>
      </c>
      <c r="H200" s="1579" t="s">
        <v>2655</v>
      </c>
      <c r="I200" s="1580" t="s">
        <v>2738</v>
      </c>
      <c r="J200" s="1580" t="s">
        <v>491</v>
      </c>
      <c r="K200" s="1581">
        <v>109.9</v>
      </c>
      <c r="L200" s="1581">
        <v>49.9</v>
      </c>
      <c r="M200" s="1582">
        <v>-0.55</v>
      </c>
      <c r="N200" s="1583"/>
    </row>
    <row r="201">
      <c r="A201" s="1503" t="s">
        <v>2723</v>
      </c>
      <c r="B201" s="1584">
        <v>45961.0</v>
      </c>
      <c r="C201" s="1584">
        <v>45992.0</v>
      </c>
      <c r="D201" s="1511">
        <v>1206657.0</v>
      </c>
      <c r="E201" s="1585"/>
      <c r="F201" s="1585"/>
      <c r="G201" s="1586" t="s">
        <v>2619</v>
      </c>
      <c r="H201" s="1586" t="s">
        <v>2617</v>
      </c>
      <c r="I201" s="1587" t="s">
        <v>2739</v>
      </c>
      <c r="J201" s="1587" t="s">
        <v>491</v>
      </c>
      <c r="K201" s="1588">
        <v>69.9</v>
      </c>
      <c r="L201" s="1588">
        <v>39.9</v>
      </c>
      <c r="M201" s="1589">
        <v>-0.43</v>
      </c>
      <c r="N201" s="1507" t="s">
        <v>130</v>
      </c>
    </row>
    <row r="202">
      <c r="A202" s="1331" t="s">
        <v>2418</v>
      </c>
      <c r="B202" s="1456">
        <v>45966.0</v>
      </c>
      <c r="C202" s="1456">
        <v>45993.0</v>
      </c>
      <c r="D202" s="1516">
        <v>1172074.0</v>
      </c>
      <c r="E202" s="362"/>
      <c r="F202" s="362"/>
      <c r="G202" s="1571" t="s">
        <v>2619</v>
      </c>
      <c r="H202" s="1571" t="s">
        <v>2655</v>
      </c>
      <c r="I202" s="1571" t="s">
        <v>2740</v>
      </c>
      <c r="J202" s="1571" t="s">
        <v>2621</v>
      </c>
      <c r="K202" s="1572">
        <v>69.99</v>
      </c>
      <c r="L202" s="1572">
        <v>49.99</v>
      </c>
      <c r="M202" s="1573">
        <v>-0.29</v>
      </c>
      <c r="N202" s="1590"/>
    </row>
    <row r="203">
      <c r="A203" s="1058"/>
      <c r="B203" s="908"/>
      <c r="C203" s="908"/>
      <c r="D203" s="1591">
        <v>1200360.0</v>
      </c>
      <c r="E203" s="908"/>
      <c r="F203" s="908"/>
      <c r="G203" s="1542" t="s">
        <v>2619</v>
      </c>
      <c r="H203" s="1542" t="s">
        <v>2655</v>
      </c>
      <c r="I203" s="1542" t="s">
        <v>2741</v>
      </c>
      <c r="J203" s="1542" t="s">
        <v>2621</v>
      </c>
      <c r="K203" s="1543">
        <v>39.9</v>
      </c>
      <c r="L203" s="1543">
        <v>24.99</v>
      </c>
      <c r="M203" s="1544">
        <v>-0.37</v>
      </c>
      <c r="N203" s="1592"/>
    </row>
    <row r="204">
      <c r="A204" s="1387" t="s">
        <v>2742</v>
      </c>
      <c r="B204" s="868"/>
      <c r="C204" s="868"/>
      <c r="D204" s="868"/>
      <c r="E204" s="868"/>
      <c r="F204" s="868"/>
      <c r="G204" s="865"/>
      <c r="H204" s="865"/>
      <c r="I204" s="865"/>
      <c r="J204" s="865"/>
      <c r="K204" s="865"/>
      <c r="L204" s="865"/>
      <c r="M204" s="865"/>
      <c r="N204" s="866"/>
    </row>
    <row r="205">
      <c r="A205" s="1389" t="s">
        <v>2743</v>
      </c>
      <c r="B205" s="1156"/>
      <c r="C205" s="1156"/>
      <c r="D205" s="1156"/>
      <c r="E205" s="1156"/>
      <c r="F205" s="1156"/>
      <c r="G205" s="865"/>
      <c r="H205" s="865"/>
      <c r="I205" s="865"/>
      <c r="J205" s="865"/>
      <c r="K205" s="865"/>
      <c r="L205" s="865"/>
      <c r="M205" s="865"/>
      <c r="N205" s="866"/>
    </row>
    <row r="206">
      <c r="A206" s="1534" t="s">
        <v>2418</v>
      </c>
      <c r="B206" s="1593">
        <v>45946.0</v>
      </c>
      <c r="C206" s="1594">
        <v>45974.0</v>
      </c>
      <c r="D206" s="1317">
        <v>1181731.0</v>
      </c>
      <c r="E206" s="1595"/>
      <c r="F206" s="1596"/>
      <c r="G206" s="1597" t="s">
        <v>2694</v>
      </c>
      <c r="H206" s="1597" t="s">
        <v>2744</v>
      </c>
      <c r="I206" s="1597" t="s">
        <v>2745</v>
      </c>
      <c r="J206" s="1597" t="s">
        <v>496</v>
      </c>
      <c r="K206" s="1598">
        <v>349.99</v>
      </c>
      <c r="L206" s="1598">
        <v>189.99</v>
      </c>
      <c r="M206" s="1599">
        <v>-0.46</v>
      </c>
      <c r="N206" s="1600" t="s">
        <v>130</v>
      </c>
    </row>
    <row r="207">
      <c r="A207" s="892"/>
      <c r="B207" s="1601">
        <v>45975.0</v>
      </c>
      <c r="C207" s="1602">
        <v>45992.0</v>
      </c>
      <c r="D207" s="1326">
        <v>1117187.0</v>
      </c>
      <c r="E207" s="1603"/>
      <c r="F207" s="1604"/>
      <c r="G207" s="1605" t="s">
        <v>2744</v>
      </c>
      <c r="H207" s="1605" t="s">
        <v>2746</v>
      </c>
      <c r="I207" s="1605" t="s">
        <v>2747</v>
      </c>
      <c r="J207" s="1605" t="s">
        <v>543</v>
      </c>
      <c r="K207" s="1606">
        <v>149.99</v>
      </c>
      <c r="L207" s="1606">
        <v>79.99</v>
      </c>
      <c r="M207" s="1607">
        <v>-0.47</v>
      </c>
      <c r="N207" s="1541"/>
    </row>
    <row r="208">
      <c r="A208" s="901"/>
      <c r="B208" s="361"/>
      <c r="C208" s="365"/>
      <c r="D208" s="1608">
        <v>1117225.0</v>
      </c>
      <c r="E208" s="362"/>
      <c r="F208" s="362"/>
      <c r="G208" s="298" t="s">
        <v>2744</v>
      </c>
      <c r="H208" s="298" t="s">
        <v>2746</v>
      </c>
      <c r="I208" s="298" t="s">
        <v>2748</v>
      </c>
      <c r="J208" s="298" t="s">
        <v>543</v>
      </c>
      <c r="K208" s="1609">
        <v>199.99</v>
      </c>
      <c r="L208" s="1609">
        <v>99.99</v>
      </c>
      <c r="M208" s="1610">
        <v>-0.5</v>
      </c>
      <c r="N208" s="1540"/>
    </row>
    <row r="209">
      <c r="A209" s="892"/>
      <c r="B209" s="350"/>
      <c r="C209" s="354"/>
      <c r="D209" s="1611">
        <v>1148646.0</v>
      </c>
      <c r="E209" s="351"/>
      <c r="F209" s="351"/>
      <c r="G209" s="298" t="s">
        <v>2744</v>
      </c>
      <c r="H209" s="298" t="s">
        <v>2746</v>
      </c>
      <c r="I209" s="298" t="s">
        <v>2749</v>
      </c>
      <c r="J209" s="298" t="s">
        <v>543</v>
      </c>
      <c r="K209" s="1609">
        <v>229.99</v>
      </c>
      <c r="L209" s="1609">
        <v>129.99</v>
      </c>
      <c r="M209" s="1610">
        <v>-0.43</v>
      </c>
      <c r="N209" s="1540"/>
    </row>
    <row r="210">
      <c r="A210" s="901"/>
      <c r="B210" s="361"/>
      <c r="C210" s="365"/>
      <c r="D210" s="1608">
        <v>1148647.0</v>
      </c>
      <c r="E210" s="362"/>
      <c r="F210" s="362"/>
      <c r="G210" s="298" t="s">
        <v>2744</v>
      </c>
      <c r="H210" s="298" t="s">
        <v>2750</v>
      </c>
      <c r="I210" s="298" t="s">
        <v>2751</v>
      </c>
      <c r="J210" s="298" t="s">
        <v>2621</v>
      </c>
      <c r="K210" s="1609">
        <v>79.99</v>
      </c>
      <c r="L210" s="1609">
        <v>59.99</v>
      </c>
      <c r="M210" s="1610">
        <v>-0.25</v>
      </c>
      <c r="N210" s="1540"/>
    </row>
    <row r="211">
      <c r="A211" s="892"/>
      <c r="B211" s="350"/>
      <c r="C211" s="354"/>
      <c r="D211" s="1611">
        <v>1169225.0</v>
      </c>
      <c r="E211" s="351"/>
      <c r="F211" s="351"/>
      <c r="G211" s="298" t="s">
        <v>2744</v>
      </c>
      <c r="H211" s="298" t="s">
        <v>2683</v>
      </c>
      <c r="I211" s="298" t="s">
        <v>2752</v>
      </c>
      <c r="J211" s="298" t="s">
        <v>543</v>
      </c>
      <c r="K211" s="1609">
        <v>79.99</v>
      </c>
      <c r="L211" s="1609">
        <v>49.99</v>
      </c>
      <c r="M211" s="1610">
        <v>-0.38</v>
      </c>
      <c r="N211" s="1540"/>
    </row>
    <row r="212">
      <c r="A212" s="901"/>
      <c r="B212" s="361"/>
      <c r="C212" s="365"/>
      <c r="D212" s="1608">
        <v>1171951.0</v>
      </c>
      <c r="E212" s="362"/>
      <c r="F212" s="362"/>
      <c r="G212" s="298" t="s">
        <v>2744</v>
      </c>
      <c r="H212" s="298" t="s">
        <v>2746</v>
      </c>
      <c r="I212" s="298" t="s">
        <v>2753</v>
      </c>
      <c r="J212" s="298" t="s">
        <v>543</v>
      </c>
      <c r="K212" s="1609">
        <v>299.99</v>
      </c>
      <c r="L212" s="1609">
        <v>199.99</v>
      </c>
      <c r="M212" s="1610">
        <v>-0.33</v>
      </c>
      <c r="N212" s="1540"/>
    </row>
    <row r="213">
      <c r="A213" s="892"/>
      <c r="B213" s="350"/>
      <c r="C213" s="354"/>
      <c r="D213" s="1611">
        <v>1181705.0</v>
      </c>
      <c r="E213" s="351"/>
      <c r="F213" s="351"/>
      <c r="G213" s="298" t="s">
        <v>2744</v>
      </c>
      <c r="H213" s="298" t="s">
        <v>2746</v>
      </c>
      <c r="I213" s="298" t="s">
        <v>2754</v>
      </c>
      <c r="J213" s="298" t="s">
        <v>543</v>
      </c>
      <c r="K213" s="1609">
        <v>219.99</v>
      </c>
      <c r="L213" s="1609">
        <v>99.99</v>
      </c>
      <c r="M213" s="1610">
        <v>-0.55</v>
      </c>
      <c r="N213" s="1540"/>
    </row>
    <row r="214">
      <c r="A214" s="901"/>
      <c r="B214" s="881"/>
      <c r="C214" s="880"/>
      <c r="D214" s="1317">
        <v>1181731.0</v>
      </c>
      <c r="E214" s="879"/>
      <c r="F214" s="879"/>
      <c r="G214" s="1597" t="s">
        <v>2744</v>
      </c>
      <c r="H214" s="1597" t="s">
        <v>2694</v>
      </c>
      <c r="I214" s="1597" t="s">
        <v>2745</v>
      </c>
      <c r="J214" s="1597" t="s">
        <v>496</v>
      </c>
      <c r="K214" s="1598">
        <v>349.99</v>
      </c>
      <c r="L214" s="1598">
        <v>189.99</v>
      </c>
      <c r="M214" s="1599">
        <v>-0.46</v>
      </c>
      <c r="N214" s="1612"/>
    </row>
    <row r="215">
      <c r="A215" s="892"/>
      <c r="B215" s="1601">
        <v>45982.0</v>
      </c>
      <c r="C215" s="1601">
        <v>45992.0</v>
      </c>
      <c r="D215" s="1346">
        <v>1124610.0</v>
      </c>
      <c r="E215" s="1613"/>
      <c r="F215" s="1613"/>
      <c r="G215" s="1614" t="s">
        <v>2744</v>
      </c>
      <c r="H215" s="1614" t="s">
        <v>2746</v>
      </c>
      <c r="I215" s="1614" t="s">
        <v>2755</v>
      </c>
      <c r="J215" s="1614" t="s">
        <v>543</v>
      </c>
      <c r="K215" s="1615">
        <v>109.99</v>
      </c>
      <c r="L215" s="1615">
        <v>59.99</v>
      </c>
      <c r="M215" s="1616">
        <v>-0.45</v>
      </c>
      <c r="N215" s="1545"/>
    </row>
    <row r="216">
      <c r="A216" s="901"/>
      <c r="B216" s="361"/>
      <c r="C216" s="361"/>
      <c r="D216" s="1617">
        <v>1206527.0</v>
      </c>
      <c r="E216" s="994"/>
      <c r="F216" s="994"/>
      <c r="G216" s="1618" t="s">
        <v>2744</v>
      </c>
      <c r="H216" s="1618" t="s">
        <v>2746</v>
      </c>
      <c r="I216" s="1618" t="s">
        <v>2756</v>
      </c>
      <c r="J216" s="1618" t="s">
        <v>543</v>
      </c>
      <c r="K216" s="1619">
        <v>199.99</v>
      </c>
      <c r="L216" s="1619">
        <v>99.99</v>
      </c>
      <c r="M216" s="1620">
        <v>-0.5</v>
      </c>
      <c r="N216" s="1621"/>
    </row>
    <row r="217">
      <c r="A217" s="892"/>
      <c r="B217" s="350"/>
      <c r="C217" s="350"/>
      <c r="D217" s="1622">
        <v>1206528.0</v>
      </c>
      <c r="E217" s="986"/>
      <c r="F217" s="986"/>
      <c r="G217" s="1406" t="s">
        <v>2744</v>
      </c>
      <c r="H217" s="1406" t="s">
        <v>2746</v>
      </c>
      <c r="I217" s="1406" t="s">
        <v>2757</v>
      </c>
      <c r="J217" s="1406" t="s">
        <v>2621</v>
      </c>
      <c r="K217" s="1623">
        <v>199.99</v>
      </c>
      <c r="L217" s="1623">
        <v>119.99</v>
      </c>
      <c r="M217" s="1624">
        <v>-0.4</v>
      </c>
      <c r="N217" s="1625"/>
    </row>
    <row r="218">
      <c r="A218" s="901"/>
      <c r="B218" s="361"/>
      <c r="C218" s="361"/>
      <c r="D218" s="1626">
        <v>1206529.0</v>
      </c>
      <c r="E218" s="994"/>
      <c r="F218" s="994"/>
      <c r="G218" s="1406" t="s">
        <v>2744</v>
      </c>
      <c r="H218" s="1406" t="s">
        <v>2683</v>
      </c>
      <c r="I218" s="1406" t="s">
        <v>2758</v>
      </c>
      <c r="J218" s="1406" t="s">
        <v>543</v>
      </c>
      <c r="K218" s="1623">
        <v>159.99</v>
      </c>
      <c r="L218" s="1623">
        <v>99.99</v>
      </c>
      <c r="M218" s="1624">
        <v>-0.38</v>
      </c>
      <c r="N218" s="1625"/>
    </row>
    <row r="219">
      <c r="A219" s="892"/>
      <c r="B219" s="350"/>
      <c r="C219" s="350"/>
      <c r="D219" s="1622">
        <v>1206530.0</v>
      </c>
      <c r="E219" s="986"/>
      <c r="F219" s="986"/>
      <c r="G219" s="1406" t="s">
        <v>2744</v>
      </c>
      <c r="H219" s="1406" t="s">
        <v>2683</v>
      </c>
      <c r="I219" s="1406" t="s">
        <v>2759</v>
      </c>
      <c r="J219" s="1406" t="s">
        <v>543</v>
      </c>
      <c r="K219" s="1623">
        <v>99.99</v>
      </c>
      <c r="L219" s="1623">
        <v>59.99</v>
      </c>
      <c r="M219" s="1624">
        <v>-0.4</v>
      </c>
      <c r="N219" s="1625"/>
    </row>
    <row r="220">
      <c r="A220" s="901"/>
      <c r="B220" s="361"/>
      <c r="C220" s="361"/>
      <c r="D220" s="1626">
        <v>1206631.0</v>
      </c>
      <c r="E220" s="994"/>
      <c r="F220" s="994"/>
      <c r="G220" s="1406" t="s">
        <v>2648</v>
      </c>
      <c r="H220" s="1406" t="s">
        <v>2683</v>
      </c>
      <c r="I220" s="1406" t="s">
        <v>2760</v>
      </c>
      <c r="J220" s="1406" t="s">
        <v>543</v>
      </c>
      <c r="K220" s="1623">
        <v>369.99</v>
      </c>
      <c r="L220" s="1623">
        <v>219.99</v>
      </c>
      <c r="M220" s="1624">
        <v>-0.41</v>
      </c>
      <c r="N220" s="1625"/>
    </row>
    <row r="221">
      <c r="A221" s="892"/>
      <c r="B221" s="350"/>
      <c r="C221" s="350"/>
      <c r="D221" s="1622">
        <v>1206632.0</v>
      </c>
      <c r="E221" s="986"/>
      <c r="F221" s="986"/>
      <c r="G221" s="1406" t="s">
        <v>2744</v>
      </c>
      <c r="H221" s="1406" t="s">
        <v>2746</v>
      </c>
      <c r="I221" s="1406" t="s">
        <v>2761</v>
      </c>
      <c r="J221" s="1406" t="s">
        <v>543</v>
      </c>
      <c r="K221" s="1623">
        <v>134.99</v>
      </c>
      <c r="L221" s="1623">
        <v>79.99</v>
      </c>
      <c r="M221" s="1624">
        <v>-0.41</v>
      </c>
      <c r="N221" s="1625"/>
    </row>
    <row r="222">
      <c r="A222" s="901"/>
      <c r="B222" s="361"/>
      <c r="C222" s="361"/>
      <c r="D222" s="1626">
        <v>1206633.0</v>
      </c>
      <c r="E222" s="994"/>
      <c r="F222" s="994"/>
      <c r="G222" s="1406" t="s">
        <v>2744</v>
      </c>
      <c r="H222" s="1406" t="s">
        <v>2750</v>
      </c>
      <c r="I222" s="1406" t="s">
        <v>2762</v>
      </c>
      <c r="J222" s="1406" t="s">
        <v>543</v>
      </c>
      <c r="K222" s="1623">
        <v>99.99</v>
      </c>
      <c r="L222" s="1623">
        <v>69.99</v>
      </c>
      <c r="M222" s="1624">
        <v>-0.3</v>
      </c>
      <c r="N222" s="1625"/>
    </row>
    <row r="223">
      <c r="A223" s="892"/>
      <c r="B223" s="350"/>
      <c r="C223" s="350"/>
      <c r="D223" s="1622">
        <v>1206634.0</v>
      </c>
      <c r="E223" s="986"/>
      <c r="F223" s="986"/>
      <c r="G223" s="1406" t="s">
        <v>2744</v>
      </c>
      <c r="H223" s="1406" t="s">
        <v>2649</v>
      </c>
      <c r="I223" s="1406" t="s">
        <v>2763</v>
      </c>
      <c r="J223" s="1406" t="s">
        <v>543</v>
      </c>
      <c r="K223" s="1623">
        <v>69.99</v>
      </c>
      <c r="L223" s="1623">
        <v>59.99</v>
      </c>
      <c r="M223" s="1624">
        <v>-0.14</v>
      </c>
      <c r="N223" s="1625"/>
    </row>
    <row r="224">
      <c r="A224" s="901"/>
      <c r="B224" s="361"/>
      <c r="C224" s="361"/>
      <c r="D224" s="1626">
        <v>1206635.0</v>
      </c>
      <c r="E224" s="994"/>
      <c r="F224" s="994"/>
      <c r="G224" s="1406" t="s">
        <v>2744</v>
      </c>
      <c r="H224" s="1406" t="s">
        <v>2746</v>
      </c>
      <c r="I224" s="1406" t="s">
        <v>2764</v>
      </c>
      <c r="J224" s="1406" t="s">
        <v>543</v>
      </c>
      <c r="K224" s="1623">
        <v>249.99</v>
      </c>
      <c r="L224" s="1623">
        <v>179.99</v>
      </c>
      <c r="M224" s="1624">
        <v>-0.28</v>
      </c>
      <c r="N224" s="1625"/>
    </row>
    <row r="225">
      <c r="A225" s="892"/>
      <c r="B225" s="350"/>
      <c r="C225" s="350"/>
      <c r="D225" s="1622">
        <v>1206636.0</v>
      </c>
      <c r="E225" s="986"/>
      <c r="F225" s="986"/>
      <c r="G225" s="1406" t="s">
        <v>2744</v>
      </c>
      <c r="H225" s="1406" t="s">
        <v>2746</v>
      </c>
      <c r="I225" s="1406" t="s">
        <v>2765</v>
      </c>
      <c r="J225" s="1406" t="s">
        <v>543</v>
      </c>
      <c r="K225" s="1623">
        <v>349.99</v>
      </c>
      <c r="L225" s="1623">
        <v>229.99</v>
      </c>
      <c r="M225" s="1624">
        <v>-0.34</v>
      </c>
      <c r="N225" s="1625"/>
    </row>
    <row r="226">
      <c r="A226" s="878"/>
      <c r="B226" s="881"/>
      <c r="C226" s="881"/>
      <c r="D226" s="1627">
        <v>1206637.0</v>
      </c>
      <c r="E226" s="882"/>
      <c r="F226" s="882"/>
      <c r="G226" s="1390" t="s">
        <v>2648</v>
      </c>
      <c r="H226" s="1390" t="s">
        <v>2746</v>
      </c>
      <c r="I226" s="1390" t="s">
        <v>2766</v>
      </c>
      <c r="J226" s="1390" t="s">
        <v>543</v>
      </c>
      <c r="K226" s="1628">
        <v>299.96</v>
      </c>
      <c r="L226" s="1628">
        <v>199.99</v>
      </c>
      <c r="M226" s="1629">
        <v>-0.33</v>
      </c>
      <c r="N226" s="1630"/>
    </row>
    <row r="227" hidden="1">
      <c r="A227" s="1322"/>
      <c r="B227" s="1601"/>
      <c r="C227" s="1602"/>
      <c r="D227" s="1611"/>
      <c r="E227" s="1603"/>
      <c r="F227" s="1604"/>
      <c r="G227" s="298"/>
      <c r="H227" s="298"/>
      <c r="I227" s="298"/>
      <c r="J227" s="298"/>
      <c r="K227" s="1609"/>
      <c r="L227" s="1609"/>
      <c r="M227" s="1610"/>
      <c r="N227" s="1540"/>
    </row>
    <row r="228" hidden="1">
      <c r="A228" s="1331"/>
      <c r="B228" s="1631"/>
      <c r="C228" s="1632"/>
      <c r="D228" s="1608"/>
      <c r="E228" s="1458"/>
      <c r="F228" s="1494"/>
      <c r="G228" s="298"/>
      <c r="H228" s="298"/>
      <c r="I228" s="298"/>
      <c r="J228" s="298"/>
      <c r="K228" s="1609"/>
      <c r="L228" s="1609"/>
      <c r="M228" s="1610"/>
      <c r="N228" s="1540"/>
    </row>
    <row r="229" hidden="1">
      <c r="A229" s="1322"/>
      <c r="B229" s="1601"/>
      <c r="C229" s="1602"/>
      <c r="D229" s="1611"/>
      <c r="E229" s="1603"/>
      <c r="F229" s="1604"/>
      <c r="G229" s="298"/>
      <c r="H229" s="298"/>
      <c r="I229" s="298"/>
      <c r="J229" s="298"/>
      <c r="K229" s="1609"/>
      <c r="L229" s="1609"/>
      <c r="M229" s="1610"/>
      <c r="N229" s="1540"/>
    </row>
    <row r="230" hidden="1">
      <c r="A230" s="1331"/>
      <c r="B230" s="1631"/>
      <c r="C230" s="1632"/>
      <c r="D230" s="1608"/>
      <c r="E230" s="1458"/>
      <c r="F230" s="1494"/>
      <c r="G230" s="298"/>
      <c r="H230" s="298"/>
      <c r="I230" s="298"/>
      <c r="J230" s="298"/>
      <c r="K230" s="1609"/>
      <c r="L230" s="1609"/>
      <c r="M230" s="1610"/>
      <c r="N230" s="1540"/>
    </row>
    <row r="231" hidden="1">
      <c r="A231" s="1342"/>
      <c r="B231" s="1601"/>
      <c r="C231" s="1602"/>
      <c r="D231" s="1611"/>
      <c r="E231" s="1603"/>
      <c r="F231" s="1604"/>
      <c r="G231" s="298"/>
      <c r="H231" s="298"/>
      <c r="I231" s="298"/>
      <c r="J231" s="298"/>
      <c r="K231" s="1609"/>
      <c r="L231" s="1609"/>
      <c r="M231" s="1610"/>
      <c r="N231" s="1540"/>
    </row>
    <row r="232" ht="18.75" customHeight="1">
      <c r="A232" s="1389" t="s">
        <v>2736</v>
      </c>
      <c r="B232" s="868"/>
      <c r="C232" s="868"/>
      <c r="D232" s="868"/>
      <c r="E232" s="868"/>
      <c r="F232" s="868"/>
      <c r="G232" s="865"/>
      <c r="H232" s="865"/>
      <c r="I232" s="865"/>
      <c r="J232" s="865"/>
      <c r="K232" s="865"/>
      <c r="L232" s="865"/>
      <c r="M232" s="865"/>
      <c r="N232" s="866"/>
    </row>
    <row r="233">
      <c r="A233" s="1326" t="s">
        <v>2418</v>
      </c>
      <c r="B233" s="1436">
        <v>45966.0</v>
      </c>
      <c r="C233" s="1436">
        <v>45993.0</v>
      </c>
      <c r="D233" s="1633">
        <v>1137119.0</v>
      </c>
      <c r="E233" s="1634"/>
      <c r="F233" s="1634"/>
      <c r="G233" s="1564" t="s">
        <v>2767</v>
      </c>
      <c r="H233" s="1564" t="s">
        <v>2768</v>
      </c>
      <c r="I233" s="1564" t="s">
        <v>2769</v>
      </c>
      <c r="J233" s="1564" t="s">
        <v>2429</v>
      </c>
      <c r="K233" s="1552">
        <v>12.99</v>
      </c>
      <c r="L233" s="1565">
        <v>8.99</v>
      </c>
      <c r="M233" s="1566">
        <v>-0.31</v>
      </c>
      <c r="N233" s="1635"/>
    </row>
    <row r="234">
      <c r="A234" s="362"/>
      <c r="B234" s="362"/>
      <c r="C234" s="362"/>
      <c r="D234" s="1551">
        <v>1172077.0</v>
      </c>
      <c r="E234" s="362"/>
      <c r="F234" s="362"/>
      <c r="G234" s="289" t="s">
        <v>2767</v>
      </c>
      <c r="H234" s="289" t="s">
        <v>2768</v>
      </c>
      <c r="I234" s="289" t="s">
        <v>2770</v>
      </c>
      <c r="J234" s="289" t="s">
        <v>506</v>
      </c>
      <c r="K234" s="1539">
        <v>14.99</v>
      </c>
      <c r="L234" s="1539">
        <v>9.99</v>
      </c>
      <c r="M234" s="305">
        <v>-0.33</v>
      </c>
      <c r="N234" s="1636"/>
    </row>
    <row r="235">
      <c r="A235" s="351"/>
      <c r="B235" s="351"/>
      <c r="C235" s="351"/>
      <c r="D235" s="1311">
        <v>1185006.0</v>
      </c>
      <c r="E235" s="351"/>
      <c r="F235" s="351"/>
      <c r="G235" s="310" t="s">
        <v>2771</v>
      </c>
      <c r="H235" s="310" t="s">
        <v>2772</v>
      </c>
      <c r="I235" s="310" t="s">
        <v>2773</v>
      </c>
      <c r="J235" s="310" t="s">
        <v>488</v>
      </c>
      <c r="K235" s="1539">
        <v>49.99</v>
      </c>
      <c r="L235" s="1539">
        <v>34.99</v>
      </c>
      <c r="M235" s="305">
        <v>-0.3</v>
      </c>
      <c r="N235" s="1636"/>
    </row>
    <row r="236">
      <c r="A236" s="386"/>
      <c r="B236" s="879"/>
      <c r="C236" s="879"/>
      <c r="D236" s="1317">
        <v>1227229.0</v>
      </c>
      <c r="E236" s="879"/>
      <c r="F236" s="879"/>
      <c r="G236" s="1597" t="s">
        <v>2767</v>
      </c>
      <c r="H236" s="1597" t="s">
        <v>2768</v>
      </c>
      <c r="I236" s="1597" t="s">
        <v>2774</v>
      </c>
      <c r="J236" s="1597" t="s">
        <v>491</v>
      </c>
      <c r="K236" s="1598">
        <v>24.99</v>
      </c>
      <c r="L236" s="1598">
        <v>16.99</v>
      </c>
      <c r="M236" s="1599">
        <v>-0.32</v>
      </c>
      <c r="N236" s="1612"/>
    </row>
    <row r="237" hidden="1">
      <c r="D237" s="1325"/>
      <c r="E237" s="1637"/>
      <c r="F237" s="1638"/>
      <c r="G237" s="1639"/>
      <c r="H237" s="1639"/>
      <c r="I237" s="1639"/>
      <c r="J237" s="1639"/>
      <c r="K237" s="1640"/>
      <c r="L237" s="1640"/>
      <c r="M237" s="1641"/>
      <c r="N237" s="1642"/>
    </row>
    <row r="238" hidden="1">
      <c r="D238" s="1306"/>
      <c r="E238" s="1643"/>
      <c r="F238" s="1644"/>
      <c r="G238" s="310"/>
      <c r="H238" s="310"/>
      <c r="I238" s="310"/>
      <c r="J238" s="310"/>
      <c r="K238" s="1539"/>
      <c r="L238" s="1539"/>
      <c r="M238" s="305"/>
      <c r="N238" s="1636"/>
    </row>
    <row r="239" hidden="1">
      <c r="D239" s="1311"/>
      <c r="E239" s="1645"/>
      <c r="F239" s="1646"/>
      <c r="G239" s="310"/>
      <c r="H239" s="310"/>
      <c r="I239" s="310"/>
      <c r="J239" s="310"/>
      <c r="K239" s="1539"/>
      <c r="L239" s="1539"/>
      <c r="M239" s="305"/>
      <c r="N239" s="1636"/>
    </row>
    <row r="240" hidden="1">
      <c r="D240" s="1306"/>
      <c r="E240" s="1643"/>
      <c r="F240" s="1644"/>
      <c r="G240" s="310"/>
      <c r="H240" s="310"/>
      <c r="I240" s="310"/>
      <c r="J240" s="310"/>
      <c r="K240" s="1539"/>
      <c r="L240" s="1539"/>
      <c r="M240" s="305"/>
      <c r="N240" s="1636"/>
    </row>
    <row r="241" hidden="1">
      <c r="D241" s="1311"/>
      <c r="E241" s="1645"/>
      <c r="F241" s="1646"/>
      <c r="G241" s="310"/>
      <c r="H241" s="310"/>
      <c r="I241" s="310"/>
      <c r="J241" s="310"/>
      <c r="K241" s="1539"/>
      <c r="L241" s="1539"/>
      <c r="M241" s="305"/>
      <c r="N241" s="1636"/>
    </row>
    <row r="242" hidden="1">
      <c r="A242" s="1295" t="s">
        <v>2680</v>
      </c>
      <c r="B242" s="1175"/>
      <c r="C242" s="1175"/>
      <c r="D242" s="1175"/>
      <c r="E242" s="1175"/>
      <c r="F242" s="1175"/>
      <c r="G242" s="856"/>
      <c r="H242" s="856"/>
      <c r="I242" s="856"/>
      <c r="J242" s="856"/>
      <c r="K242" s="856"/>
      <c r="L242" s="856"/>
      <c r="M242" s="856"/>
      <c r="N242" s="857"/>
    </row>
    <row r="243" hidden="1">
      <c r="A243" s="1297"/>
      <c r="B243" s="1436"/>
      <c r="C243" s="1436"/>
      <c r="D243" s="1300"/>
      <c r="E243" s="1437"/>
      <c r="F243" s="1485"/>
      <c r="G243" s="1647"/>
      <c r="H243" s="1647"/>
      <c r="I243" s="1647"/>
      <c r="J243" s="1647"/>
      <c r="K243" s="1648"/>
      <c r="L243" s="1649"/>
      <c r="M243" s="1650"/>
      <c r="N243" s="1651"/>
    </row>
    <row r="244" hidden="1">
      <c r="A244" s="1560"/>
      <c r="B244" s="1652"/>
      <c r="C244" s="879"/>
      <c r="D244" s="1317"/>
      <c r="E244" s="879"/>
      <c r="F244" s="879"/>
      <c r="G244" s="1597"/>
      <c r="H244" s="1597"/>
      <c r="I244" s="1597"/>
      <c r="J244" s="1597"/>
      <c r="K244" s="1653"/>
      <c r="L244" s="1598"/>
      <c r="M244" s="1653"/>
      <c r="N244" s="1654"/>
    </row>
    <row r="245" hidden="1">
      <c r="A245" s="1342"/>
      <c r="B245" s="1655"/>
      <c r="C245" s="1655"/>
      <c r="D245" s="1346"/>
      <c r="E245" s="1656"/>
      <c r="F245" s="1657"/>
      <c r="G245" s="1614"/>
      <c r="H245" s="1614"/>
      <c r="I245" s="1614"/>
      <c r="J245" s="1614"/>
      <c r="K245" s="1615"/>
      <c r="L245" s="1615"/>
      <c r="M245" s="1616"/>
      <c r="N245" s="1658"/>
    </row>
    <row r="246" hidden="1">
      <c r="A246" s="1659"/>
      <c r="B246" s="1659"/>
      <c r="C246" s="1659"/>
      <c r="D246" s="1659"/>
      <c r="E246" s="1659"/>
      <c r="F246" s="1659"/>
      <c r="G246" s="1639"/>
      <c r="H246" s="1639"/>
      <c r="I246" s="1639"/>
      <c r="J246" s="1639"/>
      <c r="K246" s="1660"/>
      <c r="L246" s="1660"/>
      <c r="M246" s="1660"/>
      <c r="N246" s="1660"/>
    </row>
    <row r="247" hidden="1">
      <c r="A247" s="1646"/>
      <c r="B247" s="1646"/>
      <c r="C247" s="1646"/>
      <c r="D247" s="1646"/>
      <c r="E247" s="1646"/>
      <c r="F247" s="1646"/>
      <c r="G247" s="1661"/>
      <c r="H247" s="1661"/>
      <c r="I247" s="1661"/>
      <c r="J247" s="1661"/>
      <c r="K247" s="1661"/>
      <c r="L247" s="1661"/>
      <c r="M247" s="1661"/>
      <c r="N247" s="1661"/>
    </row>
    <row r="248" hidden="1">
      <c r="A248" s="1538"/>
      <c r="B248" s="1538"/>
      <c r="C248" s="1538"/>
      <c r="D248" s="1538"/>
      <c r="E248" s="1538"/>
      <c r="F248" s="1538"/>
      <c r="G248" s="1662"/>
      <c r="H248" s="1662"/>
      <c r="I248" s="1662"/>
      <c r="J248" s="1662"/>
      <c r="K248" s="1662"/>
      <c r="L248" s="1662"/>
      <c r="M248" s="1662"/>
      <c r="N248" s="1662"/>
    </row>
    <row r="249">
      <c r="A249" s="1389" t="s">
        <v>2726</v>
      </c>
      <c r="B249" s="1156"/>
      <c r="C249" s="1156"/>
      <c r="D249" s="1156"/>
      <c r="E249" s="1156"/>
      <c r="F249" s="1156"/>
      <c r="G249" s="865"/>
      <c r="H249" s="865"/>
      <c r="I249" s="865"/>
      <c r="J249" s="865"/>
      <c r="K249" s="865"/>
      <c r="L249" s="865"/>
      <c r="M249" s="865"/>
      <c r="N249" s="866"/>
    </row>
    <row r="250">
      <c r="A250" s="1534" t="s">
        <v>2418</v>
      </c>
      <c r="B250" s="1663">
        <v>45981.0</v>
      </c>
      <c r="C250" s="1664">
        <v>45992.0</v>
      </c>
      <c r="D250" s="1562">
        <v>1029309.0</v>
      </c>
      <c r="E250" s="1563"/>
      <c r="F250" s="1563"/>
      <c r="G250" s="1564" t="s">
        <v>2744</v>
      </c>
      <c r="H250" s="1564" t="s">
        <v>2746</v>
      </c>
      <c r="I250" s="1564" t="s">
        <v>2775</v>
      </c>
      <c r="J250" s="1564" t="s">
        <v>543</v>
      </c>
      <c r="K250" s="1565">
        <v>179.99</v>
      </c>
      <c r="L250" s="1565">
        <v>99.99</v>
      </c>
      <c r="M250" s="1566">
        <v>-0.44</v>
      </c>
      <c r="N250" s="1635"/>
    </row>
    <row r="251">
      <c r="A251" s="892"/>
      <c r="B251" s="892"/>
      <c r="C251" s="892"/>
      <c r="D251" s="1521">
        <v>1029480.0</v>
      </c>
      <c r="E251" s="351"/>
      <c r="F251" s="351"/>
      <c r="G251" s="289" t="s">
        <v>2776</v>
      </c>
      <c r="H251" s="289" t="s">
        <v>2777</v>
      </c>
      <c r="I251" s="289" t="s">
        <v>2778</v>
      </c>
      <c r="J251" s="289" t="s">
        <v>506</v>
      </c>
      <c r="K251" s="1552">
        <v>149.99</v>
      </c>
      <c r="L251" s="1552">
        <v>99.99</v>
      </c>
      <c r="M251" s="1553">
        <v>-0.33</v>
      </c>
      <c r="N251" s="1636"/>
    </row>
    <row r="252">
      <c r="A252" s="901"/>
      <c r="B252" s="901"/>
      <c r="C252" s="901"/>
      <c r="D252" s="1551">
        <v>1029518.0</v>
      </c>
      <c r="E252" s="362"/>
      <c r="F252" s="362"/>
      <c r="G252" s="289" t="s">
        <v>2776</v>
      </c>
      <c r="H252" s="289" t="s">
        <v>2779</v>
      </c>
      <c r="I252" s="289" t="s">
        <v>2780</v>
      </c>
      <c r="J252" s="289" t="s">
        <v>488</v>
      </c>
      <c r="K252" s="1552">
        <v>79.99</v>
      </c>
      <c r="L252" s="1552">
        <v>49.99</v>
      </c>
      <c r="M252" s="1553">
        <v>-0.38</v>
      </c>
      <c r="N252" s="1636"/>
    </row>
    <row r="253">
      <c r="A253" s="892"/>
      <c r="B253" s="892"/>
      <c r="C253" s="892"/>
      <c r="D253" s="1521">
        <v>1029522.0</v>
      </c>
      <c r="E253" s="351"/>
      <c r="F253" s="351"/>
      <c r="G253" s="289" t="s">
        <v>2776</v>
      </c>
      <c r="H253" s="289" t="s">
        <v>2781</v>
      </c>
      <c r="I253" s="289" t="s">
        <v>2782</v>
      </c>
      <c r="J253" s="289" t="s">
        <v>496</v>
      </c>
      <c r="K253" s="1552">
        <v>79.99</v>
      </c>
      <c r="L253" s="1552">
        <v>49.99</v>
      </c>
      <c r="M253" s="1553">
        <v>-0.38</v>
      </c>
      <c r="N253" s="1636"/>
    </row>
    <row r="254">
      <c r="A254" s="901"/>
      <c r="B254" s="901"/>
      <c r="C254" s="901"/>
      <c r="D254" s="1551">
        <v>1069007.0</v>
      </c>
      <c r="E254" s="362"/>
      <c r="F254" s="362"/>
      <c r="G254" s="289" t="s">
        <v>2783</v>
      </c>
      <c r="H254" s="289" t="s">
        <v>2784</v>
      </c>
      <c r="I254" s="289" t="s">
        <v>2785</v>
      </c>
      <c r="J254" s="289" t="s">
        <v>488</v>
      </c>
      <c r="K254" s="1552">
        <v>109.99</v>
      </c>
      <c r="L254" s="1552">
        <v>69.99</v>
      </c>
      <c r="M254" s="1553">
        <v>-0.36</v>
      </c>
      <c r="N254" s="1636"/>
    </row>
    <row r="255">
      <c r="A255" s="892"/>
      <c r="B255" s="892"/>
      <c r="C255" s="892"/>
      <c r="D255" s="1521">
        <v>1069354.0</v>
      </c>
      <c r="E255" s="351"/>
      <c r="F255" s="351"/>
      <c r="G255" s="289" t="s">
        <v>2648</v>
      </c>
      <c r="H255" s="289" t="s">
        <v>2646</v>
      </c>
      <c r="I255" s="289" t="s">
        <v>2786</v>
      </c>
      <c r="J255" s="289" t="s">
        <v>543</v>
      </c>
      <c r="K255" s="1552">
        <v>29.99</v>
      </c>
      <c r="L255" s="1552">
        <v>18.99</v>
      </c>
      <c r="M255" s="1553">
        <v>-0.37</v>
      </c>
      <c r="N255" s="1636"/>
    </row>
    <row r="256">
      <c r="A256" s="901"/>
      <c r="B256" s="901"/>
      <c r="C256" s="901"/>
      <c r="D256" s="1551">
        <v>1089173.0</v>
      </c>
      <c r="E256" s="362"/>
      <c r="F256" s="362"/>
      <c r="G256" s="289" t="s">
        <v>2787</v>
      </c>
      <c r="H256" s="289" t="s">
        <v>2788</v>
      </c>
      <c r="I256" s="289" t="s">
        <v>2789</v>
      </c>
      <c r="J256" s="289" t="s">
        <v>543</v>
      </c>
      <c r="K256" s="1552">
        <v>119.99</v>
      </c>
      <c r="L256" s="1552">
        <v>59.99</v>
      </c>
      <c r="M256" s="1553">
        <v>-0.5</v>
      </c>
      <c r="N256" s="1636"/>
    </row>
    <row r="257">
      <c r="A257" s="892"/>
      <c r="B257" s="892"/>
      <c r="C257" s="892"/>
      <c r="D257" s="1521">
        <v>1091766.0</v>
      </c>
      <c r="E257" s="351"/>
      <c r="F257" s="351"/>
      <c r="G257" s="289" t="s">
        <v>2744</v>
      </c>
      <c r="H257" s="289" t="s">
        <v>2459</v>
      </c>
      <c r="I257" s="289" t="s">
        <v>2790</v>
      </c>
      <c r="J257" s="289" t="s">
        <v>543</v>
      </c>
      <c r="K257" s="1552">
        <v>199.99</v>
      </c>
      <c r="L257" s="1552">
        <v>129.99</v>
      </c>
      <c r="M257" s="1553">
        <v>-0.35</v>
      </c>
      <c r="N257" s="1636"/>
    </row>
    <row r="258">
      <c r="A258" s="901"/>
      <c r="B258" s="901"/>
      <c r="C258" s="901"/>
      <c r="D258" s="1551">
        <v>1091884.0</v>
      </c>
      <c r="E258" s="362"/>
      <c r="F258" s="362"/>
      <c r="G258" s="289" t="s">
        <v>2744</v>
      </c>
      <c r="H258" s="289" t="s">
        <v>2683</v>
      </c>
      <c r="I258" s="289" t="s">
        <v>2791</v>
      </c>
      <c r="J258" s="289" t="s">
        <v>543</v>
      </c>
      <c r="K258" s="1552">
        <v>89.99</v>
      </c>
      <c r="L258" s="1552">
        <v>49.99</v>
      </c>
      <c r="M258" s="1553">
        <v>-0.44</v>
      </c>
      <c r="N258" s="1636"/>
    </row>
    <row r="259">
      <c r="A259" s="892"/>
      <c r="B259" s="892"/>
      <c r="C259" s="892"/>
      <c r="D259" s="1521">
        <v>1112628.0</v>
      </c>
      <c r="E259" s="351"/>
      <c r="F259" s="351"/>
      <c r="G259" s="289" t="s">
        <v>2648</v>
      </c>
      <c r="H259" s="289" t="s">
        <v>2792</v>
      </c>
      <c r="I259" s="289" t="s">
        <v>2793</v>
      </c>
      <c r="J259" s="289" t="s">
        <v>488</v>
      </c>
      <c r="K259" s="1552">
        <v>99.99</v>
      </c>
      <c r="L259" s="1552">
        <v>69.99</v>
      </c>
      <c r="M259" s="1553">
        <v>-0.3</v>
      </c>
      <c r="N259" s="1636"/>
    </row>
    <row r="260">
      <c r="A260" s="901"/>
      <c r="B260" s="901"/>
      <c r="C260" s="901"/>
      <c r="D260" s="1526">
        <v>1129836.0</v>
      </c>
      <c r="E260" s="362"/>
      <c r="F260" s="362"/>
      <c r="G260" s="1542" t="s">
        <v>2794</v>
      </c>
      <c r="H260" s="1542" t="s">
        <v>2795</v>
      </c>
      <c r="I260" s="1542" t="s">
        <v>2796</v>
      </c>
      <c r="J260" s="1542" t="s">
        <v>488</v>
      </c>
      <c r="K260" s="1543">
        <v>99.99</v>
      </c>
      <c r="L260" s="1543">
        <v>59.99</v>
      </c>
      <c r="M260" s="1544">
        <v>-0.4</v>
      </c>
      <c r="N260" s="1612"/>
    </row>
    <row r="261">
      <c r="A261" s="892"/>
      <c r="B261" s="892"/>
      <c r="C261" s="892"/>
      <c r="D261" s="1325">
        <v>1172364.0</v>
      </c>
      <c r="E261" s="351"/>
      <c r="F261" s="351"/>
      <c r="G261" s="1639" t="s">
        <v>2648</v>
      </c>
      <c r="H261" s="1639" t="s">
        <v>2795</v>
      </c>
      <c r="I261" s="1639" t="s">
        <v>2797</v>
      </c>
      <c r="J261" s="1639" t="s">
        <v>543</v>
      </c>
      <c r="K261" s="1640">
        <v>99.99</v>
      </c>
      <c r="L261" s="1640">
        <v>79.99</v>
      </c>
      <c r="M261" s="1641">
        <v>-0.2</v>
      </c>
      <c r="N261" s="1642"/>
    </row>
    <row r="262">
      <c r="A262" s="901"/>
      <c r="B262" s="901"/>
      <c r="C262" s="901"/>
      <c r="D262" s="1317">
        <v>1178843.0</v>
      </c>
      <c r="E262" s="362"/>
      <c r="F262" s="362"/>
      <c r="G262" s="1597" t="s">
        <v>2648</v>
      </c>
      <c r="H262" s="1597" t="s">
        <v>2646</v>
      </c>
      <c r="I262" s="1597" t="s">
        <v>2798</v>
      </c>
      <c r="J262" s="1597" t="s">
        <v>543</v>
      </c>
      <c r="K262" s="1598">
        <v>39.99</v>
      </c>
      <c r="L262" s="1598">
        <v>29.99</v>
      </c>
      <c r="M262" s="1599">
        <v>-0.25</v>
      </c>
      <c r="N262" s="1612"/>
    </row>
    <row r="263">
      <c r="A263" s="1058"/>
      <c r="B263" s="1058"/>
      <c r="C263" s="1058"/>
      <c r="D263" s="1325">
        <v>1192176.0</v>
      </c>
      <c r="E263" s="79"/>
      <c r="F263" s="79"/>
      <c r="G263" s="1639" t="s">
        <v>2799</v>
      </c>
      <c r="H263" s="1639" t="s">
        <v>2800</v>
      </c>
      <c r="I263" s="1639" t="s">
        <v>2801</v>
      </c>
      <c r="J263" s="1639" t="s">
        <v>543</v>
      </c>
      <c r="K263" s="1640">
        <v>119.99</v>
      </c>
      <c r="L263" s="1640">
        <v>79.99</v>
      </c>
      <c r="M263" s="1641">
        <v>-0.33</v>
      </c>
      <c r="N263" s="1642"/>
    </row>
    <row r="264" hidden="1">
      <c r="A264" s="1331"/>
      <c r="B264" s="1456"/>
      <c r="C264" s="1456"/>
      <c r="D264" s="1360"/>
      <c r="E264" s="1665"/>
      <c r="F264" s="1659"/>
      <c r="G264" s="1639"/>
      <c r="H264" s="1639"/>
      <c r="I264" s="1639"/>
      <c r="J264" s="1639"/>
      <c r="K264" s="1640"/>
      <c r="L264" s="1640"/>
      <c r="M264" s="1641"/>
      <c r="N264" s="1642"/>
    </row>
    <row r="265" hidden="1">
      <c r="A265" s="1322"/>
      <c r="B265" s="1546"/>
      <c r="C265" s="1546"/>
      <c r="D265" s="1325"/>
      <c r="E265" s="1637"/>
      <c r="F265" s="1638"/>
      <c r="G265" s="1639"/>
      <c r="H265" s="1639"/>
      <c r="I265" s="1639"/>
      <c r="J265" s="1639"/>
      <c r="K265" s="1640"/>
      <c r="L265" s="1640"/>
      <c r="M265" s="1641"/>
      <c r="N265" s="1642"/>
    </row>
    <row r="266" hidden="1">
      <c r="A266" s="1331"/>
      <c r="B266" s="1456"/>
      <c r="C266" s="1456"/>
      <c r="D266" s="1360"/>
      <c r="E266" s="1665"/>
      <c r="F266" s="1659"/>
      <c r="G266" s="1639"/>
      <c r="H266" s="1639"/>
      <c r="I266" s="1639"/>
      <c r="J266" s="1639"/>
      <c r="K266" s="1640"/>
      <c r="L266" s="1640"/>
      <c r="M266" s="1641"/>
      <c r="N266" s="1642"/>
    </row>
    <row r="267" hidden="1">
      <c r="A267" s="1322"/>
      <c r="B267" s="1546"/>
      <c r="C267" s="1546"/>
      <c r="D267" s="1325"/>
      <c r="E267" s="1637"/>
      <c r="F267" s="1638"/>
      <c r="G267" s="1639"/>
      <c r="H267" s="1639"/>
      <c r="I267" s="1639"/>
      <c r="J267" s="1639"/>
      <c r="K267" s="1640"/>
      <c r="L267" s="1640"/>
      <c r="M267" s="1641"/>
      <c r="N267" s="1642"/>
    </row>
    <row r="268" hidden="1">
      <c r="A268" s="1331"/>
      <c r="B268" s="1456"/>
      <c r="C268" s="1456"/>
      <c r="D268" s="1306"/>
      <c r="E268" s="1643"/>
      <c r="F268" s="1644"/>
      <c r="G268" s="310"/>
      <c r="H268" s="310"/>
      <c r="I268" s="310"/>
      <c r="J268" s="310"/>
      <c r="K268" s="1539"/>
      <c r="L268" s="1539"/>
      <c r="M268" s="305"/>
      <c r="N268" s="1636"/>
    </row>
    <row r="269" hidden="1">
      <c r="A269" s="1322"/>
      <c r="B269" s="1546"/>
      <c r="C269" s="1546"/>
      <c r="D269" s="1311"/>
      <c r="E269" s="1645"/>
      <c r="F269" s="1646"/>
      <c r="G269" s="310"/>
      <c r="H269" s="310"/>
      <c r="I269" s="310"/>
      <c r="J269" s="310"/>
      <c r="K269" s="1539"/>
      <c r="L269" s="1539"/>
      <c r="M269" s="305"/>
      <c r="N269" s="1636"/>
    </row>
    <row r="270" hidden="1">
      <c r="A270" s="1331"/>
      <c r="B270" s="1456"/>
      <c r="C270" s="1456"/>
      <c r="D270" s="1608"/>
      <c r="E270" s="1537"/>
      <c r="F270" s="1538"/>
      <c r="G270" s="298"/>
      <c r="H270" s="298"/>
      <c r="I270" s="298"/>
      <c r="J270" s="298"/>
      <c r="K270" s="1609"/>
      <c r="L270" s="1609"/>
      <c r="M270" s="1610"/>
      <c r="N270" s="1540"/>
    </row>
    <row r="271">
      <c r="A271" s="1387" t="s">
        <v>2802</v>
      </c>
      <c r="B271" s="1156"/>
      <c r="C271" s="1156"/>
      <c r="D271" s="1156"/>
      <c r="E271" s="1156"/>
      <c r="F271" s="1156"/>
      <c r="G271" s="865"/>
      <c r="H271" s="865"/>
      <c r="I271" s="865"/>
      <c r="J271" s="865"/>
      <c r="K271" s="865"/>
      <c r="L271" s="865"/>
      <c r="M271" s="865"/>
      <c r="N271" s="866"/>
    </row>
    <row r="272">
      <c r="A272" s="1389" t="s">
        <v>2803</v>
      </c>
      <c r="B272" s="868"/>
      <c r="C272" s="868"/>
      <c r="D272" s="868"/>
      <c r="E272" s="868"/>
      <c r="F272" s="868"/>
      <c r="G272" s="865"/>
      <c r="H272" s="865"/>
      <c r="I272" s="865"/>
      <c r="J272" s="865"/>
      <c r="K272" s="865"/>
      <c r="L272" s="865"/>
      <c r="M272" s="865"/>
      <c r="N272" s="866"/>
    </row>
    <row r="273">
      <c r="A273" s="1297" t="s">
        <v>2418</v>
      </c>
      <c r="B273" s="1435">
        <v>45961.0</v>
      </c>
      <c r="C273" s="1435">
        <v>45992.0</v>
      </c>
      <c r="D273" s="1633">
        <v>1229021.0</v>
      </c>
      <c r="E273" s="1634"/>
      <c r="F273" s="1634"/>
      <c r="G273" s="1647" t="s">
        <v>2804</v>
      </c>
      <c r="H273" s="1647" t="s">
        <v>2805</v>
      </c>
      <c r="I273" s="1647" t="s">
        <v>2806</v>
      </c>
      <c r="J273" s="1647" t="s">
        <v>491</v>
      </c>
      <c r="K273" s="1539">
        <v>27.99</v>
      </c>
      <c r="L273" s="1539">
        <v>17.99</v>
      </c>
      <c r="M273" s="305">
        <v>-0.36</v>
      </c>
      <c r="N273" s="1635"/>
    </row>
    <row r="274">
      <c r="A274" s="901"/>
      <c r="B274" s="362"/>
      <c r="C274" s="362"/>
      <c r="D274" s="1551">
        <v>1229022.0</v>
      </c>
      <c r="E274" s="362"/>
      <c r="F274" s="362"/>
      <c r="G274" s="310" t="s">
        <v>2804</v>
      </c>
      <c r="H274" s="310" t="s">
        <v>2805</v>
      </c>
      <c r="I274" s="310" t="s">
        <v>2807</v>
      </c>
      <c r="J274" s="310" t="s">
        <v>491</v>
      </c>
      <c r="K274" s="1539">
        <v>24.99</v>
      </c>
      <c r="L274" s="1539">
        <v>17.99</v>
      </c>
      <c r="M274" s="305">
        <v>-0.28</v>
      </c>
      <c r="N274" s="1636"/>
    </row>
    <row r="275">
      <c r="A275" s="892"/>
      <c r="B275" s="351"/>
      <c r="C275" s="351"/>
      <c r="D275" s="1521">
        <v>1229024.0</v>
      </c>
      <c r="E275" s="351"/>
      <c r="F275" s="351"/>
      <c r="G275" s="310" t="s">
        <v>2808</v>
      </c>
      <c r="H275" s="310" t="s">
        <v>2809</v>
      </c>
      <c r="I275" s="310" t="s">
        <v>2810</v>
      </c>
      <c r="J275" s="310" t="s">
        <v>491</v>
      </c>
      <c r="K275" s="1539">
        <v>29.99</v>
      </c>
      <c r="L275" s="1539">
        <v>19.99</v>
      </c>
      <c r="M275" s="305">
        <v>-0.33</v>
      </c>
      <c r="N275" s="1540"/>
    </row>
    <row r="276">
      <c r="A276" s="878"/>
      <c r="B276" s="879"/>
      <c r="C276" s="879"/>
      <c r="D276" s="1526">
        <v>1229028.0</v>
      </c>
      <c r="E276" s="879"/>
      <c r="F276" s="386"/>
      <c r="G276" s="1597" t="s">
        <v>2767</v>
      </c>
      <c r="H276" s="1597" t="s">
        <v>2768</v>
      </c>
      <c r="I276" s="1597" t="s">
        <v>2811</v>
      </c>
      <c r="J276" s="1597" t="s">
        <v>2429</v>
      </c>
      <c r="K276" s="1598">
        <v>11.99</v>
      </c>
      <c r="L276" s="1598">
        <v>8.99</v>
      </c>
      <c r="M276" s="1599">
        <v>-0.25</v>
      </c>
      <c r="N276" s="1666"/>
    </row>
    <row r="277" hidden="1">
      <c r="A277" s="1297"/>
      <c r="B277" s="1435"/>
      <c r="C277" s="1435"/>
      <c r="D277" s="1633"/>
      <c r="E277" s="1634"/>
      <c r="F277" s="1634"/>
      <c r="G277" s="1647"/>
      <c r="H277" s="1647"/>
      <c r="I277" s="1647"/>
      <c r="J277" s="1647"/>
      <c r="K277" s="1640"/>
      <c r="L277" s="1640"/>
      <c r="M277" s="1641"/>
      <c r="N277" s="1635"/>
    </row>
    <row r="278" hidden="1">
      <c r="A278" s="901"/>
      <c r="B278" s="362"/>
      <c r="C278" s="362"/>
      <c r="D278" s="1551"/>
      <c r="E278" s="362"/>
      <c r="F278" s="386"/>
      <c r="G278" s="310"/>
      <c r="H278" s="310"/>
      <c r="I278" s="310"/>
      <c r="J278" s="310"/>
      <c r="K278" s="1539"/>
      <c r="L278" s="1539"/>
      <c r="M278" s="305"/>
      <c r="N278" s="1636"/>
    </row>
    <row r="279" hidden="1">
      <c r="A279" s="892"/>
      <c r="B279" s="351"/>
      <c r="C279" s="351"/>
      <c r="D279" s="1521"/>
      <c r="E279" s="351"/>
      <c r="F279" s="1611"/>
      <c r="G279" s="310"/>
      <c r="H279" s="310"/>
      <c r="I279" s="310"/>
      <c r="J279" s="310"/>
      <c r="K279" s="1667"/>
      <c r="L279" s="1668"/>
      <c r="M279" s="1669"/>
      <c r="N279" s="1540"/>
    </row>
    <row r="280" hidden="1">
      <c r="A280" s="878"/>
      <c r="B280" s="879"/>
      <c r="C280" s="879"/>
      <c r="D280" s="1526"/>
      <c r="E280" s="879"/>
      <c r="F280" s="879"/>
      <c r="G280" s="1597"/>
      <c r="H280" s="1597"/>
      <c r="I280" s="1597"/>
      <c r="J280" s="1597"/>
      <c r="K280" s="1670"/>
      <c r="L280" s="1671"/>
      <c r="M280" s="1672"/>
      <c r="N280" s="1666"/>
    </row>
    <row r="281">
      <c r="A281" s="1389" t="s">
        <v>2724</v>
      </c>
      <c r="B281" s="1156"/>
      <c r="C281" s="1156"/>
      <c r="D281" s="1156"/>
      <c r="E281" s="1156"/>
      <c r="F281" s="1156"/>
      <c r="G281" s="865"/>
      <c r="H281" s="865"/>
      <c r="I281" s="865"/>
      <c r="J281" s="865"/>
      <c r="K281" s="865"/>
      <c r="L281" s="865"/>
      <c r="M281" s="865"/>
      <c r="N281" s="866"/>
    </row>
    <row r="282" hidden="1">
      <c r="A282" s="1673" t="s">
        <v>2418</v>
      </c>
      <c r="B282" s="1674"/>
      <c r="C282" s="1674"/>
      <c r="D282" s="1644"/>
      <c r="E282" s="1537"/>
      <c r="F282" s="1537"/>
      <c r="G282" s="310"/>
      <c r="H282" s="310"/>
      <c r="I282" s="310"/>
      <c r="J282" s="310"/>
      <c r="K282" s="1539"/>
      <c r="L282" s="1539"/>
      <c r="M282" s="305"/>
      <c r="N282" s="1636"/>
    </row>
    <row r="283" hidden="1">
      <c r="A283" s="1675"/>
      <c r="B283" s="27"/>
      <c r="C283" s="27"/>
      <c r="D283" s="289"/>
      <c r="E283" s="27"/>
      <c r="F283" s="27"/>
      <c r="G283" s="310"/>
      <c r="H283" s="310"/>
      <c r="I283" s="310"/>
      <c r="J283" s="310"/>
      <c r="K283" s="1539"/>
      <c r="L283" s="1539"/>
      <c r="M283" s="305"/>
      <c r="N283" s="1636"/>
    </row>
    <row r="284" hidden="1">
      <c r="A284" s="901"/>
      <c r="B284" s="362"/>
      <c r="C284" s="362"/>
      <c r="D284" s="1551"/>
      <c r="E284" s="362"/>
      <c r="F284" s="362"/>
      <c r="G284" s="1306"/>
      <c r="H284" s="1306"/>
      <c r="I284" s="1306"/>
      <c r="J284" s="1306"/>
      <c r="K284" s="1307"/>
      <c r="L284" s="1307"/>
      <c r="M284" s="1309"/>
      <c r="N284" s="1335"/>
    </row>
    <row r="285" hidden="1">
      <c r="A285" s="892"/>
      <c r="B285" s="351"/>
      <c r="C285" s="351"/>
      <c r="D285" s="1521"/>
      <c r="E285" s="351"/>
      <c r="F285" s="351"/>
      <c r="G285" s="1521"/>
      <c r="H285" s="1521"/>
      <c r="I285" s="1521"/>
      <c r="J285" s="1521"/>
      <c r="K285" s="1676"/>
      <c r="L285" s="1676"/>
      <c r="M285" s="1677"/>
      <c r="N285" s="1339"/>
    </row>
    <row r="286" hidden="1">
      <c r="A286" s="901"/>
      <c r="B286" s="362"/>
      <c r="C286" s="362"/>
      <c r="D286" s="1551"/>
      <c r="E286" s="362"/>
      <c r="F286" s="362"/>
      <c r="G286" s="1551"/>
      <c r="H286" s="1551"/>
      <c r="I286" s="1551"/>
      <c r="J286" s="1551"/>
      <c r="K286" s="1678"/>
      <c r="L286" s="1678"/>
      <c r="M286" s="1679"/>
      <c r="N286" s="1335"/>
    </row>
    <row r="287" hidden="1">
      <c r="A287" s="892"/>
      <c r="B287" s="908"/>
      <c r="C287" s="908"/>
      <c r="D287" s="1591"/>
      <c r="E287" s="908"/>
      <c r="F287" s="908"/>
      <c r="G287" s="1680"/>
      <c r="H287" s="1680"/>
      <c r="I287" s="1680"/>
      <c r="J287" s="1680"/>
      <c r="K287" s="1681"/>
      <c r="L287" s="1681"/>
      <c r="M287" s="1682"/>
      <c r="N287" s="1683"/>
    </row>
    <row r="288" ht="18.75" customHeight="1">
      <c r="A288" s="901"/>
      <c r="B288" s="1456">
        <v>45961.0</v>
      </c>
      <c r="C288" s="1456">
        <v>45974.0</v>
      </c>
      <c r="D288" s="1516">
        <v>1168426.0</v>
      </c>
      <c r="E288" s="1334"/>
      <c r="F288" s="1334">
        <v>1216340.0</v>
      </c>
      <c r="G288" s="1684" t="s">
        <v>2804</v>
      </c>
      <c r="H288" s="1684" t="s">
        <v>2805</v>
      </c>
      <c r="I288" s="1684" t="s">
        <v>2812</v>
      </c>
      <c r="J288" s="1684" t="s">
        <v>491</v>
      </c>
      <c r="K288" s="1685" t="s">
        <v>2813</v>
      </c>
      <c r="M288" s="361"/>
      <c r="N288" s="1686" t="s">
        <v>130</v>
      </c>
    </row>
    <row r="289" ht="21.75" customHeight="1">
      <c r="A289" s="892"/>
      <c r="B289" s="351"/>
      <c r="C289" s="351"/>
      <c r="D289" s="1591">
        <v>1168461.0</v>
      </c>
      <c r="E289" s="908"/>
      <c r="F289" s="908"/>
      <c r="G289" s="1687" t="s">
        <v>2804</v>
      </c>
      <c r="H289" s="1687" t="s">
        <v>2805</v>
      </c>
      <c r="I289" s="1687" t="s">
        <v>2814</v>
      </c>
      <c r="J289" s="1687" t="s">
        <v>506</v>
      </c>
      <c r="K289" s="1688"/>
      <c r="L289" s="1113"/>
      <c r="M289" s="1689"/>
      <c r="N289" s="1000"/>
    </row>
    <row r="290">
      <c r="A290" s="901"/>
      <c r="B290" s="362"/>
      <c r="C290" s="362"/>
      <c r="D290" s="1516">
        <v>1209646.0</v>
      </c>
      <c r="E290" s="1334"/>
      <c r="F290" s="1334">
        <v>1216364.0</v>
      </c>
      <c r="G290" s="1684" t="s">
        <v>2804</v>
      </c>
      <c r="H290" s="1684" t="s">
        <v>2815</v>
      </c>
      <c r="I290" s="1684" t="s">
        <v>2816</v>
      </c>
      <c r="J290" s="1684" t="s">
        <v>488</v>
      </c>
      <c r="K290" s="1685" t="s">
        <v>2817</v>
      </c>
      <c r="M290" s="361"/>
      <c r="N290" s="1686" t="s">
        <v>130</v>
      </c>
    </row>
    <row r="291" ht="21.0" customHeight="1">
      <c r="A291" s="892"/>
      <c r="B291" s="351"/>
      <c r="C291" s="351"/>
      <c r="D291" s="1591">
        <v>1209651.0</v>
      </c>
      <c r="E291" s="908"/>
      <c r="F291" s="908"/>
      <c r="G291" s="1687" t="s">
        <v>2804</v>
      </c>
      <c r="H291" s="1687" t="s">
        <v>2815</v>
      </c>
      <c r="I291" s="1687" t="s">
        <v>2818</v>
      </c>
      <c r="J291" s="1687" t="s">
        <v>506</v>
      </c>
      <c r="K291" s="1688"/>
      <c r="L291" s="1113"/>
      <c r="M291" s="1689"/>
      <c r="N291" s="1000"/>
    </row>
    <row r="292">
      <c r="A292" s="901"/>
      <c r="B292" s="362"/>
      <c r="C292" s="362"/>
      <c r="D292" s="1516">
        <v>1168425.0</v>
      </c>
      <c r="E292" s="1334"/>
      <c r="F292" s="1334">
        <v>1221417.0</v>
      </c>
      <c r="G292" s="1684" t="s">
        <v>2804</v>
      </c>
      <c r="H292" s="1684" t="s">
        <v>2805</v>
      </c>
      <c r="I292" s="1684" t="s">
        <v>2819</v>
      </c>
      <c r="J292" s="1684" t="s">
        <v>491</v>
      </c>
      <c r="K292" s="1685" t="s">
        <v>2820</v>
      </c>
      <c r="M292" s="361"/>
      <c r="N292" s="1686" t="s">
        <v>130</v>
      </c>
    </row>
    <row r="293" ht="24.0" customHeight="1">
      <c r="A293" s="892"/>
      <c r="B293" s="351"/>
      <c r="C293" s="351"/>
      <c r="D293" s="1591">
        <v>1168450.0</v>
      </c>
      <c r="E293" s="908"/>
      <c r="F293" s="908"/>
      <c r="G293" s="1687" t="s">
        <v>2804</v>
      </c>
      <c r="H293" s="1687" t="s">
        <v>2805</v>
      </c>
      <c r="I293" s="1687" t="s">
        <v>2821</v>
      </c>
      <c r="J293" s="1687" t="s">
        <v>506</v>
      </c>
      <c r="K293" s="1688"/>
      <c r="L293" s="1113"/>
      <c r="M293" s="1689"/>
      <c r="N293" s="1000"/>
    </row>
    <row r="294">
      <c r="A294" s="901"/>
      <c r="B294" s="879"/>
      <c r="C294" s="879"/>
      <c r="D294" s="1690">
        <v>1167716.0</v>
      </c>
      <c r="E294" s="1691"/>
      <c r="F294" s="1692"/>
      <c r="G294" s="1693" t="s">
        <v>2822</v>
      </c>
      <c r="H294" s="1693" t="s">
        <v>2823</v>
      </c>
      <c r="I294" s="1693" t="s">
        <v>2824</v>
      </c>
      <c r="J294" s="1693" t="s">
        <v>506</v>
      </c>
      <c r="K294" s="1694">
        <v>99.99</v>
      </c>
      <c r="L294" s="1694">
        <v>59.99</v>
      </c>
      <c r="M294" s="1695">
        <v>-0.4</v>
      </c>
      <c r="N294" s="1696"/>
    </row>
    <row r="295">
      <c r="A295" s="892"/>
      <c r="B295" s="1546">
        <v>45961.0</v>
      </c>
      <c r="C295" s="1546">
        <v>45992.0</v>
      </c>
      <c r="D295" s="1570">
        <v>1127669.0</v>
      </c>
      <c r="E295" s="1326"/>
      <c r="F295" s="1326">
        <v>1222858.0</v>
      </c>
      <c r="G295" s="1697" t="s">
        <v>2825</v>
      </c>
      <c r="H295" s="1697" t="s">
        <v>2826</v>
      </c>
      <c r="I295" s="1697" t="s">
        <v>2827</v>
      </c>
      <c r="J295" s="1697" t="s">
        <v>506</v>
      </c>
      <c r="K295" s="1698" t="s">
        <v>2828</v>
      </c>
      <c r="M295" s="350"/>
      <c r="N295" s="1699" t="s">
        <v>130</v>
      </c>
    </row>
    <row r="296" ht="22.5" customHeight="1">
      <c r="A296" s="901"/>
      <c r="B296" s="362"/>
      <c r="C296" s="362"/>
      <c r="D296" s="1690">
        <v>1157366.0</v>
      </c>
      <c r="E296" s="879"/>
      <c r="F296" s="879"/>
      <c r="G296" s="1693" t="s">
        <v>2829</v>
      </c>
      <c r="H296" s="1693" t="s">
        <v>2830</v>
      </c>
      <c r="I296" s="1693" t="s">
        <v>2831</v>
      </c>
      <c r="J296" s="1693" t="s">
        <v>506</v>
      </c>
      <c r="K296" s="880"/>
      <c r="L296" s="1700"/>
      <c r="M296" s="881"/>
      <c r="N296" s="882"/>
    </row>
    <row r="297">
      <c r="A297" s="892"/>
      <c r="B297" s="351"/>
      <c r="C297" s="351"/>
      <c r="D297" s="1326">
        <v>1229658.0</v>
      </c>
      <c r="E297" s="1326"/>
      <c r="F297" s="1326">
        <v>1231520.0</v>
      </c>
      <c r="G297" s="1697" t="s">
        <v>2808</v>
      </c>
      <c r="H297" s="1697" t="s">
        <v>2832</v>
      </c>
      <c r="I297" s="1697" t="s">
        <v>2833</v>
      </c>
      <c r="J297" s="1697" t="s">
        <v>506</v>
      </c>
      <c r="K297" s="1698" t="s">
        <v>2834</v>
      </c>
      <c r="M297" s="350"/>
      <c r="N297" s="1699" t="s">
        <v>130</v>
      </c>
    </row>
    <row r="298">
      <c r="A298" s="901"/>
      <c r="B298" s="362"/>
      <c r="C298" s="362"/>
      <c r="D298" s="879"/>
      <c r="E298" s="879"/>
      <c r="F298" s="879"/>
      <c r="G298" s="879"/>
      <c r="H298" s="879"/>
      <c r="I298" s="879"/>
      <c r="J298" s="879"/>
      <c r="K298" s="880"/>
      <c r="L298" s="1700"/>
      <c r="M298" s="881"/>
      <c r="N298" s="882"/>
    </row>
    <row r="299">
      <c r="A299" s="892"/>
      <c r="B299" s="351"/>
      <c r="C299" s="351"/>
      <c r="D299" s="1570">
        <v>1206951.0</v>
      </c>
      <c r="E299" s="1326"/>
      <c r="F299" s="1326">
        <v>1231531.0</v>
      </c>
      <c r="G299" s="1697" t="s">
        <v>2835</v>
      </c>
      <c r="H299" s="1697" t="s">
        <v>2832</v>
      </c>
      <c r="I299" s="1697" t="s">
        <v>2836</v>
      </c>
      <c r="J299" s="1697" t="s">
        <v>506</v>
      </c>
      <c r="K299" s="1698" t="s">
        <v>2837</v>
      </c>
      <c r="M299" s="350"/>
      <c r="N299" s="1699" t="s">
        <v>130</v>
      </c>
    </row>
    <row r="300" ht="26.25" customHeight="1">
      <c r="A300" s="878"/>
      <c r="B300" s="879"/>
      <c r="C300" s="879"/>
      <c r="D300" s="1690">
        <v>1229659.0</v>
      </c>
      <c r="E300" s="879"/>
      <c r="F300" s="879"/>
      <c r="G300" s="1693" t="s">
        <v>2808</v>
      </c>
      <c r="H300" s="1693" t="s">
        <v>2832</v>
      </c>
      <c r="I300" s="1693" t="s">
        <v>2838</v>
      </c>
      <c r="J300" s="1693" t="s">
        <v>496</v>
      </c>
      <c r="K300" s="880"/>
      <c r="L300" s="1700"/>
      <c r="M300" s="881"/>
      <c r="N300" s="882"/>
    </row>
    <row r="301">
      <c r="A301" s="1701" t="s">
        <v>2723</v>
      </c>
      <c r="B301" s="1702">
        <v>45961.0</v>
      </c>
      <c r="C301" s="1702">
        <v>45992.0</v>
      </c>
      <c r="D301" s="1703">
        <v>1195023.0</v>
      </c>
      <c r="E301" s="1704"/>
      <c r="F301" s="1705"/>
      <c r="G301" s="1706" t="s">
        <v>2616</v>
      </c>
      <c r="H301" s="1706" t="s">
        <v>2694</v>
      </c>
      <c r="I301" s="1706" t="s">
        <v>2839</v>
      </c>
      <c r="J301" s="1706" t="s">
        <v>506</v>
      </c>
      <c r="K301" s="1707">
        <v>199.99</v>
      </c>
      <c r="L301" s="1707">
        <v>89.99</v>
      </c>
      <c r="M301" s="1708">
        <v>-0.55</v>
      </c>
      <c r="N301" s="1709" t="s">
        <v>130</v>
      </c>
    </row>
    <row r="302">
      <c r="A302" s="1710" t="s">
        <v>2426</v>
      </c>
      <c r="B302" s="1711">
        <v>45975.0</v>
      </c>
      <c r="C302" s="1711">
        <v>45992.0</v>
      </c>
      <c r="D302" s="1712">
        <v>1228903.0</v>
      </c>
      <c r="E302" s="1710"/>
      <c r="F302" s="1713"/>
      <c r="G302" s="1714" t="s">
        <v>2616</v>
      </c>
      <c r="H302" s="1714" t="s">
        <v>2694</v>
      </c>
      <c r="I302" s="1714" t="s">
        <v>2840</v>
      </c>
      <c r="J302" s="1714" t="s">
        <v>506</v>
      </c>
      <c r="K302" s="1715">
        <v>179.99</v>
      </c>
      <c r="L302" s="1715">
        <v>99.99</v>
      </c>
      <c r="M302" s="1716">
        <v>-0.44</v>
      </c>
      <c r="N302" s="1717" t="s">
        <v>130</v>
      </c>
    </row>
    <row r="303">
      <c r="A303" s="1718" t="s">
        <v>2418</v>
      </c>
      <c r="B303" s="1719">
        <v>45975.0</v>
      </c>
      <c r="C303" s="1719">
        <v>45992.0</v>
      </c>
      <c r="D303" s="1720">
        <v>1229590.0</v>
      </c>
      <c r="E303" s="1721"/>
      <c r="F303" s="1722"/>
      <c r="G303" s="1723" t="s">
        <v>2804</v>
      </c>
      <c r="H303" s="1723" t="s">
        <v>2805</v>
      </c>
      <c r="I303" s="1723" t="s">
        <v>2841</v>
      </c>
      <c r="J303" s="1723" t="s">
        <v>506</v>
      </c>
      <c r="K303" s="1724">
        <v>199.99</v>
      </c>
      <c r="L303" s="1724">
        <v>139.99</v>
      </c>
      <c r="M303" s="1725">
        <v>-0.3</v>
      </c>
      <c r="N303" s="1726"/>
    </row>
    <row r="304">
      <c r="A304" s="1727"/>
      <c r="B304" s="1727"/>
      <c r="C304" s="1727"/>
      <c r="D304" s="1728">
        <v>1229619.0</v>
      </c>
      <c r="E304" s="1727"/>
      <c r="F304" s="1727"/>
      <c r="G304" s="1729" t="s">
        <v>2804</v>
      </c>
      <c r="H304" s="1729" t="s">
        <v>2805</v>
      </c>
      <c r="I304" s="1729" t="s">
        <v>2842</v>
      </c>
      <c r="J304" s="1729" t="s">
        <v>491</v>
      </c>
      <c r="K304" s="1730">
        <v>89.99</v>
      </c>
      <c r="L304" s="1730">
        <v>59.99</v>
      </c>
      <c r="M304" s="1731">
        <v>-0.33</v>
      </c>
      <c r="N304" s="1732"/>
    </row>
    <row r="305">
      <c r="A305" s="1733"/>
      <c r="B305" s="1733"/>
      <c r="C305" s="1733"/>
      <c r="D305" s="1734">
        <v>1229703.0</v>
      </c>
      <c r="E305" s="1733"/>
      <c r="F305" s="1733"/>
      <c r="G305" s="1735" t="s">
        <v>2804</v>
      </c>
      <c r="H305" s="1735" t="s">
        <v>2805</v>
      </c>
      <c r="I305" s="1735" t="s">
        <v>2843</v>
      </c>
      <c r="J305" s="1735" t="s">
        <v>506</v>
      </c>
      <c r="K305" s="1736">
        <v>49.99</v>
      </c>
      <c r="L305" s="1736">
        <v>34.99</v>
      </c>
      <c r="M305" s="1737">
        <v>-0.3</v>
      </c>
      <c r="N305" s="1738"/>
    </row>
    <row r="306">
      <c r="A306" s="1727"/>
      <c r="B306" s="1727"/>
      <c r="C306" s="1727"/>
      <c r="D306" s="1728">
        <v>1229705.0</v>
      </c>
      <c r="E306" s="1727"/>
      <c r="F306" s="1727"/>
      <c r="G306" s="1729" t="s">
        <v>2804</v>
      </c>
      <c r="H306" s="1729" t="s">
        <v>2815</v>
      </c>
      <c r="I306" s="1729" t="s">
        <v>2844</v>
      </c>
      <c r="J306" s="1729" t="s">
        <v>491</v>
      </c>
      <c r="K306" s="1730">
        <v>49.99</v>
      </c>
      <c r="L306" s="1730">
        <v>34.99</v>
      </c>
      <c r="M306" s="1731">
        <v>-0.3</v>
      </c>
      <c r="N306" s="1732"/>
    </row>
    <row r="307">
      <c r="A307" s="1739"/>
      <c r="B307" s="1739"/>
      <c r="C307" s="1739"/>
      <c r="D307" s="1734">
        <v>1229711.0</v>
      </c>
      <c r="E307" s="1739"/>
      <c r="F307" s="1739"/>
      <c r="G307" s="1735" t="s">
        <v>2804</v>
      </c>
      <c r="H307" s="1735" t="s">
        <v>2815</v>
      </c>
      <c r="I307" s="1735" t="s">
        <v>2845</v>
      </c>
      <c r="J307" s="1735" t="s">
        <v>543</v>
      </c>
      <c r="K307" s="1736">
        <v>89.99</v>
      </c>
      <c r="L307" s="1736">
        <v>59.99</v>
      </c>
      <c r="M307" s="1737">
        <v>-0.33</v>
      </c>
      <c r="N307" s="1738"/>
    </row>
    <row r="308">
      <c r="A308" s="1740" t="s">
        <v>2846</v>
      </c>
      <c r="B308" s="1741">
        <v>45975.0</v>
      </c>
      <c r="C308" s="1741">
        <v>45992.0</v>
      </c>
      <c r="D308" s="1728">
        <v>1228902.0</v>
      </c>
      <c r="E308" s="1742"/>
      <c r="F308" s="1743">
        <v>1232288.0</v>
      </c>
      <c r="G308" s="1729" t="s">
        <v>2616</v>
      </c>
      <c r="H308" s="1729" t="s">
        <v>2616</v>
      </c>
      <c r="I308" s="1729" t="s">
        <v>2847</v>
      </c>
      <c r="J308" s="1729" t="s">
        <v>506</v>
      </c>
      <c r="K308" s="1730">
        <v>279.99</v>
      </c>
      <c r="L308" s="1744" t="s">
        <v>2848</v>
      </c>
      <c r="M308" s="946"/>
      <c r="N308" s="1745" t="s">
        <v>130</v>
      </c>
    </row>
    <row r="309">
      <c r="A309" s="1739"/>
      <c r="B309" s="1739"/>
      <c r="C309" s="1739"/>
      <c r="D309" s="1734">
        <v>1228904.0</v>
      </c>
      <c r="E309" s="1739"/>
      <c r="F309" s="1746">
        <v>1232289.0</v>
      </c>
      <c r="G309" s="1735" t="s">
        <v>2616</v>
      </c>
      <c r="H309" s="1735" t="s">
        <v>2616</v>
      </c>
      <c r="I309" s="1735" t="s">
        <v>2849</v>
      </c>
      <c r="J309" s="1735" t="s">
        <v>506</v>
      </c>
      <c r="K309" s="1736">
        <v>299.99</v>
      </c>
      <c r="L309" s="1747" t="s">
        <v>2850</v>
      </c>
      <c r="M309" s="1388"/>
      <c r="N309" s="1748" t="s">
        <v>130</v>
      </c>
    </row>
    <row r="310" hidden="1">
      <c r="A310" s="1749"/>
      <c r="B310" s="1750"/>
      <c r="C310" s="1750"/>
      <c r="D310" s="265"/>
      <c r="E310" s="1751"/>
      <c r="F310" s="1752"/>
      <c r="G310" s="1753"/>
      <c r="H310" s="1753"/>
      <c r="I310" s="1753"/>
      <c r="J310" s="1753"/>
      <c r="K310" s="1754"/>
      <c r="L310" s="1754"/>
      <c r="M310" s="1755"/>
      <c r="N310" s="1756"/>
    </row>
    <row r="311" hidden="1">
      <c r="A311" s="1757"/>
      <c r="B311" s="1758"/>
      <c r="C311" s="1758"/>
      <c r="D311" s="1570"/>
      <c r="E311" s="1325"/>
      <c r="F311" s="1759"/>
      <c r="G311" s="1760"/>
      <c r="H311" s="1760"/>
      <c r="I311" s="1760"/>
      <c r="J311" s="1760"/>
      <c r="K311" s="1761"/>
      <c r="L311" s="1761"/>
      <c r="M311" s="1762"/>
      <c r="N311" s="1763"/>
    </row>
    <row r="312" hidden="1">
      <c r="A312" s="1764"/>
      <c r="B312" s="1456"/>
      <c r="C312" s="1456"/>
      <c r="D312" s="1765"/>
      <c r="E312" s="1765"/>
      <c r="F312" s="1766"/>
      <c r="G312" s="1526"/>
      <c r="H312" s="1526"/>
      <c r="I312" s="1526"/>
      <c r="J312" s="1526"/>
      <c r="K312" s="1767"/>
      <c r="L312" s="1767"/>
      <c r="M312" s="1768"/>
      <c r="N312" s="1769"/>
    </row>
    <row r="313" hidden="1">
      <c r="A313" s="1757"/>
      <c r="B313" s="908"/>
      <c r="C313" s="908"/>
      <c r="D313" s="1770"/>
      <c r="E313" s="1770"/>
      <c r="F313" s="1585"/>
      <c r="G313" s="1511"/>
      <c r="H313" s="1511"/>
      <c r="I313" s="1771"/>
      <c r="J313" s="1511"/>
      <c r="K313" s="1772"/>
      <c r="L313" s="1773"/>
      <c r="M313" s="1774"/>
      <c r="N313" s="1775"/>
    </row>
    <row r="314">
      <c r="A314" s="1387" t="s">
        <v>2851</v>
      </c>
      <c r="B314" s="868"/>
      <c r="C314" s="868"/>
      <c r="D314" s="868"/>
      <c r="E314" s="868"/>
      <c r="F314" s="865"/>
      <c r="G314" s="865"/>
      <c r="H314" s="865"/>
      <c r="I314" s="865"/>
      <c r="J314" s="865"/>
      <c r="K314" s="865"/>
      <c r="L314" s="865"/>
      <c r="M314" s="865"/>
      <c r="N314" s="866"/>
    </row>
    <row r="315" hidden="1">
      <c r="A315" s="1371" t="s">
        <v>2852</v>
      </c>
      <c r="N315" s="860"/>
    </row>
    <row r="316" hidden="1">
      <c r="A316" s="1373"/>
      <c r="B316" s="1776"/>
      <c r="C316" s="1776"/>
      <c r="D316" s="1777"/>
      <c r="E316" s="1437"/>
      <c r="F316" s="1437"/>
      <c r="G316" s="1377"/>
      <c r="H316" s="1377"/>
      <c r="I316" s="1377"/>
      <c r="J316" s="1377"/>
      <c r="K316" s="1443"/>
      <c r="L316" s="1443"/>
      <c r="M316" s="1444"/>
      <c r="N316" s="1635"/>
    </row>
    <row r="317" hidden="1">
      <c r="A317" s="901"/>
      <c r="B317" s="362"/>
      <c r="C317" s="362"/>
      <c r="D317" s="1487"/>
      <c r="E317" s="362"/>
      <c r="F317" s="362"/>
      <c r="G317" s="1446"/>
      <c r="H317" s="1446"/>
      <c r="I317" s="1446"/>
      <c r="J317" s="1446"/>
      <c r="K317" s="1447"/>
      <c r="L317" s="1447"/>
      <c r="M317" s="1448"/>
      <c r="N317" s="1636"/>
    </row>
    <row r="318" hidden="1">
      <c r="A318" s="892"/>
      <c r="B318" s="351"/>
      <c r="C318" s="351"/>
      <c r="D318" s="1778"/>
      <c r="E318" s="351"/>
      <c r="F318" s="351"/>
      <c r="G318" s="1449"/>
      <c r="H318" s="1449"/>
      <c r="I318" s="1449"/>
      <c r="J318" s="1449"/>
      <c r="K318" s="1450"/>
      <c r="L318" s="1450"/>
      <c r="M318" s="1451"/>
      <c r="N318" s="1636"/>
    </row>
    <row r="319" hidden="1">
      <c r="A319" s="901"/>
      <c r="B319" s="362"/>
      <c r="C319" s="362"/>
      <c r="D319" s="1487"/>
      <c r="E319" s="362"/>
      <c r="F319" s="362"/>
      <c r="G319" s="1446"/>
      <c r="H319" s="1446"/>
      <c r="I319" s="1446"/>
      <c r="J319" s="1446"/>
      <c r="K319" s="1447"/>
      <c r="L319" s="1447"/>
      <c r="M319" s="1447"/>
      <c r="N319" s="1779"/>
    </row>
    <row r="320" hidden="1">
      <c r="A320" s="892"/>
      <c r="B320" s="351"/>
      <c r="C320" s="351"/>
      <c r="D320" s="1778"/>
      <c r="E320" s="351"/>
      <c r="F320" s="351"/>
      <c r="G320" s="1449"/>
      <c r="H320" s="1449"/>
      <c r="I320" s="1449"/>
      <c r="J320" s="1449"/>
      <c r="K320" s="1450"/>
      <c r="L320" s="1450"/>
      <c r="M320" s="1450"/>
      <c r="N320" s="1779"/>
    </row>
    <row r="321" hidden="1">
      <c r="A321" s="901"/>
      <c r="B321" s="362"/>
      <c r="C321" s="362"/>
      <c r="D321" s="1487"/>
      <c r="E321" s="362"/>
      <c r="F321" s="362"/>
      <c r="G321" s="1446"/>
      <c r="H321" s="1446"/>
      <c r="I321" s="1446"/>
      <c r="J321" s="1446"/>
      <c r="K321" s="1447"/>
      <c r="L321" s="1447"/>
      <c r="M321" s="1447"/>
      <c r="N321" s="1779"/>
    </row>
    <row r="322" hidden="1">
      <c r="A322" s="1058"/>
      <c r="B322" s="908"/>
      <c r="C322" s="908"/>
      <c r="D322" s="1780"/>
      <c r="E322" s="908"/>
      <c r="F322" s="908"/>
      <c r="G322" s="1680"/>
      <c r="H322" s="1680"/>
      <c r="I322" s="1680"/>
      <c r="J322" s="1680"/>
      <c r="K322" s="1681"/>
      <c r="L322" s="1681"/>
      <c r="M322" s="1681"/>
      <c r="N322" s="1781"/>
    </row>
    <row r="323">
      <c r="A323" s="1389" t="s">
        <v>2853</v>
      </c>
      <c r="B323" s="868"/>
      <c r="C323" s="868"/>
      <c r="D323" s="868"/>
      <c r="E323" s="868"/>
      <c r="F323" s="868"/>
      <c r="G323" s="868"/>
      <c r="H323" s="868"/>
      <c r="I323" s="868"/>
      <c r="J323" s="868"/>
      <c r="K323" s="868"/>
      <c r="L323" s="868"/>
      <c r="M323" s="868"/>
      <c r="N323" s="946"/>
    </row>
    <row r="324">
      <c r="A324" s="1782" t="s">
        <v>2418</v>
      </c>
      <c r="B324" s="1776">
        <v>45978.0</v>
      </c>
      <c r="C324" s="1776">
        <v>45992.0</v>
      </c>
      <c r="D324" s="1783">
        <v>1204819.0</v>
      </c>
      <c r="E324" s="1784"/>
      <c r="F324" s="1785"/>
      <c r="G324" s="1783" t="s">
        <v>2854</v>
      </c>
      <c r="H324" s="1783" t="s">
        <v>2855</v>
      </c>
      <c r="I324" s="1783" t="s">
        <v>2856</v>
      </c>
      <c r="J324" s="1783" t="s">
        <v>2429</v>
      </c>
      <c r="K324" s="1786">
        <v>239.99</v>
      </c>
      <c r="L324" s="1786">
        <v>209.99</v>
      </c>
      <c r="M324" s="1787">
        <v>-0.13</v>
      </c>
      <c r="N324" s="1788"/>
    </row>
    <row r="325">
      <c r="A325" s="1789"/>
      <c r="B325" s="362"/>
      <c r="C325" s="362"/>
      <c r="D325" s="1790">
        <v>1204904.0</v>
      </c>
      <c r="E325" s="362"/>
      <c r="F325" s="362"/>
      <c r="G325" s="1790" t="s">
        <v>2854</v>
      </c>
      <c r="H325" s="1790" t="s">
        <v>2855</v>
      </c>
      <c r="I325" s="1790" t="s">
        <v>2857</v>
      </c>
      <c r="J325" s="1790" t="s">
        <v>506</v>
      </c>
      <c r="K325" s="1791">
        <v>239.99</v>
      </c>
      <c r="L325" s="1792">
        <v>209.99</v>
      </c>
      <c r="M325" s="1793">
        <v>-0.13</v>
      </c>
      <c r="N325" s="1794"/>
    </row>
    <row r="326">
      <c r="A326" s="1795"/>
      <c r="B326" s="351"/>
      <c r="C326" s="351"/>
      <c r="D326" s="1796">
        <v>1220998.0</v>
      </c>
      <c r="E326" s="79"/>
      <c r="F326" s="351"/>
      <c r="G326" s="1796" t="s">
        <v>2854</v>
      </c>
      <c r="H326" s="1796" t="s">
        <v>2855</v>
      </c>
      <c r="I326" s="1796" t="s">
        <v>2858</v>
      </c>
      <c r="J326" s="1796" t="s">
        <v>543</v>
      </c>
      <c r="K326" s="1797">
        <v>299.99</v>
      </c>
      <c r="L326" s="1798">
        <v>269.99</v>
      </c>
      <c r="M326" s="1799">
        <v>-0.1</v>
      </c>
      <c r="N326" s="1800"/>
    </row>
    <row r="327" hidden="1">
      <c r="A327" s="1801"/>
      <c r="B327" s="1802"/>
      <c r="C327" s="1802"/>
      <c r="D327" s="1803"/>
      <c r="E327" s="1804"/>
      <c r="F327" s="362"/>
      <c r="G327" s="1803"/>
      <c r="H327" s="1803"/>
      <c r="I327" s="1803"/>
      <c r="J327" s="1803"/>
      <c r="K327" s="1791"/>
      <c r="L327" s="1792"/>
      <c r="M327" s="1805"/>
      <c r="N327" s="1794"/>
    </row>
    <row r="328" hidden="1">
      <c r="A328" s="1782"/>
      <c r="B328" s="1806"/>
      <c r="C328" s="1806"/>
      <c r="D328" s="1796"/>
      <c r="E328" s="1807"/>
      <c r="F328" s="351"/>
      <c r="G328" s="1796"/>
      <c r="H328" s="1796"/>
      <c r="I328" s="1796"/>
      <c r="J328" s="1796"/>
      <c r="K328" s="1797"/>
      <c r="L328" s="1798"/>
      <c r="M328" s="1808"/>
      <c r="N328" s="1800"/>
    </row>
    <row r="329" hidden="1">
      <c r="A329" s="1801"/>
      <c r="B329" s="1802"/>
      <c r="C329" s="1802"/>
      <c r="D329" s="1803"/>
      <c r="E329" s="1804"/>
      <c r="F329" s="362"/>
      <c r="G329" s="1803"/>
      <c r="H329" s="1803"/>
      <c r="I329" s="1803"/>
      <c r="J329" s="1803"/>
      <c r="K329" s="1791"/>
      <c r="L329" s="1792"/>
      <c r="M329" s="1805"/>
      <c r="N329" s="1794"/>
    </row>
    <row r="330" hidden="1">
      <c r="A330" s="1782"/>
      <c r="B330" s="1806"/>
      <c r="C330" s="1806"/>
      <c r="D330" s="1796"/>
      <c r="E330" s="1807"/>
      <c r="F330" s="351"/>
      <c r="G330" s="1796"/>
      <c r="H330" s="1796"/>
      <c r="I330" s="1796"/>
      <c r="J330" s="1796"/>
      <c r="K330" s="1797"/>
      <c r="L330" s="1798"/>
      <c r="M330" s="1808"/>
      <c r="N330" s="1800"/>
    </row>
    <row r="331" hidden="1">
      <c r="A331" s="1801"/>
      <c r="B331" s="1809"/>
      <c r="C331" s="1809"/>
      <c r="D331" s="1803"/>
      <c r="E331" s="1804"/>
      <c r="F331" s="879"/>
      <c r="G331" s="1803"/>
      <c r="H331" s="1803"/>
      <c r="I331" s="1803"/>
      <c r="J331" s="1803"/>
      <c r="K331" s="1810"/>
      <c r="L331" s="1811"/>
      <c r="M331" s="1812"/>
      <c r="N331" s="1813"/>
    </row>
    <row r="332" hidden="1">
      <c r="A332" s="1814" t="s">
        <v>2859</v>
      </c>
      <c r="B332" s="868"/>
      <c r="C332" s="868"/>
      <c r="D332" s="868"/>
      <c r="E332" s="868"/>
      <c r="F332" s="868"/>
      <c r="G332" s="865"/>
      <c r="H332" s="865"/>
      <c r="I332" s="865"/>
      <c r="J332" s="865"/>
      <c r="K332" s="865"/>
      <c r="L332" s="865"/>
      <c r="M332" s="865"/>
      <c r="N332" s="866"/>
    </row>
    <row r="333" hidden="1">
      <c r="A333" s="1815"/>
      <c r="B333" s="1816"/>
      <c r="C333" s="1816"/>
      <c r="D333" s="1817"/>
      <c r="E333" s="1818"/>
      <c r="F333" s="1819"/>
      <c r="G333" s="1820"/>
      <c r="H333" s="1820"/>
      <c r="I333" s="1820"/>
      <c r="J333" s="1820"/>
      <c r="K333" s="1821"/>
      <c r="L333" s="1821"/>
      <c r="M333" s="1822"/>
      <c r="N333" s="1823"/>
    </row>
    <row r="334" hidden="1">
      <c r="A334" s="1824"/>
      <c r="B334" s="1825"/>
      <c r="C334" s="1825"/>
      <c r="D334" s="1826"/>
      <c r="E334" s="1827"/>
      <c r="F334" s="1828"/>
      <c r="G334" s="1829"/>
      <c r="H334" s="1829"/>
      <c r="I334" s="1829"/>
      <c r="J334" s="1829"/>
      <c r="K334" s="1830"/>
      <c r="L334" s="1830"/>
      <c r="M334" s="1831"/>
      <c r="N334" s="1823"/>
    </row>
    <row r="335" hidden="1">
      <c r="A335" s="1824"/>
      <c r="B335" s="1825"/>
      <c r="C335" s="1825"/>
      <c r="D335" s="1826"/>
      <c r="E335" s="1827"/>
      <c r="F335" s="1828"/>
      <c r="G335" s="1829"/>
      <c r="H335" s="1829"/>
      <c r="I335" s="1829"/>
      <c r="J335" s="1829"/>
      <c r="K335" s="1830"/>
      <c r="L335" s="1830"/>
      <c r="M335" s="1831"/>
      <c r="N335" s="1823"/>
    </row>
    <row r="336" hidden="1">
      <c r="A336" s="1824"/>
      <c r="B336" s="1825"/>
      <c r="C336" s="1825"/>
      <c r="D336" s="1826"/>
      <c r="E336" s="1827"/>
      <c r="F336" s="1828"/>
      <c r="G336" s="1829"/>
      <c r="H336" s="1829"/>
      <c r="I336" s="1829"/>
      <c r="J336" s="1829"/>
      <c r="K336" s="1830"/>
      <c r="L336" s="1830"/>
      <c r="M336" s="1831"/>
      <c r="N336" s="1823"/>
    </row>
    <row r="337" hidden="1">
      <c r="A337" s="1832"/>
      <c r="B337" s="1833"/>
      <c r="C337" s="1833"/>
      <c r="D337" s="1834"/>
      <c r="E337" s="291"/>
      <c r="F337" s="291"/>
      <c r="G337" s="289"/>
      <c r="H337" s="289"/>
      <c r="I337" s="289"/>
      <c r="J337" s="289"/>
      <c r="K337" s="1552"/>
      <c r="L337" s="1552"/>
      <c r="M337" s="1553"/>
      <c r="N337" s="1555"/>
    </row>
    <row r="338">
      <c r="A338" s="1387" t="s">
        <v>2860</v>
      </c>
      <c r="B338" s="868"/>
      <c r="C338" s="868"/>
      <c r="D338" s="868"/>
      <c r="E338" s="868"/>
      <c r="F338" s="865"/>
      <c r="G338" s="865"/>
      <c r="H338" s="865"/>
      <c r="I338" s="865"/>
      <c r="J338" s="865"/>
      <c r="K338" s="865"/>
      <c r="L338" s="865"/>
      <c r="M338" s="865"/>
      <c r="N338" s="866"/>
    </row>
    <row r="339">
      <c r="A339" s="1371" t="s">
        <v>158</v>
      </c>
      <c r="N339" s="1372"/>
    </row>
    <row r="340">
      <c r="A340" s="1373" t="s">
        <v>2418</v>
      </c>
      <c r="B340" s="1835">
        <v>45953.0</v>
      </c>
      <c r="C340" s="1835">
        <v>45974.0</v>
      </c>
      <c r="D340" s="1836">
        <v>1156062.0</v>
      </c>
      <c r="E340" s="1837"/>
      <c r="F340" s="1837">
        <v>1231715.0</v>
      </c>
      <c r="G340" s="1837" t="s">
        <v>2861</v>
      </c>
      <c r="H340" s="1837" t="s">
        <v>2862</v>
      </c>
      <c r="I340" s="1837" t="s">
        <v>2863</v>
      </c>
      <c r="J340" s="1837" t="s">
        <v>506</v>
      </c>
      <c r="K340" s="1838">
        <v>39.99</v>
      </c>
      <c r="L340" s="1839" t="s">
        <v>2864</v>
      </c>
      <c r="M340" s="1840"/>
      <c r="N340" s="1841" t="s">
        <v>130</v>
      </c>
    </row>
    <row r="341">
      <c r="A341" s="901"/>
      <c r="B341" s="879"/>
      <c r="C341" s="879"/>
      <c r="D341" s="879"/>
      <c r="E341" s="879"/>
      <c r="F341" s="1383">
        <v>1231716.0</v>
      </c>
      <c r="G341" s="879"/>
      <c r="H341" s="879"/>
      <c r="I341" s="879"/>
      <c r="J341" s="879"/>
      <c r="K341" s="879"/>
      <c r="L341" s="1842" t="s">
        <v>2865</v>
      </c>
      <c r="M341" s="1369"/>
      <c r="N341" s="1843" t="s">
        <v>130</v>
      </c>
    </row>
    <row r="342">
      <c r="A342" s="1058"/>
      <c r="B342" s="1835">
        <v>45975.0</v>
      </c>
      <c r="C342" s="1835">
        <v>45992.0</v>
      </c>
      <c r="D342" s="1836">
        <v>1156062.0</v>
      </c>
      <c r="E342" s="1844"/>
      <c r="F342" s="1837"/>
      <c r="G342" s="1837" t="s">
        <v>2861</v>
      </c>
      <c r="H342" s="1837" t="s">
        <v>2863</v>
      </c>
      <c r="I342" s="1837" t="s">
        <v>506</v>
      </c>
      <c r="J342" s="1837" t="s">
        <v>506</v>
      </c>
      <c r="K342" s="1838">
        <v>39.99</v>
      </c>
      <c r="L342" s="1839">
        <v>29.99</v>
      </c>
      <c r="M342" s="1845">
        <v>-0.25</v>
      </c>
      <c r="N342" s="1841" t="s">
        <v>130</v>
      </c>
    </row>
    <row r="343" ht="23.25" hidden="1" customHeight="1">
      <c r="A343" s="1389" t="s">
        <v>2866</v>
      </c>
      <c r="B343" s="868"/>
      <c r="C343" s="868"/>
      <c r="D343" s="868"/>
      <c r="E343" s="868"/>
      <c r="F343" s="868"/>
      <c r="G343" s="868"/>
      <c r="H343" s="868"/>
      <c r="I343" s="868"/>
      <c r="J343" s="868"/>
      <c r="K343" s="868"/>
      <c r="L343" s="868"/>
      <c r="M343" s="868"/>
      <c r="N343" s="946"/>
    </row>
    <row r="344" hidden="1">
      <c r="A344" s="1846"/>
      <c r="B344" s="1847"/>
      <c r="C344" s="1847"/>
      <c r="D344" s="1848"/>
      <c r="E344" s="1697"/>
      <c r="F344" s="1697"/>
      <c r="G344" s="1760"/>
      <c r="H344" s="1760"/>
      <c r="I344" s="1760"/>
      <c r="J344" s="1760"/>
      <c r="K344" s="1849"/>
      <c r="M344" s="350"/>
      <c r="N344" s="1850"/>
    </row>
    <row r="345" hidden="1">
      <c r="A345" s="901"/>
      <c r="B345" s="362"/>
      <c r="C345" s="362"/>
      <c r="D345" s="1851"/>
      <c r="E345" s="362"/>
      <c r="F345" s="362"/>
      <c r="G345" s="1446"/>
      <c r="H345" s="1446"/>
      <c r="I345" s="1446"/>
      <c r="J345" s="1446"/>
      <c r="K345" s="365"/>
      <c r="M345" s="361"/>
      <c r="N345" s="362"/>
    </row>
    <row r="346" hidden="1">
      <c r="A346" s="892"/>
      <c r="B346" s="351"/>
      <c r="C346" s="351"/>
      <c r="D346" s="1852"/>
      <c r="E346" s="351"/>
      <c r="F346" s="351"/>
      <c r="G346" s="1449"/>
      <c r="H346" s="1449"/>
      <c r="I346" s="1449"/>
      <c r="J346" s="1449"/>
      <c r="K346" s="354"/>
      <c r="M346" s="350"/>
      <c r="N346" s="351"/>
    </row>
    <row r="347" hidden="1">
      <c r="A347" s="1853"/>
      <c r="B347" s="386"/>
      <c r="C347" s="386"/>
      <c r="D347" s="1854"/>
      <c r="E347" s="386"/>
      <c r="F347" s="386"/>
      <c r="G347" s="1499"/>
      <c r="H347" s="1499"/>
      <c r="I347" s="1499"/>
      <c r="J347" s="1499"/>
      <c r="K347" s="1077"/>
      <c r="L347" s="53"/>
      <c r="M347" s="54"/>
      <c r="N347" s="386"/>
    </row>
    <row r="348" hidden="1">
      <c r="A348" s="1389" t="s">
        <v>413</v>
      </c>
      <c r="B348" s="868"/>
      <c r="C348" s="868"/>
      <c r="D348" s="868"/>
      <c r="E348" s="868"/>
      <c r="F348" s="868"/>
      <c r="G348" s="868"/>
      <c r="H348" s="868"/>
      <c r="I348" s="868"/>
      <c r="J348" s="868"/>
      <c r="K348" s="868"/>
      <c r="L348" s="868"/>
      <c r="M348" s="868"/>
      <c r="N348" s="946"/>
    </row>
    <row r="349" hidden="1">
      <c r="A349" s="1846"/>
      <c r="B349" s="1847"/>
      <c r="C349" s="1847"/>
      <c r="D349" s="1848"/>
      <c r="E349" s="1697"/>
      <c r="F349" s="1697"/>
      <c r="G349" s="1760"/>
      <c r="H349" s="1760"/>
      <c r="I349" s="1760"/>
      <c r="J349" s="1855"/>
      <c r="K349" s="1761"/>
      <c r="L349" s="1761"/>
      <c r="M349" s="1762"/>
      <c r="N349" s="1850"/>
    </row>
    <row r="350" hidden="1">
      <c r="A350" s="901"/>
      <c r="B350" s="362"/>
      <c r="C350" s="362"/>
      <c r="D350" s="1856"/>
      <c r="E350" s="386"/>
      <c r="F350" s="386"/>
      <c r="G350" s="1446"/>
      <c r="H350" s="1446"/>
      <c r="I350" s="1446"/>
      <c r="J350" s="1857"/>
      <c r="K350" s="1447"/>
      <c r="L350" s="1447"/>
      <c r="M350" s="1448"/>
      <c r="N350" s="386"/>
    </row>
    <row r="351">
      <c r="A351" s="1387" t="s">
        <v>2867</v>
      </c>
      <c r="B351" s="868"/>
      <c r="C351" s="868"/>
      <c r="D351" s="868"/>
      <c r="E351" s="868"/>
      <c r="F351" s="865"/>
      <c r="G351" s="865"/>
      <c r="H351" s="865"/>
      <c r="I351" s="865"/>
      <c r="J351" s="865"/>
      <c r="K351" s="865"/>
      <c r="L351" s="865"/>
      <c r="M351" s="865"/>
      <c r="N351" s="866"/>
    </row>
    <row r="352">
      <c r="A352" s="1389" t="s">
        <v>2868</v>
      </c>
      <c r="B352" s="868"/>
      <c r="C352" s="868"/>
      <c r="D352" s="868"/>
      <c r="E352" s="868"/>
      <c r="F352" s="865"/>
      <c r="G352" s="865"/>
      <c r="H352" s="865"/>
      <c r="I352" s="865"/>
      <c r="J352" s="865"/>
      <c r="K352" s="865"/>
      <c r="L352" s="865"/>
      <c r="M352" s="865"/>
      <c r="N352" s="866"/>
    </row>
    <row r="353">
      <c r="A353" s="1858" t="s">
        <v>2723</v>
      </c>
      <c r="B353" s="1436">
        <v>45961.0</v>
      </c>
      <c r="C353" s="1436">
        <v>45992.0</v>
      </c>
      <c r="D353" s="1859">
        <v>1195244.0</v>
      </c>
      <c r="E353" s="1437"/>
      <c r="F353" s="1859">
        <v>1231945.0</v>
      </c>
      <c r="G353" s="1860" t="s">
        <v>2869</v>
      </c>
      <c r="H353" s="1860" t="s">
        <v>2870</v>
      </c>
      <c r="I353" s="1860" t="s">
        <v>2871</v>
      </c>
      <c r="J353" s="1860" t="s">
        <v>506</v>
      </c>
      <c r="K353" s="1861">
        <v>79.99</v>
      </c>
      <c r="L353" s="1861">
        <v>64.99</v>
      </c>
      <c r="M353" s="1862" t="s">
        <v>2872</v>
      </c>
      <c r="N353" s="1863" t="s">
        <v>130</v>
      </c>
    </row>
    <row r="354">
      <c r="A354" s="1673" t="s">
        <v>2418</v>
      </c>
      <c r="B354" s="1864">
        <v>45962.0</v>
      </c>
      <c r="C354" s="1864">
        <v>45992.0</v>
      </c>
      <c r="D354" s="1353">
        <v>1177721.0</v>
      </c>
      <c r="E354" s="1865"/>
      <c r="F354" s="1865"/>
      <c r="G354" s="1866" t="s">
        <v>2869</v>
      </c>
      <c r="H354" s="1866" t="s">
        <v>2870</v>
      </c>
      <c r="I354" s="1866" t="s">
        <v>2873</v>
      </c>
      <c r="J354" s="1866" t="s">
        <v>506</v>
      </c>
      <c r="K354" s="1867">
        <v>94.99</v>
      </c>
      <c r="L354" s="1867">
        <v>49.99</v>
      </c>
      <c r="M354" s="1868">
        <v>-0.47</v>
      </c>
      <c r="N354" s="1869"/>
    </row>
    <row r="355">
      <c r="A355" s="892"/>
      <c r="B355" s="351"/>
      <c r="C355" s="351"/>
      <c r="D355" s="1311">
        <v>1204765.0</v>
      </c>
      <c r="E355" s="351"/>
      <c r="F355" s="351"/>
      <c r="G355" s="1870" t="s">
        <v>2869</v>
      </c>
      <c r="H355" s="1870" t="s">
        <v>2870</v>
      </c>
      <c r="I355" s="1870" t="s">
        <v>2874</v>
      </c>
      <c r="J355" s="1870" t="s">
        <v>496</v>
      </c>
      <c r="K355" s="1871">
        <v>349.99</v>
      </c>
      <c r="L355" s="1871">
        <v>249.99</v>
      </c>
      <c r="M355" s="1872">
        <v>-0.29</v>
      </c>
      <c r="N355" s="1873"/>
    </row>
    <row r="356">
      <c r="A356" s="878"/>
      <c r="B356" s="879"/>
      <c r="C356" s="879"/>
      <c r="D356" s="1317">
        <v>1216086.0</v>
      </c>
      <c r="E356" s="879"/>
      <c r="F356" s="879"/>
      <c r="G356" s="1874" t="s">
        <v>2869</v>
      </c>
      <c r="H356" s="1874" t="s">
        <v>2870</v>
      </c>
      <c r="I356" s="1874" t="s">
        <v>2875</v>
      </c>
      <c r="J356" s="1874" t="s">
        <v>491</v>
      </c>
      <c r="K356" s="1875">
        <v>49.99</v>
      </c>
      <c r="L356" s="1875">
        <v>24.99</v>
      </c>
      <c r="M356" s="1876">
        <v>-0.5</v>
      </c>
      <c r="N356" s="1877"/>
    </row>
    <row r="357">
      <c r="A357" s="1503" t="s">
        <v>2876</v>
      </c>
      <c r="B357" s="1504">
        <v>45962.0</v>
      </c>
      <c r="C357" s="1504">
        <v>45992.0</v>
      </c>
      <c r="D357" s="1878">
        <v>1216085.0</v>
      </c>
      <c r="E357" s="1879"/>
      <c r="F357" s="1879"/>
      <c r="G357" s="1880" t="s">
        <v>2869</v>
      </c>
      <c r="H357" s="1880" t="s">
        <v>2870</v>
      </c>
      <c r="I357" s="1880" t="s">
        <v>2877</v>
      </c>
      <c r="J357" s="1880" t="s">
        <v>506</v>
      </c>
      <c r="K357" s="1881">
        <v>39.99</v>
      </c>
      <c r="L357" s="1881">
        <v>19.99</v>
      </c>
      <c r="M357" s="1882">
        <v>-0.5</v>
      </c>
      <c r="N357" s="1883" t="s">
        <v>130</v>
      </c>
    </row>
    <row r="358">
      <c r="A358" s="1389" t="s">
        <v>2878</v>
      </c>
      <c r="B358" s="868"/>
      <c r="C358" s="868"/>
      <c r="D358" s="868"/>
      <c r="E358" s="868"/>
      <c r="F358" s="865"/>
      <c r="G358" s="865"/>
      <c r="H358" s="865"/>
      <c r="I358" s="865"/>
      <c r="J358" s="865"/>
      <c r="K358" s="865"/>
      <c r="L358" s="865"/>
      <c r="M358" s="865"/>
      <c r="N358" s="866"/>
    </row>
    <row r="359">
      <c r="A359" s="1373" t="s">
        <v>2418</v>
      </c>
      <c r="B359" s="1776">
        <v>45925.0</v>
      </c>
      <c r="C359" s="1776">
        <v>46015.0</v>
      </c>
      <c r="D359" s="1777">
        <v>1210163.0</v>
      </c>
      <c r="E359" s="1437"/>
      <c r="F359" s="1884"/>
      <c r="G359" s="1870" t="s">
        <v>2879</v>
      </c>
      <c r="H359" s="1870" t="s">
        <v>2880</v>
      </c>
      <c r="I359" s="1647" t="s">
        <v>2881</v>
      </c>
      <c r="J359" s="1647" t="s">
        <v>543</v>
      </c>
      <c r="K359" s="1649">
        <v>249.0</v>
      </c>
      <c r="L359" s="1649">
        <v>224.0</v>
      </c>
      <c r="M359" s="305">
        <v>-0.1</v>
      </c>
      <c r="N359" s="1885" t="s">
        <v>130</v>
      </c>
    </row>
    <row r="360">
      <c r="A360" s="901"/>
      <c r="B360" s="362"/>
      <c r="C360" s="362"/>
      <c r="D360" s="1487">
        <v>1210164.0</v>
      </c>
      <c r="E360" s="362"/>
      <c r="F360" s="27"/>
      <c r="G360" s="1870" t="s">
        <v>2879</v>
      </c>
      <c r="H360" s="1870" t="s">
        <v>2880</v>
      </c>
      <c r="I360" s="310" t="s">
        <v>2882</v>
      </c>
      <c r="J360" s="310" t="s">
        <v>543</v>
      </c>
      <c r="K360" s="1539">
        <v>399.99</v>
      </c>
      <c r="L360" s="1539">
        <v>369.99</v>
      </c>
      <c r="M360" s="305">
        <v>-0.08</v>
      </c>
      <c r="N360" s="1779"/>
    </row>
    <row r="361">
      <c r="A361" s="892"/>
      <c r="B361" s="908"/>
      <c r="C361" s="908"/>
      <c r="D361" s="1780">
        <v>1215096.0</v>
      </c>
      <c r="E361" s="908"/>
      <c r="F361" s="1653"/>
      <c r="G361" s="1874" t="s">
        <v>2879</v>
      </c>
      <c r="H361" s="1874" t="s">
        <v>2880</v>
      </c>
      <c r="I361" s="1597" t="s">
        <v>2883</v>
      </c>
      <c r="J361" s="1597" t="s">
        <v>491</v>
      </c>
      <c r="K361" s="1598">
        <v>249.0</v>
      </c>
      <c r="L361" s="1598">
        <v>224.0</v>
      </c>
      <c r="M361" s="1599">
        <v>-0.1</v>
      </c>
      <c r="N361" s="1781"/>
    </row>
    <row r="362">
      <c r="A362" s="1886" t="s">
        <v>2884</v>
      </c>
      <c r="B362" s="1887">
        <v>45981.0</v>
      </c>
      <c r="C362" s="1887">
        <v>46012.0</v>
      </c>
      <c r="D362" s="1484">
        <v>1210163.0</v>
      </c>
      <c r="E362" s="1865"/>
      <c r="F362" s="1884"/>
      <c r="G362" s="1866" t="s">
        <v>2880</v>
      </c>
      <c r="H362" s="1866" t="s">
        <v>2879</v>
      </c>
      <c r="I362" s="1647" t="s">
        <v>2881</v>
      </c>
      <c r="J362" s="1647" t="s">
        <v>543</v>
      </c>
      <c r="K362" s="1649">
        <v>249.0</v>
      </c>
      <c r="L362" s="1888" t="s">
        <v>2885</v>
      </c>
      <c r="M362" s="856"/>
      <c r="N362" s="857"/>
    </row>
    <row r="363">
      <c r="A363" s="892"/>
      <c r="B363" s="351"/>
      <c r="C363" s="351"/>
      <c r="D363" s="1778">
        <v>1225412.0</v>
      </c>
      <c r="E363" s="351"/>
      <c r="F363" s="27"/>
      <c r="G363" s="1870" t="s">
        <v>2880</v>
      </c>
      <c r="H363" s="1870" t="s">
        <v>2879</v>
      </c>
      <c r="I363" s="310" t="s">
        <v>2886</v>
      </c>
      <c r="J363" s="310" t="s">
        <v>543</v>
      </c>
      <c r="K363" s="1539">
        <v>399.99</v>
      </c>
      <c r="L363" s="1889"/>
      <c r="N363" s="860"/>
    </row>
    <row r="364">
      <c r="A364" s="901"/>
      <c r="B364" s="362"/>
      <c r="C364" s="362"/>
      <c r="D364" s="1487">
        <v>1225413.0</v>
      </c>
      <c r="E364" s="362"/>
      <c r="F364" s="27"/>
      <c r="G364" s="1870" t="s">
        <v>2880</v>
      </c>
      <c r="H364" s="1870" t="s">
        <v>2879</v>
      </c>
      <c r="I364" s="310" t="s">
        <v>2887</v>
      </c>
      <c r="J364" s="310" t="s">
        <v>543</v>
      </c>
      <c r="K364" s="1539">
        <v>249.99</v>
      </c>
      <c r="L364" s="1889"/>
      <c r="N364" s="860"/>
    </row>
    <row r="365">
      <c r="A365" s="892"/>
      <c r="B365" s="351"/>
      <c r="C365" s="351"/>
      <c r="D365" s="1778">
        <v>1225415.0</v>
      </c>
      <c r="E365" s="351"/>
      <c r="F365" s="27"/>
      <c r="G365" s="1870" t="s">
        <v>2880</v>
      </c>
      <c r="H365" s="1870" t="s">
        <v>2879</v>
      </c>
      <c r="I365" s="310" t="s">
        <v>2888</v>
      </c>
      <c r="J365" s="310" t="s">
        <v>543</v>
      </c>
      <c r="K365" s="1539">
        <v>249.99</v>
      </c>
      <c r="L365" s="1889"/>
      <c r="N365" s="860"/>
    </row>
    <row r="366">
      <c r="A366" s="901"/>
      <c r="B366" s="362"/>
      <c r="C366" s="362"/>
      <c r="D366" s="1487">
        <v>1225416.0</v>
      </c>
      <c r="E366" s="362"/>
      <c r="F366" s="27"/>
      <c r="G366" s="1870" t="s">
        <v>2880</v>
      </c>
      <c r="H366" s="1870" t="s">
        <v>2879</v>
      </c>
      <c r="I366" s="310" t="s">
        <v>2889</v>
      </c>
      <c r="J366" s="310" t="s">
        <v>543</v>
      </c>
      <c r="K366" s="1539">
        <v>249.99</v>
      </c>
      <c r="L366" s="1889"/>
      <c r="N366" s="860"/>
    </row>
    <row r="367">
      <c r="A367" s="1058"/>
      <c r="B367" s="908"/>
      <c r="C367" s="908"/>
      <c r="D367" s="1780">
        <v>1225417.0</v>
      </c>
      <c r="E367" s="908"/>
      <c r="F367" s="1653"/>
      <c r="G367" s="1874" t="s">
        <v>2880</v>
      </c>
      <c r="H367" s="1874" t="s">
        <v>2879</v>
      </c>
      <c r="I367" s="1597" t="s">
        <v>2890</v>
      </c>
      <c r="J367" s="1597" t="s">
        <v>543</v>
      </c>
      <c r="K367" s="1598">
        <v>249.99</v>
      </c>
      <c r="L367" s="1670"/>
      <c r="M367" s="1671"/>
      <c r="N367" s="1890"/>
    </row>
    <row r="368" hidden="1">
      <c r="A368" s="1455"/>
      <c r="B368" s="1802"/>
      <c r="C368" s="1802"/>
      <c r="D368" s="1891"/>
      <c r="E368" s="1665"/>
      <c r="F368" s="1639"/>
      <c r="G368" s="1892"/>
      <c r="H368" s="1892"/>
      <c r="I368" s="1639"/>
      <c r="J368" s="1639"/>
      <c r="K368" s="1640"/>
      <c r="L368" s="1640"/>
      <c r="M368" s="1641"/>
      <c r="N368" s="1893"/>
    </row>
    <row r="369" hidden="1">
      <c r="A369" s="1846"/>
      <c r="B369" s="1806"/>
      <c r="C369" s="1806"/>
      <c r="D369" s="1778"/>
      <c r="E369" s="1645"/>
      <c r="F369" s="310"/>
      <c r="G369" s="1870"/>
      <c r="H369" s="1870"/>
      <c r="I369" s="310"/>
      <c r="J369" s="310"/>
      <c r="K369" s="1539"/>
      <c r="L369" s="1539"/>
      <c r="M369" s="305"/>
      <c r="N369" s="1779"/>
    </row>
    <row r="370" hidden="1">
      <c r="A370" s="1455"/>
      <c r="B370" s="1802"/>
      <c r="C370" s="1802"/>
      <c r="D370" s="1487"/>
      <c r="E370" s="1643"/>
      <c r="F370" s="310"/>
      <c r="G370" s="1870"/>
      <c r="H370" s="1870"/>
      <c r="I370" s="310"/>
      <c r="J370" s="310"/>
      <c r="K370" s="1539"/>
      <c r="L370" s="1539"/>
      <c r="M370" s="305"/>
      <c r="N370" s="1779"/>
    </row>
    <row r="371" hidden="1">
      <c r="A371" s="1846"/>
      <c r="B371" s="1806"/>
      <c r="C371" s="1806"/>
      <c r="D371" s="1778"/>
      <c r="E371" s="1645"/>
      <c r="F371" s="291"/>
      <c r="G371" s="1870"/>
      <c r="H371" s="1870"/>
      <c r="I371" s="289"/>
      <c r="J371" s="289"/>
      <c r="K371" s="1552"/>
      <c r="L371" s="1552"/>
      <c r="M371" s="305"/>
      <c r="N371" s="1779"/>
    </row>
    <row r="372" hidden="1">
      <c r="A372" s="1894"/>
      <c r="B372" s="1895"/>
      <c r="C372" s="1895"/>
      <c r="D372" s="289"/>
      <c r="E372" s="291"/>
      <c r="F372" s="291"/>
      <c r="G372" s="1896"/>
      <c r="H372" s="1896"/>
      <c r="I372" s="289"/>
      <c r="J372" s="289"/>
      <c r="K372" s="1552"/>
      <c r="L372" s="1552"/>
      <c r="M372" s="305"/>
      <c r="N372" s="1779"/>
    </row>
    <row r="373" hidden="1">
      <c r="A373" s="1897"/>
      <c r="B373" s="1898"/>
      <c r="C373" s="1898"/>
      <c r="D373" s="293"/>
      <c r="E373" s="309"/>
      <c r="F373" s="309"/>
      <c r="G373" s="1899"/>
      <c r="H373" s="1899"/>
      <c r="I373" s="293"/>
      <c r="J373" s="293"/>
      <c r="K373" s="1557"/>
      <c r="L373" s="1557"/>
      <c r="M373" s="1610"/>
      <c r="N373" s="1900"/>
    </row>
    <row r="374">
      <c r="A374" s="1387" t="s">
        <v>2891</v>
      </c>
      <c r="B374" s="868"/>
      <c r="C374" s="868"/>
      <c r="D374" s="868"/>
      <c r="E374" s="868"/>
      <c r="F374" s="868"/>
      <c r="G374" s="868"/>
      <c r="H374" s="868"/>
      <c r="I374" s="868"/>
      <c r="J374" s="868"/>
      <c r="K374" s="868"/>
      <c r="L374" s="868"/>
      <c r="M374" s="868"/>
      <c r="N374" s="946"/>
    </row>
    <row r="375">
      <c r="A375" s="1814" t="s">
        <v>2892</v>
      </c>
      <c r="B375" s="1156"/>
      <c r="C375" s="1156"/>
      <c r="D375" s="1156"/>
      <c r="E375" s="1156"/>
      <c r="F375" s="1156"/>
      <c r="G375" s="1156"/>
      <c r="H375" s="1156"/>
      <c r="I375" s="1156"/>
      <c r="J375" s="1156"/>
      <c r="K375" s="1156"/>
      <c r="L375" s="1156"/>
      <c r="M375" s="1156"/>
      <c r="N375" s="1388"/>
    </row>
    <row r="376">
      <c r="A376" s="1901" t="s">
        <v>2893</v>
      </c>
      <c r="B376" s="1902">
        <v>45981.0</v>
      </c>
      <c r="C376" s="1902">
        <v>45992.0</v>
      </c>
      <c r="D376" s="1903">
        <v>1203955.0</v>
      </c>
      <c r="E376" s="1904"/>
      <c r="F376" s="1905">
        <v>1219211.0</v>
      </c>
      <c r="G376" s="1906" t="s">
        <v>2894</v>
      </c>
      <c r="H376" s="1906" t="s">
        <v>2895</v>
      </c>
      <c r="I376" s="1906" t="s">
        <v>2896</v>
      </c>
      <c r="J376" s="1906" t="s">
        <v>506</v>
      </c>
      <c r="K376" s="1907">
        <v>849.99</v>
      </c>
      <c r="L376" s="1907">
        <v>649.99</v>
      </c>
      <c r="M376" s="1908">
        <v>-0.24</v>
      </c>
      <c r="N376" s="1909" t="s">
        <v>130</v>
      </c>
    </row>
    <row r="377">
      <c r="A377" s="1733"/>
      <c r="B377" s="1739"/>
      <c r="C377" s="1739"/>
      <c r="D377" s="1910">
        <v>1203999.0</v>
      </c>
      <c r="E377" s="1733"/>
      <c r="F377" s="1911"/>
      <c r="G377" s="1912" t="s">
        <v>2897</v>
      </c>
      <c r="H377" s="1912" t="s">
        <v>2898</v>
      </c>
      <c r="I377" s="1912" t="s">
        <v>2899</v>
      </c>
      <c r="J377" s="1912" t="s">
        <v>506</v>
      </c>
      <c r="K377" s="1913" t="s">
        <v>2900</v>
      </c>
      <c r="L377" s="1081"/>
      <c r="M377" s="1082"/>
      <c r="N377" s="1733"/>
    </row>
    <row r="378" hidden="1">
      <c r="A378" s="1886"/>
      <c r="B378" s="1887"/>
      <c r="C378" s="1887"/>
      <c r="D378" s="1484"/>
      <c r="E378" s="1865"/>
      <c r="F378" s="1914"/>
      <c r="G378" s="1915"/>
      <c r="H378" s="1915"/>
      <c r="I378" s="1915"/>
      <c r="J378" s="1915"/>
      <c r="K378" s="1916"/>
      <c r="L378" s="1175"/>
      <c r="M378" s="876"/>
      <c r="N378" s="1917"/>
    </row>
    <row r="379" hidden="1">
      <c r="A379" s="892"/>
      <c r="B379" s="908"/>
      <c r="C379" s="908"/>
      <c r="D379" s="1778"/>
      <c r="E379" s="79"/>
      <c r="F379" s="79"/>
      <c r="G379" s="1918"/>
      <c r="H379" s="1918"/>
      <c r="I379" s="1918"/>
      <c r="J379" s="1918"/>
      <c r="K379" s="367"/>
      <c r="L379" s="1919"/>
      <c r="M379" s="366"/>
      <c r="N379" s="1920"/>
    </row>
    <row r="380">
      <c r="A380" s="1814" t="s">
        <v>2901</v>
      </c>
      <c r="B380" s="1156"/>
      <c r="C380" s="1156"/>
      <c r="D380" s="1156"/>
      <c r="E380" s="1156"/>
      <c r="F380" s="1156"/>
      <c r="G380" s="1156"/>
      <c r="H380" s="1156"/>
      <c r="I380" s="1156"/>
      <c r="J380" s="1156"/>
      <c r="K380" s="1156"/>
      <c r="L380" s="1156"/>
      <c r="M380" s="1156"/>
      <c r="N380" s="1388"/>
    </row>
    <row r="381">
      <c r="A381" s="1886" t="s">
        <v>2902</v>
      </c>
      <c r="B381" s="1921">
        <v>45940.0</v>
      </c>
      <c r="C381" s="1922">
        <v>45977.0</v>
      </c>
      <c r="D381" s="1493">
        <v>1218731.0</v>
      </c>
      <c r="E381" s="1923"/>
      <c r="F381" s="1493">
        <v>1231160.0</v>
      </c>
      <c r="G381" s="1924" t="s">
        <v>2895</v>
      </c>
      <c r="H381" s="1684" t="s">
        <v>2894</v>
      </c>
      <c r="I381" s="1684" t="s">
        <v>2903</v>
      </c>
      <c r="J381" s="1684" t="s">
        <v>488</v>
      </c>
      <c r="K381" s="1925">
        <v>1299.99</v>
      </c>
      <c r="L381" s="1685" t="s">
        <v>2904</v>
      </c>
      <c r="M381" s="361"/>
      <c r="N381" s="1926" t="s">
        <v>130</v>
      </c>
    </row>
    <row r="382">
      <c r="A382" s="892"/>
      <c r="B382" s="351"/>
      <c r="C382" s="351"/>
      <c r="D382" s="79"/>
      <c r="E382" s="79"/>
      <c r="F382" s="79"/>
      <c r="G382" s="79"/>
      <c r="H382" s="79"/>
      <c r="I382" s="79"/>
      <c r="J382" s="79"/>
      <c r="K382" s="79"/>
      <c r="L382" s="367"/>
      <c r="M382" s="366"/>
      <c r="N382" s="1920"/>
    </row>
    <row r="383">
      <c r="A383" s="901"/>
      <c r="B383" s="362"/>
      <c r="C383" s="362"/>
      <c r="D383" s="1927">
        <v>1219692.0</v>
      </c>
      <c r="E383" s="1928"/>
      <c r="F383" s="1927">
        <v>1231159.0</v>
      </c>
      <c r="G383" s="1924" t="s">
        <v>2895</v>
      </c>
      <c r="H383" s="1684" t="s">
        <v>2894</v>
      </c>
      <c r="I383" s="1684" t="s">
        <v>2905</v>
      </c>
      <c r="J383" s="1684" t="s">
        <v>2429</v>
      </c>
      <c r="K383" s="1500">
        <v>899.99</v>
      </c>
      <c r="L383" s="1929" t="s">
        <v>2906</v>
      </c>
      <c r="M383" s="1042"/>
      <c r="N383" s="1926" t="s">
        <v>130</v>
      </c>
    </row>
    <row r="384">
      <c r="A384" s="1058"/>
      <c r="B384" s="351"/>
      <c r="C384" s="908"/>
      <c r="D384" s="351"/>
      <c r="E384" s="79"/>
      <c r="F384" s="351"/>
      <c r="G384" s="79"/>
      <c r="H384" s="79"/>
      <c r="I384" s="79"/>
      <c r="J384" s="79"/>
      <c r="K384" s="79"/>
      <c r="L384" s="367"/>
      <c r="M384" s="366"/>
      <c r="N384" s="1920"/>
    </row>
    <row r="385">
      <c r="A385" s="1930" t="s">
        <v>2418</v>
      </c>
      <c r="B385" s="1931">
        <v>45978.0</v>
      </c>
      <c r="C385" s="1932">
        <v>45992.0</v>
      </c>
      <c r="D385" s="1933">
        <v>1218731.0</v>
      </c>
      <c r="E385" s="1934"/>
      <c r="F385" s="1935"/>
      <c r="G385" s="1936" t="s">
        <v>2894</v>
      </c>
      <c r="H385" s="1729" t="s">
        <v>2895</v>
      </c>
      <c r="I385" s="1729" t="s">
        <v>2903</v>
      </c>
      <c r="J385" s="1729" t="s">
        <v>488</v>
      </c>
      <c r="K385" s="1500">
        <v>1299.99</v>
      </c>
      <c r="L385" s="1500">
        <v>799.99</v>
      </c>
      <c r="M385" s="1448">
        <v>-0.38</v>
      </c>
      <c r="N385" s="1937"/>
    </row>
    <row r="386">
      <c r="A386" s="1739"/>
      <c r="B386" s="1739"/>
      <c r="C386" s="1739"/>
      <c r="D386" s="1938">
        <v>1219692.0</v>
      </c>
      <c r="E386" s="1739"/>
      <c r="F386" s="1739"/>
      <c r="G386" s="1939" t="s">
        <v>2894</v>
      </c>
      <c r="H386" s="1735" t="s">
        <v>2895</v>
      </c>
      <c r="I386" s="1735" t="s">
        <v>2905</v>
      </c>
      <c r="J386" s="1735" t="s">
        <v>2429</v>
      </c>
      <c r="K386" s="1453">
        <v>899.99</v>
      </c>
      <c r="L386" s="1453">
        <v>599.99</v>
      </c>
      <c r="M386" s="1451">
        <v>-0.33</v>
      </c>
      <c r="N386" s="1940"/>
    </row>
    <row r="387">
      <c r="A387" s="1814" t="s">
        <v>2907</v>
      </c>
      <c r="B387" s="1156"/>
      <c r="C387" s="1156"/>
      <c r="D387" s="1156"/>
      <c r="E387" s="1156"/>
      <c r="F387" s="865"/>
      <c r="G387" s="865"/>
      <c r="H387" s="865"/>
      <c r="I387" s="865"/>
      <c r="J387" s="865"/>
      <c r="K387" s="865"/>
      <c r="L387" s="865"/>
      <c r="M387" s="865"/>
      <c r="N387" s="866"/>
    </row>
    <row r="388">
      <c r="A388" s="1886" t="s">
        <v>2418</v>
      </c>
      <c r="B388" s="1941">
        <v>45962.0</v>
      </c>
      <c r="C388" s="1922">
        <v>45980.0</v>
      </c>
      <c r="D388" s="1927">
        <v>1220218.0</v>
      </c>
      <c r="E388" s="1942"/>
      <c r="F388" s="1943"/>
      <c r="G388" s="1944" t="s">
        <v>2895</v>
      </c>
      <c r="H388" s="1499" t="s">
        <v>2894</v>
      </c>
      <c r="I388" s="1499">
        <v>600.0</v>
      </c>
      <c r="J388" s="1499" t="s">
        <v>543</v>
      </c>
      <c r="K388" s="1500">
        <v>999.99</v>
      </c>
      <c r="L388" s="1500">
        <v>699.99</v>
      </c>
      <c r="M388" s="1448">
        <v>-0.3</v>
      </c>
      <c r="N388" s="1945"/>
    </row>
    <row r="389">
      <c r="A389" s="1058"/>
      <c r="B389" s="1689"/>
      <c r="C389" s="908"/>
      <c r="D389" s="1946">
        <v>1220232.0</v>
      </c>
      <c r="E389" s="908"/>
      <c r="F389" s="908"/>
      <c r="G389" s="1947" t="s">
        <v>2895</v>
      </c>
      <c r="H389" s="1680" t="s">
        <v>2894</v>
      </c>
      <c r="I389" s="1680">
        <v>1000.0</v>
      </c>
      <c r="J389" s="1680" t="s">
        <v>543</v>
      </c>
      <c r="K389" s="1681">
        <v>1199.99</v>
      </c>
      <c r="L389" s="1681">
        <v>799.99</v>
      </c>
      <c r="M389" s="1682">
        <v>-0.33</v>
      </c>
      <c r="N389" s="1948"/>
    </row>
    <row r="390" hidden="1">
      <c r="A390" s="1455"/>
      <c r="B390" s="1949"/>
      <c r="C390" s="1921"/>
      <c r="D390" s="1493"/>
      <c r="E390" s="1942"/>
      <c r="F390" s="1943"/>
      <c r="G390" s="1950"/>
      <c r="H390" s="1684"/>
      <c r="I390" s="1684"/>
      <c r="J390" s="1684"/>
      <c r="K390" s="1685"/>
      <c r="M390" s="361"/>
      <c r="N390" s="1951"/>
    </row>
    <row r="391" hidden="1">
      <c r="A391" s="1846"/>
      <c r="B391" s="1952"/>
      <c r="C391" s="1953"/>
      <c r="D391" s="1946"/>
      <c r="E391" s="908"/>
      <c r="F391" s="908"/>
      <c r="H391" s="1680"/>
      <c r="I391" s="1680"/>
      <c r="J391" s="1680"/>
      <c r="K391" s="1688"/>
      <c r="L391" s="1113"/>
      <c r="M391" s="1689"/>
      <c r="N391" s="1948"/>
    </row>
    <row r="392" hidden="1">
      <c r="A392" s="1455"/>
      <c r="B392" s="1949"/>
      <c r="C392" s="1921"/>
      <c r="D392" s="1927"/>
      <c r="E392" s="1942"/>
      <c r="F392" s="1943"/>
      <c r="G392" s="1944"/>
      <c r="H392" s="1499"/>
      <c r="I392" s="1499"/>
      <c r="J392" s="1499"/>
      <c r="K392" s="1929"/>
      <c r="L392" s="1954"/>
      <c r="M392" s="1042"/>
      <c r="N392" s="1945"/>
    </row>
    <row r="393" hidden="1">
      <c r="A393" s="1955"/>
      <c r="B393" s="1956"/>
      <c r="C393" s="1957"/>
      <c r="D393" s="1946"/>
      <c r="E393" s="908"/>
      <c r="F393" s="908"/>
      <c r="H393" s="1680"/>
      <c r="I393" s="1680"/>
      <c r="J393" s="1680"/>
      <c r="K393" s="1688"/>
      <c r="L393" s="1113"/>
      <c r="M393" s="1689"/>
      <c r="N393" s="1948"/>
    </row>
    <row r="394" hidden="1">
      <c r="A394" s="1886"/>
      <c r="B394" s="1949"/>
      <c r="C394" s="1922"/>
      <c r="D394" s="1927"/>
      <c r="E394" s="1942"/>
      <c r="F394" s="1943"/>
      <c r="G394" s="1944"/>
      <c r="H394" s="1499"/>
      <c r="I394" s="1499"/>
      <c r="J394" s="1499"/>
      <c r="K394" s="1500"/>
      <c r="L394" s="1500"/>
      <c r="M394" s="1448"/>
      <c r="N394" s="1945"/>
    </row>
    <row r="395" hidden="1">
      <c r="A395" s="1058"/>
      <c r="B395" s="1689"/>
      <c r="C395" s="908"/>
      <c r="D395" s="1946"/>
      <c r="E395" s="908"/>
      <c r="F395" s="908"/>
      <c r="H395" s="1680"/>
      <c r="I395" s="1680"/>
      <c r="J395" s="1680"/>
      <c r="K395" s="1453"/>
      <c r="L395" s="1453"/>
      <c r="M395" s="1682"/>
      <c r="N395" s="1948"/>
    </row>
    <row r="396">
      <c r="A396" s="1814" t="s">
        <v>2908</v>
      </c>
      <c r="B396" s="1156"/>
      <c r="C396" s="1156"/>
      <c r="D396" s="1156"/>
      <c r="E396" s="1156"/>
      <c r="F396" s="865"/>
      <c r="G396" s="865"/>
      <c r="H396" s="865"/>
      <c r="I396" s="865"/>
      <c r="J396" s="865"/>
      <c r="K396" s="865"/>
      <c r="L396" s="865"/>
      <c r="M396" s="865"/>
      <c r="N396" s="866"/>
    </row>
    <row r="397">
      <c r="A397" s="1886" t="s">
        <v>2418</v>
      </c>
      <c r="B397" s="1958">
        <v>45962.0</v>
      </c>
      <c r="C397" s="1959">
        <v>45980.0</v>
      </c>
      <c r="D397" s="1933">
        <v>1220215.0</v>
      </c>
      <c r="E397" s="1960"/>
      <c r="F397" s="1936"/>
      <c r="G397" s="1961" t="s">
        <v>2894</v>
      </c>
      <c r="H397" s="1961" t="s">
        <v>2895</v>
      </c>
      <c r="I397" s="1961" t="s">
        <v>2909</v>
      </c>
      <c r="J397" s="1961" t="s">
        <v>543</v>
      </c>
      <c r="K397" s="1961">
        <v>1599.99</v>
      </c>
      <c r="L397" s="1961">
        <v>999.99</v>
      </c>
      <c r="M397" s="1962">
        <v>-0.38</v>
      </c>
      <c r="N397" s="1937"/>
    </row>
    <row r="398">
      <c r="A398" s="1058"/>
      <c r="B398" s="1963">
        <v>45981.0</v>
      </c>
      <c r="C398" s="1964" t="s">
        <v>2910</v>
      </c>
      <c r="D398" s="1965">
        <v>1220215.0</v>
      </c>
      <c r="E398" s="1966"/>
      <c r="F398" s="1939"/>
      <c r="G398" s="1967" t="s">
        <v>2894</v>
      </c>
      <c r="H398" s="1967" t="s">
        <v>2895</v>
      </c>
      <c r="I398" s="1967" t="s">
        <v>2909</v>
      </c>
      <c r="J398" s="1967" t="s">
        <v>543</v>
      </c>
      <c r="K398" s="1967">
        <v>999.99</v>
      </c>
      <c r="L398" s="1967">
        <v>949.99</v>
      </c>
      <c r="M398" s="1968">
        <v>-0.05</v>
      </c>
      <c r="N398" s="1940"/>
    </row>
    <row r="399" hidden="1">
      <c r="A399" s="1969"/>
      <c r="B399" s="1970"/>
      <c r="C399" s="1970"/>
      <c r="D399" s="1971"/>
      <c r="E399" s="1972"/>
      <c r="F399" s="1973"/>
      <c r="G399" s="1974"/>
      <c r="H399" s="1974"/>
      <c r="I399" s="1974"/>
      <c r="J399" s="1974"/>
      <c r="K399" s="1974"/>
      <c r="L399" s="1974"/>
      <c r="M399" s="1974"/>
      <c r="N399" s="1975"/>
    </row>
    <row r="400" hidden="1">
      <c r="A400" s="1814"/>
      <c r="B400" s="1156"/>
      <c r="C400" s="1156"/>
      <c r="D400" s="1156"/>
      <c r="E400" s="1156"/>
      <c r="F400" s="865"/>
      <c r="G400" s="865"/>
      <c r="H400" s="865"/>
      <c r="I400" s="865"/>
      <c r="J400" s="865"/>
      <c r="K400" s="865"/>
      <c r="L400" s="865"/>
      <c r="M400" s="865"/>
      <c r="N400" s="866"/>
    </row>
    <row r="401" hidden="1">
      <c r="A401" s="1886"/>
      <c r="B401" s="1922"/>
      <c r="C401" s="1922"/>
      <c r="D401" s="1484"/>
      <c r="E401" s="1942"/>
      <c r="F401" s="1943"/>
      <c r="G401" s="1383"/>
      <c r="H401" s="1383"/>
      <c r="I401" s="1460"/>
      <c r="J401" s="1460"/>
      <c r="K401" s="1461"/>
      <c r="L401" s="1461"/>
      <c r="M401" s="1462"/>
      <c r="N401" s="1976"/>
    </row>
    <row r="402" hidden="1">
      <c r="A402" s="1058"/>
      <c r="B402" s="908"/>
      <c r="C402" s="908"/>
      <c r="D402" s="1780"/>
      <c r="E402" s="908"/>
      <c r="F402" s="908"/>
      <c r="G402" s="1680"/>
      <c r="H402" s="1680"/>
      <c r="I402" s="1680"/>
      <c r="J402" s="1680"/>
      <c r="K402" s="1681"/>
      <c r="L402" s="1681"/>
      <c r="M402" s="1682"/>
      <c r="N402" s="1948"/>
    </row>
    <row r="403">
      <c r="A403" s="1977" t="s">
        <v>2911</v>
      </c>
      <c r="B403" s="1081"/>
      <c r="C403" s="1081"/>
      <c r="D403" s="1081"/>
      <c r="E403" s="1081"/>
      <c r="F403" s="1081"/>
      <c r="G403" s="1081"/>
      <c r="H403" s="1081"/>
      <c r="I403" s="1081"/>
      <c r="J403" s="1081"/>
      <c r="K403" s="856"/>
      <c r="L403" s="856"/>
      <c r="M403" s="856"/>
      <c r="N403" s="857"/>
    </row>
    <row r="404">
      <c r="A404" s="1978" t="s">
        <v>2893</v>
      </c>
      <c r="B404" s="1979">
        <v>45975.0</v>
      </c>
      <c r="C404" s="1979">
        <v>45992.0</v>
      </c>
      <c r="D404" s="1980">
        <v>1220864.0</v>
      </c>
      <c r="E404" s="1981"/>
      <c r="F404" s="1981"/>
      <c r="G404" s="1982" t="s">
        <v>2894</v>
      </c>
      <c r="H404" s="1982" t="s">
        <v>2895</v>
      </c>
      <c r="I404" s="1982" t="s">
        <v>2912</v>
      </c>
      <c r="J404" s="1982" t="s">
        <v>491</v>
      </c>
      <c r="K404" s="1983">
        <v>1099.99</v>
      </c>
      <c r="L404" s="1983">
        <v>699.99</v>
      </c>
      <c r="M404" s="1984">
        <v>-0.36</v>
      </c>
      <c r="N404" s="1985" t="s">
        <v>130</v>
      </c>
    </row>
    <row r="405" hidden="1">
      <c r="A405" s="1846"/>
      <c r="B405" s="1953"/>
      <c r="C405" s="1953"/>
      <c r="D405" s="1796"/>
      <c r="E405" s="1784"/>
      <c r="F405" s="1784"/>
      <c r="G405" s="1796"/>
      <c r="H405" s="1796"/>
      <c r="I405" s="1796"/>
      <c r="J405" s="1796"/>
      <c r="K405" s="1986"/>
      <c r="L405" s="1986"/>
      <c r="M405" s="1987"/>
      <c r="N405" s="1988"/>
    </row>
    <row r="406" hidden="1">
      <c r="A406" s="1455"/>
      <c r="B406" s="1921"/>
      <c r="C406" s="1921"/>
      <c r="D406" s="1803"/>
      <c r="E406" s="1923"/>
      <c r="F406" s="1923"/>
      <c r="G406" s="1803"/>
      <c r="H406" s="1803"/>
      <c r="I406" s="1803"/>
      <c r="J406" s="1803"/>
      <c r="K406" s="1986"/>
      <c r="L406" s="1986"/>
      <c r="M406" s="1987"/>
      <c r="N406" s="1989"/>
    </row>
    <row r="407" hidden="1">
      <c r="A407" s="1846"/>
      <c r="B407" s="1953"/>
      <c r="C407" s="1953"/>
      <c r="D407" s="1990"/>
      <c r="E407" s="1784"/>
      <c r="F407" s="1784"/>
      <c r="G407" s="1990"/>
      <c r="H407" s="1990"/>
      <c r="I407" s="1990"/>
      <c r="J407" s="1990"/>
      <c r="K407" s="1991"/>
      <c r="L407" s="1991"/>
      <c r="M407" s="1992"/>
      <c r="N407" s="1993"/>
    </row>
    <row r="408" hidden="1">
      <c r="A408" s="1455"/>
      <c r="B408" s="1921"/>
      <c r="C408" s="1921"/>
      <c r="D408" s="1943"/>
      <c r="E408" s="1994"/>
      <c r="F408" s="1995"/>
      <c r="G408" s="1995"/>
      <c r="H408" s="1995"/>
      <c r="I408" s="1995"/>
      <c r="J408" s="1996"/>
      <c r="K408" s="1997"/>
      <c r="L408" s="875"/>
      <c r="M408" s="876"/>
      <c r="N408" s="1998"/>
    </row>
    <row r="409" hidden="1">
      <c r="A409" s="1999"/>
      <c r="B409" s="2000"/>
      <c r="C409" s="2000"/>
      <c r="D409" s="879"/>
      <c r="E409" s="879"/>
      <c r="F409" s="879"/>
      <c r="G409" s="1653"/>
      <c r="H409" s="1653"/>
      <c r="I409" s="1653"/>
      <c r="J409" s="1653"/>
      <c r="K409" s="1653"/>
      <c r="L409" s="1688"/>
      <c r="M409" s="1689"/>
      <c r="N409" s="1000"/>
    </row>
    <row r="410">
      <c r="A410" s="2001"/>
      <c r="B410" s="2001"/>
      <c r="C410" s="2001"/>
      <c r="D410" s="2001"/>
      <c r="E410" s="2001"/>
      <c r="F410" s="2001"/>
      <c r="G410" s="2001"/>
      <c r="H410" s="2001"/>
      <c r="I410" s="2001"/>
      <c r="J410" s="2001"/>
      <c r="K410" s="2001"/>
      <c r="L410" s="2001"/>
      <c r="M410" s="2001"/>
      <c r="N410" s="2002"/>
    </row>
    <row r="411">
      <c r="A411" s="2001"/>
      <c r="B411" s="2001"/>
      <c r="C411" s="2001"/>
      <c r="D411" s="2001"/>
      <c r="E411" s="2001"/>
      <c r="F411" s="2001"/>
      <c r="G411" s="2001"/>
      <c r="H411" s="2001"/>
      <c r="I411" s="2001"/>
      <c r="J411" s="2001"/>
      <c r="K411" s="2001"/>
      <c r="L411" s="2001"/>
      <c r="M411" s="2001"/>
      <c r="N411" s="2002"/>
    </row>
    <row r="412">
      <c r="A412" s="2001"/>
      <c r="B412" s="2001"/>
      <c r="C412" s="2001"/>
      <c r="D412" s="2001"/>
      <c r="E412" s="2001"/>
      <c r="F412" s="2001"/>
      <c r="G412" s="2001"/>
      <c r="H412" s="2001"/>
      <c r="I412" s="2001"/>
      <c r="J412" s="2001"/>
      <c r="K412" s="2001"/>
      <c r="L412" s="2001"/>
      <c r="M412" s="2001"/>
      <c r="N412" s="2002"/>
    </row>
    <row r="413">
      <c r="A413" s="2001"/>
      <c r="B413" s="2001"/>
      <c r="C413" s="2001"/>
      <c r="D413" s="2001"/>
      <c r="E413" s="2001"/>
      <c r="F413" s="2001"/>
      <c r="G413" s="2001"/>
      <c r="H413" s="2001"/>
      <c r="I413" s="2001"/>
      <c r="J413" s="2001"/>
      <c r="K413" s="2001"/>
      <c r="L413" s="2001"/>
      <c r="M413" s="2001"/>
      <c r="N413" s="2002"/>
    </row>
    <row r="414">
      <c r="A414" s="2001"/>
      <c r="B414" s="2001"/>
      <c r="C414" s="2001"/>
      <c r="D414" s="2001"/>
      <c r="E414" s="2001"/>
      <c r="F414" s="2001"/>
      <c r="G414" s="2001"/>
      <c r="H414" s="2001"/>
      <c r="I414" s="2001"/>
      <c r="J414" s="2001"/>
      <c r="K414" s="2001"/>
      <c r="L414" s="2001"/>
      <c r="M414" s="2001"/>
      <c r="N414" s="2002"/>
    </row>
    <row r="415">
      <c r="A415" s="1185"/>
      <c r="B415" s="1185"/>
      <c r="C415" s="1185"/>
      <c r="D415" s="1185"/>
      <c r="E415" s="1185"/>
      <c r="F415" s="1185"/>
      <c r="G415" s="1185"/>
      <c r="H415" s="1185"/>
      <c r="I415" s="1185"/>
      <c r="J415" s="1185"/>
      <c r="K415" s="1185"/>
      <c r="L415" s="1185"/>
      <c r="M415" s="1185"/>
      <c r="N415" s="195"/>
    </row>
    <row r="416">
      <c r="A416" s="1185"/>
      <c r="B416" s="1185"/>
      <c r="C416" s="1185"/>
      <c r="D416" s="1185"/>
      <c r="E416" s="1185"/>
      <c r="F416" s="1185"/>
      <c r="G416" s="1185"/>
      <c r="H416" s="1185"/>
      <c r="I416" s="1185"/>
      <c r="J416" s="1185"/>
      <c r="K416" s="1185"/>
      <c r="L416" s="1185"/>
      <c r="M416" s="1185"/>
      <c r="N416" s="195"/>
    </row>
    <row r="417">
      <c r="A417" s="1185"/>
      <c r="B417" s="1185"/>
      <c r="C417" s="1185"/>
      <c r="D417" s="1185"/>
      <c r="E417" s="1185"/>
      <c r="F417" s="1185"/>
      <c r="G417" s="1185"/>
      <c r="H417" s="1185"/>
      <c r="I417" s="1185"/>
      <c r="J417" s="1185"/>
      <c r="K417" s="1185"/>
      <c r="L417" s="1185"/>
      <c r="M417" s="1185"/>
      <c r="N417" s="195"/>
    </row>
    <row r="418">
      <c r="A418" s="1185"/>
      <c r="B418" s="1185"/>
      <c r="C418" s="1185"/>
      <c r="D418" s="1185"/>
      <c r="E418" s="1185"/>
      <c r="F418" s="1185"/>
      <c r="G418" s="1185"/>
      <c r="H418" s="1185"/>
      <c r="I418" s="1185"/>
      <c r="J418" s="1185"/>
      <c r="K418" s="1185"/>
      <c r="L418" s="1185"/>
      <c r="M418" s="1185"/>
      <c r="N418" s="195"/>
    </row>
    <row r="419">
      <c r="A419" s="1185"/>
      <c r="B419" s="1185"/>
      <c r="C419" s="1185"/>
      <c r="D419" s="1185"/>
      <c r="E419" s="1185"/>
      <c r="F419" s="1185"/>
      <c r="G419" s="1185"/>
      <c r="H419" s="1185"/>
      <c r="I419" s="1185"/>
      <c r="J419" s="1185"/>
      <c r="K419" s="1185"/>
      <c r="L419" s="1185"/>
      <c r="M419" s="1185"/>
      <c r="N419" s="195"/>
    </row>
    <row r="420">
      <c r="A420" s="1185"/>
      <c r="B420" s="1185"/>
      <c r="C420" s="1185"/>
      <c r="D420" s="1185"/>
      <c r="E420" s="1185"/>
      <c r="F420" s="1185"/>
      <c r="G420" s="1185"/>
      <c r="H420" s="1185"/>
      <c r="I420" s="1185"/>
      <c r="J420" s="1185"/>
      <c r="K420" s="1185"/>
      <c r="L420" s="1185"/>
      <c r="M420" s="1185"/>
      <c r="N420" s="195"/>
    </row>
    <row r="421">
      <c r="A421" s="1185"/>
      <c r="B421" s="1185"/>
      <c r="C421" s="1185"/>
      <c r="D421" s="1185"/>
      <c r="E421" s="1185"/>
      <c r="F421" s="1185"/>
      <c r="G421" s="1185"/>
      <c r="H421" s="1185"/>
      <c r="I421" s="1185"/>
      <c r="J421" s="1185"/>
      <c r="K421" s="1185"/>
      <c r="L421" s="1185"/>
      <c r="M421" s="1185"/>
      <c r="N421" s="195"/>
    </row>
    <row r="422">
      <c r="A422" s="1185"/>
      <c r="B422" s="1185"/>
      <c r="C422" s="1185"/>
      <c r="D422" s="1185"/>
      <c r="E422" s="1185"/>
      <c r="F422" s="1185"/>
      <c r="G422" s="1185"/>
      <c r="H422" s="1185"/>
      <c r="I422" s="1185"/>
      <c r="J422" s="1185"/>
      <c r="K422" s="1185"/>
      <c r="L422" s="1185"/>
      <c r="M422" s="1185"/>
      <c r="N422" s="195"/>
    </row>
    <row r="423">
      <c r="A423" s="1185"/>
      <c r="B423" s="1185"/>
      <c r="C423" s="1185"/>
      <c r="D423" s="1185"/>
      <c r="E423" s="1185"/>
      <c r="F423" s="1185"/>
      <c r="G423" s="1185"/>
      <c r="H423" s="1185"/>
      <c r="I423" s="1185"/>
      <c r="J423" s="1185"/>
      <c r="K423" s="1185"/>
      <c r="L423" s="1185"/>
      <c r="M423" s="1185"/>
      <c r="N423" s="195"/>
    </row>
    <row r="424">
      <c r="A424" s="1185"/>
      <c r="B424" s="1185"/>
      <c r="C424" s="1185"/>
      <c r="D424" s="1185"/>
      <c r="E424" s="1185"/>
      <c r="F424" s="1185"/>
      <c r="G424" s="1185"/>
      <c r="H424" s="1185"/>
      <c r="I424" s="1185"/>
      <c r="J424" s="1185"/>
      <c r="K424" s="1185"/>
      <c r="L424" s="1185"/>
      <c r="M424" s="1185"/>
      <c r="N424" s="195"/>
    </row>
    <row r="425">
      <c r="A425" s="1185"/>
      <c r="B425" s="1185"/>
      <c r="C425" s="1185"/>
      <c r="D425" s="1185"/>
      <c r="E425" s="1185"/>
      <c r="F425" s="1185"/>
      <c r="G425" s="1185"/>
      <c r="H425" s="1185"/>
      <c r="I425" s="1185"/>
      <c r="J425" s="1185"/>
      <c r="K425" s="1185"/>
      <c r="L425" s="1185"/>
      <c r="M425" s="1185"/>
      <c r="N425" s="195"/>
    </row>
    <row r="426">
      <c r="A426" s="1185"/>
      <c r="B426" s="1185"/>
      <c r="C426" s="1185"/>
      <c r="D426" s="1185"/>
      <c r="E426" s="1185"/>
      <c r="F426" s="1185"/>
      <c r="G426" s="1185"/>
      <c r="H426" s="1185"/>
      <c r="I426" s="1185"/>
      <c r="J426" s="1185"/>
      <c r="K426" s="1185"/>
      <c r="L426" s="1185"/>
      <c r="M426" s="1185"/>
      <c r="N426" s="195"/>
    </row>
    <row r="427">
      <c r="A427" s="1185"/>
      <c r="B427" s="1185"/>
      <c r="C427" s="1185"/>
      <c r="D427" s="1185"/>
      <c r="E427" s="1185"/>
      <c r="F427" s="1185"/>
      <c r="G427" s="1185"/>
      <c r="H427" s="1185"/>
      <c r="I427" s="1185"/>
      <c r="J427" s="1185"/>
      <c r="K427" s="1185"/>
      <c r="L427" s="1185"/>
      <c r="M427" s="1185"/>
      <c r="N427" s="195"/>
    </row>
    <row r="428">
      <c r="A428" s="1185"/>
      <c r="B428" s="1185"/>
      <c r="C428" s="1185"/>
      <c r="D428" s="1185"/>
      <c r="E428" s="1185"/>
      <c r="F428" s="1185"/>
      <c r="G428" s="1185"/>
      <c r="H428" s="1185"/>
      <c r="I428" s="1185"/>
      <c r="J428" s="1185"/>
      <c r="K428" s="1185"/>
      <c r="L428" s="1185"/>
      <c r="M428" s="1185"/>
      <c r="N428" s="195"/>
    </row>
    <row r="429">
      <c r="A429" s="1185"/>
      <c r="B429" s="1185"/>
      <c r="C429" s="1185"/>
      <c r="D429" s="1185"/>
      <c r="E429" s="1185"/>
      <c r="F429" s="1185"/>
      <c r="G429" s="1185"/>
      <c r="H429" s="1185"/>
      <c r="I429" s="1185"/>
      <c r="J429" s="1185"/>
      <c r="K429" s="1185"/>
      <c r="L429" s="1185"/>
      <c r="M429" s="1185"/>
      <c r="N429" s="195"/>
    </row>
    <row r="430">
      <c r="A430" s="1185"/>
      <c r="B430" s="1185"/>
      <c r="C430" s="1185"/>
      <c r="D430" s="1185"/>
      <c r="E430" s="1185"/>
      <c r="F430" s="1185"/>
      <c r="G430" s="1185"/>
      <c r="H430" s="1185"/>
      <c r="I430" s="1185"/>
      <c r="J430" s="1185"/>
      <c r="K430" s="1185"/>
      <c r="L430" s="1185"/>
      <c r="M430" s="1185"/>
      <c r="N430" s="195"/>
    </row>
    <row r="431">
      <c r="A431" s="1185"/>
      <c r="B431" s="1185"/>
      <c r="C431" s="1185"/>
      <c r="D431" s="1185"/>
      <c r="E431" s="1185"/>
      <c r="F431" s="1185"/>
      <c r="G431" s="1185"/>
      <c r="H431" s="1185"/>
      <c r="I431" s="1185"/>
      <c r="J431" s="1185"/>
      <c r="K431" s="1185"/>
      <c r="L431" s="1185"/>
      <c r="M431" s="1185"/>
      <c r="N431" s="195"/>
    </row>
    <row r="432">
      <c r="A432" s="1185"/>
      <c r="B432" s="1185"/>
      <c r="C432" s="1185"/>
      <c r="D432" s="1185"/>
      <c r="E432" s="1185"/>
      <c r="F432" s="1185"/>
      <c r="G432" s="1185"/>
      <c r="H432" s="1185"/>
      <c r="I432" s="1185"/>
      <c r="J432" s="1185"/>
      <c r="K432" s="1185"/>
      <c r="L432" s="1185"/>
      <c r="M432" s="1185"/>
      <c r="N432" s="195"/>
    </row>
    <row r="433">
      <c r="A433" s="1185"/>
      <c r="B433" s="1185"/>
      <c r="C433" s="1185"/>
      <c r="D433" s="1185"/>
      <c r="E433" s="1185"/>
      <c r="F433" s="1185"/>
      <c r="G433" s="1185"/>
      <c r="H433" s="1185"/>
      <c r="I433" s="1185"/>
      <c r="J433" s="1185"/>
      <c r="K433" s="1185"/>
      <c r="L433" s="1185"/>
      <c r="M433" s="1185"/>
      <c r="N433" s="195"/>
    </row>
    <row r="434">
      <c r="A434" s="1185"/>
      <c r="B434" s="1185"/>
      <c r="C434" s="1185"/>
      <c r="D434" s="1185"/>
      <c r="E434" s="1185"/>
      <c r="F434" s="1185"/>
      <c r="G434" s="1185"/>
      <c r="H434" s="1185"/>
      <c r="I434" s="1185"/>
      <c r="J434" s="1185"/>
      <c r="K434" s="1185"/>
      <c r="L434" s="1185"/>
      <c r="M434" s="1185"/>
      <c r="N434" s="195"/>
    </row>
    <row r="435">
      <c r="A435" s="1185"/>
      <c r="B435" s="1185"/>
      <c r="C435" s="1185"/>
      <c r="D435" s="1185"/>
      <c r="E435" s="1185"/>
      <c r="F435" s="1185"/>
      <c r="G435" s="1185"/>
      <c r="H435" s="1185"/>
      <c r="I435" s="1185"/>
      <c r="J435" s="1185"/>
      <c r="K435" s="1185"/>
      <c r="L435" s="1185"/>
      <c r="M435" s="1185"/>
      <c r="N435" s="195"/>
    </row>
    <row r="436">
      <c r="A436" s="1185"/>
      <c r="B436" s="1185"/>
      <c r="C436" s="1185"/>
      <c r="D436" s="1185"/>
      <c r="E436" s="1185"/>
      <c r="F436" s="1185"/>
      <c r="G436" s="1185"/>
      <c r="H436" s="1185"/>
      <c r="I436" s="1185"/>
      <c r="J436" s="1185"/>
      <c r="K436" s="1185"/>
      <c r="L436" s="1185"/>
      <c r="M436" s="1185"/>
      <c r="N436" s="195"/>
    </row>
    <row r="437">
      <c r="A437" s="1185"/>
      <c r="B437" s="1185"/>
      <c r="C437" s="1185"/>
      <c r="D437" s="1185"/>
      <c r="E437" s="1185"/>
      <c r="F437" s="1185"/>
      <c r="G437" s="1185"/>
      <c r="H437" s="1185"/>
      <c r="I437" s="1185"/>
      <c r="J437" s="1185"/>
      <c r="K437" s="1185"/>
      <c r="L437" s="1185"/>
      <c r="M437" s="1185"/>
      <c r="N437" s="195"/>
    </row>
    <row r="438">
      <c r="A438" s="1185"/>
      <c r="B438" s="1185"/>
      <c r="C438" s="1185"/>
      <c r="D438" s="1185"/>
      <c r="E438" s="1185"/>
      <c r="F438" s="1185"/>
      <c r="G438" s="1185"/>
      <c r="H438" s="1185"/>
      <c r="I438" s="1185"/>
      <c r="J438" s="1185"/>
      <c r="K438" s="1185"/>
      <c r="L438" s="1185"/>
      <c r="M438" s="1185"/>
      <c r="N438" s="195"/>
    </row>
    <row r="439">
      <c r="A439" s="1185"/>
      <c r="B439" s="1185"/>
      <c r="C439" s="1185"/>
      <c r="D439" s="1185"/>
      <c r="E439" s="1185"/>
      <c r="F439" s="1185"/>
      <c r="G439" s="1185"/>
      <c r="H439" s="1185"/>
      <c r="I439" s="1185"/>
      <c r="J439" s="1185"/>
      <c r="K439" s="1185"/>
      <c r="L439" s="1185"/>
      <c r="M439" s="1185"/>
      <c r="N439" s="195"/>
    </row>
    <row r="440">
      <c r="A440" s="1185"/>
      <c r="B440" s="1185"/>
      <c r="C440" s="1185"/>
      <c r="D440" s="1185"/>
      <c r="E440" s="1185"/>
      <c r="F440" s="1185"/>
      <c r="G440" s="1185"/>
      <c r="H440" s="1185"/>
      <c r="I440" s="1185"/>
      <c r="J440" s="1185"/>
      <c r="K440" s="1185"/>
      <c r="L440" s="1185"/>
      <c r="M440" s="1185"/>
      <c r="N440" s="195"/>
    </row>
    <row r="441">
      <c r="A441" s="1185"/>
      <c r="B441" s="1185"/>
      <c r="C441" s="1185"/>
      <c r="D441" s="1185"/>
      <c r="E441" s="1185"/>
      <c r="F441" s="1185"/>
      <c r="G441" s="1185"/>
      <c r="H441" s="1185"/>
      <c r="I441" s="1185"/>
      <c r="J441" s="1185"/>
      <c r="K441" s="1185"/>
      <c r="L441" s="1185"/>
      <c r="M441" s="1185"/>
      <c r="N441" s="195"/>
    </row>
    <row r="442">
      <c r="A442" s="1185"/>
      <c r="B442" s="1185"/>
      <c r="C442" s="1185"/>
      <c r="D442" s="1185"/>
      <c r="E442" s="1185"/>
      <c r="F442" s="1185"/>
      <c r="G442" s="1185"/>
      <c r="H442" s="1185"/>
      <c r="I442" s="1185"/>
      <c r="J442" s="1185"/>
      <c r="K442" s="1185"/>
      <c r="L442" s="1185"/>
      <c r="M442" s="1185"/>
      <c r="N442" s="195"/>
    </row>
    <row r="443">
      <c r="A443" s="1185"/>
      <c r="B443" s="1185"/>
      <c r="C443" s="1185"/>
      <c r="D443" s="1185"/>
      <c r="E443" s="1185"/>
      <c r="F443" s="1185"/>
      <c r="G443" s="1185"/>
      <c r="H443" s="1185"/>
      <c r="I443" s="1185"/>
      <c r="J443" s="1185"/>
      <c r="K443" s="1185"/>
      <c r="L443" s="1185"/>
      <c r="M443" s="1185"/>
      <c r="N443" s="195"/>
    </row>
    <row r="444">
      <c r="A444" s="1185"/>
      <c r="B444" s="1185"/>
      <c r="C444" s="1185"/>
      <c r="D444" s="1185"/>
      <c r="E444" s="1185"/>
      <c r="F444" s="1185"/>
      <c r="G444" s="1185"/>
      <c r="H444" s="1185"/>
      <c r="I444" s="1185"/>
      <c r="J444" s="1185"/>
      <c r="K444" s="1185"/>
      <c r="L444" s="1185"/>
      <c r="M444" s="1185"/>
      <c r="N444" s="195"/>
    </row>
    <row r="445">
      <c r="A445" s="1185"/>
      <c r="B445" s="1185"/>
      <c r="C445" s="1185"/>
      <c r="D445" s="1185"/>
      <c r="E445" s="1185"/>
      <c r="F445" s="1185"/>
      <c r="G445" s="1185"/>
      <c r="H445" s="1185"/>
      <c r="I445" s="1185"/>
      <c r="J445" s="1185"/>
      <c r="K445" s="1185"/>
      <c r="L445" s="1185"/>
      <c r="M445" s="1185"/>
      <c r="N445" s="195"/>
    </row>
    <row r="446">
      <c r="A446" s="1185"/>
      <c r="B446" s="1185"/>
      <c r="C446" s="1185"/>
      <c r="D446" s="1185"/>
      <c r="E446" s="1185"/>
      <c r="F446" s="1185"/>
      <c r="G446" s="1185"/>
      <c r="H446" s="1185"/>
      <c r="I446" s="1185"/>
      <c r="J446" s="1185"/>
      <c r="K446" s="1185"/>
      <c r="L446" s="1185"/>
      <c r="M446" s="1185"/>
      <c r="N446" s="195"/>
    </row>
    <row r="447">
      <c r="A447" s="1185"/>
      <c r="B447" s="1185"/>
      <c r="C447" s="1185"/>
      <c r="D447" s="1185"/>
      <c r="E447" s="1185"/>
      <c r="F447" s="1185"/>
      <c r="G447" s="1185"/>
      <c r="H447" s="1185"/>
      <c r="I447" s="1185"/>
      <c r="J447" s="1185"/>
      <c r="K447" s="1185"/>
      <c r="L447" s="1185"/>
      <c r="M447" s="1185"/>
      <c r="N447" s="195"/>
    </row>
    <row r="448">
      <c r="A448" s="1185"/>
      <c r="B448" s="1185"/>
      <c r="C448" s="1185"/>
      <c r="D448" s="1185"/>
      <c r="E448" s="1185"/>
      <c r="F448" s="1185"/>
      <c r="G448" s="1185"/>
      <c r="H448" s="1185"/>
      <c r="I448" s="1185"/>
      <c r="J448" s="1185"/>
      <c r="K448" s="1185"/>
      <c r="L448" s="1185"/>
      <c r="M448" s="1185"/>
      <c r="N448" s="195"/>
    </row>
    <row r="449">
      <c r="A449" s="1185"/>
      <c r="B449" s="1185"/>
      <c r="C449" s="1185"/>
      <c r="D449" s="1185"/>
      <c r="E449" s="1185"/>
      <c r="F449" s="1185"/>
      <c r="G449" s="1185"/>
      <c r="H449" s="1185"/>
      <c r="I449" s="1185"/>
      <c r="J449" s="1185"/>
      <c r="K449" s="1185"/>
      <c r="L449" s="1185"/>
      <c r="M449" s="1185"/>
      <c r="N449" s="195"/>
    </row>
    <row r="450">
      <c r="A450" s="1185"/>
      <c r="B450" s="1185"/>
      <c r="C450" s="1185"/>
      <c r="D450" s="1185"/>
      <c r="E450" s="1185"/>
      <c r="F450" s="1185"/>
      <c r="G450" s="1185"/>
      <c r="H450" s="1185"/>
      <c r="I450" s="1185"/>
      <c r="J450" s="1185"/>
      <c r="K450" s="1185"/>
      <c r="L450" s="1185"/>
      <c r="M450" s="1185"/>
      <c r="N450" s="195"/>
    </row>
    <row r="451">
      <c r="A451" s="1185"/>
      <c r="B451" s="1185"/>
      <c r="C451" s="1185"/>
      <c r="D451" s="1185"/>
      <c r="E451" s="1185"/>
      <c r="F451" s="1185"/>
      <c r="G451" s="1185"/>
      <c r="H451" s="1185"/>
      <c r="I451" s="1185"/>
      <c r="J451" s="1185"/>
      <c r="K451" s="1185"/>
      <c r="L451" s="1185"/>
      <c r="M451" s="1185"/>
      <c r="N451" s="195"/>
    </row>
    <row r="452">
      <c r="A452" s="1185"/>
      <c r="B452" s="1185"/>
      <c r="C452" s="1185"/>
      <c r="D452" s="1185"/>
      <c r="E452" s="1185"/>
      <c r="F452" s="1185"/>
      <c r="G452" s="1185"/>
      <c r="H452" s="1185"/>
      <c r="I452" s="1185"/>
      <c r="J452" s="1185"/>
      <c r="K452" s="1185"/>
      <c r="L452" s="1185"/>
      <c r="M452" s="1185"/>
      <c r="N452" s="195"/>
    </row>
    <row r="453">
      <c r="A453" s="1185"/>
      <c r="B453" s="1185"/>
      <c r="C453" s="1185"/>
      <c r="D453" s="1185"/>
      <c r="E453" s="1185"/>
      <c r="F453" s="1185"/>
      <c r="G453" s="1185"/>
      <c r="H453" s="1185"/>
      <c r="I453" s="1185"/>
      <c r="J453" s="1185"/>
      <c r="K453" s="1185"/>
      <c r="L453" s="1185"/>
      <c r="M453" s="1185"/>
      <c r="N453" s="195"/>
    </row>
    <row r="454">
      <c r="A454" s="1185"/>
      <c r="B454" s="1185"/>
      <c r="C454" s="1185"/>
      <c r="D454" s="1185"/>
      <c r="E454" s="1185"/>
      <c r="F454" s="1185"/>
      <c r="G454" s="1185"/>
      <c r="H454" s="1185"/>
      <c r="I454" s="1185"/>
      <c r="J454" s="1185"/>
      <c r="K454" s="1185"/>
      <c r="L454" s="1185"/>
      <c r="M454" s="1185"/>
      <c r="N454" s="195"/>
    </row>
    <row r="455">
      <c r="A455" s="1185"/>
      <c r="B455" s="1185"/>
      <c r="C455" s="1185"/>
      <c r="D455" s="1185"/>
      <c r="E455" s="1185"/>
      <c r="F455" s="1185"/>
      <c r="G455" s="1185"/>
      <c r="H455" s="1185"/>
      <c r="I455" s="1185"/>
      <c r="J455" s="1185"/>
      <c r="K455" s="1185"/>
      <c r="L455" s="1185"/>
      <c r="M455" s="1185"/>
      <c r="N455" s="195"/>
    </row>
    <row r="456">
      <c r="A456" s="1185"/>
      <c r="B456" s="1185"/>
      <c r="C456" s="1185"/>
      <c r="D456" s="1185"/>
      <c r="E456" s="1185"/>
      <c r="F456" s="1185"/>
      <c r="G456" s="1185"/>
      <c r="H456" s="1185"/>
      <c r="I456" s="1185"/>
      <c r="J456" s="1185"/>
      <c r="K456" s="1185"/>
      <c r="L456" s="1185"/>
      <c r="M456" s="1185"/>
      <c r="N456" s="195"/>
    </row>
    <row r="457">
      <c r="A457" s="1185"/>
      <c r="B457" s="1185"/>
      <c r="C457" s="1185"/>
      <c r="D457" s="1185"/>
      <c r="E457" s="1185"/>
      <c r="F457" s="1185"/>
      <c r="G457" s="1185"/>
      <c r="H457" s="1185"/>
      <c r="I457" s="1185"/>
      <c r="J457" s="1185"/>
      <c r="K457" s="1185"/>
      <c r="L457" s="1185"/>
      <c r="M457" s="1185"/>
      <c r="N457" s="195"/>
    </row>
    <row r="458">
      <c r="A458" s="1185"/>
      <c r="B458" s="1185"/>
      <c r="C458" s="1185"/>
      <c r="D458" s="1185"/>
      <c r="E458" s="1185"/>
      <c r="F458" s="1185"/>
      <c r="G458" s="1185"/>
      <c r="H458" s="1185"/>
      <c r="I458" s="1185"/>
      <c r="J458" s="1185"/>
      <c r="K458" s="1185"/>
      <c r="L458" s="1185"/>
      <c r="M458" s="1185"/>
      <c r="N458" s="195"/>
    </row>
    <row r="459">
      <c r="A459" s="1185"/>
      <c r="B459" s="1185"/>
      <c r="C459" s="1185"/>
      <c r="D459" s="1185"/>
      <c r="E459" s="1185"/>
      <c r="F459" s="1185"/>
      <c r="G459" s="1185"/>
      <c r="H459" s="1185"/>
      <c r="I459" s="1185"/>
      <c r="J459" s="1185"/>
      <c r="K459" s="1185"/>
      <c r="L459" s="1185"/>
      <c r="M459" s="1185"/>
      <c r="N459" s="195"/>
    </row>
    <row r="460">
      <c r="A460" s="1185"/>
      <c r="B460" s="1185"/>
      <c r="C460" s="1185"/>
      <c r="D460" s="1185"/>
      <c r="E460" s="1185"/>
      <c r="F460" s="1185"/>
      <c r="G460" s="1185"/>
      <c r="H460" s="1185"/>
      <c r="I460" s="1185"/>
      <c r="J460" s="1185"/>
      <c r="K460" s="1185"/>
      <c r="L460" s="1185"/>
      <c r="M460" s="1185"/>
      <c r="N460" s="195"/>
    </row>
    <row r="461">
      <c r="A461" s="1185"/>
      <c r="B461" s="1185"/>
      <c r="C461" s="1185"/>
      <c r="D461" s="1185"/>
      <c r="E461" s="1185"/>
      <c r="F461" s="1185"/>
      <c r="G461" s="1185"/>
      <c r="H461" s="1185"/>
      <c r="I461" s="1185"/>
      <c r="J461" s="1185"/>
      <c r="K461" s="1185"/>
      <c r="L461" s="1185"/>
      <c r="M461" s="1185"/>
      <c r="N461" s="195"/>
    </row>
    <row r="462">
      <c r="A462" s="1185"/>
      <c r="B462" s="1185"/>
      <c r="C462" s="1185"/>
      <c r="D462" s="1185"/>
      <c r="E462" s="1185"/>
      <c r="F462" s="1185"/>
      <c r="G462" s="1185"/>
      <c r="H462" s="1185"/>
      <c r="I462" s="1185"/>
      <c r="J462" s="1185"/>
      <c r="K462" s="1185"/>
      <c r="L462" s="1185"/>
      <c r="M462" s="1185"/>
      <c r="N462" s="195"/>
    </row>
    <row r="463">
      <c r="A463" s="1185"/>
      <c r="B463" s="1185"/>
      <c r="C463" s="1185"/>
      <c r="D463" s="1185"/>
      <c r="E463" s="1185"/>
      <c r="F463" s="1185"/>
      <c r="G463" s="1185"/>
      <c r="H463" s="1185"/>
      <c r="I463" s="1185"/>
      <c r="J463" s="1185"/>
      <c r="K463" s="1185"/>
      <c r="L463" s="1185"/>
      <c r="M463" s="1185"/>
      <c r="N463" s="195"/>
    </row>
    <row r="464">
      <c r="A464" s="1185"/>
      <c r="B464" s="1185"/>
      <c r="C464" s="1185"/>
      <c r="D464" s="1185"/>
      <c r="E464" s="1185"/>
      <c r="F464" s="1185"/>
      <c r="G464" s="1185"/>
      <c r="H464" s="1185"/>
      <c r="I464" s="1185"/>
      <c r="J464" s="1185"/>
      <c r="K464" s="1185"/>
      <c r="L464" s="1185"/>
      <c r="M464" s="1185"/>
      <c r="N464" s="195"/>
    </row>
    <row r="465">
      <c r="A465" s="1185"/>
      <c r="B465" s="1185"/>
      <c r="C465" s="1185"/>
      <c r="D465" s="1185"/>
      <c r="E465" s="1185"/>
      <c r="F465" s="1185"/>
      <c r="G465" s="1185"/>
      <c r="H465" s="1185"/>
      <c r="I465" s="1185"/>
      <c r="J465" s="1185"/>
      <c r="K465" s="1185"/>
      <c r="L465" s="1185"/>
      <c r="M465" s="1185"/>
      <c r="N465" s="195"/>
    </row>
    <row r="466">
      <c r="A466" s="1185"/>
      <c r="B466" s="1185"/>
      <c r="C466" s="1185"/>
      <c r="D466" s="1185"/>
      <c r="E466" s="1185"/>
      <c r="F466" s="1185"/>
      <c r="G466" s="1185"/>
      <c r="H466" s="1185"/>
      <c r="I466" s="1185"/>
      <c r="J466" s="1185"/>
      <c r="K466" s="1185"/>
      <c r="L466" s="1185"/>
      <c r="M466" s="1185"/>
      <c r="N466" s="195"/>
    </row>
    <row r="467">
      <c r="A467" s="1185"/>
      <c r="B467" s="1185"/>
      <c r="C467" s="1185"/>
      <c r="D467" s="1185"/>
      <c r="E467" s="1185"/>
      <c r="F467" s="1185"/>
      <c r="G467" s="1185"/>
      <c r="H467" s="1185"/>
      <c r="I467" s="1185"/>
      <c r="J467" s="1185"/>
      <c r="K467" s="1185"/>
      <c r="L467" s="1185"/>
      <c r="M467" s="1185"/>
      <c r="N467" s="195"/>
    </row>
    <row r="468">
      <c r="A468" s="1185"/>
      <c r="B468" s="1185"/>
      <c r="C468" s="1185"/>
      <c r="D468" s="1185"/>
      <c r="E468" s="1185"/>
      <c r="F468" s="1185"/>
      <c r="G468" s="1185"/>
      <c r="H468" s="1185"/>
      <c r="I468" s="1185"/>
      <c r="J468" s="1185"/>
      <c r="K468" s="1185"/>
      <c r="L468" s="1185"/>
      <c r="M468" s="1185"/>
      <c r="N468" s="195"/>
    </row>
    <row r="469">
      <c r="A469" s="1185"/>
      <c r="B469" s="1185"/>
      <c r="C469" s="1185"/>
      <c r="D469" s="1185"/>
      <c r="E469" s="1185"/>
      <c r="F469" s="1185"/>
      <c r="G469" s="1185"/>
      <c r="H469" s="1185"/>
      <c r="I469" s="1185"/>
      <c r="J469" s="1185"/>
      <c r="K469" s="1185"/>
      <c r="L469" s="1185"/>
      <c r="M469" s="1185"/>
      <c r="N469" s="195"/>
    </row>
    <row r="470">
      <c r="A470" s="1185"/>
      <c r="B470" s="1185"/>
      <c r="C470" s="1185"/>
      <c r="D470" s="1185"/>
      <c r="E470" s="1185"/>
      <c r="F470" s="1185"/>
      <c r="G470" s="1185"/>
      <c r="H470" s="1185"/>
      <c r="I470" s="1185"/>
      <c r="J470" s="1185"/>
      <c r="K470" s="1185"/>
      <c r="L470" s="1185"/>
      <c r="M470" s="1185"/>
      <c r="N470" s="195"/>
    </row>
    <row r="471">
      <c r="A471" s="1185"/>
      <c r="B471" s="1185"/>
      <c r="C471" s="1185"/>
      <c r="D471" s="1185"/>
      <c r="E471" s="1185"/>
      <c r="F471" s="1185"/>
      <c r="G471" s="1185"/>
      <c r="H471" s="1185"/>
      <c r="I471" s="1185"/>
      <c r="J471" s="1185"/>
      <c r="K471" s="1185"/>
      <c r="L471" s="1185"/>
      <c r="M471" s="1185"/>
      <c r="N471" s="195"/>
    </row>
    <row r="472">
      <c r="A472" s="1185"/>
      <c r="B472" s="1185"/>
      <c r="C472" s="1185"/>
      <c r="D472" s="1185"/>
      <c r="E472" s="1185"/>
      <c r="F472" s="1185"/>
      <c r="G472" s="1185"/>
      <c r="H472" s="1185"/>
      <c r="I472" s="1185"/>
      <c r="J472" s="1185"/>
      <c r="K472" s="1185"/>
      <c r="L472" s="1185"/>
      <c r="M472" s="1185"/>
      <c r="N472" s="195"/>
    </row>
    <row r="473">
      <c r="A473" s="1185"/>
      <c r="B473" s="1185"/>
      <c r="C473" s="1185"/>
      <c r="D473" s="1185"/>
      <c r="E473" s="1185"/>
      <c r="F473" s="1185"/>
      <c r="G473" s="1185"/>
      <c r="H473" s="1185"/>
      <c r="I473" s="1185"/>
      <c r="J473" s="1185"/>
      <c r="K473" s="1185"/>
      <c r="L473" s="1185"/>
      <c r="M473" s="1185"/>
      <c r="N473" s="195"/>
    </row>
    <row r="474">
      <c r="A474" s="1185"/>
      <c r="B474" s="1185"/>
      <c r="C474" s="1185"/>
      <c r="D474" s="1185"/>
      <c r="E474" s="1185"/>
      <c r="F474" s="1185"/>
      <c r="G474" s="1185"/>
      <c r="H474" s="1185"/>
      <c r="I474" s="1185"/>
      <c r="J474" s="1185"/>
      <c r="K474" s="1185"/>
      <c r="L474" s="1185"/>
      <c r="M474" s="1185"/>
      <c r="N474" s="195"/>
    </row>
    <row r="475">
      <c r="A475" s="1185"/>
      <c r="B475" s="1185"/>
      <c r="C475" s="1185"/>
      <c r="D475" s="1185"/>
      <c r="E475" s="1185"/>
      <c r="F475" s="1185"/>
      <c r="G475" s="1185"/>
      <c r="H475" s="1185"/>
      <c r="I475" s="1185"/>
      <c r="J475" s="1185"/>
      <c r="K475" s="1185"/>
      <c r="L475" s="1185"/>
      <c r="M475" s="1185"/>
      <c r="N475" s="195"/>
    </row>
    <row r="476">
      <c r="A476" s="1185"/>
      <c r="B476" s="1185"/>
      <c r="C476" s="1185"/>
      <c r="D476" s="1185"/>
      <c r="E476" s="1185"/>
      <c r="F476" s="1185"/>
      <c r="G476" s="1185"/>
      <c r="H476" s="1185"/>
      <c r="I476" s="1185"/>
      <c r="J476" s="1185"/>
      <c r="K476" s="1185"/>
      <c r="L476" s="1185"/>
      <c r="M476" s="1185"/>
      <c r="N476" s="195"/>
    </row>
    <row r="477">
      <c r="A477" s="1185"/>
      <c r="B477" s="1185"/>
      <c r="C477" s="1185"/>
      <c r="D477" s="1185"/>
      <c r="E477" s="1185"/>
      <c r="F477" s="1185"/>
      <c r="G477" s="1185"/>
      <c r="H477" s="1185"/>
      <c r="I477" s="1185"/>
      <c r="J477" s="1185"/>
      <c r="K477" s="1185"/>
      <c r="L477" s="1185"/>
      <c r="M477" s="1185"/>
      <c r="N477" s="195"/>
    </row>
    <row r="478">
      <c r="A478" s="1185"/>
      <c r="B478" s="1185"/>
      <c r="C478" s="1185"/>
      <c r="D478" s="1185"/>
      <c r="E478" s="1185"/>
      <c r="F478" s="1185"/>
      <c r="G478" s="1185"/>
      <c r="H478" s="1185"/>
      <c r="I478" s="1185"/>
      <c r="J478" s="1185"/>
      <c r="K478" s="1185"/>
      <c r="L478" s="1185"/>
      <c r="M478" s="1185"/>
      <c r="N478" s="195"/>
    </row>
    <row r="479">
      <c r="A479" s="1185"/>
      <c r="B479" s="1185"/>
      <c r="C479" s="1185"/>
      <c r="D479" s="1185"/>
      <c r="E479" s="1185"/>
      <c r="F479" s="1185"/>
      <c r="G479" s="1185"/>
      <c r="H479" s="1185"/>
      <c r="I479" s="1185"/>
      <c r="J479" s="1185"/>
      <c r="K479" s="1185"/>
      <c r="L479" s="1185"/>
      <c r="M479" s="1185"/>
      <c r="N479" s="195"/>
    </row>
    <row r="480">
      <c r="A480" s="1185"/>
      <c r="B480" s="1185"/>
      <c r="C480" s="1185"/>
      <c r="D480" s="1185"/>
      <c r="E480" s="1185"/>
      <c r="F480" s="1185"/>
      <c r="G480" s="1185"/>
      <c r="H480" s="1185"/>
      <c r="I480" s="1185"/>
      <c r="J480" s="1185"/>
      <c r="K480" s="1185"/>
      <c r="L480" s="1185"/>
      <c r="M480" s="1185"/>
      <c r="N480" s="195"/>
    </row>
    <row r="481">
      <c r="A481" s="1185"/>
      <c r="B481" s="1185"/>
      <c r="C481" s="1185"/>
      <c r="D481" s="1185"/>
      <c r="E481" s="1185"/>
      <c r="F481" s="1185"/>
      <c r="G481" s="1185"/>
      <c r="H481" s="1185"/>
      <c r="I481" s="1185"/>
      <c r="J481" s="1185"/>
      <c r="K481" s="1185"/>
      <c r="L481" s="1185"/>
      <c r="M481" s="1185"/>
      <c r="N481" s="195"/>
    </row>
    <row r="482">
      <c r="A482" s="1185"/>
      <c r="B482" s="1185"/>
      <c r="C482" s="1185"/>
      <c r="D482" s="1185"/>
      <c r="E482" s="1185"/>
      <c r="F482" s="1185"/>
      <c r="G482" s="1185"/>
      <c r="H482" s="1185"/>
      <c r="I482" s="1185"/>
      <c r="J482" s="1185"/>
      <c r="K482" s="1185"/>
      <c r="L482" s="1185"/>
      <c r="M482" s="1185"/>
      <c r="N482" s="195"/>
    </row>
    <row r="483">
      <c r="A483" s="1185"/>
      <c r="B483" s="1185"/>
      <c r="C483" s="1185"/>
      <c r="D483" s="1185"/>
      <c r="E483" s="1185"/>
      <c r="F483" s="1185"/>
      <c r="G483" s="1185"/>
      <c r="H483" s="1185"/>
      <c r="I483" s="1185"/>
      <c r="J483" s="1185"/>
      <c r="K483" s="1185"/>
      <c r="L483" s="1185"/>
      <c r="M483" s="1185"/>
      <c r="N483" s="195"/>
    </row>
    <row r="484">
      <c r="A484" s="1185"/>
      <c r="B484" s="1185"/>
      <c r="C484" s="1185"/>
      <c r="D484" s="1185"/>
      <c r="E484" s="1185"/>
      <c r="F484" s="1185"/>
      <c r="G484" s="1185"/>
      <c r="H484" s="1185"/>
      <c r="I484" s="1185"/>
      <c r="J484" s="1185"/>
      <c r="K484" s="1185"/>
      <c r="L484" s="1185"/>
      <c r="M484" s="1185"/>
      <c r="N484" s="195"/>
    </row>
    <row r="485">
      <c r="A485" s="1185"/>
      <c r="B485" s="1185"/>
      <c r="C485" s="1185"/>
      <c r="D485" s="1185"/>
      <c r="E485" s="1185"/>
      <c r="F485" s="1185"/>
      <c r="G485" s="1185"/>
      <c r="H485" s="1185"/>
      <c r="I485" s="1185"/>
      <c r="J485" s="1185"/>
      <c r="K485" s="1185"/>
      <c r="L485" s="1185"/>
      <c r="M485" s="1185"/>
      <c r="N485" s="195"/>
    </row>
    <row r="486">
      <c r="A486" s="1185"/>
      <c r="B486" s="1185"/>
      <c r="C486" s="1185"/>
      <c r="D486" s="1185"/>
      <c r="E486" s="1185"/>
      <c r="F486" s="1185"/>
      <c r="G486" s="1185"/>
      <c r="H486" s="1185"/>
      <c r="I486" s="1185"/>
      <c r="J486" s="1185"/>
      <c r="K486" s="1185"/>
      <c r="L486" s="1185"/>
      <c r="M486" s="1185"/>
      <c r="N486" s="195"/>
    </row>
    <row r="487">
      <c r="A487" s="1185"/>
      <c r="B487" s="1185"/>
      <c r="C487" s="1185"/>
      <c r="D487" s="1185"/>
      <c r="E487" s="1185"/>
      <c r="F487" s="1185"/>
      <c r="G487" s="1185"/>
      <c r="H487" s="1185"/>
      <c r="I487" s="1185"/>
      <c r="J487" s="1185"/>
      <c r="K487" s="1185"/>
      <c r="L487" s="1185"/>
      <c r="M487" s="1185"/>
      <c r="N487" s="195"/>
    </row>
    <row r="488">
      <c r="A488" s="1185"/>
      <c r="B488" s="1185"/>
      <c r="C488" s="1185"/>
      <c r="D488" s="1185"/>
      <c r="E488" s="1185"/>
      <c r="F488" s="1185"/>
      <c r="G488" s="1185"/>
      <c r="H488" s="1185"/>
      <c r="I488" s="1185"/>
      <c r="J488" s="1185"/>
      <c r="K488" s="1185"/>
      <c r="L488" s="1185"/>
      <c r="M488" s="1185"/>
      <c r="N488" s="195"/>
    </row>
    <row r="489">
      <c r="A489" s="1185"/>
      <c r="B489" s="1185"/>
      <c r="C489" s="1185"/>
      <c r="D489" s="1185"/>
      <c r="E489" s="1185"/>
      <c r="F489" s="1185"/>
      <c r="G489" s="1185"/>
      <c r="H489" s="1185"/>
      <c r="I489" s="1185"/>
      <c r="J489" s="1185"/>
      <c r="K489" s="1185"/>
      <c r="L489" s="1185"/>
      <c r="M489" s="1185"/>
      <c r="N489" s="195"/>
    </row>
    <row r="490">
      <c r="A490" s="1185"/>
      <c r="B490" s="1185"/>
      <c r="C490" s="1185"/>
      <c r="D490" s="1185"/>
      <c r="E490" s="1185"/>
      <c r="F490" s="1185"/>
      <c r="G490" s="1185"/>
      <c r="H490" s="1185"/>
      <c r="I490" s="1185"/>
      <c r="J490" s="1185"/>
      <c r="K490" s="1185"/>
      <c r="L490" s="1185"/>
      <c r="M490" s="1185"/>
      <c r="N490" s="195"/>
    </row>
    <row r="491">
      <c r="A491" s="1185"/>
      <c r="B491" s="1185"/>
      <c r="C491" s="1185"/>
      <c r="D491" s="1185"/>
      <c r="E491" s="1185"/>
      <c r="F491" s="1185"/>
      <c r="G491" s="1185"/>
      <c r="H491" s="1185"/>
      <c r="I491" s="1185"/>
      <c r="J491" s="1185"/>
      <c r="K491" s="1185"/>
      <c r="L491" s="1185"/>
      <c r="M491" s="1185"/>
      <c r="N491" s="195"/>
    </row>
    <row r="492">
      <c r="A492" s="1185"/>
      <c r="B492" s="1185"/>
      <c r="C492" s="1185"/>
      <c r="D492" s="1185"/>
      <c r="E492" s="1185"/>
      <c r="F492" s="1185"/>
      <c r="G492" s="1185"/>
      <c r="H492" s="1185"/>
      <c r="I492" s="1185"/>
      <c r="J492" s="1185"/>
      <c r="K492" s="1185"/>
      <c r="L492" s="1185"/>
      <c r="M492" s="1185"/>
      <c r="N492" s="195"/>
    </row>
    <row r="493">
      <c r="A493" s="1185"/>
      <c r="B493" s="1185"/>
      <c r="C493" s="1185"/>
      <c r="D493" s="1185"/>
      <c r="E493" s="1185"/>
      <c r="F493" s="1185"/>
      <c r="G493" s="1185"/>
      <c r="H493" s="1185"/>
      <c r="I493" s="1185"/>
      <c r="J493" s="1185"/>
      <c r="K493" s="1185"/>
      <c r="L493" s="1185"/>
      <c r="M493" s="1185"/>
      <c r="N493" s="195"/>
    </row>
    <row r="494">
      <c r="A494" s="1185"/>
      <c r="B494" s="1185"/>
      <c r="C494" s="1185"/>
      <c r="D494" s="1185"/>
      <c r="E494" s="1185"/>
      <c r="F494" s="1185"/>
      <c r="G494" s="1185"/>
      <c r="H494" s="1185"/>
      <c r="I494" s="1185"/>
      <c r="J494" s="1185"/>
      <c r="K494" s="1185"/>
      <c r="L494" s="1185"/>
      <c r="M494" s="1185"/>
      <c r="N494" s="195"/>
    </row>
    <row r="495">
      <c r="A495" s="1185"/>
      <c r="B495" s="1185"/>
      <c r="C495" s="1185"/>
      <c r="D495" s="1185"/>
      <c r="E495" s="1185"/>
      <c r="F495" s="1185"/>
      <c r="G495" s="1185"/>
      <c r="H495" s="1185"/>
      <c r="I495" s="1185"/>
      <c r="J495" s="1185"/>
      <c r="K495" s="1185"/>
      <c r="L495" s="1185"/>
      <c r="M495" s="1185"/>
      <c r="N495" s="195"/>
    </row>
    <row r="496">
      <c r="A496" s="1185"/>
      <c r="B496" s="1185"/>
      <c r="C496" s="1185"/>
      <c r="D496" s="1185"/>
      <c r="E496" s="1185"/>
      <c r="F496" s="1185"/>
      <c r="G496" s="1185"/>
      <c r="H496" s="1185"/>
      <c r="I496" s="1185"/>
      <c r="J496" s="1185"/>
      <c r="K496" s="1185"/>
      <c r="L496" s="1185"/>
      <c r="M496" s="1185"/>
      <c r="N496" s="195"/>
    </row>
    <row r="497">
      <c r="A497" s="1185"/>
      <c r="B497" s="1185"/>
      <c r="C497" s="1185"/>
      <c r="D497" s="1185"/>
      <c r="E497" s="1185"/>
      <c r="F497" s="1185"/>
      <c r="G497" s="1185"/>
      <c r="H497" s="1185"/>
      <c r="I497" s="1185"/>
      <c r="J497" s="1185"/>
      <c r="K497" s="1185"/>
      <c r="L497" s="1185"/>
      <c r="M497" s="1185"/>
      <c r="N497" s="195"/>
    </row>
    <row r="498">
      <c r="A498" s="1185"/>
      <c r="B498" s="1185"/>
      <c r="C498" s="1185"/>
      <c r="D498" s="1185"/>
      <c r="E498" s="1185"/>
      <c r="F498" s="1185"/>
      <c r="G498" s="1185"/>
      <c r="H498" s="1185"/>
      <c r="I498" s="1185"/>
      <c r="J498" s="1185"/>
      <c r="K498" s="1185"/>
      <c r="L498" s="1185"/>
      <c r="M498" s="1185"/>
      <c r="N498" s="195"/>
    </row>
    <row r="499">
      <c r="A499" s="1185"/>
      <c r="B499" s="1185"/>
      <c r="C499" s="1185"/>
      <c r="D499" s="1185"/>
      <c r="E499" s="1185"/>
      <c r="F499" s="1185"/>
      <c r="G499" s="1185"/>
      <c r="H499" s="1185"/>
      <c r="I499" s="1185"/>
      <c r="J499" s="1185"/>
      <c r="K499" s="1185"/>
      <c r="L499" s="1185"/>
      <c r="M499" s="1185"/>
      <c r="N499" s="195"/>
    </row>
    <row r="500">
      <c r="A500" s="1185"/>
      <c r="B500" s="1185"/>
      <c r="C500" s="1185"/>
      <c r="D500" s="1185"/>
      <c r="E500" s="1185"/>
      <c r="F500" s="1185"/>
      <c r="G500" s="1185"/>
      <c r="H500" s="1185"/>
      <c r="I500" s="1185"/>
      <c r="J500" s="1185"/>
      <c r="K500" s="1185"/>
      <c r="L500" s="1185"/>
      <c r="M500" s="1185"/>
      <c r="N500" s="195"/>
    </row>
    <row r="501">
      <c r="A501" s="1185"/>
      <c r="B501" s="1185"/>
      <c r="C501" s="1185"/>
      <c r="D501" s="1185"/>
      <c r="E501" s="1185"/>
      <c r="F501" s="1185"/>
      <c r="G501" s="1185"/>
      <c r="H501" s="1185"/>
      <c r="I501" s="1185"/>
      <c r="J501" s="1185"/>
      <c r="K501" s="1185"/>
      <c r="L501" s="1185"/>
      <c r="M501" s="1185"/>
      <c r="N501" s="195"/>
    </row>
    <row r="502">
      <c r="A502" s="1185"/>
      <c r="B502" s="1185"/>
      <c r="C502" s="1185"/>
      <c r="D502" s="1185"/>
      <c r="E502" s="1185"/>
      <c r="F502" s="1185"/>
      <c r="G502" s="1185"/>
      <c r="H502" s="1185"/>
      <c r="I502" s="1185"/>
      <c r="J502" s="1185"/>
      <c r="K502" s="1185"/>
      <c r="L502" s="1185"/>
      <c r="M502" s="1185"/>
      <c r="N502" s="195"/>
    </row>
    <row r="503">
      <c r="A503" s="1185"/>
      <c r="B503" s="1185"/>
      <c r="C503" s="1185"/>
      <c r="D503" s="1185"/>
      <c r="E503" s="1185"/>
      <c r="F503" s="1185"/>
      <c r="G503" s="1185"/>
      <c r="H503" s="1185"/>
      <c r="I503" s="1185"/>
      <c r="J503" s="1185"/>
      <c r="K503" s="1185"/>
      <c r="L503" s="1185"/>
      <c r="M503" s="1185"/>
      <c r="N503" s="195"/>
    </row>
    <row r="504">
      <c r="A504" s="1185"/>
      <c r="B504" s="1185"/>
      <c r="C504" s="1185"/>
      <c r="D504" s="1185"/>
      <c r="E504" s="1185"/>
      <c r="F504" s="1185"/>
      <c r="G504" s="1185"/>
      <c r="H504" s="1185"/>
      <c r="I504" s="1185"/>
      <c r="J504" s="1185"/>
      <c r="K504" s="1185"/>
      <c r="L504" s="1185"/>
      <c r="M504" s="1185"/>
      <c r="N504" s="195"/>
    </row>
    <row r="505">
      <c r="A505" s="1185"/>
      <c r="B505" s="1185"/>
      <c r="C505" s="1185"/>
      <c r="D505" s="1185"/>
      <c r="E505" s="1185"/>
      <c r="F505" s="1185"/>
      <c r="G505" s="1185"/>
      <c r="H505" s="1185"/>
      <c r="I505" s="1185"/>
      <c r="J505" s="1185"/>
      <c r="K505" s="1185"/>
      <c r="L505" s="1185"/>
      <c r="M505" s="1185"/>
      <c r="N505" s="195"/>
    </row>
    <row r="506">
      <c r="A506" s="1185"/>
      <c r="B506" s="1185"/>
      <c r="C506" s="1185"/>
      <c r="D506" s="1185"/>
      <c r="E506" s="1185"/>
      <c r="F506" s="1185"/>
      <c r="G506" s="1185"/>
      <c r="H506" s="1185"/>
      <c r="I506" s="1185"/>
      <c r="J506" s="1185"/>
      <c r="K506" s="1185"/>
      <c r="L506" s="1185"/>
      <c r="M506" s="1185"/>
      <c r="N506" s="195"/>
    </row>
    <row r="507">
      <c r="A507" s="1185"/>
      <c r="B507" s="1185"/>
      <c r="C507" s="1185"/>
      <c r="D507" s="1185"/>
      <c r="E507" s="1185"/>
      <c r="F507" s="1185"/>
      <c r="G507" s="1185"/>
      <c r="H507" s="1185"/>
      <c r="I507" s="1185"/>
      <c r="J507" s="1185"/>
      <c r="K507" s="1185"/>
      <c r="L507" s="1185"/>
      <c r="M507" s="1185"/>
      <c r="N507" s="195"/>
    </row>
    <row r="508">
      <c r="A508" s="1185"/>
      <c r="B508" s="1185"/>
      <c r="C508" s="1185"/>
      <c r="D508" s="1185"/>
      <c r="E508" s="1185"/>
      <c r="F508" s="1185"/>
      <c r="G508" s="1185"/>
      <c r="H508" s="1185"/>
      <c r="I508" s="1185"/>
      <c r="J508" s="1185"/>
      <c r="K508" s="1185"/>
      <c r="L508" s="1185"/>
      <c r="M508" s="1185"/>
      <c r="N508" s="195"/>
    </row>
    <row r="509">
      <c r="A509" s="1185"/>
      <c r="B509" s="1185"/>
      <c r="C509" s="1185"/>
      <c r="D509" s="1185"/>
      <c r="E509" s="1185"/>
      <c r="F509" s="1185"/>
      <c r="G509" s="1185"/>
      <c r="H509" s="1185"/>
      <c r="I509" s="1185"/>
      <c r="J509" s="1185"/>
      <c r="K509" s="1185"/>
      <c r="L509" s="1185"/>
      <c r="M509" s="1185"/>
      <c r="N509" s="195"/>
    </row>
    <row r="510">
      <c r="A510" s="1185"/>
      <c r="B510" s="1185"/>
      <c r="C510" s="1185"/>
      <c r="D510" s="1185"/>
      <c r="E510" s="1185"/>
      <c r="F510" s="1185"/>
      <c r="G510" s="1185"/>
      <c r="H510" s="1185"/>
      <c r="I510" s="1185"/>
      <c r="J510" s="1185"/>
      <c r="K510" s="1185"/>
      <c r="L510" s="1185"/>
      <c r="M510" s="1185"/>
      <c r="N510" s="195"/>
    </row>
    <row r="511">
      <c r="A511" s="1185"/>
      <c r="B511" s="1185"/>
      <c r="C511" s="1185"/>
      <c r="D511" s="1185"/>
      <c r="E511" s="1185"/>
      <c r="F511" s="1185"/>
      <c r="G511" s="1185"/>
      <c r="H511" s="1185"/>
      <c r="I511" s="1185"/>
      <c r="J511" s="1185"/>
      <c r="K511" s="1185"/>
      <c r="L511" s="1185"/>
      <c r="M511" s="1185"/>
      <c r="N511" s="195"/>
    </row>
    <row r="512">
      <c r="A512" s="1185"/>
      <c r="B512" s="1185"/>
      <c r="C512" s="1185"/>
      <c r="D512" s="1185"/>
      <c r="E512" s="1185"/>
      <c r="F512" s="1185"/>
      <c r="G512" s="1185"/>
      <c r="H512" s="1185"/>
      <c r="I512" s="1185"/>
      <c r="J512" s="1185"/>
      <c r="K512" s="1185"/>
      <c r="L512" s="1185"/>
      <c r="M512" s="1185"/>
      <c r="N512" s="195"/>
    </row>
    <row r="513">
      <c r="A513" s="1185"/>
      <c r="B513" s="1185"/>
      <c r="C513" s="1185"/>
      <c r="D513" s="1185"/>
      <c r="E513" s="1185"/>
      <c r="F513" s="1185"/>
      <c r="G513" s="1185"/>
      <c r="H513" s="1185"/>
      <c r="I513" s="1185"/>
      <c r="J513" s="1185"/>
      <c r="K513" s="1185"/>
      <c r="L513" s="1185"/>
      <c r="M513" s="1185"/>
      <c r="N513" s="195"/>
    </row>
    <row r="514">
      <c r="A514" s="1185"/>
      <c r="B514" s="1185"/>
      <c r="C514" s="1185"/>
      <c r="D514" s="1185"/>
      <c r="E514" s="1185"/>
      <c r="F514" s="1185"/>
      <c r="G514" s="1185"/>
      <c r="H514" s="1185"/>
      <c r="I514" s="1185"/>
      <c r="J514" s="1185"/>
      <c r="K514" s="1185"/>
      <c r="L514" s="1185"/>
      <c r="M514" s="1185"/>
      <c r="N514" s="195"/>
    </row>
    <row r="515">
      <c r="A515" s="1185"/>
      <c r="B515" s="1185"/>
      <c r="C515" s="1185"/>
      <c r="D515" s="1185"/>
      <c r="E515" s="1185"/>
      <c r="F515" s="1185"/>
      <c r="G515" s="1185"/>
      <c r="H515" s="1185"/>
      <c r="I515" s="1185"/>
      <c r="J515" s="1185"/>
      <c r="K515" s="1185"/>
      <c r="L515" s="1185"/>
      <c r="M515" s="1185"/>
      <c r="N515" s="195"/>
    </row>
    <row r="516">
      <c r="A516" s="1185"/>
      <c r="B516" s="1185"/>
      <c r="C516" s="1185"/>
      <c r="D516" s="1185"/>
      <c r="E516" s="1185"/>
      <c r="F516" s="1185"/>
      <c r="G516" s="1185"/>
      <c r="H516" s="1185"/>
      <c r="I516" s="1185"/>
      <c r="J516" s="1185"/>
      <c r="K516" s="1185"/>
      <c r="L516" s="1185"/>
      <c r="M516" s="1185"/>
      <c r="N516" s="195"/>
    </row>
    <row r="517">
      <c r="A517" s="1185"/>
      <c r="B517" s="1185"/>
      <c r="C517" s="1185"/>
      <c r="D517" s="1185"/>
      <c r="E517" s="1185"/>
      <c r="F517" s="1185"/>
      <c r="G517" s="1185"/>
      <c r="H517" s="1185"/>
      <c r="I517" s="1185"/>
      <c r="J517" s="1185"/>
      <c r="K517" s="1185"/>
      <c r="L517" s="1185"/>
      <c r="M517" s="1185"/>
      <c r="N517" s="195"/>
    </row>
    <row r="518">
      <c r="A518" s="1185"/>
      <c r="B518" s="1185"/>
      <c r="C518" s="1185"/>
      <c r="D518" s="1185"/>
      <c r="E518" s="1185"/>
      <c r="F518" s="1185"/>
      <c r="G518" s="1185"/>
      <c r="H518" s="1185"/>
      <c r="I518" s="1185"/>
      <c r="J518" s="1185"/>
      <c r="K518" s="1185"/>
      <c r="L518" s="1185"/>
      <c r="M518" s="1185"/>
      <c r="N518" s="195"/>
    </row>
    <row r="519">
      <c r="A519" s="1185"/>
      <c r="B519" s="1185"/>
      <c r="C519" s="1185"/>
      <c r="D519" s="1185"/>
      <c r="E519" s="1185"/>
      <c r="F519" s="1185"/>
      <c r="G519" s="1185"/>
      <c r="H519" s="1185"/>
      <c r="I519" s="1185"/>
      <c r="J519" s="1185"/>
      <c r="K519" s="1185"/>
      <c r="L519" s="1185"/>
      <c r="M519" s="1185"/>
      <c r="N519" s="195"/>
    </row>
    <row r="520">
      <c r="A520" s="1185"/>
      <c r="B520" s="1185"/>
      <c r="C520" s="1185"/>
      <c r="D520" s="1185"/>
      <c r="E520" s="1185"/>
      <c r="F520" s="1185"/>
      <c r="G520" s="1185"/>
      <c r="H520" s="1185"/>
      <c r="I520" s="1185"/>
      <c r="J520" s="1185"/>
      <c r="K520" s="1185"/>
      <c r="L520" s="1185"/>
      <c r="M520" s="1185"/>
      <c r="N520" s="195"/>
    </row>
    <row r="521">
      <c r="A521" s="1185"/>
      <c r="B521" s="1185"/>
      <c r="C521" s="1185"/>
      <c r="D521" s="1185"/>
      <c r="E521" s="1185"/>
      <c r="F521" s="1185"/>
      <c r="G521" s="1185"/>
      <c r="H521" s="1185"/>
      <c r="I521" s="1185"/>
      <c r="J521" s="1185"/>
      <c r="K521" s="1185"/>
      <c r="L521" s="1185"/>
      <c r="M521" s="1185"/>
      <c r="N521" s="195"/>
    </row>
    <row r="522">
      <c r="A522" s="1185"/>
      <c r="B522" s="1185"/>
      <c r="C522" s="1185"/>
      <c r="D522" s="1185"/>
      <c r="E522" s="1185"/>
      <c r="F522" s="1185"/>
      <c r="G522" s="1185"/>
      <c r="H522" s="1185"/>
      <c r="I522" s="1185"/>
      <c r="J522" s="1185"/>
      <c r="K522" s="1185"/>
      <c r="L522" s="1185"/>
      <c r="M522" s="1185"/>
      <c r="N522" s="195"/>
    </row>
    <row r="523">
      <c r="A523" s="1185"/>
      <c r="B523" s="1185"/>
      <c r="C523" s="1185"/>
      <c r="D523" s="1185"/>
      <c r="E523" s="1185"/>
      <c r="F523" s="1185"/>
      <c r="G523" s="1185"/>
      <c r="H523" s="1185"/>
      <c r="I523" s="1185"/>
      <c r="J523" s="1185"/>
      <c r="K523" s="1185"/>
      <c r="L523" s="1185"/>
      <c r="M523" s="1185"/>
      <c r="N523" s="195"/>
    </row>
    <row r="524">
      <c r="A524" s="1185"/>
      <c r="B524" s="1185"/>
      <c r="C524" s="1185"/>
      <c r="D524" s="1185"/>
      <c r="E524" s="1185"/>
      <c r="F524" s="1185"/>
      <c r="G524" s="1185"/>
      <c r="H524" s="1185"/>
      <c r="I524" s="1185"/>
      <c r="J524" s="1185"/>
      <c r="K524" s="1185"/>
      <c r="L524" s="1185"/>
      <c r="M524" s="1185"/>
      <c r="N524" s="195"/>
    </row>
    <row r="525">
      <c r="A525" s="1185"/>
      <c r="B525" s="1185"/>
      <c r="C525" s="1185"/>
      <c r="D525" s="1185"/>
      <c r="E525" s="1185"/>
      <c r="F525" s="1185"/>
      <c r="G525" s="1185"/>
      <c r="H525" s="1185"/>
      <c r="I525" s="1185"/>
      <c r="J525" s="1185"/>
      <c r="K525" s="1185"/>
      <c r="L525" s="1185"/>
      <c r="M525" s="1185"/>
      <c r="N525" s="195"/>
    </row>
    <row r="526">
      <c r="A526" s="1185"/>
      <c r="B526" s="1185"/>
      <c r="C526" s="1185"/>
      <c r="D526" s="1185"/>
      <c r="E526" s="1185"/>
      <c r="F526" s="1185"/>
      <c r="G526" s="1185"/>
      <c r="H526" s="1185"/>
      <c r="I526" s="1185"/>
      <c r="J526" s="1185"/>
      <c r="K526" s="1185"/>
      <c r="L526" s="1185"/>
      <c r="M526" s="1185"/>
      <c r="N526" s="195"/>
    </row>
    <row r="527">
      <c r="A527" s="1185"/>
      <c r="B527" s="1185"/>
      <c r="C527" s="1185"/>
      <c r="D527" s="1185"/>
      <c r="E527" s="1185"/>
      <c r="F527" s="1185"/>
      <c r="G527" s="1185"/>
      <c r="H527" s="1185"/>
      <c r="I527" s="1185"/>
      <c r="J527" s="1185"/>
      <c r="K527" s="1185"/>
      <c r="L527" s="1185"/>
      <c r="M527" s="1185"/>
      <c r="N527" s="195"/>
    </row>
    <row r="528">
      <c r="A528" s="1185"/>
      <c r="B528" s="1185"/>
      <c r="C528" s="1185"/>
      <c r="D528" s="1185"/>
      <c r="E528" s="1185"/>
      <c r="F528" s="1185"/>
      <c r="G528" s="1185"/>
      <c r="H528" s="1185"/>
      <c r="I528" s="1185"/>
      <c r="J528" s="1185"/>
      <c r="K528" s="1185"/>
      <c r="L528" s="1185"/>
      <c r="M528" s="1185"/>
      <c r="N528" s="195"/>
    </row>
    <row r="529">
      <c r="A529" s="1185"/>
      <c r="B529" s="1185"/>
      <c r="C529" s="1185"/>
      <c r="D529" s="1185"/>
      <c r="E529" s="1185"/>
      <c r="F529" s="1185"/>
      <c r="G529" s="1185"/>
      <c r="H529" s="1185"/>
      <c r="I529" s="1185"/>
      <c r="J529" s="1185"/>
      <c r="K529" s="1185"/>
      <c r="L529" s="1185"/>
      <c r="M529" s="1185"/>
      <c r="N529" s="195"/>
    </row>
    <row r="530">
      <c r="A530" s="1185"/>
      <c r="B530" s="1185"/>
      <c r="C530" s="1185"/>
      <c r="D530" s="1185"/>
      <c r="E530" s="1185"/>
      <c r="F530" s="1185"/>
      <c r="G530" s="1185"/>
      <c r="H530" s="1185"/>
      <c r="I530" s="1185"/>
      <c r="J530" s="1185"/>
      <c r="K530" s="1185"/>
      <c r="L530" s="1185"/>
      <c r="M530" s="1185"/>
      <c r="N530" s="195"/>
    </row>
    <row r="531">
      <c r="A531" s="1185"/>
      <c r="B531" s="1185"/>
      <c r="C531" s="1185"/>
      <c r="D531" s="1185"/>
      <c r="E531" s="1185"/>
      <c r="F531" s="1185"/>
      <c r="G531" s="1185"/>
      <c r="H531" s="1185"/>
      <c r="I531" s="1185"/>
      <c r="J531" s="1185"/>
      <c r="K531" s="1185"/>
      <c r="L531" s="1185"/>
      <c r="M531" s="1185"/>
      <c r="N531" s="195"/>
    </row>
    <row r="532">
      <c r="A532" s="1185"/>
      <c r="B532" s="1185"/>
      <c r="C532" s="1185"/>
      <c r="D532" s="1185"/>
      <c r="E532" s="1185"/>
      <c r="F532" s="1185"/>
      <c r="G532" s="1185"/>
      <c r="H532" s="1185"/>
      <c r="I532" s="1185"/>
      <c r="J532" s="1185"/>
      <c r="K532" s="1185"/>
      <c r="L532" s="1185"/>
      <c r="M532" s="1185"/>
      <c r="N532" s="195"/>
    </row>
    <row r="533">
      <c r="A533" s="1185"/>
      <c r="B533" s="1185"/>
      <c r="C533" s="1185"/>
      <c r="D533" s="1185"/>
      <c r="E533" s="1185"/>
      <c r="F533" s="1185"/>
      <c r="G533" s="1185"/>
      <c r="H533" s="1185"/>
      <c r="I533" s="1185"/>
      <c r="J533" s="1185"/>
      <c r="K533" s="1185"/>
      <c r="L533" s="1185"/>
      <c r="M533" s="1185"/>
      <c r="N533" s="195"/>
    </row>
    <row r="534">
      <c r="A534" s="1185"/>
      <c r="B534" s="1185"/>
      <c r="C534" s="1185"/>
      <c r="D534" s="1185"/>
      <c r="E534" s="1185"/>
      <c r="F534" s="1185"/>
      <c r="G534" s="1185"/>
      <c r="H534" s="1185"/>
      <c r="I534" s="1185"/>
      <c r="J534" s="1185"/>
      <c r="K534" s="1185"/>
      <c r="L534" s="1185"/>
      <c r="M534" s="1185"/>
      <c r="N534" s="195"/>
    </row>
    <row r="535">
      <c r="A535" s="1185"/>
      <c r="B535" s="1185"/>
      <c r="C535" s="1185"/>
      <c r="D535" s="1185"/>
      <c r="E535" s="1185"/>
      <c r="F535" s="1185"/>
      <c r="G535" s="1185"/>
      <c r="H535" s="1185"/>
      <c r="I535" s="1185"/>
      <c r="J535" s="1185"/>
      <c r="K535" s="1185"/>
      <c r="L535" s="1185"/>
      <c r="M535" s="1185"/>
      <c r="N535" s="195"/>
    </row>
    <row r="536">
      <c r="A536" s="1185"/>
      <c r="B536" s="1185"/>
      <c r="C536" s="1185"/>
      <c r="D536" s="1185"/>
      <c r="E536" s="1185"/>
      <c r="F536" s="1185"/>
      <c r="G536" s="1185"/>
      <c r="H536" s="1185"/>
      <c r="I536" s="1185"/>
      <c r="J536" s="1185"/>
      <c r="K536" s="1185"/>
      <c r="L536" s="1185"/>
      <c r="M536" s="1185"/>
      <c r="N536" s="195"/>
    </row>
    <row r="537">
      <c r="A537" s="1185"/>
      <c r="B537" s="1185"/>
      <c r="C537" s="1185"/>
      <c r="D537" s="1185"/>
      <c r="E537" s="1185"/>
      <c r="F537" s="1185"/>
      <c r="G537" s="1185"/>
      <c r="H537" s="1185"/>
      <c r="I537" s="1185"/>
      <c r="J537" s="1185"/>
      <c r="K537" s="1185"/>
      <c r="L537" s="1185"/>
      <c r="M537" s="1185"/>
      <c r="N537" s="195"/>
    </row>
    <row r="538">
      <c r="A538" s="1185"/>
      <c r="B538" s="1185"/>
      <c r="C538" s="1185"/>
      <c r="D538" s="1185"/>
      <c r="E538" s="1185"/>
      <c r="F538" s="1185"/>
      <c r="G538" s="1185"/>
      <c r="H538" s="1185"/>
      <c r="I538" s="1185"/>
      <c r="J538" s="1185"/>
      <c r="K538" s="1185"/>
      <c r="L538" s="1185"/>
      <c r="M538" s="1185"/>
      <c r="N538" s="195"/>
    </row>
    <row r="539">
      <c r="A539" s="1185"/>
      <c r="B539" s="1185"/>
      <c r="C539" s="1185"/>
      <c r="D539" s="1185"/>
      <c r="E539" s="1185"/>
      <c r="F539" s="1185"/>
      <c r="G539" s="1185"/>
      <c r="H539" s="1185"/>
      <c r="I539" s="1185"/>
      <c r="J539" s="1185"/>
      <c r="K539" s="1185"/>
      <c r="L539" s="1185"/>
      <c r="M539" s="1185"/>
      <c r="N539" s="195"/>
    </row>
    <row r="540">
      <c r="A540" s="1185"/>
      <c r="B540" s="1185"/>
      <c r="C540" s="1185"/>
      <c r="D540" s="1185"/>
      <c r="E540" s="1185"/>
      <c r="F540" s="1185"/>
      <c r="G540" s="1185"/>
      <c r="H540" s="1185"/>
      <c r="I540" s="1185"/>
      <c r="J540" s="1185"/>
      <c r="K540" s="1185"/>
      <c r="L540" s="1185"/>
      <c r="M540" s="1185"/>
      <c r="N540" s="195"/>
    </row>
    <row r="541">
      <c r="A541" s="1185"/>
      <c r="B541" s="1185"/>
      <c r="C541" s="1185"/>
      <c r="D541" s="1185"/>
      <c r="E541" s="1185"/>
      <c r="F541" s="1185"/>
      <c r="G541" s="1185"/>
      <c r="H541" s="1185"/>
      <c r="I541" s="1185"/>
      <c r="J541" s="1185"/>
      <c r="K541" s="1185"/>
      <c r="L541" s="1185"/>
      <c r="M541" s="1185"/>
      <c r="N541" s="195"/>
    </row>
    <row r="542">
      <c r="A542" s="1185"/>
      <c r="B542" s="1185"/>
      <c r="C542" s="1185"/>
      <c r="D542" s="1185"/>
      <c r="E542" s="1185"/>
      <c r="F542" s="1185"/>
      <c r="G542" s="1185"/>
      <c r="H542" s="1185"/>
      <c r="I542" s="1185"/>
      <c r="J542" s="1185"/>
      <c r="K542" s="1185"/>
      <c r="L542" s="1185"/>
      <c r="M542" s="1185"/>
      <c r="N542" s="195"/>
    </row>
    <row r="543">
      <c r="A543" s="1185"/>
      <c r="B543" s="1185"/>
      <c r="C543" s="1185"/>
      <c r="D543" s="1185"/>
      <c r="E543" s="1185"/>
      <c r="F543" s="1185"/>
      <c r="G543" s="1185"/>
      <c r="H543" s="1185"/>
      <c r="I543" s="1185"/>
      <c r="J543" s="1185"/>
      <c r="K543" s="1185"/>
      <c r="L543" s="1185"/>
      <c r="M543" s="1185"/>
      <c r="N543" s="195"/>
    </row>
    <row r="544">
      <c r="A544" s="1185"/>
      <c r="B544" s="1185"/>
      <c r="C544" s="1185"/>
      <c r="D544" s="1185"/>
      <c r="E544" s="1185"/>
      <c r="F544" s="1185"/>
      <c r="G544" s="1185"/>
      <c r="H544" s="1185"/>
      <c r="I544" s="1185"/>
      <c r="J544" s="1185"/>
      <c r="K544" s="1185"/>
      <c r="L544" s="1185"/>
      <c r="M544" s="1185"/>
      <c r="N544" s="195"/>
    </row>
    <row r="545">
      <c r="A545" s="1185"/>
      <c r="B545" s="1185"/>
      <c r="C545" s="1185"/>
      <c r="D545" s="1185"/>
      <c r="E545" s="1185"/>
      <c r="F545" s="1185"/>
      <c r="G545" s="1185"/>
      <c r="H545" s="1185"/>
      <c r="I545" s="1185"/>
      <c r="J545" s="1185"/>
      <c r="K545" s="1185"/>
      <c r="L545" s="1185"/>
      <c r="M545" s="1185"/>
      <c r="N545" s="195"/>
    </row>
    <row r="546">
      <c r="A546" s="1185"/>
      <c r="B546" s="1185"/>
      <c r="C546" s="1185"/>
      <c r="D546" s="1185"/>
      <c r="E546" s="1185"/>
      <c r="F546" s="1185"/>
      <c r="G546" s="1185"/>
      <c r="H546" s="1185"/>
      <c r="I546" s="1185"/>
      <c r="J546" s="1185"/>
      <c r="K546" s="1185"/>
      <c r="L546" s="1185"/>
      <c r="M546" s="1185"/>
      <c r="N546" s="195"/>
    </row>
    <row r="547">
      <c r="A547" s="1185"/>
      <c r="B547" s="1185"/>
      <c r="C547" s="1185"/>
      <c r="D547" s="1185"/>
      <c r="E547" s="1185"/>
      <c r="F547" s="1185"/>
      <c r="G547" s="1185"/>
      <c r="H547" s="1185"/>
      <c r="I547" s="1185"/>
      <c r="J547" s="1185"/>
      <c r="K547" s="1185"/>
      <c r="L547" s="1185"/>
      <c r="M547" s="1185"/>
      <c r="N547" s="195"/>
    </row>
    <row r="548">
      <c r="A548" s="1185"/>
      <c r="B548" s="1185"/>
      <c r="C548" s="1185"/>
      <c r="D548" s="1185"/>
      <c r="E548" s="1185"/>
      <c r="F548" s="1185"/>
      <c r="G548" s="1185"/>
      <c r="H548" s="1185"/>
      <c r="I548" s="1185"/>
      <c r="J548" s="1185"/>
      <c r="K548" s="1185"/>
      <c r="L548" s="1185"/>
      <c r="M548" s="1185"/>
      <c r="N548" s="195"/>
    </row>
    <row r="549">
      <c r="A549" s="1185"/>
      <c r="B549" s="1185"/>
      <c r="C549" s="1185"/>
      <c r="D549" s="1185"/>
      <c r="E549" s="1185"/>
      <c r="F549" s="1185"/>
      <c r="G549" s="1185"/>
      <c r="H549" s="1185"/>
      <c r="I549" s="1185"/>
      <c r="J549" s="1185"/>
      <c r="K549" s="1185"/>
      <c r="L549" s="1185"/>
      <c r="M549" s="1185"/>
      <c r="N549" s="195"/>
    </row>
    <row r="550">
      <c r="A550" s="1185"/>
      <c r="B550" s="1185"/>
      <c r="C550" s="1185"/>
      <c r="D550" s="1185"/>
      <c r="E550" s="1185"/>
      <c r="F550" s="1185"/>
      <c r="G550" s="1185"/>
      <c r="H550" s="1185"/>
      <c r="I550" s="1185"/>
      <c r="J550" s="1185"/>
      <c r="K550" s="1185"/>
      <c r="L550" s="1185"/>
      <c r="M550" s="1185"/>
      <c r="N550" s="195"/>
    </row>
    <row r="551">
      <c r="A551" s="1185"/>
      <c r="B551" s="1185"/>
      <c r="C551" s="1185"/>
      <c r="D551" s="1185"/>
      <c r="E551" s="1185"/>
      <c r="F551" s="1185"/>
      <c r="G551" s="1185"/>
      <c r="H551" s="1185"/>
      <c r="I551" s="1185"/>
      <c r="J551" s="1185"/>
      <c r="K551" s="1185"/>
      <c r="L551" s="1185"/>
      <c r="M551" s="1185"/>
      <c r="N551" s="195"/>
    </row>
    <row r="552">
      <c r="A552" s="1185"/>
      <c r="B552" s="1185"/>
      <c r="C552" s="1185"/>
      <c r="D552" s="1185"/>
      <c r="E552" s="1185"/>
      <c r="F552" s="1185"/>
      <c r="G552" s="1185"/>
      <c r="H552" s="1185"/>
      <c r="I552" s="1185"/>
      <c r="J552" s="1185"/>
      <c r="K552" s="1185"/>
      <c r="L552" s="1185"/>
      <c r="M552" s="1185"/>
      <c r="N552" s="195"/>
    </row>
    <row r="553">
      <c r="A553" s="1185"/>
      <c r="B553" s="1185"/>
      <c r="C553" s="1185"/>
      <c r="D553" s="1185"/>
      <c r="E553" s="1185"/>
      <c r="F553" s="1185"/>
      <c r="G553" s="1185"/>
      <c r="H553" s="1185"/>
      <c r="I553" s="1185"/>
      <c r="J553" s="1185"/>
      <c r="K553" s="1185"/>
      <c r="L553" s="1185"/>
      <c r="M553" s="1185"/>
      <c r="N553" s="195"/>
    </row>
    <row r="554">
      <c r="A554" s="1185"/>
      <c r="B554" s="1185"/>
      <c r="C554" s="1185"/>
      <c r="D554" s="1185"/>
      <c r="E554" s="1185"/>
      <c r="F554" s="1185"/>
      <c r="G554" s="1185"/>
      <c r="H554" s="1185"/>
      <c r="I554" s="1185"/>
      <c r="J554" s="1185"/>
      <c r="K554" s="1185"/>
      <c r="L554" s="1185"/>
      <c r="M554" s="1185"/>
      <c r="N554" s="195"/>
    </row>
    <row r="555">
      <c r="A555" s="1185"/>
      <c r="B555" s="1185"/>
      <c r="C555" s="1185"/>
      <c r="D555" s="1185"/>
      <c r="E555" s="1185"/>
      <c r="F555" s="1185"/>
      <c r="G555" s="1185"/>
      <c r="H555" s="1185"/>
      <c r="I555" s="1185"/>
      <c r="J555" s="1185"/>
      <c r="K555" s="1185"/>
      <c r="L555" s="1185"/>
      <c r="M555" s="1185"/>
      <c r="N555" s="195"/>
    </row>
    <row r="556">
      <c r="A556" s="1185"/>
      <c r="B556" s="1185"/>
      <c r="C556" s="1185"/>
      <c r="D556" s="1185"/>
      <c r="E556" s="1185"/>
      <c r="F556" s="1185"/>
      <c r="G556" s="1185"/>
      <c r="H556" s="1185"/>
      <c r="I556" s="1185"/>
      <c r="J556" s="1185"/>
      <c r="K556" s="1185"/>
      <c r="L556" s="1185"/>
      <c r="M556" s="1185"/>
      <c r="N556" s="195"/>
    </row>
    <row r="557">
      <c r="A557" s="1185"/>
      <c r="B557" s="1185"/>
      <c r="C557" s="1185"/>
      <c r="D557" s="1185"/>
      <c r="E557" s="1185"/>
      <c r="F557" s="1185"/>
      <c r="G557" s="1185"/>
      <c r="H557" s="1185"/>
      <c r="I557" s="1185"/>
      <c r="J557" s="1185"/>
      <c r="K557" s="1185"/>
      <c r="L557" s="1185"/>
      <c r="M557" s="1185"/>
      <c r="N557" s="195"/>
    </row>
    <row r="558">
      <c r="A558" s="1185"/>
      <c r="B558" s="1185"/>
      <c r="C558" s="1185"/>
      <c r="D558" s="1185"/>
      <c r="E558" s="1185"/>
      <c r="F558" s="1185"/>
      <c r="G558" s="1185"/>
      <c r="H558" s="1185"/>
      <c r="I558" s="1185"/>
      <c r="J558" s="1185"/>
      <c r="K558" s="1185"/>
      <c r="L558" s="1185"/>
      <c r="M558" s="1185"/>
      <c r="N558" s="195"/>
    </row>
    <row r="559">
      <c r="A559" s="1185"/>
      <c r="B559" s="1185"/>
      <c r="C559" s="1185"/>
      <c r="D559" s="1185"/>
      <c r="E559" s="1185"/>
      <c r="F559" s="1185"/>
      <c r="G559" s="1185"/>
      <c r="H559" s="1185"/>
      <c r="I559" s="1185"/>
      <c r="J559" s="1185"/>
      <c r="K559" s="1185"/>
      <c r="L559" s="1185"/>
      <c r="M559" s="1185"/>
      <c r="N559" s="195"/>
    </row>
    <row r="560">
      <c r="A560" s="1185"/>
      <c r="B560" s="1185"/>
      <c r="C560" s="1185"/>
      <c r="D560" s="1185"/>
      <c r="E560" s="1185"/>
      <c r="F560" s="1185"/>
      <c r="G560" s="1185"/>
      <c r="H560" s="1185"/>
      <c r="I560" s="1185"/>
      <c r="J560" s="1185"/>
      <c r="K560" s="1185"/>
      <c r="L560" s="1185"/>
      <c r="M560" s="1185"/>
      <c r="N560" s="195"/>
    </row>
    <row r="561">
      <c r="A561" s="1185"/>
      <c r="B561" s="1185"/>
      <c r="C561" s="1185"/>
      <c r="D561" s="1185"/>
      <c r="E561" s="1185"/>
      <c r="F561" s="1185"/>
      <c r="G561" s="1185"/>
      <c r="H561" s="1185"/>
      <c r="I561" s="1185"/>
      <c r="J561" s="1185"/>
      <c r="K561" s="1185"/>
      <c r="L561" s="1185"/>
      <c r="M561" s="1185"/>
      <c r="N561" s="195"/>
    </row>
    <row r="562">
      <c r="A562" s="1185"/>
      <c r="B562" s="1185"/>
      <c r="C562" s="1185"/>
      <c r="D562" s="1185"/>
      <c r="E562" s="1185"/>
      <c r="F562" s="1185"/>
      <c r="G562" s="1185"/>
      <c r="H562" s="1185"/>
      <c r="I562" s="1185"/>
      <c r="J562" s="1185"/>
      <c r="K562" s="1185"/>
      <c r="L562" s="1185"/>
      <c r="M562" s="1185"/>
      <c r="N562" s="195"/>
    </row>
    <row r="563">
      <c r="A563" s="1185"/>
      <c r="B563" s="1185"/>
      <c r="C563" s="1185"/>
      <c r="D563" s="1185"/>
      <c r="E563" s="1185"/>
      <c r="F563" s="1185"/>
      <c r="G563" s="1185"/>
      <c r="H563" s="1185"/>
      <c r="I563" s="1185"/>
      <c r="J563" s="1185"/>
      <c r="K563" s="1185"/>
      <c r="L563" s="1185"/>
      <c r="M563" s="1185"/>
      <c r="N563" s="195"/>
    </row>
    <row r="564">
      <c r="A564" s="1185"/>
      <c r="B564" s="1185"/>
      <c r="C564" s="1185"/>
      <c r="D564" s="1185"/>
      <c r="E564" s="1185"/>
      <c r="F564" s="1185"/>
      <c r="G564" s="1185"/>
      <c r="H564" s="1185"/>
      <c r="I564" s="1185"/>
      <c r="J564" s="1185"/>
      <c r="K564" s="1185"/>
      <c r="L564" s="1185"/>
      <c r="M564" s="1185"/>
      <c r="N564" s="195"/>
    </row>
    <row r="565">
      <c r="A565" s="1185"/>
      <c r="B565" s="1185"/>
      <c r="C565" s="1185"/>
      <c r="D565" s="1185"/>
      <c r="E565" s="1185"/>
      <c r="F565" s="1185"/>
      <c r="G565" s="1185"/>
      <c r="H565" s="1185"/>
      <c r="I565" s="1185"/>
      <c r="J565" s="1185"/>
      <c r="K565" s="1185"/>
      <c r="L565" s="1185"/>
      <c r="M565" s="1185"/>
      <c r="N565" s="195"/>
    </row>
    <row r="566">
      <c r="A566" s="1185"/>
      <c r="B566" s="1185"/>
      <c r="C566" s="1185"/>
      <c r="D566" s="1185"/>
      <c r="E566" s="1185"/>
      <c r="F566" s="1185"/>
      <c r="G566" s="1185"/>
      <c r="H566" s="1185"/>
      <c r="I566" s="1185"/>
      <c r="J566" s="1185"/>
      <c r="K566" s="1185"/>
      <c r="L566" s="1185"/>
      <c r="M566" s="1185"/>
      <c r="N566" s="195"/>
    </row>
    <row r="567">
      <c r="A567" s="1185"/>
      <c r="B567" s="1185"/>
      <c r="C567" s="1185"/>
      <c r="D567" s="1185"/>
      <c r="E567" s="1185"/>
      <c r="F567" s="1185"/>
      <c r="G567" s="1185"/>
      <c r="H567" s="1185"/>
      <c r="I567" s="1185"/>
      <c r="J567" s="1185"/>
      <c r="K567" s="1185"/>
      <c r="L567" s="1185"/>
      <c r="M567" s="1185"/>
      <c r="N567" s="195"/>
    </row>
    <row r="568">
      <c r="A568" s="1185"/>
      <c r="B568" s="1185"/>
      <c r="C568" s="1185"/>
      <c r="D568" s="1185"/>
      <c r="E568" s="1185"/>
      <c r="F568" s="1185"/>
      <c r="G568" s="1185"/>
      <c r="H568" s="1185"/>
      <c r="I568" s="1185"/>
      <c r="J568" s="1185"/>
      <c r="K568" s="1185"/>
      <c r="L568" s="1185"/>
      <c r="M568" s="1185"/>
      <c r="N568" s="195"/>
    </row>
    <row r="569">
      <c r="A569" s="1185"/>
      <c r="B569" s="1185"/>
      <c r="C569" s="1185"/>
      <c r="D569" s="1185"/>
      <c r="E569" s="1185"/>
      <c r="F569" s="1185"/>
      <c r="G569" s="1185"/>
      <c r="H569" s="1185"/>
      <c r="I569" s="1185"/>
      <c r="J569" s="1185"/>
      <c r="K569" s="1185"/>
      <c r="L569" s="1185"/>
      <c r="M569" s="1185"/>
      <c r="N569" s="195"/>
    </row>
    <row r="570">
      <c r="A570" s="1185"/>
      <c r="B570" s="1185"/>
      <c r="C570" s="1185"/>
      <c r="D570" s="1185"/>
      <c r="E570" s="1185"/>
      <c r="F570" s="1185"/>
      <c r="G570" s="1185"/>
      <c r="H570" s="1185"/>
      <c r="I570" s="1185"/>
      <c r="J570" s="1185"/>
      <c r="K570" s="1185"/>
      <c r="L570" s="1185"/>
      <c r="M570" s="1185"/>
      <c r="N570" s="195"/>
    </row>
    <row r="571">
      <c r="A571" s="1185"/>
      <c r="B571" s="1185"/>
      <c r="C571" s="1185"/>
      <c r="D571" s="1185"/>
      <c r="E571" s="1185"/>
      <c r="F571" s="1185"/>
      <c r="G571" s="1185"/>
      <c r="H571" s="1185"/>
      <c r="I571" s="1185"/>
      <c r="J571" s="1185"/>
      <c r="K571" s="1185"/>
      <c r="L571" s="1185"/>
      <c r="M571" s="1185"/>
      <c r="N571" s="195"/>
    </row>
    <row r="572">
      <c r="A572" s="1185"/>
      <c r="B572" s="1185"/>
      <c r="C572" s="1185"/>
      <c r="D572" s="1185"/>
      <c r="E572" s="1185"/>
      <c r="F572" s="1185"/>
      <c r="G572" s="1185"/>
      <c r="H572" s="1185"/>
      <c r="I572" s="1185"/>
      <c r="J572" s="1185"/>
      <c r="K572" s="1185"/>
      <c r="L572" s="1185"/>
      <c r="M572" s="1185"/>
      <c r="N572" s="195"/>
    </row>
    <row r="573">
      <c r="A573" s="1185"/>
      <c r="B573" s="1185"/>
      <c r="C573" s="1185"/>
      <c r="D573" s="1185"/>
      <c r="E573" s="1185"/>
      <c r="F573" s="1185"/>
      <c r="G573" s="1185"/>
      <c r="H573" s="1185"/>
      <c r="I573" s="1185"/>
      <c r="J573" s="1185"/>
      <c r="K573" s="1185"/>
      <c r="L573" s="1185"/>
      <c r="M573" s="1185"/>
      <c r="N573" s="195"/>
    </row>
    <row r="574">
      <c r="A574" s="1185"/>
      <c r="B574" s="1185"/>
      <c r="C574" s="1185"/>
      <c r="D574" s="1185"/>
      <c r="E574" s="1185"/>
      <c r="F574" s="1185"/>
      <c r="G574" s="1185"/>
      <c r="H574" s="1185"/>
      <c r="I574" s="1185"/>
      <c r="J574" s="1185"/>
      <c r="K574" s="1185"/>
      <c r="L574" s="1185"/>
      <c r="M574" s="1185"/>
      <c r="N574" s="195"/>
    </row>
    <row r="575">
      <c r="A575" s="1185"/>
      <c r="B575" s="1185"/>
      <c r="C575" s="1185"/>
      <c r="D575" s="1185"/>
      <c r="E575" s="1185"/>
      <c r="F575" s="1185"/>
      <c r="G575" s="1185"/>
      <c r="H575" s="1185"/>
      <c r="I575" s="1185"/>
      <c r="J575" s="1185"/>
      <c r="K575" s="1185"/>
      <c r="L575" s="1185"/>
      <c r="M575" s="1185"/>
      <c r="N575" s="195"/>
    </row>
    <row r="576">
      <c r="A576" s="1185"/>
      <c r="B576" s="1185"/>
      <c r="C576" s="1185"/>
      <c r="D576" s="1185"/>
      <c r="E576" s="1185"/>
      <c r="F576" s="1185"/>
      <c r="G576" s="1185"/>
      <c r="H576" s="1185"/>
      <c r="I576" s="1185"/>
      <c r="J576" s="1185"/>
      <c r="K576" s="1185"/>
      <c r="L576" s="1185"/>
      <c r="M576" s="1185"/>
      <c r="N576" s="195"/>
    </row>
    <row r="577">
      <c r="A577" s="1185"/>
      <c r="B577" s="1185"/>
      <c r="C577" s="1185"/>
      <c r="D577" s="1185"/>
      <c r="E577" s="1185"/>
      <c r="F577" s="1185"/>
      <c r="G577" s="1185"/>
      <c r="H577" s="1185"/>
      <c r="I577" s="1185"/>
      <c r="J577" s="1185"/>
      <c r="K577" s="1185"/>
      <c r="L577" s="1185"/>
      <c r="M577" s="1185"/>
      <c r="N577" s="195"/>
    </row>
    <row r="578">
      <c r="A578" s="1185"/>
      <c r="B578" s="1185"/>
      <c r="C578" s="1185"/>
      <c r="D578" s="1185"/>
      <c r="E578" s="1185"/>
      <c r="F578" s="1185"/>
      <c r="G578" s="1185"/>
      <c r="H578" s="1185"/>
      <c r="I578" s="1185"/>
      <c r="J578" s="1185"/>
      <c r="K578" s="1185"/>
      <c r="L578" s="1185"/>
      <c r="M578" s="1185"/>
      <c r="N578" s="195"/>
    </row>
    <row r="579">
      <c r="A579" s="1185"/>
      <c r="B579" s="1185"/>
      <c r="C579" s="1185"/>
      <c r="D579" s="1185"/>
      <c r="E579" s="1185"/>
      <c r="F579" s="1185"/>
      <c r="G579" s="1185"/>
      <c r="H579" s="1185"/>
      <c r="I579" s="1185"/>
      <c r="J579" s="1185"/>
      <c r="K579" s="1185"/>
      <c r="L579" s="1185"/>
      <c r="M579" s="1185"/>
      <c r="N579" s="195"/>
    </row>
    <row r="580">
      <c r="A580" s="1185"/>
      <c r="B580" s="1185"/>
      <c r="C580" s="1185"/>
      <c r="D580" s="1185"/>
      <c r="E580" s="1185"/>
      <c r="F580" s="1185"/>
      <c r="G580" s="1185"/>
      <c r="H580" s="1185"/>
      <c r="I580" s="1185"/>
      <c r="J580" s="1185"/>
      <c r="K580" s="1185"/>
      <c r="L580" s="1185"/>
      <c r="M580" s="1185"/>
      <c r="N580" s="195"/>
    </row>
    <row r="581">
      <c r="A581" s="1185"/>
      <c r="B581" s="1185"/>
      <c r="C581" s="1185"/>
      <c r="D581" s="1185"/>
      <c r="E581" s="1185"/>
      <c r="F581" s="1185"/>
      <c r="G581" s="1185"/>
      <c r="H581" s="1185"/>
      <c r="I581" s="1185"/>
      <c r="J581" s="1185"/>
      <c r="K581" s="1185"/>
      <c r="L581" s="1185"/>
      <c r="M581" s="1185"/>
      <c r="N581" s="195"/>
    </row>
    <row r="582">
      <c r="A582" s="1185"/>
      <c r="B582" s="1185"/>
      <c r="C582" s="1185"/>
      <c r="D582" s="1185"/>
      <c r="E582" s="1185"/>
      <c r="F582" s="1185"/>
      <c r="G582" s="1185"/>
      <c r="H582" s="1185"/>
      <c r="I582" s="1185"/>
      <c r="J582" s="1185"/>
      <c r="K582" s="1185"/>
      <c r="L582" s="1185"/>
      <c r="M582" s="1185"/>
      <c r="N582" s="195"/>
    </row>
    <row r="583">
      <c r="A583" s="1185"/>
      <c r="B583" s="1185"/>
      <c r="C583" s="1185"/>
      <c r="D583" s="1185"/>
      <c r="E583" s="1185"/>
      <c r="F583" s="1185"/>
      <c r="G583" s="1185"/>
      <c r="H583" s="1185"/>
      <c r="I583" s="1185"/>
      <c r="J583" s="1185"/>
      <c r="K583" s="1185"/>
      <c r="L583" s="1185"/>
      <c r="M583" s="1185"/>
      <c r="N583" s="195"/>
    </row>
    <row r="584">
      <c r="A584" s="1185"/>
      <c r="B584" s="1185"/>
      <c r="C584" s="1185"/>
      <c r="D584" s="1185"/>
      <c r="E584" s="1185"/>
      <c r="F584" s="1185"/>
      <c r="G584" s="1185"/>
      <c r="H584" s="1185"/>
      <c r="I584" s="1185"/>
      <c r="J584" s="1185"/>
      <c r="K584" s="1185"/>
      <c r="L584" s="1185"/>
      <c r="M584" s="1185"/>
      <c r="N584" s="195"/>
    </row>
    <row r="585">
      <c r="A585" s="1185"/>
      <c r="B585" s="1185"/>
      <c r="C585" s="1185"/>
      <c r="D585" s="1185"/>
      <c r="E585" s="1185"/>
      <c r="F585" s="1185"/>
      <c r="G585" s="1185"/>
      <c r="H585" s="1185"/>
      <c r="I585" s="1185"/>
      <c r="J585" s="1185"/>
      <c r="K585" s="1185"/>
      <c r="L585" s="1185"/>
      <c r="M585" s="1185"/>
      <c r="N585" s="195"/>
    </row>
    <row r="586">
      <c r="A586" s="1185"/>
      <c r="B586" s="1185"/>
      <c r="C586" s="1185"/>
      <c r="D586" s="1185"/>
      <c r="E586" s="1185"/>
      <c r="F586" s="1185"/>
      <c r="G586" s="1185"/>
      <c r="H586" s="1185"/>
      <c r="I586" s="1185"/>
      <c r="J586" s="1185"/>
      <c r="K586" s="1185"/>
      <c r="L586" s="1185"/>
      <c r="M586" s="1185"/>
      <c r="N586" s="195"/>
    </row>
    <row r="587">
      <c r="A587" s="1185"/>
      <c r="B587" s="1185"/>
      <c r="C587" s="1185"/>
      <c r="D587" s="1185"/>
      <c r="E587" s="1185"/>
      <c r="F587" s="1185"/>
      <c r="G587" s="1185"/>
      <c r="H587" s="1185"/>
      <c r="I587" s="1185"/>
      <c r="J587" s="1185"/>
      <c r="K587" s="1185"/>
      <c r="L587" s="1185"/>
      <c r="M587" s="1185"/>
      <c r="N587" s="195"/>
    </row>
    <row r="588">
      <c r="A588" s="1185"/>
      <c r="B588" s="1185"/>
      <c r="C588" s="1185"/>
      <c r="D588" s="1185"/>
      <c r="E588" s="1185"/>
      <c r="F588" s="1185"/>
      <c r="G588" s="1185"/>
      <c r="H588" s="1185"/>
      <c r="I588" s="1185"/>
      <c r="J588" s="1185"/>
      <c r="K588" s="1185"/>
      <c r="L588" s="1185"/>
      <c r="M588" s="1185"/>
      <c r="N588" s="195"/>
    </row>
    <row r="589">
      <c r="A589" s="1185"/>
      <c r="B589" s="1185"/>
      <c r="C589" s="1185"/>
      <c r="D589" s="1185"/>
      <c r="E589" s="1185"/>
      <c r="F589" s="1185"/>
      <c r="G589" s="1185"/>
      <c r="H589" s="1185"/>
      <c r="I589" s="1185"/>
      <c r="J589" s="1185"/>
      <c r="K589" s="1185"/>
      <c r="L589" s="1185"/>
      <c r="M589" s="1185"/>
      <c r="N589" s="195"/>
    </row>
    <row r="590">
      <c r="A590" s="1185"/>
      <c r="B590" s="1185"/>
      <c r="C590" s="1185"/>
      <c r="D590" s="1185"/>
      <c r="E590" s="1185"/>
      <c r="F590" s="1185"/>
      <c r="G590" s="1185"/>
      <c r="H590" s="1185"/>
      <c r="I590" s="1185"/>
      <c r="J590" s="1185"/>
      <c r="K590" s="1185"/>
      <c r="L590" s="1185"/>
      <c r="M590" s="1185"/>
      <c r="N590" s="195"/>
    </row>
    <row r="591">
      <c r="A591" s="1185"/>
      <c r="B591" s="1185"/>
      <c r="C591" s="1185"/>
      <c r="D591" s="1185"/>
      <c r="E591" s="1185"/>
      <c r="F591" s="1185"/>
      <c r="G591" s="1185"/>
      <c r="H591" s="1185"/>
      <c r="I591" s="1185"/>
      <c r="J591" s="1185"/>
      <c r="K591" s="1185"/>
      <c r="L591" s="1185"/>
      <c r="M591" s="1185"/>
      <c r="N591" s="195"/>
    </row>
    <row r="592">
      <c r="A592" s="1185"/>
      <c r="B592" s="1185"/>
      <c r="C592" s="1185"/>
      <c r="D592" s="1185"/>
      <c r="E592" s="1185"/>
      <c r="F592" s="1185"/>
      <c r="G592" s="1185"/>
      <c r="H592" s="1185"/>
      <c r="I592" s="1185"/>
      <c r="J592" s="1185"/>
      <c r="K592" s="1185"/>
      <c r="L592" s="1185"/>
      <c r="M592" s="1185"/>
      <c r="N592" s="195"/>
    </row>
    <row r="593">
      <c r="A593" s="1185"/>
      <c r="B593" s="1185"/>
      <c r="C593" s="1185"/>
      <c r="D593" s="1185"/>
      <c r="E593" s="1185"/>
      <c r="F593" s="1185"/>
      <c r="G593" s="1185"/>
      <c r="H593" s="1185"/>
      <c r="I593" s="1185"/>
      <c r="J593" s="1185"/>
      <c r="K593" s="1185"/>
      <c r="L593" s="1185"/>
      <c r="M593" s="1185"/>
      <c r="N593" s="195"/>
    </row>
    <row r="594">
      <c r="A594" s="1185"/>
      <c r="B594" s="1185"/>
      <c r="C594" s="1185"/>
      <c r="D594" s="1185"/>
      <c r="E594" s="1185"/>
      <c r="F594" s="1185"/>
      <c r="G594" s="1185"/>
      <c r="H594" s="1185"/>
      <c r="I594" s="1185"/>
      <c r="J594" s="1185"/>
      <c r="K594" s="1185"/>
      <c r="L594" s="1185"/>
      <c r="M594" s="1185"/>
      <c r="N594" s="195"/>
    </row>
    <row r="595">
      <c r="A595" s="1185"/>
      <c r="B595" s="1185"/>
      <c r="C595" s="1185"/>
      <c r="D595" s="1185"/>
      <c r="E595" s="1185"/>
      <c r="F595" s="1185"/>
      <c r="G595" s="1185"/>
      <c r="H595" s="1185"/>
      <c r="I595" s="1185"/>
      <c r="J595" s="1185"/>
      <c r="K595" s="1185"/>
      <c r="L595" s="1185"/>
      <c r="M595" s="1185"/>
      <c r="N595" s="195"/>
    </row>
    <row r="596">
      <c r="A596" s="1185"/>
      <c r="B596" s="1185"/>
      <c r="C596" s="1185"/>
      <c r="D596" s="1185"/>
      <c r="E596" s="1185"/>
      <c r="F596" s="1185"/>
      <c r="G596" s="1185"/>
      <c r="H596" s="1185"/>
      <c r="I596" s="1185"/>
      <c r="J596" s="1185"/>
      <c r="K596" s="1185"/>
      <c r="L596" s="1185"/>
      <c r="M596" s="1185"/>
      <c r="N596" s="195"/>
    </row>
    <row r="597">
      <c r="A597" s="1185"/>
      <c r="B597" s="1185"/>
      <c r="C597" s="1185"/>
      <c r="D597" s="1185"/>
      <c r="E597" s="1185"/>
      <c r="F597" s="1185"/>
      <c r="G597" s="1185"/>
      <c r="H597" s="1185"/>
      <c r="I597" s="1185"/>
      <c r="J597" s="1185"/>
      <c r="K597" s="1185"/>
      <c r="L597" s="1185"/>
      <c r="M597" s="1185"/>
      <c r="N597" s="195"/>
    </row>
    <row r="598">
      <c r="A598" s="1185"/>
      <c r="B598" s="1185"/>
      <c r="C598" s="1185"/>
      <c r="D598" s="1185"/>
      <c r="E598" s="1185"/>
      <c r="F598" s="1185"/>
      <c r="G598" s="1185"/>
      <c r="H598" s="1185"/>
      <c r="I598" s="1185"/>
      <c r="J598" s="1185"/>
      <c r="K598" s="1185"/>
      <c r="L598" s="1185"/>
      <c r="M598" s="1185"/>
      <c r="N598" s="195"/>
    </row>
    <row r="599">
      <c r="A599" s="1185"/>
      <c r="B599" s="1185"/>
      <c r="C599" s="1185"/>
      <c r="D599" s="1185"/>
      <c r="E599" s="1185"/>
      <c r="F599" s="1185"/>
      <c r="G599" s="1185"/>
      <c r="H599" s="1185"/>
      <c r="I599" s="1185"/>
      <c r="J599" s="1185"/>
      <c r="K599" s="1185"/>
      <c r="L599" s="1185"/>
      <c r="M599" s="1185"/>
      <c r="N599" s="195"/>
    </row>
    <row r="600">
      <c r="A600" s="1185"/>
      <c r="B600" s="1185"/>
      <c r="C600" s="1185"/>
      <c r="D600" s="1185"/>
      <c r="E600" s="1185"/>
      <c r="F600" s="1185"/>
      <c r="G600" s="1185"/>
      <c r="H600" s="1185"/>
      <c r="I600" s="1185"/>
      <c r="J600" s="1185"/>
      <c r="K600" s="1185"/>
      <c r="L600" s="1185"/>
      <c r="M600" s="1185"/>
      <c r="N600" s="195"/>
    </row>
    <row r="601">
      <c r="A601" s="1185"/>
      <c r="B601" s="1185"/>
      <c r="C601" s="1185"/>
      <c r="D601" s="1185"/>
      <c r="E601" s="1185"/>
      <c r="F601" s="1185"/>
      <c r="G601" s="1185"/>
      <c r="H601" s="1185"/>
      <c r="I601" s="1185"/>
      <c r="J601" s="1185"/>
      <c r="K601" s="1185"/>
      <c r="L601" s="1185"/>
      <c r="M601" s="1185"/>
      <c r="N601" s="195"/>
    </row>
    <row r="602">
      <c r="A602" s="1185"/>
      <c r="B602" s="1185"/>
      <c r="C602" s="1185"/>
      <c r="D602" s="1185"/>
      <c r="E602" s="1185"/>
      <c r="F602" s="1185"/>
      <c r="G602" s="1185"/>
      <c r="H602" s="1185"/>
      <c r="I602" s="1185"/>
      <c r="J602" s="1185"/>
      <c r="K602" s="1185"/>
      <c r="L602" s="1185"/>
      <c r="M602" s="1185"/>
      <c r="N602" s="195"/>
    </row>
    <row r="603">
      <c r="A603" s="1185"/>
      <c r="B603" s="1185"/>
      <c r="C603" s="1185"/>
      <c r="D603" s="1185"/>
      <c r="E603" s="1185"/>
      <c r="F603" s="1185"/>
      <c r="G603" s="1185"/>
      <c r="H603" s="1185"/>
      <c r="I603" s="1185"/>
      <c r="J603" s="1185"/>
      <c r="K603" s="1185"/>
      <c r="L603" s="1185"/>
      <c r="M603" s="1185"/>
      <c r="N603" s="195"/>
    </row>
    <row r="604">
      <c r="A604" s="1185"/>
      <c r="B604" s="1185"/>
      <c r="C604" s="1185"/>
      <c r="D604" s="1185"/>
      <c r="E604" s="1185"/>
      <c r="F604" s="1185"/>
      <c r="G604" s="1185"/>
      <c r="H604" s="1185"/>
      <c r="I604" s="1185"/>
      <c r="J604" s="1185"/>
      <c r="K604" s="1185"/>
      <c r="L604" s="1185"/>
      <c r="M604" s="1185"/>
      <c r="N604" s="195"/>
    </row>
    <row r="605">
      <c r="A605" s="1185"/>
      <c r="B605" s="1185"/>
      <c r="C605" s="1185"/>
      <c r="D605" s="1185"/>
      <c r="E605" s="1185"/>
      <c r="F605" s="1185"/>
      <c r="G605" s="1185"/>
      <c r="H605" s="1185"/>
      <c r="I605" s="1185"/>
      <c r="J605" s="1185"/>
      <c r="K605" s="1185"/>
      <c r="L605" s="1185"/>
      <c r="M605" s="1185"/>
      <c r="N605" s="195"/>
    </row>
    <row r="606">
      <c r="A606" s="1185"/>
      <c r="B606" s="1185"/>
      <c r="C606" s="1185"/>
      <c r="D606" s="1185"/>
      <c r="E606" s="1185"/>
      <c r="F606" s="1185"/>
      <c r="G606" s="1185"/>
      <c r="H606" s="1185"/>
      <c r="I606" s="1185"/>
      <c r="J606" s="1185"/>
      <c r="K606" s="1185"/>
      <c r="L606" s="1185"/>
      <c r="M606" s="1185"/>
      <c r="N606" s="195"/>
    </row>
    <row r="607">
      <c r="A607" s="1185"/>
      <c r="B607" s="1185"/>
      <c r="C607" s="1185"/>
      <c r="D607" s="1185"/>
      <c r="E607" s="1185"/>
      <c r="F607" s="1185"/>
      <c r="G607" s="1185"/>
      <c r="H607" s="1185"/>
      <c r="I607" s="1185"/>
      <c r="J607" s="1185"/>
      <c r="K607" s="1185"/>
      <c r="L607" s="1185"/>
      <c r="M607" s="1185"/>
      <c r="N607" s="195"/>
    </row>
    <row r="608">
      <c r="A608" s="1185"/>
      <c r="B608" s="1185"/>
      <c r="C608" s="1185"/>
      <c r="D608" s="1185"/>
      <c r="E608" s="1185"/>
      <c r="F608" s="1185"/>
      <c r="G608" s="1185"/>
      <c r="H608" s="1185"/>
      <c r="I608" s="1185"/>
      <c r="J608" s="1185"/>
      <c r="K608" s="1185"/>
      <c r="L608" s="1185"/>
      <c r="M608" s="1185"/>
      <c r="N608" s="195"/>
    </row>
    <row r="609">
      <c r="A609" s="1185"/>
      <c r="B609" s="1185"/>
      <c r="C609" s="1185"/>
      <c r="D609" s="1185"/>
      <c r="E609" s="1185"/>
      <c r="F609" s="1185"/>
      <c r="G609" s="1185"/>
      <c r="H609" s="1185"/>
      <c r="I609" s="1185"/>
      <c r="J609" s="1185"/>
      <c r="K609" s="1185"/>
      <c r="L609" s="1185"/>
      <c r="M609" s="1185"/>
      <c r="N609" s="195"/>
    </row>
    <row r="610">
      <c r="A610" s="1185"/>
      <c r="B610" s="1185"/>
      <c r="C610" s="1185"/>
      <c r="D610" s="1185"/>
      <c r="E610" s="1185"/>
      <c r="F610" s="1185"/>
      <c r="G610" s="1185"/>
      <c r="H610" s="1185"/>
      <c r="I610" s="1185"/>
      <c r="J610" s="1185"/>
      <c r="K610" s="1185"/>
      <c r="L610" s="1185"/>
      <c r="M610" s="1185"/>
      <c r="N610" s="195"/>
    </row>
    <row r="611">
      <c r="A611" s="1185"/>
      <c r="B611" s="1185"/>
      <c r="C611" s="1185"/>
      <c r="D611" s="1185"/>
      <c r="E611" s="1185"/>
      <c r="F611" s="1185"/>
      <c r="G611" s="1185"/>
      <c r="H611" s="1185"/>
      <c r="I611" s="1185"/>
      <c r="J611" s="1185"/>
      <c r="K611" s="1185"/>
      <c r="L611" s="1185"/>
      <c r="M611" s="1185"/>
      <c r="N611" s="195"/>
    </row>
    <row r="612">
      <c r="A612" s="1185"/>
      <c r="B612" s="1185"/>
      <c r="C612" s="1185"/>
      <c r="D612" s="1185"/>
      <c r="E612" s="1185"/>
      <c r="F612" s="1185"/>
      <c r="G612" s="1185"/>
      <c r="H612" s="1185"/>
      <c r="I612" s="1185"/>
      <c r="J612" s="1185"/>
      <c r="K612" s="1185"/>
      <c r="L612" s="1185"/>
      <c r="M612" s="1185"/>
      <c r="N612" s="195"/>
    </row>
    <row r="613">
      <c r="A613" s="1185"/>
      <c r="B613" s="1185"/>
      <c r="C613" s="1185"/>
      <c r="D613" s="1185"/>
      <c r="E613" s="1185"/>
      <c r="F613" s="1185"/>
      <c r="G613" s="1185"/>
      <c r="H613" s="1185"/>
      <c r="I613" s="1185"/>
      <c r="J613" s="1185"/>
      <c r="K613" s="1185"/>
      <c r="L613" s="1185"/>
      <c r="M613" s="1185"/>
      <c r="N613" s="195"/>
    </row>
    <row r="614">
      <c r="A614" s="1185"/>
      <c r="B614" s="1185"/>
      <c r="C614" s="1185"/>
      <c r="D614" s="1185"/>
      <c r="E614" s="1185"/>
      <c r="F614" s="1185"/>
      <c r="G614" s="1185"/>
      <c r="H614" s="1185"/>
      <c r="I614" s="1185"/>
      <c r="J614" s="1185"/>
      <c r="K614" s="1185"/>
      <c r="L614" s="1185"/>
      <c r="M614" s="1185"/>
      <c r="N614" s="195"/>
    </row>
    <row r="615">
      <c r="A615" s="1185"/>
      <c r="B615" s="1185"/>
      <c r="C615" s="1185"/>
      <c r="D615" s="1185"/>
      <c r="E615" s="1185"/>
      <c r="F615" s="1185"/>
      <c r="G615" s="1185"/>
      <c r="H615" s="1185"/>
      <c r="I615" s="1185"/>
      <c r="J615" s="1185"/>
      <c r="K615" s="1185"/>
      <c r="L615" s="1185"/>
      <c r="M615" s="1185"/>
      <c r="N615" s="195"/>
    </row>
    <row r="616">
      <c r="A616" s="1185"/>
      <c r="B616" s="1185"/>
      <c r="C616" s="1185"/>
      <c r="D616" s="1185"/>
      <c r="E616" s="1185"/>
      <c r="F616" s="1185"/>
      <c r="G616" s="1185"/>
      <c r="H616" s="1185"/>
      <c r="I616" s="1185"/>
      <c r="J616" s="1185"/>
      <c r="K616" s="1185"/>
      <c r="L616" s="1185"/>
      <c r="M616" s="1185"/>
      <c r="N616" s="195"/>
    </row>
    <row r="617">
      <c r="A617" s="1185"/>
      <c r="B617" s="1185"/>
      <c r="C617" s="1185"/>
      <c r="D617" s="1185"/>
      <c r="E617" s="1185"/>
      <c r="F617" s="1185"/>
      <c r="G617" s="1185"/>
      <c r="H617" s="1185"/>
      <c r="I617" s="1185"/>
      <c r="J617" s="1185"/>
      <c r="K617" s="1185"/>
      <c r="L617" s="1185"/>
      <c r="M617" s="1185"/>
      <c r="N617" s="195"/>
    </row>
    <row r="618">
      <c r="A618" s="1185"/>
      <c r="B618" s="1185"/>
      <c r="C618" s="1185"/>
      <c r="D618" s="1185"/>
      <c r="E618" s="1185"/>
      <c r="F618" s="1185"/>
      <c r="G618" s="1185"/>
      <c r="H618" s="1185"/>
      <c r="I618" s="1185"/>
      <c r="J618" s="1185"/>
      <c r="K618" s="1185"/>
      <c r="L618" s="1185"/>
      <c r="M618" s="1185"/>
      <c r="N618" s="195"/>
    </row>
    <row r="619">
      <c r="A619" s="1185"/>
      <c r="B619" s="1185"/>
      <c r="C619" s="1185"/>
      <c r="D619" s="1185"/>
      <c r="E619" s="1185"/>
      <c r="F619" s="1185"/>
      <c r="G619" s="1185"/>
      <c r="H619" s="1185"/>
      <c r="I619" s="1185"/>
      <c r="J619" s="1185"/>
      <c r="K619" s="1185"/>
      <c r="L619" s="1185"/>
      <c r="M619" s="1185"/>
      <c r="N619" s="195"/>
    </row>
    <row r="620">
      <c r="A620" s="1185"/>
      <c r="B620" s="1185"/>
      <c r="C620" s="1185"/>
      <c r="D620" s="1185"/>
      <c r="E620" s="1185"/>
      <c r="F620" s="1185"/>
      <c r="G620" s="1185"/>
      <c r="H620" s="1185"/>
      <c r="I620" s="1185"/>
      <c r="J620" s="1185"/>
      <c r="K620" s="1185"/>
      <c r="L620" s="1185"/>
      <c r="M620" s="1185"/>
      <c r="N620" s="195"/>
    </row>
    <row r="621">
      <c r="A621" s="1185"/>
      <c r="B621" s="1185"/>
      <c r="C621" s="1185"/>
      <c r="D621" s="1185"/>
      <c r="E621" s="1185"/>
      <c r="F621" s="1185"/>
      <c r="G621" s="1185"/>
      <c r="H621" s="1185"/>
      <c r="I621" s="1185"/>
      <c r="J621" s="1185"/>
      <c r="K621" s="1185"/>
      <c r="L621" s="1185"/>
      <c r="M621" s="1185"/>
      <c r="N621" s="195"/>
    </row>
    <row r="622">
      <c r="A622" s="1185"/>
      <c r="B622" s="1185"/>
      <c r="C622" s="1185"/>
      <c r="D622" s="1185"/>
      <c r="E622" s="1185"/>
      <c r="F622" s="1185"/>
      <c r="G622" s="1185"/>
      <c r="H622" s="1185"/>
      <c r="I622" s="1185"/>
      <c r="J622" s="1185"/>
      <c r="K622" s="1185"/>
      <c r="L622" s="1185"/>
      <c r="M622" s="1185"/>
      <c r="N622" s="195"/>
    </row>
    <row r="623">
      <c r="A623" s="1185"/>
      <c r="B623" s="1185"/>
      <c r="C623" s="1185"/>
      <c r="D623" s="1185"/>
      <c r="E623" s="1185"/>
      <c r="F623" s="1185"/>
      <c r="G623" s="1185"/>
      <c r="H623" s="1185"/>
      <c r="I623" s="1185"/>
      <c r="J623" s="1185"/>
      <c r="K623" s="1185"/>
      <c r="L623" s="1185"/>
      <c r="M623" s="1185"/>
      <c r="N623" s="195"/>
    </row>
    <row r="624">
      <c r="A624" s="1185"/>
      <c r="B624" s="1185"/>
      <c r="C624" s="1185"/>
      <c r="D624" s="1185"/>
      <c r="E624" s="1185"/>
      <c r="F624" s="1185"/>
      <c r="G624" s="1185"/>
      <c r="H624" s="1185"/>
      <c r="I624" s="1185"/>
      <c r="J624" s="1185"/>
      <c r="K624" s="1185"/>
      <c r="L624" s="1185"/>
      <c r="M624" s="1185"/>
      <c r="N624" s="195"/>
    </row>
    <row r="625">
      <c r="A625" s="1185"/>
      <c r="B625" s="1185"/>
      <c r="C625" s="1185"/>
      <c r="D625" s="1185"/>
      <c r="E625" s="1185"/>
      <c r="F625" s="1185"/>
      <c r="G625" s="1185"/>
      <c r="H625" s="1185"/>
      <c r="I625" s="1185"/>
      <c r="J625" s="1185"/>
      <c r="K625" s="1185"/>
      <c r="L625" s="1185"/>
      <c r="M625" s="1185"/>
      <c r="N625" s="195"/>
    </row>
    <row r="626">
      <c r="A626" s="1185"/>
      <c r="B626" s="1185"/>
      <c r="C626" s="1185"/>
      <c r="D626" s="1185"/>
      <c r="E626" s="1185"/>
      <c r="F626" s="1185"/>
      <c r="G626" s="1185"/>
      <c r="H626" s="1185"/>
      <c r="I626" s="1185"/>
      <c r="J626" s="1185"/>
      <c r="K626" s="1185"/>
      <c r="L626" s="1185"/>
      <c r="M626" s="1185"/>
      <c r="N626" s="195"/>
    </row>
    <row r="627">
      <c r="A627" s="1185"/>
      <c r="B627" s="1185"/>
      <c r="C627" s="1185"/>
      <c r="D627" s="1185"/>
      <c r="E627" s="1185"/>
      <c r="F627" s="1185"/>
      <c r="G627" s="1185"/>
      <c r="H627" s="1185"/>
      <c r="I627" s="1185"/>
      <c r="J627" s="1185"/>
      <c r="K627" s="1185"/>
      <c r="L627" s="1185"/>
      <c r="M627" s="1185"/>
      <c r="N627" s="195"/>
    </row>
    <row r="628">
      <c r="A628" s="1185"/>
      <c r="B628" s="1185"/>
      <c r="C628" s="1185"/>
      <c r="D628" s="1185"/>
      <c r="E628" s="1185"/>
      <c r="F628" s="1185"/>
      <c r="G628" s="1185"/>
      <c r="H628" s="1185"/>
      <c r="I628" s="1185"/>
      <c r="J628" s="1185"/>
      <c r="K628" s="1185"/>
      <c r="L628" s="1185"/>
      <c r="M628" s="1185"/>
      <c r="N628" s="195"/>
    </row>
    <row r="629">
      <c r="A629" s="1185"/>
      <c r="B629" s="1185"/>
      <c r="C629" s="1185"/>
      <c r="D629" s="1185"/>
      <c r="E629" s="1185"/>
      <c r="F629" s="1185"/>
      <c r="G629" s="1185"/>
      <c r="H629" s="1185"/>
      <c r="I629" s="1185"/>
      <c r="J629" s="1185"/>
      <c r="K629" s="1185"/>
      <c r="L629" s="1185"/>
      <c r="M629" s="1185"/>
      <c r="N629" s="195"/>
    </row>
    <row r="630">
      <c r="A630" s="1185"/>
      <c r="B630" s="1185"/>
      <c r="C630" s="1185"/>
      <c r="D630" s="1185"/>
      <c r="E630" s="1185"/>
      <c r="F630" s="1185"/>
      <c r="G630" s="1185"/>
      <c r="H630" s="1185"/>
      <c r="I630" s="1185"/>
      <c r="J630" s="1185"/>
      <c r="K630" s="1185"/>
      <c r="L630" s="1185"/>
      <c r="M630" s="1185"/>
      <c r="N630" s="195"/>
    </row>
    <row r="631">
      <c r="A631" s="1185"/>
      <c r="B631" s="1185"/>
      <c r="C631" s="1185"/>
      <c r="D631" s="1185"/>
      <c r="E631" s="1185"/>
      <c r="F631" s="1185"/>
      <c r="G631" s="1185"/>
      <c r="H631" s="1185"/>
      <c r="I631" s="1185"/>
      <c r="J631" s="1185"/>
      <c r="K631" s="1185"/>
      <c r="L631" s="1185"/>
      <c r="M631" s="1185"/>
      <c r="N631" s="195"/>
    </row>
    <row r="632">
      <c r="A632" s="1185"/>
      <c r="B632" s="1185"/>
      <c r="C632" s="1185"/>
      <c r="D632" s="1185"/>
      <c r="E632" s="1185"/>
      <c r="F632" s="1185"/>
      <c r="G632" s="1185"/>
      <c r="H632" s="1185"/>
      <c r="I632" s="1185"/>
      <c r="J632" s="1185"/>
      <c r="K632" s="1185"/>
      <c r="L632" s="1185"/>
      <c r="M632" s="1185"/>
      <c r="N632" s="195"/>
    </row>
    <row r="633">
      <c r="A633" s="1185"/>
      <c r="B633" s="1185"/>
      <c r="C633" s="1185"/>
      <c r="D633" s="1185"/>
      <c r="E633" s="1185"/>
      <c r="F633" s="1185"/>
      <c r="G633" s="1185"/>
      <c r="H633" s="1185"/>
      <c r="I633" s="1185"/>
      <c r="J633" s="1185"/>
      <c r="K633" s="1185"/>
      <c r="L633" s="1185"/>
      <c r="M633" s="1185"/>
      <c r="N633" s="195"/>
    </row>
    <row r="634">
      <c r="A634" s="1185"/>
      <c r="B634" s="1185"/>
      <c r="C634" s="1185"/>
      <c r="D634" s="1185"/>
      <c r="E634" s="1185"/>
      <c r="F634" s="1185"/>
      <c r="G634" s="1185"/>
      <c r="H634" s="1185"/>
      <c r="I634" s="1185"/>
      <c r="J634" s="1185"/>
      <c r="K634" s="1185"/>
      <c r="L634" s="1185"/>
      <c r="M634" s="1185"/>
      <c r="N634" s="195"/>
    </row>
    <row r="635">
      <c r="A635" s="1185"/>
      <c r="B635" s="1185"/>
      <c r="C635" s="1185"/>
      <c r="D635" s="1185"/>
      <c r="E635" s="1185"/>
      <c r="F635" s="1185"/>
      <c r="G635" s="1185"/>
      <c r="H635" s="1185"/>
      <c r="I635" s="1185"/>
      <c r="J635" s="1185"/>
      <c r="K635" s="1185"/>
      <c r="L635" s="1185"/>
      <c r="M635" s="1185"/>
      <c r="N635" s="195"/>
    </row>
    <row r="636">
      <c r="A636" s="1185"/>
      <c r="B636" s="1185"/>
      <c r="C636" s="1185"/>
      <c r="D636" s="1185"/>
      <c r="E636" s="1185"/>
      <c r="F636" s="1185"/>
      <c r="G636" s="1185"/>
      <c r="H636" s="1185"/>
      <c r="I636" s="1185"/>
      <c r="J636" s="1185"/>
      <c r="K636" s="1185"/>
      <c r="L636" s="1185"/>
      <c r="M636" s="1185"/>
      <c r="N636" s="195"/>
    </row>
    <row r="637">
      <c r="A637" s="1185"/>
      <c r="B637" s="1185"/>
      <c r="C637" s="1185"/>
      <c r="D637" s="1185"/>
      <c r="E637" s="1185"/>
      <c r="F637" s="1185"/>
      <c r="G637" s="1185"/>
      <c r="H637" s="1185"/>
      <c r="I637" s="1185"/>
      <c r="J637" s="1185"/>
      <c r="K637" s="1185"/>
      <c r="L637" s="1185"/>
      <c r="M637" s="1185"/>
      <c r="N637" s="195"/>
    </row>
    <row r="638">
      <c r="A638" s="1185"/>
      <c r="B638" s="1185"/>
      <c r="C638" s="1185"/>
      <c r="D638" s="1185"/>
      <c r="E638" s="1185"/>
      <c r="F638" s="1185"/>
      <c r="G638" s="1185"/>
      <c r="H638" s="1185"/>
      <c r="I638" s="1185"/>
      <c r="J638" s="1185"/>
      <c r="K638" s="1185"/>
      <c r="L638" s="1185"/>
      <c r="M638" s="1185"/>
      <c r="N638" s="195"/>
    </row>
    <row r="639">
      <c r="A639" s="1185"/>
      <c r="B639" s="1185"/>
      <c r="C639" s="1185"/>
      <c r="D639" s="1185"/>
      <c r="E639" s="1185"/>
      <c r="F639" s="1185"/>
      <c r="G639" s="1185"/>
      <c r="H639" s="1185"/>
      <c r="I639" s="1185"/>
      <c r="J639" s="1185"/>
      <c r="K639" s="1185"/>
      <c r="L639" s="1185"/>
      <c r="M639" s="1185"/>
      <c r="N639" s="195"/>
    </row>
    <row r="640">
      <c r="A640" s="1185"/>
      <c r="B640" s="1185"/>
      <c r="C640" s="1185"/>
      <c r="D640" s="1185"/>
      <c r="E640" s="1185"/>
      <c r="F640" s="1185"/>
      <c r="G640" s="1185"/>
      <c r="H640" s="1185"/>
      <c r="I640" s="1185"/>
      <c r="J640" s="1185"/>
      <c r="K640" s="1185"/>
      <c r="L640" s="1185"/>
      <c r="M640" s="1185"/>
      <c r="N640" s="195"/>
    </row>
    <row r="641">
      <c r="A641" s="1185"/>
      <c r="B641" s="1185"/>
      <c r="C641" s="1185"/>
      <c r="D641" s="1185"/>
      <c r="E641" s="1185"/>
      <c r="F641" s="1185"/>
      <c r="G641" s="1185"/>
      <c r="H641" s="1185"/>
      <c r="I641" s="1185"/>
      <c r="J641" s="1185"/>
      <c r="K641" s="1185"/>
      <c r="L641" s="1185"/>
      <c r="M641" s="1185"/>
      <c r="N641" s="195"/>
    </row>
    <row r="642">
      <c r="A642" s="1185"/>
      <c r="B642" s="1185"/>
      <c r="C642" s="1185"/>
      <c r="D642" s="1185"/>
      <c r="E642" s="1185"/>
      <c r="F642" s="1185"/>
      <c r="G642" s="1185"/>
      <c r="H642" s="1185"/>
      <c r="I642" s="1185"/>
      <c r="J642" s="1185"/>
      <c r="K642" s="1185"/>
      <c r="L642" s="1185"/>
      <c r="M642" s="1185"/>
      <c r="N642" s="195"/>
    </row>
    <row r="643">
      <c r="A643" s="1185"/>
      <c r="B643" s="1185"/>
      <c r="C643" s="1185"/>
      <c r="D643" s="1185"/>
      <c r="E643" s="1185"/>
      <c r="F643" s="1185"/>
      <c r="G643" s="1185"/>
      <c r="H643" s="1185"/>
      <c r="I643" s="1185"/>
      <c r="J643" s="1185"/>
      <c r="K643" s="1185"/>
      <c r="L643" s="1185"/>
      <c r="M643" s="1185"/>
      <c r="N643" s="195"/>
    </row>
    <row r="644">
      <c r="A644" s="1185"/>
      <c r="B644" s="1185"/>
      <c r="C644" s="1185"/>
      <c r="D644" s="1185"/>
      <c r="E644" s="1185"/>
      <c r="F644" s="1185"/>
      <c r="G644" s="1185"/>
      <c r="H644" s="1185"/>
      <c r="I644" s="1185"/>
      <c r="J644" s="1185"/>
      <c r="K644" s="1185"/>
      <c r="L644" s="1185"/>
      <c r="M644" s="1185"/>
      <c r="N644" s="195"/>
    </row>
    <row r="645">
      <c r="A645" s="1185"/>
      <c r="B645" s="1185"/>
      <c r="C645" s="1185"/>
      <c r="D645" s="1185"/>
      <c r="E645" s="1185"/>
      <c r="F645" s="1185"/>
      <c r="G645" s="1185"/>
      <c r="H645" s="1185"/>
      <c r="I645" s="1185"/>
      <c r="J645" s="1185"/>
      <c r="K645" s="1185"/>
      <c r="L645" s="1185"/>
      <c r="M645" s="1185"/>
      <c r="N645" s="195"/>
    </row>
    <row r="646">
      <c r="A646" s="1185"/>
      <c r="B646" s="1185"/>
      <c r="C646" s="1185"/>
      <c r="D646" s="1185"/>
      <c r="E646" s="1185"/>
      <c r="F646" s="1185"/>
      <c r="G646" s="1185"/>
      <c r="H646" s="1185"/>
      <c r="I646" s="1185"/>
      <c r="J646" s="1185"/>
      <c r="K646" s="1185"/>
      <c r="L646" s="1185"/>
      <c r="M646" s="1185"/>
      <c r="N646" s="195"/>
    </row>
    <row r="647">
      <c r="A647" s="1185"/>
      <c r="B647" s="1185"/>
      <c r="C647" s="1185"/>
      <c r="D647" s="1185"/>
      <c r="E647" s="1185"/>
      <c r="F647" s="1185"/>
      <c r="G647" s="1185"/>
      <c r="H647" s="1185"/>
      <c r="I647" s="1185"/>
      <c r="J647" s="1185"/>
      <c r="K647" s="1185"/>
      <c r="L647" s="1185"/>
      <c r="M647" s="1185"/>
      <c r="N647" s="195"/>
    </row>
    <row r="648">
      <c r="A648" s="1185"/>
      <c r="B648" s="1185"/>
      <c r="C648" s="1185"/>
      <c r="D648" s="1185"/>
      <c r="E648" s="1185"/>
      <c r="F648" s="1185"/>
      <c r="G648" s="1185"/>
      <c r="H648" s="1185"/>
      <c r="I648" s="1185"/>
      <c r="J648" s="1185"/>
      <c r="K648" s="1185"/>
      <c r="L648" s="1185"/>
      <c r="M648" s="1185"/>
      <c r="N648" s="195"/>
    </row>
    <row r="649">
      <c r="A649" s="1185"/>
      <c r="B649" s="1185"/>
      <c r="C649" s="1185"/>
      <c r="D649" s="1185"/>
      <c r="E649" s="1185"/>
      <c r="F649" s="1185"/>
      <c r="G649" s="1185"/>
      <c r="H649" s="1185"/>
      <c r="I649" s="1185"/>
      <c r="J649" s="1185"/>
      <c r="K649" s="1185"/>
      <c r="L649" s="1185"/>
      <c r="M649" s="1185"/>
      <c r="N649" s="195"/>
    </row>
    <row r="650">
      <c r="A650" s="1185"/>
      <c r="B650" s="1185"/>
      <c r="C650" s="1185"/>
      <c r="D650" s="1185"/>
      <c r="E650" s="1185"/>
      <c r="F650" s="1185"/>
      <c r="G650" s="1185"/>
      <c r="H650" s="1185"/>
      <c r="I650" s="1185"/>
      <c r="J650" s="1185"/>
      <c r="K650" s="1185"/>
      <c r="L650" s="1185"/>
      <c r="M650" s="1185"/>
      <c r="N650" s="195"/>
    </row>
    <row r="651">
      <c r="A651" s="1185"/>
      <c r="B651" s="1185"/>
      <c r="C651" s="1185"/>
      <c r="D651" s="1185"/>
      <c r="E651" s="1185"/>
      <c r="F651" s="1185"/>
      <c r="G651" s="1185"/>
      <c r="H651" s="1185"/>
      <c r="I651" s="1185"/>
      <c r="J651" s="1185"/>
      <c r="K651" s="1185"/>
      <c r="L651" s="1185"/>
      <c r="M651" s="1185"/>
      <c r="N651" s="195"/>
    </row>
    <row r="652">
      <c r="A652" s="1185"/>
      <c r="B652" s="1185"/>
      <c r="C652" s="1185"/>
      <c r="D652" s="1185"/>
      <c r="E652" s="1185"/>
      <c r="F652" s="1185"/>
      <c r="G652" s="1185"/>
      <c r="H652" s="1185"/>
      <c r="I652" s="1185"/>
      <c r="J652" s="1185"/>
      <c r="K652" s="1185"/>
      <c r="L652" s="1185"/>
      <c r="M652" s="1185"/>
      <c r="N652" s="195"/>
    </row>
    <row r="653">
      <c r="A653" s="1185"/>
      <c r="B653" s="1185"/>
      <c r="C653" s="1185"/>
      <c r="D653" s="1185"/>
      <c r="E653" s="1185"/>
      <c r="F653" s="1185"/>
      <c r="G653" s="1185"/>
      <c r="H653" s="1185"/>
      <c r="I653" s="1185"/>
      <c r="J653" s="1185"/>
      <c r="K653" s="1185"/>
      <c r="L653" s="1185"/>
      <c r="M653" s="1185"/>
      <c r="N653" s="195"/>
    </row>
    <row r="654">
      <c r="A654" s="1185"/>
      <c r="B654" s="1185"/>
      <c r="C654" s="1185"/>
      <c r="D654" s="1185"/>
      <c r="E654" s="1185"/>
      <c r="F654" s="1185"/>
      <c r="G654" s="1185"/>
      <c r="H654" s="1185"/>
      <c r="I654" s="1185"/>
      <c r="J654" s="1185"/>
      <c r="K654" s="1185"/>
      <c r="L654" s="1185"/>
      <c r="M654" s="1185"/>
      <c r="N654" s="195"/>
    </row>
    <row r="655">
      <c r="A655" s="1185"/>
      <c r="B655" s="1185"/>
      <c r="C655" s="1185"/>
      <c r="D655" s="1185"/>
      <c r="E655" s="1185"/>
      <c r="F655" s="1185"/>
      <c r="G655" s="1185"/>
      <c r="H655" s="1185"/>
      <c r="I655" s="1185"/>
      <c r="J655" s="1185"/>
      <c r="K655" s="1185"/>
      <c r="L655" s="1185"/>
      <c r="M655" s="1185"/>
      <c r="N655" s="195"/>
    </row>
    <row r="656">
      <c r="A656" s="1185"/>
      <c r="B656" s="1185"/>
      <c r="C656" s="1185"/>
      <c r="D656" s="1185"/>
      <c r="E656" s="1185"/>
      <c r="F656" s="1185"/>
      <c r="G656" s="1185"/>
      <c r="H656" s="1185"/>
      <c r="I656" s="1185"/>
      <c r="J656" s="1185"/>
      <c r="K656" s="1185"/>
      <c r="L656" s="1185"/>
      <c r="M656" s="1185"/>
      <c r="N656" s="195"/>
    </row>
    <row r="657">
      <c r="A657" s="1185"/>
      <c r="B657" s="1185"/>
      <c r="C657" s="1185"/>
      <c r="D657" s="1185"/>
      <c r="E657" s="1185"/>
      <c r="F657" s="1185"/>
      <c r="G657" s="1185"/>
      <c r="H657" s="1185"/>
      <c r="I657" s="1185"/>
      <c r="J657" s="1185"/>
      <c r="K657" s="1185"/>
      <c r="L657" s="1185"/>
      <c r="M657" s="1185"/>
      <c r="N657" s="195"/>
    </row>
    <row r="658">
      <c r="A658" s="1185"/>
      <c r="B658" s="1185"/>
      <c r="C658" s="1185"/>
      <c r="D658" s="1185"/>
      <c r="E658" s="1185"/>
      <c r="F658" s="1185"/>
      <c r="G658" s="1185"/>
      <c r="H658" s="1185"/>
      <c r="I658" s="1185"/>
      <c r="J658" s="1185"/>
      <c r="K658" s="1185"/>
      <c r="L658" s="1185"/>
      <c r="M658" s="1185"/>
      <c r="N658" s="195"/>
    </row>
    <row r="659">
      <c r="A659" s="1185"/>
      <c r="B659" s="1185"/>
      <c r="C659" s="1185"/>
      <c r="D659" s="1185"/>
      <c r="E659" s="1185"/>
      <c r="F659" s="1185"/>
      <c r="G659" s="1185"/>
      <c r="H659" s="1185"/>
      <c r="I659" s="1185"/>
      <c r="J659" s="1185"/>
      <c r="K659" s="1185"/>
      <c r="L659" s="1185"/>
      <c r="M659" s="1185"/>
      <c r="N659" s="195"/>
    </row>
    <row r="660">
      <c r="A660" s="1185"/>
      <c r="B660" s="1185"/>
      <c r="C660" s="1185"/>
      <c r="D660" s="1185"/>
      <c r="E660" s="1185"/>
      <c r="F660" s="1185"/>
      <c r="G660" s="1185"/>
      <c r="H660" s="1185"/>
      <c r="I660" s="1185"/>
      <c r="J660" s="1185"/>
      <c r="K660" s="1185"/>
      <c r="L660" s="1185"/>
      <c r="M660" s="1185"/>
      <c r="N660" s="195"/>
    </row>
    <row r="661">
      <c r="A661" s="1185"/>
      <c r="B661" s="1185"/>
      <c r="C661" s="1185"/>
      <c r="D661" s="1185"/>
      <c r="E661" s="1185"/>
      <c r="F661" s="1185"/>
      <c r="G661" s="1185"/>
      <c r="H661" s="1185"/>
      <c r="I661" s="1185"/>
      <c r="J661" s="1185"/>
      <c r="K661" s="1185"/>
      <c r="L661" s="1185"/>
      <c r="M661" s="1185"/>
      <c r="N661" s="195"/>
    </row>
    <row r="662">
      <c r="A662" s="1185"/>
      <c r="B662" s="1185"/>
      <c r="C662" s="1185"/>
      <c r="D662" s="1185"/>
      <c r="E662" s="1185"/>
      <c r="F662" s="1185"/>
      <c r="G662" s="1185"/>
      <c r="H662" s="1185"/>
      <c r="I662" s="1185"/>
      <c r="J662" s="1185"/>
      <c r="K662" s="1185"/>
      <c r="L662" s="1185"/>
      <c r="M662" s="1185"/>
      <c r="N662" s="195"/>
    </row>
    <row r="663">
      <c r="A663" s="1185"/>
      <c r="B663" s="1185"/>
      <c r="C663" s="1185"/>
      <c r="D663" s="1185"/>
      <c r="E663" s="1185"/>
      <c r="F663" s="1185"/>
      <c r="G663" s="1185"/>
      <c r="H663" s="1185"/>
      <c r="I663" s="1185"/>
      <c r="J663" s="1185"/>
      <c r="K663" s="1185"/>
      <c r="L663" s="1185"/>
      <c r="M663" s="1185"/>
      <c r="N663" s="195"/>
    </row>
    <row r="664">
      <c r="A664" s="1185"/>
      <c r="B664" s="1185"/>
      <c r="C664" s="1185"/>
      <c r="D664" s="1185"/>
      <c r="E664" s="1185"/>
      <c r="F664" s="1185"/>
      <c r="G664" s="1185"/>
      <c r="H664" s="1185"/>
      <c r="I664" s="1185"/>
      <c r="J664" s="1185"/>
      <c r="K664" s="1185"/>
      <c r="L664" s="1185"/>
      <c r="M664" s="1185"/>
      <c r="N664" s="195"/>
    </row>
    <row r="665">
      <c r="A665" s="1185"/>
      <c r="B665" s="1185"/>
      <c r="C665" s="1185"/>
      <c r="D665" s="1185"/>
      <c r="E665" s="1185"/>
      <c r="F665" s="1185"/>
      <c r="G665" s="1185"/>
      <c r="H665" s="1185"/>
      <c r="I665" s="1185"/>
      <c r="J665" s="1185"/>
      <c r="K665" s="1185"/>
      <c r="L665" s="1185"/>
      <c r="M665" s="1185"/>
      <c r="N665" s="195"/>
    </row>
    <row r="666">
      <c r="A666" s="1185"/>
      <c r="B666" s="1185"/>
      <c r="C666" s="1185"/>
      <c r="D666" s="1185"/>
      <c r="E666" s="1185"/>
      <c r="F666" s="1185"/>
      <c r="G666" s="1185"/>
      <c r="H666" s="1185"/>
      <c r="I666" s="1185"/>
      <c r="J666" s="1185"/>
      <c r="K666" s="1185"/>
      <c r="L666" s="1185"/>
      <c r="M666" s="1185"/>
      <c r="N666" s="195"/>
    </row>
    <row r="667">
      <c r="A667" s="1185"/>
      <c r="B667" s="1185"/>
      <c r="C667" s="1185"/>
      <c r="D667" s="1185"/>
      <c r="E667" s="1185"/>
      <c r="F667" s="1185"/>
      <c r="G667" s="1185"/>
      <c r="H667" s="1185"/>
      <c r="I667" s="1185"/>
      <c r="J667" s="1185"/>
      <c r="K667" s="1185"/>
      <c r="L667" s="1185"/>
      <c r="M667" s="1185"/>
      <c r="N667" s="195"/>
    </row>
    <row r="668">
      <c r="A668" s="1185"/>
      <c r="B668" s="1185"/>
      <c r="C668" s="1185"/>
      <c r="D668" s="1185"/>
      <c r="E668" s="1185"/>
      <c r="F668" s="1185"/>
      <c r="G668" s="1185"/>
      <c r="H668" s="1185"/>
      <c r="I668" s="1185"/>
      <c r="J668" s="1185"/>
      <c r="K668" s="1185"/>
      <c r="L668" s="1185"/>
      <c r="M668" s="1185"/>
      <c r="N668" s="195"/>
    </row>
    <row r="669">
      <c r="A669" s="1185"/>
      <c r="B669" s="1185"/>
      <c r="C669" s="1185"/>
      <c r="D669" s="1185"/>
      <c r="E669" s="1185"/>
      <c r="F669" s="1185"/>
      <c r="G669" s="1185"/>
      <c r="H669" s="1185"/>
      <c r="I669" s="1185"/>
      <c r="J669" s="1185"/>
      <c r="K669" s="1185"/>
      <c r="L669" s="1185"/>
      <c r="M669" s="1185"/>
      <c r="N669" s="195"/>
    </row>
    <row r="670">
      <c r="A670" s="1185"/>
      <c r="B670" s="1185"/>
      <c r="C670" s="1185"/>
      <c r="D670" s="1185"/>
      <c r="E670" s="1185"/>
      <c r="F670" s="1185"/>
      <c r="G670" s="1185"/>
      <c r="H670" s="1185"/>
      <c r="I670" s="1185"/>
      <c r="J670" s="1185"/>
      <c r="K670" s="1185"/>
      <c r="L670" s="1185"/>
      <c r="M670" s="1185"/>
      <c r="N670" s="195"/>
    </row>
    <row r="671">
      <c r="A671" s="1185"/>
      <c r="B671" s="1185"/>
      <c r="C671" s="1185"/>
      <c r="D671" s="1185"/>
      <c r="E671" s="1185"/>
      <c r="F671" s="1185"/>
      <c r="G671" s="1185"/>
      <c r="H671" s="1185"/>
      <c r="I671" s="1185"/>
      <c r="J671" s="1185"/>
      <c r="K671" s="1185"/>
      <c r="L671" s="1185"/>
      <c r="M671" s="1185"/>
      <c r="N671" s="195"/>
    </row>
    <row r="672">
      <c r="A672" s="1185"/>
      <c r="B672" s="1185"/>
      <c r="C672" s="1185"/>
      <c r="D672" s="1185"/>
      <c r="E672" s="1185"/>
      <c r="F672" s="1185"/>
      <c r="G672" s="1185"/>
      <c r="H672" s="1185"/>
      <c r="I672" s="1185"/>
      <c r="J672" s="1185"/>
      <c r="K672" s="1185"/>
      <c r="L672" s="1185"/>
      <c r="M672" s="1185"/>
      <c r="N672" s="195"/>
    </row>
    <row r="673">
      <c r="A673" s="1185"/>
      <c r="B673" s="1185"/>
      <c r="C673" s="1185"/>
      <c r="D673" s="1185"/>
      <c r="E673" s="1185"/>
      <c r="F673" s="1185"/>
      <c r="G673" s="1185"/>
      <c r="H673" s="1185"/>
      <c r="I673" s="1185"/>
      <c r="J673" s="1185"/>
      <c r="K673" s="1185"/>
      <c r="L673" s="1185"/>
      <c r="M673" s="1185"/>
      <c r="N673" s="195"/>
    </row>
    <row r="674">
      <c r="A674" s="1185"/>
      <c r="B674" s="1185"/>
      <c r="C674" s="1185"/>
      <c r="D674" s="1185"/>
      <c r="E674" s="1185"/>
      <c r="F674" s="1185"/>
      <c r="G674" s="1185"/>
      <c r="H674" s="1185"/>
      <c r="I674" s="1185"/>
      <c r="J674" s="1185"/>
      <c r="K674" s="1185"/>
      <c r="L674" s="1185"/>
      <c r="M674" s="1185"/>
      <c r="N674" s="195"/>
    </row>
    <row r="675">
      <c r="A675" s="1185"/>
      <c r="B675" s="1185"/>
      <c r="C675" s="1185"/>
      <c r="D675" s="1185"/>
      <c r="E675" s="1185"/>
      <c r="F675" s="1185"/>
      <c r="G675" s="1185"/>
      <c r="H675" s="1185"/>
      <c r="I675" s="1185"/>
      <c r="J675" s="1185"/>
      <c r="K675" s="1185"/>
      <c r="L675" s="1185"/>
      <c r="M675" s="1185"/>
      <c r="N675" s="195"/>
    </row>
    <row r="676">
      <c r="A676" s="1185"/>
      <c r="B676" s="1185"/>
      <c r="C676" s="1185"/>
      <c r="D676" s="1185"/>
      <c r="E676" s="1185"/>
      <c r="F676" s="1185"/>
      <c r="G676" s="1185"/>
      <c r="H676" s="1185"/>
      <c r="I676" s="1185"/>
      <c r="J676" s="1185"/>
      <c r="K676" s="1185"/>
      <c r="L676" s="1185"/>
      <c r="M676" s="1185"/>
      <c r="N676" s="195"/>
    </row>
    <row r="677">
      <c r="A677" s="1185"/>
      <c r="B677" s="1185"/>
      <c r="C677" s="1185"/>
      <c r="D677" s="1185"/>
      <c r="E677" s="1185"/>
      <c r="F677" s="1185"/>
      <c r="G677" s="1185"/>
      <c r="H677" s="1185"/>
      <c r="I677" s="1185"/>
      <c r="J677" s="1185"/>
      <c r="K677" s="1185"/>
      <c r="L677" s="1185"/>
      <c r="M677" s="1185"/>
      <c r="N677" s="195"/>
    </row>
    <row r="678">
      <c r="A678" s="1185"/>
      <c r="B678" s="1185"/>
      <c r="C678" s="1185"/>
      <c r="D678" s="1185"/>
      <c r="E678" s="1185"/>
      <c r="F678" s="1185"/>
      <c r="G678" s="1185"/>
      <c r="H678" s="1185"/>
      <c r="I678" s="1185"/>
      <c r="J678" s="1185"/>
      <c r="K678" s="1185"/>
      <c r="L678" s="1185"/>
      <c r="M678" s="1185"/>
      <c r="N678" s="195"/>
    </row>
    <row r="679">
      <c r="A679" s="1185"/>
      <c r="B679" s="1185"/>
      <c r="C679" s="1185"/>
      <c r="D679" s="1185"/>
      <c r="E679" s="1185"/>
      <c r="F679" s="1185"/>
      <c r="G679" s="1185"/>
      <c r="H679" s="1185"/>
      <c r="I679" s="1185"/>
      <c r="J679" s="1185"/>
      <c r="K679" s="1185"/>
      <c r="L679" s="1185"/>
      <c r="M679" s="1185"/>
      <c r="N679" s="195"/>
    </row>
    <row r="680">
      <c r="A680" s="1185"/>
      <c r="B680" s="1185"/>
      <c r="C680" s="1185"/>
      <c r="D680" s="1185"/>
      <c r="E680" s="1185"/>
      <c r="F680" s="1185"/>
      <c r="G680" s="1185"/>
      <c r="H680" s="1185"/>
      <c r="I680" s="1185"/>
      <c r="J680" s="1185"/>
      <c r="K680" s="1185"/>
      <c r="L680" s="1185"/>
      <c r="M680" s="1185"/>
      <c r="N680" s="195"/>
    </row>
    <row r="681">
      <c r="A681" s="1185"/>
      <c r="B681" s="1185"/>
      <c r="C681" s="1185"/>
      <c r="D681" s="1185"/>
      <c r="E681" s="1185"/>
      <c r="F681" s="1185"/>
      <c r="G681" s="1185"/>
      <c r="H681" s="1185"/>
      <c r="I681" s="1185"/>
      <c r="J681" s="1185"/>
      <c r="K681" s="1185"/>
      <c r="L681" s="1185"/>
      <c r="M681" s="1185"/>
      <c r="N681" s="195"/>
    </row>
    <row r="682">
      <c r="A682" s="1185"/>
      <c r="B682" s="1185"/>
      <c r="C682" s="1185"/>
      <c r="D682" s="1185"/>
      <c r="E682" s="1185"/>
      <c r="F682" s="1185"/>
      <c r="G682" s="1185"/>
      <c r="H682" s="1185"/>
      <c r="I682" s="1185"/>
      <c r="J682" s="1185"/>
      <c r="K682" s="1185"/>
      <c r="L682" s="1185"/>
      <c r="M682" s="1185"/>
      <c r="N682" s="195"/>
    </row>
    <row r="683">
      <c r="A683" s="1185"/>
      <c r="B683" s="1185"/>
      <c r="C683" s="1185"/>
      <c r="D683" s="1185"/>
      <c r="E683" s="1185"/>
      <c r="F683" s="1185"/>
      <c r="G683" s="1185"/>
      <c r="H683" s="1185"/>
      <c r="I683" s="1185"/>
      <c r="J683" s="1185"/>
      <c r="K683" s="1185"/>
      <c r="L683" s="1185"/>
      <c r="M683" s="1185"/>
      <c r="N683" s="195"/>
    </row>
    <row r="684">
      <c r="A684" s="1185"/>
      <c r="B684" s="1185"/>
      <c r="C684" s="1185"/>
      <c r="D684" s="1185"/>
      <c r="E684" s="1185"/>
      <c r="F684" s="1185"/>
      <c r="G684" s="1185"/>
      <c r="H684" s="1185"/>
      <c r="I684" s="1185"/>
      <c r="J684" s="1185"/>
      <c r="K684" s="1185"/>
      <c r="L684" s="1185"/>
      <c r="M684" s="1185"/>
      <c r="N684" s="195"/>
    </row>
    <row r="685">
      <c r="A685" s="1185"/>
      <c r="B685" s="1185"/>
      <c r="C685" s="1185"/>
      <c r="D685" s="1185"/>
      <c r="E685" s="1185"/>
      <c r="F685" s="1185"/>
      <c r="G685" s="1185"/>
      <c r="H685" s="1185"/>
      <c r="I685" s="1185"/>
      <c r="J685" s="1185"/>
      <c r="K685" s="1185"/>
      <c r="L685" s="1185"/>
      <c r="M685" s="1185"/>
      <c r="N685" s="195"/>
    </row>
    <row r="686">
      <c r="A686" s="1185"/>
      <c r="B686" s="1185"/>
      <c r="C686" s="1185"/>
      <c r="D686" s="1185"/>
      <c r="E686" s="1185"/>
      <c r="F686" s="1185"/>
      <c r="G686" s="1185"/>
      <c r="H686" s="1185"/>
      <c r="I686" s="1185"/>
      <c r="J686" s="1185"/>
      <c r="K686" s="1185"/>
      <c r="L686" s="1185"/>
      <c r="M686" s="1185"/>
      <c r="N686" s="195"/>
    </row>
    <row r="687">
      <c r="A687" s="1185"/>
      <c r="B687" s="1185"/>
      <c r="C687" s="1185"/>
      <c r="D687" s="1185"/>
      <c r="E687" s="1185"/>
      <c r="F687" s="1185"/>
      <c r="G687" s="1185"/>
      <c r="H687" s="1185"/>
      <c r="I687" s="1185"/>
      <c r="J687" s="1185"/>
      <c r="K687" s="1185"/>
      <c r="L687" s="1185"/>
      <c r="M687" s="1185"/>
      <c r="N687" s="195"/>
    </row>
    <row r="688">
      <c r="A688" s="1185"/>
      <c r="B688" s="1185"/>
      <c r="C688" s="1185"/>
      <c r="D688" s="1185"/>
      <c r="E688" s="1185"/>
      <c r="F688" s="1185"/>
      <c r="G688" s="1185"/>
      <c r="H688" s="1185"/>
      <c r="I688" s="1185"/>
      <c r="J688" s="1185"/>
      <c r="K688" s="1185"/>
      <c r="L688" s="1185"/>
      <c r="M688" s="1185"/>
      <c r="N688" s="195"/>
    </row>
    <row r="689">
      <c r="A689" s="1185"/>
      <c r="B689" s="1185"/>
      <c r="C689" s="1185"/>
      <c r="D689" s="1185"/>
      <c r="E689" s="1185"/>
      <c r="F689" s="1185"/>
      <c r="G689" s="1185"/>
      <c r="H689" s="1185"/>
      <c r="I689" s="1185"/>
      <c r="J689" s="1185"/>
      <c r="K689" s="1185"/>
      <c r="L689" s="1185"/>
      <c r="M689" s="1185"/>
      <c r="N689" s="195"/>
    </row>
    <row r="690">
      <c r="A690" s="1185"/>
      <c r="B690" s="1185"/>
      <c r="C690" s="1185"/>
      <c r="D690" s="1185"/>
      <c r="E690" s="1185"/>
      <c r="F690" s="1185"/>
      <c r="G690" s="1185"/>
      <c r="H690" s="1185"/>
      <c r="I690" s="1185"/>
      <c r="J690" s="1185"/>
      <c r="K690" s="1185"/>
      <c r="L690" s="1185"/>
      <c r="M690" s="1185"/>
      <c r="N690" s="195"/>
    </row>
    <row r="691">
      <c r="A691" s="1185"/>
      <c r="B691" s="1185"/>
      <c r="C691" s="1185"/>
      <c r="D691" s="1185"/>
      <c r="E691" s="1185"/>
      <c r="F691" s="1185"/>
      <c r="G691" s="1185"/>
      <c r="H691" s="1185"/>
      <c r="I691" s="1185"/>
      <c r="J691" s="1185"/>
      <c r="K691" s="1185"/>
      <c r="L691" s="1185"/>
      <c r="M691" s="1185"/>
      <c r="N691" s="195"/>
    </row>
    <row r="692">
      <c r="A692" s="1185"/>
      <c r="B692" s="1185"/>
      <c r="C692" s="1185"/>
      <c r="D692" s="1185"/>
      <c r="E692" s="1185"/>
      <c r="F692" s="1185"/>
      <c r="G692" s="1185"/>
      <c r="H692" s="1185"/>
      <c r="I692" s="1185"/>
      <c r="J692" s="1185"/>
      <c r="K692" s="1185"/>
      <c r="L692" s="1185"/>
      <c r="M692" s="1185"/>
      <c r="N692" s="195"/>
    </row>
    <row r="693">
      <c r="A693" s="1185"/>
      <c r="B693" s="1185"/>
      <c r="C693" s="1185"/>
      <c r="D693" s="1185"/>
      <c r="E693" s="1185"/>
      <c r="F693" s="1185"/>
      <c r="G693" s="1185"/>
      <c r="H693" s="1185"/>
      <c r="I693" s="1185"/>
      <c r="J693" s="1185"/>
      <c r="K693" s="1185"/>
      <c r="L693" s="1185"/>
      <c r="M693" s="1185"/>
      <c r="N693" s="195"/>
    </row>
    <row r="694">
      <c r="A694" s="1185"/>
      <c r="B694" s="1185"/>
      <c r="C694" s="1185"/>
      <c r="D694" s="1185"/>
      <c r="E694" s="1185"/>
      <c r="F694" s="1185"/>
      <c r="G694" s="1185"/>
      <c r="H694" s="1185"/>
      <c r="I694" s="1185"/>
      <c r="J694" s="1185"/>
      <c r="K694" s="1185"/>
      <c r="L694" s="1185"/>
      <c r="M694" s="1185"/>
      <c r="N694" s="195"/>
    </row>
    <row r="695">
      <c r="A695" s="1185"/>
      <c r="B695" s="1185"/>
      <c r="C695" s="1185"/>
      <c r="D695" s="1185"/>
      <c r="E695" s="1185"/>
      <c r="F695" s="1185"/>
      <c r="G695" s="1185"/>
      <c r="H695" s="1185"/>
      <c r="I695" s="1185"/>
      <c r="J695" s="1185"/>
      <c r="K695" s="1185"/>
      <c r="L695" s="1185"/>
      <c r="M695" s="1185"/>
      <c r="N695" s="195"/>
    </row>
    <row r="696">
      <c r="A696" s="1185"/>
      <c r="B696" s="1185"/>
      <c r="C696" s="1185"/>
      <c r="D696" s="1185"/>
      <c r="E696" s="1185"/>
      <c r="F696" s="1185"/>
      <c r="G696" s="1185"/>
      <c r="H696" s="1185"/>
      <c r="I696" s="1185"/>
      <c r="J696" s="1185"/>
      <c r="K696" s="1185"/>
      <c r="L696" s="1185"/>
      <c r="M696" s="1185"/>
      <c r="N696" s="195"/>
    </row>
    <row r="697">
      <c r="A697" s="1185"/>
      <c r="B697" s="1185"/>
      <c r="C697" s="1185"/>
      <c r="D697" s="1185"/>
      <c r="E697" s="1185"/>
      <c r="F697" s="1185"/>
      <c r="G697" s="1185"/>
      <c r="H697" s="1185"/>
      <c r="I697" s="1185"/>
      <c r="J697" s="1185"/>
      <c r="K697" s="1185"/>
      <c r="L697" s="1185"/>
      <c r="M697" s="1185"/>
      <c r="N697" s="195"/>
    </row>
    <row r="698">
      <c r="A698" s="1185"/>
      <c r="B698" s="1185"/>
      <c r="C698" s="1185"/>
      <c r="D698" s="1185"/>
      <c r="E698" s="1185"/>
      <c r="F698" s="1185"/>
      <c r="G698" s="1185"/>
      <c r="H698" s="1185"/>
      <c r="I698" s="1185"/>
      <c r="J698" s="1185"/>
      <c r="K698" s="1185"/>
      <c r="L698" s="1185"/>
      <c r="M698" s="1185"/>
      <c r="N698" s="195"/>
    </row>
    <row r="699">
      <c r="A699" s="1185"/>
      <c r="B699" s="1185"/>
      <c r="C699" s="1185"/>
      <c r="D699" s="1185"/>
      <c r="E699" s="1185"/>
      <c r="F699" s="1185"/>
      <c r="G699" s="1185"/>
      <c r="H699" s="1185"/>
      <c r="I699" s="1185"/>
      <c r="J699" s="1185"/>
      <c r="K699" s="1185"/>
      <c r="L699" s="1185"/>
      <c r="M699" s="1185"/>
      <c r="N699" s="195"/>
    </row>
    <row r="700">
      <c r="A700" s="1185"/>
      <c r="B700" s="1185"/>
      <c r="C700" s="1185"/>
      <c r="D700" s="1185"/>
      <c r="E700" s="1185"/>
      <c r="F700" s="1185"/>
      <c r="G700" s="1185"/>
      <c r="H700" s="1185"/>
      <c r="I700" s="1185"/>
      <c r="J700" s="1185"/>
      <c r="K700" s="1185"/>
      <c r="L700" s="1185"/>
      <c r="M700" s="1185"/>
      <c r="N700" s="195"/>
    </row>
    <row r="701">
      <c r="A701" s="1185"/>
      <c r="B701" s="1185"/>
      <c r="C701" s="1185"/>
      <c r="D701" s="1185"/>
      <c r="E701" s="1185"/>
      <c r="F701" s="1185"/>
      <c r="G701" s="1185"/>
      <c r="H701" s="1185"/>
      <c r="I701" s="1185"/>
      <c r="J701" s="1185"/>
      <c r="K701" s="1185"/>
      <c r="L701" s="1185"/>
      <c r="M701" s="1185"/>
      <c r="N701" s="195"/>
    </row>
    <row r="702">
      <c r="A702" s="1185"/>
      <c r="B702" s="1185"/>
      <c r="C702" s="1185"/>
      <c r="D702" s="1185"/>
      <c r="E702" s="1185"/>
      <c r="F702" s="1185"/>
      <c r="G702" s="1185"/>
      <c r="H702" s="1185"/>
      <c r="I702" s="1185"/>
      <c r="J702" s="1185"/>
      <c r="K702" s="1185"/>
      <c r="L702" s="1185"/>
      <c r="M702" s="1185"/>
      <c r="N702" s="195"/>
    </row>
    <row r="703">
      <c r="A703" s="1185"/>
      <c r="B703" s="1185"/>
      <c r="C703" s="1185"/>
      <c r="D703" s="1185"/>
      <c r="E703" s="1185"/>
      <c r="F703" s="1185"/>
      <c r="G703" s="1185"/>
      <c r="H703" s="1185"/>
      <c r="I703" s="1185"/>
      <c r="J703" s="1185"/>
      <c r="K703" s="1185"/>
      <c r="L703" s="1185"/>
      <c r="M703" s="1185"/>
      <c r="N703" s="195"/>
    </row>
    <row r="704">
      <c r="A704" s="1185"/>
      <c r="B704" s="1185"/>
      <c r="C704" s="1185"/>
      <c r="D704" s="1185"/>
      <c r="E704" s="1185"/>
      <c r="F704" s="1185"/>
      <c r="G704" s="1185"/>
      <c r="H704" s="1185"/>
      <c r="I704" s="1185"/>
      <c r="J704" s="1185"/>
      <c r="K704" s="1185"/>
      <c r="L704" s="1185"/>
      <c r="M704" s="1185"/>
      <c r="N704" s="195"/>
    </row>
    <row r="705">
      <c r="A705" s="1185"/>
      <c r="B705" s="1185"/>
      <c r="C705" s="1185"/>
      <c r="D705" s="1185"/>
      <c r="E705" s="1185"/>
      <c r="F705" s="1185"/>
      <c r="G705" s="1185"/>
      <c r="H705" s="1185"/>
      <c r="I705" s="1185"/>
      <c r="J705" s="1185"/>
      <c r="K705" s="1185"/>
      <c r="L705" s="1185"/>
      <c r="M705" s="1185"/>
      <c r="N705" s="195"/>
    </row>
    <row r="706">
      <c r="A706" s="1185"/>
      <c r="B706" s="1185"/>
      <c r="C706" s="1185"/>
      <c r="D706" s="1185"/>
      <c r="E706" s="1185"/>
      <c r="F706" s="1185"/>
      <c r="G706" s="1185"/>
      <c r="H706" s="1185"/>
      <c r="I706" s="1185"/>
      <c r="J706" s="1185"/>
      <c r="K706" s="1185"/>
      <c r="L706" s="1185"/>
      <c r="M706" s="1185"/>
      <c r="N706" s="195"/>
    </row>
    <row r="707">
      <c r="A707" s="1185"/>
      <c r="B707" s="1185"/>
      <c r="C707" s="1185"/>
      <c r="D707" s="1185"/>
      <c r="E707" s="1185"/>
      <c r="F707" s="1185"/>
      <c r="G707" s="1185"/>
      <c r="H707" s="1185"/>
      <c r="I707" s="1185"/>
      <c r="J707" s="1185"/>
      <c r="K707" s="1185"/>
      <c r="L707" s="1185"/>
      <c r="M707" s="1185"/>
      <c r="N707" s="195"/>
    </row>
    <row r="708">
      <c r="A708" s="1185"/>
      <c r="B708" s="1185"/>
      <c r="C708" s="1185"/>
      <c r="D708" s="1185"/>
      <c r="E708" s="1185"/>
      <c r="F708" s="1185"/>
      <c r="G708" s="1185"/>
      <c r="H708" s="1185"/>
      <c r="I708" s="1185"/>
      <c r="J708" s="1185"/>
      <c r="K708" s="1185"/>
      <c r="L708" s="1185"/>
      <c r="M708" s="1185"/>
      <c r="N708" s="195"/>
    </row>
    <row r="709">
      <c r="A709" s="1185"/>
      <c r="B709" s="1185"/>
      <c r="C709" s="1185"/>
      <c r="D709" s="1185"/>
      <c r="E709" s="1185"/>
      <c r="F709" s="1185"/>
      <c r="G709" s="1185"/>
      <c r="H709" s="1185"/>
      <c r="I709" s="1185"/>
      <c r="J709" s="1185"/>
      <c r="K709" s="1185"/>
      <c r="L709" s="1185"/>
      <c r="M709" s="1185"/>
      <c r="N709" s="195"/>
    </row>
    <row r="710">
      <c r="A710" s="1185"/>
      <c r="B710" s="1185"/>
      <c r="C710" s="1185"/>
      <c r="D710" s="1185"/>
      <c r="E710" s="1185"/>
      <c r="F710" s="1185"/>
      <c r="G710" s="1185"/>
      <c r="H710" s="1185"/>
      <c r="I710" s="1185"/>
      <c r="J710" s="1185"/>
      <c r="K710" s="1185"/>
      <c r="L710" s="1185"/>
      <c r="M710" s="1185"/>
      <c r="N710" s="195"/>
    </row>
    <row r="711">
      <c r="A711" s="1185"/>
      <c r="B711" s="1185"/>
      <c r="C711" s="1185"/>
      <c r="D711" s="1185"/>
      <c r="E711" s="1185"/>
      <c r="F711" s="1185"/>
      <c r="G711" s="1185"/>
      <c r="H711" s="1185"/>
      <c r="I711" s="1185"/>
      <c r="J711" s="1185"/>
      <c r="K711" s="1185"/>
      <c r="L711" s="1185"/>
      <c r="M711" s="1185"/>
      <c r="N711" s="195"/>
    </row>
    <row r="712">
      <c r="A712" s="1185"/>
      <c r="B712" s="1185"/>
      <c r="C712" s="1185"/>
      <c r="D712" s="1185"/>
      <c r="E712" s="1185"/>
      <c r="F712" s="1185"/>
      <c r="G712" s="1185"/>
      <c r="H712" s="1185"/>
      <c r="I712" s="1185"/>
      <c r="J712" s="1185"/>
      <c r="K712" s="1185"/>
      <c r="L712" s="1185"/>
      <c r="M712" s="1185"/>
      <c r="N712" s="195"/>
    </row>
    <row r="713">
      <c r="A713" s="1185"/>
      <c r="B713" s="1185"/>
      <c r="C713" s="1185"/>
      <c r="D713" s="1185"/>
      <c r="E713" s="1185"/>
      <c r="F713" s="1185"/>
      <c r="G713" s="1185"/>
      <c r="H713" s="1185"/>
      <c r="I713" s="1185"/>
      <c r="J713" s="1185"/>
      <c r="K713" s="1185"/>
      <c r="L713" s="1185"/>
      <c r="M713" s="1185"/>
      <c r="N713" s="195"/>
    </row>
    <row r="714">
      <c r="A714" s="1185"/>
      <c r="B714" s="1185"/>
      <c r="C714" s="1185"/>
      <c r="D714" s="1185"/>
      <c r="E714" s="1185"/>
      <c r="F714" s="1185"/>
      <c r="G714" s="1185"/>
      <c r="H714" s="1185"/>
      <c r="I714" s="1185"/>
      <c r="J714" s="1185"/>
      <c r="K714" s="1185"/>
      <c r="L714" s="1185"/>
      <c r="M714" s="1185"/>
      <c r="N714" s="195"/>
    </row>
    <row r="715">
      <c r="A715" s="1185"/>
      <c r="B715" s="1185"/>
      <c r="C715" s="1185"/>
      <c r="D715" s="1185"/>
      <c r="E715" s="1185"/>
      <c r="F715" s="1185"/>
      <c r="G715" s="1185"/>
      <c r="H715" s="1185"/>
      <c r="I715" s="1185"/>
      <c r="J715" s="1185"/>
      <c r="K715" s="1185"/>
      <c r="L715" s="1185"/>
      <c r="M715" s="1185"/>
      <c r="N715" s="195"/>
    </row>
    <row r="716">
      <c r="A716" s="1185"/>
      <c r="B716" s="1185"/>
      <c r="C716" s="1185"/>
      <c r="D716" s="1185"/>
      <c r="E716" s="1185"/>
      <c r="F716" s="1185"/>
      <c r="G716" s="1185"/>
      <c r="H716" s="1185"/>
      <c r="I716" s="1185"/>
      <c r="J716" s="1185"/>
      <c r="K716" s="1185"/>
      <c r="L716" s="1185"/>
      <c r="M716" s="1185"/>
      <c r="N716" s="195"/>
    </row>
    <row r="717">
      <c r="A717" s="1185"/>
      <c r="B717" s="1185"/>
      <c r="C717" s="1185"/>
      <c r="D717" s="1185"/>
      <c r="E717" s="1185"/>
      <c r="F717" s="1185"/>
      <c r="G717" s="1185"/>
      <c r="H717" s="1185"/>
      <c r="I717" s="1185"/>
      <c r="J717" s="1185"/>
      <c r="K717" s="1185"/>
      <c r="L717" s="1185"/>
      <c r="M717" s="1185"/>
      <c r="N717" s="195"/>
    </row>
    <row r="718">
      <c r="A718" s="1185"/>
      <c r="B718" s="1185"/>
      <c r="C718" s="1185"/>
      <c r="D718" s="1185"/>
      <c r="E718" s="1185"/>
      <c r="F718" s="1185"/>
      <c r="G718" s="1185"/>
      <c r="H718" s="1185"/>
      <c r="I718" s="1185"/>
      <c r="J718" s="1185"/>
      <c r="K718" s="1185"/>
      <c r="L718" s="1185"/>
      <c r="M718" s="1185"/>
      <c r="N718" s="195"/>
    </row>
    <row r="719">
      <c r="A719" s="1185"/>
      <c r="B719" s="1185"/>
      <c r="C719" s="1185"/>
      <c r="D719" s="1185"/>
      <c r="E719" s="1185"/>
      <c r="F719" s="1185"/>
      <c r="G719" s="1185"/>
      <c r="H719" s="1185"/>
      <c r="I719" s="1185"/>
      <c r="J719" s="1185"/>
      <c r="K719" s="1185"/>
      <c r="L719" s="1185"/>
      <c r="M719" s="1185"/>
      <c r="N719" s="195"/>
    </row>
    <row r="720">
      <c r="A720" s="1185"/>
      <c r="B720" s="1185"/>
      <c r="C720" s="1185"/>
      <c r="D720" s="1185"/>
      <c r="E720" s="1185"/>
      <c r="F720" s="1185"/>
      <c r="G720" s="1185"/>
      <c r="H720" s="1185"/>
      <c r="I720" s="1185"/>
      <c r="J720" s="1185"/>
      <c r="K720" s="1185"/>
      <c r="L720" s="1185"/>
      <c r="M720" s="1185"/>
      <c r="N720" s="195"/>
    </row>
    <row r="721">
      <c r="A721" s="1185"/>
      <c r="B721" s="1185"/>
      <c r="C721" s="1185"/>
      <c r="D721" s="1185"/>
      <c r="E721" s="1185"/>
      <c r="F721" s="1185"/>
      <c r="G721" s="1185"/>
      <c r="H721" s="1185"/>
      <c r="I721" s="1185"/>
      <c r="J721" s="1185"/>
      <c r="K721" s="1185"/>
      <c r="L721" s="1185"/>
      <c r="M721" s="1185"/>
      <c r="N721" s="195"/>
    </row>
    <row r="722">
      <c r="A722" s="1185"/>
      <c r="B722" s="1185"/>
      <c r="C722" s="1185"/>
      <c r="D722" s="1185"/>
      <c r="E722" s="1185"/>
      <c r="F722" s="1185"/>
      <c r="G722" s="1185"/>
      <c r="H722" s="1185"/>
      <c r="I722" s="1185"/>
      <c r="J722" s="1185"/>
      <c r="K722" s="1185"/>
      <c r="L722" s="1185"/>
      <c r="M722" s="1185"/>
      <c r="N722" s="195"/>
    </row>
    <row r="723">
      <c r="A723" s="1185"/>
      <c r="B723" s="1185"/>
      <c r="C723" s="1185"/>
      <c r="D723" s="1185"/>
      <c r="E723" s="1185"/>
      <c r="F723" s="1185"/>
      <c r="G723" s="1185"/>
      <c r="H723" s="1185"/>
      <c r="I723" s="1185"/>
      <c r="J723" s="1185"/>
      <c r="K723" s="1185"/>
      <c r="L723" s="1185"/>
      <c r="M723" s="1185"/>
      <c r="N723" s="195"/>
    </row>
    <row r="724">
      <c r="A724" s="1185"/>
      <c r="B724" s="1185"/>
      <c r="C724" s="1185"/>
      <c r="D724" s="1185"/>
      <c r="E724" s="1185"/>
      <c r="F724" s="1185"/>
      <c r="G724" s="1185"/>
      <c r="H724" s="1185"/>
      <c r="I724" s="1185"/>
      <c r="J724" s="1185"/>
      <c r="K724" s="1185"/>
      <c r="L724" s="1185"/>
      <c r="M724" s="1185"/>
      <c r="N724" s="195"/>
    </row>
    <row r="725">
      <c r="A725" s="1185"/>
      <c r="B725" s="1185"/>
      <c r="C725" s="1185"/>
      <c r="D725" s="1185"/>
      <c r="E725" s="1185"/>
      <c r="F725" s="1185"/>
      <c r="G725" s="1185"/>
      <c r="H725" s="1185"/>
      <c r="I725" s="1185"/>
      <c r="J725" s="1185"/>
      <c r="K725" s="1185"/>
      <c r="L725" s="1185"/>
      <c r="M725" s="1185"/>
      <c r="N725" s="195"/>
    </row>
    <row r="726">
      <c r="A726" s="1185"/>
      <c r="B726" s="1185"/>
      <c r="C726" s="1185"/>
      <c r="D726" s="1185"/>
      <c r="E726" s="1185"/>
      <c r="F726" s="1185"/>
      <c r="G726" s="1185"/>
      <c r="H726" s="1185"/>
      <c r="I726" s="1185"/>
      <c r="J726" s="1185"/>
      <c r="K726" s="1185"/>
      <c r="L726" s="1185"/>
      <c r="M726" s="1185"/>
      <c r="N726" s="195"/>
    </row>
    <row r="727">
      <c r="A727" s="1185"/>
      <c r="B727" s="1185"/>
      <c r="C727" s="1185"/>
      <c r="D727" s="1185"/>
      <c r="E727" s="1185"/>
      <c r="F727" s="1185"/>
      <c r="G727" s="1185"/>
      <c r="H727" s="1185"/>
      <c r="I727" s="1185"/>
      <c r="J727" s="1185"/>
      <c r="K727" s="1185"/>
      <c r="L727" s="1185"/>
      <c r="M727" s="1185"/>
      <c r="N727" s="195"/>
    </row>
    <row r="728">
      <c r="A728" s="1185"/>
      <c r="B728" s="1185"/>
      <c r="C728" s="1185"/>
      <c r="D728" s="1185"/>
      <c r="E728" s="1185"/>
      <c r="F728" s="1185"/>
      <c r="G728" s="1185"/>
      <c r="H728" s="1185"/>
      <c r="I728" s="1185"/>
      <c r="J728" s="1185"/>
      <c r="K728" s="1185"/>
      <c r="L728" s="1185"/>
      <c r="M728" s="1185"/>
      <c r="N728" s="195"/>
    </row>
    <row r="729">
      <c r="A729" s="1185"/>
      <c r="B729" s="1185"/>
      <c r="C729" s="1185"/>
      <c r="D729" s="1185"/>
      <c r="E729" s="1185"/>
      <c r="F729" s="1185"/>
      <c r="G729" s="1185"/>
      <c r="H729" s="1185"/>
      <c r="I729" s="1185"/>
      <c r="J729" s="1185"/>
      <c r="K729" s="1185"/>
      <c r="L729" s="1185"/>
      <c r="M729" s="1185"/>
      <c r="N729" s="195"/>
    </row>
    <row r="730">
      <c r="A730" s="1185"/>
      <c r="B730" s="1185"/>
      <c r="C730" s="1185"/>
      <c r="D730" s="1185"/>
      <c r="E730" s="1185"/>
      <c r="F730" s="1185"/>
      <c r="G730" s="1185"/>
      <c r="H730" s="1185"/>
      <c r="I730" s="1185"/>
      <c r="J730" s="1185"/>
      <c r="K730" s="1185"/>
      <c r="L730" s="1185"/>
      <c r="M730" s="1185"/>
      <c r="N730" s="195"/>
    </row>
    <row r="731">
      <c r="A731" s="1185"/>
      <c r="B731" s="1185"/>
      <c r="C731" s="1185"/>
      <c r="D731" s="1185"/>
      <c r="E731" s="1185"/>
      <c r="F731" s="1185"/>
      <c r="G731" s="1185"/>
      <c r="H731" s="1185"/>
      <c r="I731" s="1185"/>
      <c r="J731" s="1185"/>
      <c r="K731" s="1185"/>
      <c r="L731" s="1185"/>
      <c r="M731" s="1185"/>
      <c r="N731" s="195"/>
    </row>
    <row r="732">
      <c r="A732" s="1185"/>
      <c r="B732" s="1185"/>
      <c r="C732" s="1185"/>
      <c r="D732" s="1185"/>
      <c r="E732" s="1185"/>
      <c r="F732" s="1185"/>
      <c r="G732" s="1185"/>
      <c r="H732" s="1185"/>
      <c r="I732" s="1185"/>
      <c r="J732" s="1185"/>
      <c r="K732" s="1185"/>
      <c r="L732" s="1185"/>
      <c r="M732" s="1185"/>
      <c r="N732" s="195"/>
    </row>
    <row r="733">
      <c r="A733" s="1185"/>
      <c r="B733" s="1185"/>
      <c r="C733" s="1185"/>
      <c r="D733" s="1185"/>
      <c r="E733" s="1185"/>
      <c r="F733" s="1185"/>
      <c r="G733" s="1185"/>
      <c r="H733" s="1185"/>
      <c r="I733" s="1185"/>
      <c r="J733" s="1185"/>
      <c r="K733" s="1185"/>
      <c r="L733" s="1185"/>
      <c r="M733" s="1185"/>
      <c r="N733" s="195"/>
    </row>
    <row r="734">
      <c r="A734" s="1185"/>
      <c r="B734" s="1185"/>
      <c r="C734" s="1185"/>
      <c r="D734" s="1185"/>
      <c r="E734" s="1185"/>
      <c r="F734" s="1185"/>
      <c r="G734" s="1185"/>
      <c r="H734" s="1185"/>
      <c r="I734" s="1185"/>
      <c r="J734" s="1185"/>
      <c r="K734" s="1185"/>
      <c r="L734" s="1185"/>
      <c r="M734" s="1185"/>
      <c r="N734" s="195"/>
    </row>
    <row r="735">
      <c r="A735" s="1185"/>
      <c r="B735" s="1185"/>
      <c r="C735" s="1185"/>
      <c r="D735" s="1185"/>
      <c r="E735" s="1185"/>
      <c r="F735" s="1185"/>
      <c r="G735" s="1185"/>
      <c r="H735" s="1185"/>
      <c r="I735" s="1185"/>
      <c r="J735" s="1185"/>
      <c r="K735" s="1185"/>
      <c r="L735" s="1185"/>
      <c r="M735" s="1185"/>
      <c r="N735" s="195"/>
    </row>
    <row r="736">
      <c r="A736" s="1185"/>
      <c r="B736" s="1185"/>
      <c r="C736" s="1185"/>
      <c r="D736" s="1185"/>
      <c r="E736" s="1185"/>
      <c r="F736" s="1185"/>
      <c r="G736" s="1185"/>
      <c r="H736" s="1185"/>
      <c r="I736" s="1185"/>
      <c r="J736" s="1185"/>
      <c r="K736" s="1185"/>
      <c r="L736" s="1185"/>
      <c r="M736" s="1185"/>
      <c r="N736" s="195"/>
    </row>
    <row r="737">
      <c r="A737" s="1185"/>
      <c r="B737" s="1185"/>
      <c r="C737" s="1185"/>
      <c r="D737" s="1185"/>
      <c r="E737" s="1185"/>
      <c r="F737" s="1185"/>
      <c r="G737" s="1185"/>
      <c r="H737" s="1185"/>
      <c r="I737" s="1185"/>
      <c r="J737" s="1185"/>
      <c r="K737" s="1185"/>
      <c r="L737" s="1185"/>
      <c r="M737" s="1185"/>
      <c r="N737" s="195"/>
    </row>
    <row r="738">
      <c r="A738" s="1185"/>
      <c r="B738" s="1185"/>
      <c r="C738" s="1185"/>
      <c r="D738" s="1185"/>
      <c r="E738" s="1185"/>
      <c r="F738" s="1185"/>
      <c r="G738" s="1185"/>
      <c r="H738" s="1185"/>
      <c r="I738" s="1185"/>
      <c r="J738" s="1185"/>
      <c r="K738" s="1185"/>
      <c r="L738" s="1185"/>
      <c r="M738" s="1185"/>
      <c r="N738" s="195"/>
    </row>
    <row r="739">
      <c r="A739" s="1185"/>
      <c r="B739" s="1185"/>
      <c r="C739" s="1185"/>
      <c r="D739" s="1185"/>
      <c r="E739" s="1185"/>
      <c r="F739" s="1185"/>
      <c r="G739" s="1185"/>
      <c r="H739" s="1185"/>
      <c r="I739" s="1185"/>
      <c r="J739" s="1185"/>
      <c r="K739" s="1185"/>
      <c r="L739" s="1185"/>
      <c r="M739" s="1185"/>
      <c r="N739" s="195"/>
    </row>
    <row r="740">
      <c r="A740" s="1185"/>
      <c r="B740" s="1185"/>
      <c r="C740" s="1185"/>
      <c r="D740" s="1185"/>
      <c r="E740" s="1185"/>
      <c r="F740" s="1185"/>
      <c r="G740" s="1185"/>
      <c r="H740" s="1185"/>
      <c r="I740" s="1185"/>
      <c r="J740" s="1185"/>
      <c r="K740" s="1185"/>
      <c r="L740" s="1185"/>
      <c r="M740" s="1185"/>
      <c r="N740" s="195"/>
    </row>
    <row r="741">
      <c r="A741" s="1185"/>
      <c r="B741" s="1185"/>
      <c r="C741" s="1185"/>
      <c r="D741" s="1185"/>
      <c r="E741" s="1185"/>
      <c r="F741" s="1185"/>
      <c r="G741" s="1185"/>
      <c r="H741" s="1185"/>
      <c r="I741" s="1185"/>
      <c r="J741" s="1185"/>
      <c r="K741" s="1185"/>
      <c r="L741" s="1185"/>
      <c r="M741" s="1185"/>
      <c r="N741" s="195"/>
    </row>
    <row r="742">
      <c r="A742" s="1185"/>
      <c r="B742" s="1185"/>
      <c r="C742" s="1185"/>
      <c r="D742" s="1185"/>
      <c r="E742" s="1185"/>
      <c r="F742" s="1185"/>
      <c r="G742" s="1185"/>
      <c r="H742" s="1185"/>
      <c r="I742" s="1185"/>
      <c r="J742" s="1185"/>
      <c r="K742" s="1185"/>
      <c r="L742" s="1185"/>
      <c r="M742" s="1185"/>
      <c r="N742" s="195"/>
    </row>
    <row r="743">
      <c r="A743" s="1185"/>
      <c r="B743" s="1185"/>
      <c r="C743" s="1185"/>
      <c r="D743" s="1185"/>
      <c r="E743" s="1185"/>
      <c r="F743" s="1185"/>
      <c r="G743" s="1185"/>
      <c r="H743" s="1185"/>
      <c r="I743" s="1185"/>
      <c r="J743" s="1185"/>
      <c r="K743" s="1185"/>
      <c r="L743" s="1185"/>
      <c r="M743" s="1185"/>
      <c r="N743" s="195"/>
    </row>
    <row r="744">
      <c r="A744" s="1185"/>
      <c r="B744" s="1185"/>
      <c r="C744" s="1185"/>
      <c r="D744" s="1185"/>
      <c r="E744" s="1185"/>
      <c r="F744" s="1185"/>
      <c r="G744" s="1185"/>
      <c r="H744" s="1185"/>
      <c r="I744" s="1185"/>
      <c r="J744" s="1185"/>
      <c r="K744" s="1185"/>
      <c r="L744" s="1185"/>
      <c r="M744" s="1185"/>
      <c r="N744" s="195"/>
    </row>
    <row r="745">
      <c r="A745" s="1185"/>
      <c r="B745" s="1185"/>
      <c r="C745" s="1185"/>
      <c r="D745" s="1185"/>
      <c r="E745" s="1185"/>
      <c r="F745" s="1185"/>
      <c r="G745" s="1185"/>
      <c r="H745" s="1185"/>
      <c r="I745" s="1185"/>
      <c r="J745" s="1185"/>
      <c r="K745" s="1185"/>
      <c r="L745" s="1185"/>
      <c r="M745" s="1185"/>
      <c r="N745" s="195"/>
    </row>
    <row r="746">
      <c r="A746" s="1185"/>
      <c r="B746" s="1185"/>
      <c r="C746" s="1185"/>
      <c r="D746" s="1185"/>
      <c r="E746" s="1185"/>
      <c r="F746" s="1185"/>
      <c r="G746" s="1185"/>
      <c r="H746" s="1185"/>
      <c r="I746" s="1185"/>
      <c r="J746" s="1185"/>
      <c r="K746" s="1185"/>
      <c r="L746" s="1185"/>
      <c r="M746" s="1185"/>
      <c r="N746" s="195"/>
    </row>
    <row r="747">
      <c r="A747" s="1185"/>
      <c r="B747" s="1185"/>
      <c r="C747" s="1185"/>
      <c r="D747" s="1185"/>
      <c r="E747" s="1185"/>
      <c r="F747" s="1185"/>
      <c r="G747" s="1185"/>
      <c r="H747" s="1185"/>
      <c r="I747" s="1185"/>
      <c r="J747" s="1185"/>
      <c r="K747" s="1185"/>
      <c r="L747" s="1185"/>
      <c r="M747" s="1185"/>
      <c r="N747" s="195"/>
    </row>
    <row r="748">
      <c r="A748" s="1185"/>
      <c r="B748" s="1185"/>
      <c r="C748" s="1185"/>
      <c r="D748" s="1185"/>
      <c r="E748" s="1185"/>
      <c r="F748" s="1185"/>
      <c r="G748" s="1185"/>
      <c r="H748" s="1185"/>
      <c r="I748" s="1185"/>
      <c r="J748" s="1185"/>
      <c r="K748" s="1185"/>
      <c r="L748" s="1185"/>
      <c r="M748" s="1185"/>
      <c r="N748" s="195"/>
    </row>
    <row r="749">
      <c r="A749" s="1185"/>
      <c r="B749" s="1185"/>
      <c r="C749" s="1185"/>
      <c r="D749" s="1185"/>
      <c r="E749" s="1185"/>
      <c r="F749" s="1185"/>
      <c r="G749" s="1185"/>
      <c r="H749" s="1185"/>
      <c r="I749" s="1185"/>
      <c r="J749" s="1185"/>
      <c r="K749" s="1185"/>
      <c r="L749" s="1185"/>
      <c r="M749" s="1185"/>
      <c r="N749" s="195"/>
    </row>
    <row r="750">
      <c r="A750" s="1185"/>
      <c r="B750" s="1185"/>
      <c r="C750" s="1185"/>
      <c r="D750" s="1185"/>
      <c r="E750" s="1185"/>
      <c r="F750" s="1185"/>
      <c r="G750" s="1185"/>
      <c r="H750" s="1185"/>
      <c r="I750" s="1185"/>
      <c r="J750" s="1185"/>
      <c r="K750" s="1185"/>
      <c r="L750" s="1185"/>
      <c r="M750" s="1185"/>
      <c r="N750" s="195"/>
    </row>
    <row r="751">
      <c r="A751" s="1185"/>
      <c r="B751" s="1185"/>
      <c r="C751" s="1185"/>
      <c r="D751" s="1185"/>
      <c r="E751" s="1185"/>
      <c r="F751" s="1185"/>
      <c r="G751" s="1185"/>
      <c r="H751" s="1185"/>
      <c r="I751" s="1185"/>
      <c r="J751" s="1185"/>
      <c r="K751" s="1185"/>
      <c r="L751" s="1185"/>
      <c r="M751" s="1185"/>
      <c r="N751" s="195"/>
    </row>
    <row r="752">
      <c r="A752" s="1185"/>
      <c r="B752" s="1185"/>
      <c r="C752" s="1185"/>
      <c r="D752" s="1185"/>
      <c r="E752" s="1185"/>
      <c r="F752" s="1185"/>
      <c r="G752" s="1185"/>
      <c r="H752" s="1185"/>
      <c r="I752" s="1185"/>
      <c r="J752" s="1185"/>
      <c r="K752" s="1185"/>
      <c r="L752" s="1185"/>
      <c r="M752" s="1185"/>
      <c r="N752" s="195"/>
    </row>
    <row r="753">
      <c r="A753" s="1185"/>
      <c r="B753" s="1185"/>
      <c r="C753" s="1185"/>
      <c r="D753" s="1185"/>
      <c r="E753" s="1185"/>
      <c r="F753" s="1185"/>
      <c r="G753" s="1185"/>
      <c r="H753" s="1185"/>
      <c r="I753" s="1185"/>
      <c r="J753" s="1185"/>
      <c r="K753" s="1185"/>
      <c r="L753" s="1185"/>
      <c r="M753" s="1185"/>
      <c r="N753" s="195"/>
    </row>
    <row r="754">
      <c r="A754" s="1185"/>
      <c r="B754" s="1185"/>
      <c r="C754" s="1185"/>
      <c r="D754" s="1185"/>
      <c r="E754" s="1185"/>
      <c r="F754" s="1185"/>
      <c r="G754" s="1185"/>
      <c r="H754" s="1185"/>
      <c r="I754" s="1185"/>
      <c r="J754" s="1185"/>
      <c r="K754" s="1185"/>
      <c r="L754" s="1185"/>
      <c r="M754" s="1185"/>
      <c r="N754" s="195"/>
    </row>
    <row r="755">
      <c r="A755" s="1185"/>
      <c r="B755" s="1185"/>
      <c r="C755" s="1185"/>
      <c r="D755" s="1185"/>
      <c r="E755" s="1185"/>
      <c r="F755" s="1185"/>
      <c r="G755" s="1185"/>
      <c r="H755" s="1185"/>
      <c r="I755" s="1185"/>
      <c r="J755" s="1185"/>
      <c r="K755" s="1185"/>
      <c r="L755" s="1185"/>
      <c r="M755" s="1185"/>
      <c r="N755" s="195"/>
    </row>
    <row r="756">
      <c r="A756" s="1185"/>
      <c r="B756" s="1185"/>
      <c r="C756" s="1185"/>
      <c r="D756" s="1185"/>
      <c r="E756" s="1185"/>
      <c r="F756" s="1185"/>
      <c r="G756" s="1185"/>
      <c r="H756" s="1185"/>
      <c r="I756" s="1185"/>
      <c r="J756" s="1185"/>
      <c r="K756" s="1185"/>
      <c r="L756" s="1185"/>
      <c r="M756" s="1185"/>
      <c r="N756" s="195"/>
    </row>
    <row r="757">
      <c r="A757" s="1185"/>
      <c r="B757" s="1185"/>
      <c r="C757" s="1185"/>
      <c r="D757" s="1185"/>
      <c r="E757" s="1185"/>
      <c r="F757" s="1185"/>
      <c r="G757" s="1185"/>
      <c r="H757" s="1185"/>
      <c r="I757" s="1185"/>
      <c r="J757" s="1185"/>
      <c r="K757" s="1185"/>
      <c r="L757" s="1185"/>
      <c r="M757" s="1185"/>
      <c r="N757" s="195"/>
    </row>
    <row r="758">
      <c r="A758" s="1185"/>
      <c r="B758" s="1185"/>
      <c r="C758" s="1185"/>
      <c r="D758" s="1185"/>
      <c r="E758" s="1185"/>
      <c r="F758" s="1185"/>
      <c r="G758" s="1185"/>
      <c r="H758" s="1185"/>
      <c r="I758" s="1185"/>
      <c r="J758" s="1185"/>
      <c r="K758" s="1185"/>
      <c r="L758" s="1185"/>
      <c r="M758" s="1185"/>
      <c r="N758" s="195"/>
    </row>
    <row r="759">
      <c r="A759" s="1185"/>
      <c r="B759" s="1185"/>
      <c r="C759" s="1185"/>
      <c r="D759" s="1185"/>
      <c r="E759" s="1185"/>
      <c r="F759" s="1185"/>
      <c r="G759" s="1185"/>
      <c r="H759" s="1185"/>
      <c r="I759" s="1185"/>
      <c r="J759" s="1185"/>
      <c r="K759" s="1185"/>
      <c r="L759" s="1185"/>
      <c r="M759" s="1185"/>
      <c r="N759" s="195"/>
    </row>
    <row r="760">
      <c r="A760" s="1185"/>
      <c r="B760" s="1185"/>
      <c r="C760" s="1185"/>
      <c r="D760" s="1185"/>
      <c r="E760" s="1185"/>
      <c r="F760" s="1185"/>
      <c r="G760" s="1185"/>
      <c r="H760" s="1185"/>
      <c r="I760" s="1185"/>
      <c r="J760" s="1185"/>
      <c r="K760" s="1185"/>
      <c r="L760" s="1185"/>
      <c r="M760" s="1185"/>
      <c r="N760" s="195"/>
    </row>
    <row r="761">
      <c r="A761" s="1185"/>
      <c r="B761" s="1185"/>
      <c r="C761" s="1185"/>
      <c r="D761" s="1185"/>
      <c r="E761" s="1185"/>
      <c r="F761" s="1185"/>
      <c r="G761" s="1185"/>
      <c r="H761" s="1185"/>
      <c r="I761" s="1185"/>
      <c r="J761" s="1185"/>
      <c r="K761" s="1185"/>
      <c r="L761" s="1185"/>
      <c r="M761" s="1185"/>
      <c r="N761" s="195"/>
    </row>
    <row r="762">
      <c r="A762" s="1185"/>
      <c r="B762" s="1185"/>
      <c r="C762" s="1185"/>
      <c r="D762" s="1185"/>
      <c r="E762" s="1185"/>
      <c r="F762" s="1185"/>
      <c r="G762" s="1185"/>
      <c r="H762" s="1185"/>
      <c r="I762" s="1185"/>
      <c r="J762" s="1185"/>
      <c r="K762" s="1185"/>
      <c r="L762" s="1185"/>
      <c r="M762" s="1185"/>
      <c r="N762" s="195"/>
    </row>
    <row r="763">
      <c r="A763" s="1185"/>
      <c r="B763" s="1185"/>
      <c r="C763" s="1185"/>
      <c r="D763" s="1185"/>
      <c r="E763" s="1185"/>
      <c r="F763" s="1185"/>
      <c r="G763" s="1185"/>
      <c r="H763" s="1185"/>
      <c r="I763" s="1185"/>
      <c r="J763" s="1185"/>
      <c r="K763" s="1185"/>
      <c r="L763" s="1185"/>
      <c r="M763" s="1185"/>
      <c r="N763" s="195"/>
    </row>
    <row r="764">
      <c r="A764" s="1185"/>
      <c r="B764" s="1185"/>
      <c r="C764" s="1185"/>
      <c r="D764" s="1185"/>
      <c r="E764" s="1185"/>
      <c r="F764" s="1185"/>
      <c r="G764" s="1185"/>
      <c r="H764" s="1185"/>
      <c r="I764" s="1185"/>
      <c r="J764" s="1185"/>
      <c r="K764" s="1185"/>
      <c r="L764" s="1185"/>
      <c r="M764" s="1185"/>
      <c r="N764" s="195"/>
    </row>
    <row r="765">
      <c r="A765" s="1185"/>
      <c r="B765" s="1185"/>
      <c r="C765" s="1185"/>
      <c r="D765" s="1185"/>
      <c r="E765" s="1185"/>
      <c r="F765" s="1185"/>
      <c r="G765" s="1185"/>
      <c r="H765" s="1185"/>
      <c r="I765" s="1185"/>
      <c r="J765" s="1185"/>
      <c r="K765" s="1185"/>
      <c r="L765" s="1185"/>
      <c r="M765" s="1185"/>
      <c r="N765" s="195"/>
    </row>
    <row r="766">
      <c r="A766" s="1185"/>
      <c r="B766" s="1185"/>
      <c r="C766" s="1185"/>
      <c r="D766" s="1185"/>
      <c r="E766" s="1185"/>
      <c r="F766" s="1185"/>
      <c r="G766" s="1185"/>
      <c r="H766" s="1185"/>
      <c r="I766" s="1185"/>
      <c r="J766" s="1185"/>
      <c r="K766" s="1185"/>
      <c r="L766" s="1185"/>
      <c r="M766" s="1185"/>
      <c r="N766" s="195"/>
    </row>
    <row r="767">
      <c r="A767" s="1185"/>
      <c r="B767" s="1185"/>
      <c r="C767" s="1185"/>
      <c r="D767" s="1185"/>
      <c r="E767" s="1185"/>
      <c r="F767" s="1185"/>
      <c r="G767" s="1185"/>
      <c r="H767" s="1185"/>
      <c r="I767" s="1185"/>
      <c r="J767" s="1185"/>
      <c r="K767" s="1185"/>
      <c r="L767" s="1185"/>
      <c r="M767" s="1185"/>
      <c r="N767" s="195"/>
    </row>
    <row r="768">
      <c r="A768" s="1185"/>
      <c r="B768" s="1185"/>
      <c r="C768" s="1185"/>
      <c r="D768" s="1185"/>
      <c r="E768" s="1185"/>
      <c r="F768" s="1185"/>
      <c r="G768" s="1185"/>
      <c r="H768" s="1185"/>
      <c r="I768" s="1185"/>
      <c r="J768" s="1185"/>
      <c r="K768" s="1185"/>
      <c r="L768" s="1185"/>
      <c r="M768" s="1185"/>
      <c r="N768" s="195"/>
    </row>
    <row r="769">
      <c r="A769" s="1185"/>
      <c r="B769" s="1185"/>
      <c r="C769" s="1185"/>
      <c r="D769" s="1185"/>
      <c r="E769" s="1185"/>
      <c r="F769" s="1185"/>
      <c r="G769" s="1185"/>
      <c r="H769" s="1185"/>
      <c r="I769" s="1185"/>
      <c r="J769" s="1185"/>
      <c r="K769" s="1185"/>
      <c r="L769" s="1185"/>
      <c r="M769" s="1185"/>
      <c r="N769" s="195"/>
    </row>
    <row r="770">
      <c r="A770" s="1185"/>
      <c r="B770" s="1185"/>
      <c r="C770" s="1185"/>
      <c r="D770" s="1185"/>
      <c r="E770" s="1185"/>
      <c r="F770" s="1185"/>
      <c r="G770" s="1185"/>
      <c r="H770" s="1185"/>
      <c r="I770" s="1185"/>
      <c r="J770" s="1185"/>
      <c r="K770" s="1185"/>
      <c r="L770" s="1185"/>
      <c r="M770" s="1185"/>
      <c r="N770" s="195"/>
    </row>
    <row r="771">
      <c r="A771" s="1185"/>
      <c r="B771" s="1185"/>
      <c r="C771" s="1185"/>
      <c r="D771" s="1185"/>
      <c r="E771" s="1185"/>
      <c r="F771" s="1185"/>
      <c r="G771" s="1185"/>
      <c r="H771" s="1185"/>
      <c r="I771" s="1185"/>
      <c r="J771" s="1185"/>
      <c r="K771" s="1185"/>
      <c r="L771" s="1185"/>
      <c r="M771" s="1185"/>
      <c r="N771" s="195"/>
    </row>
    <row r="772">
      <c r="A772" s="1185"/>
      <c r="B772" s="1185"/>
      <c r="C772" s="1185"/>
      <c r="D772" s="1185"/>
      <c r="E772" s="1185"/>
      <c r="F772" s="1185"/>
      <c r="G772" s="1185"/>
      <c r="H772" s="1185"/>
      <c r="I772" s="1185"/>
      <c r="J772" s="1185"/>
      <c r="K772" s="1185"/>
      <c r="L772" s="1185"/>
      <c r="M772" s="1185"/>
      <c r="N772" s="195"/>
    </row>
    <row r="773">
      <c r="A773" s="1185"/>
      <c r="B773" s="1185"/>
      <c r="C773" s="1185"/>
      <c r="D773" s="1185"/>
      <c r="E773" s="1185"/>
      <c r="F773" s="1185"/>
      <c r="G773" s="1185"/>
      <c r="H773" s="1185"/>
      <c r="I773" s="1185"/>
      <c r="J773" s="1185"/>
      <c r="K773" s="1185"/>
      <c r="L773" s="1185"/>
      <c r="M773" s="1185"/>
      <c r="N773" s="195"/>
    </row>
    <row r="774">
      <c r="A774" s="1185"/>
      <c r="B774" s="1185"/>
      <c r="C774" s="1185"/>
      <c r="D774" s="1185"/>
      <c r="E774" s="1185"/>
      <c r="F774" s="1185"/>
      <c r="G774" s="1185"/>
      <c r="H774" s="1185"/>
      <c r="I774" s="1185"/>
      <c r="J774" s="1185"/>
      <c r="K774" s="1185"/>
      <c r="L774" s="1185"/>
      <c r="M774" s="1185"/>
      <c r="N774" s="195"/>
    </row>
    <row r="775">
      <c r="A775" s="1185"/>
      <c r="B775" s="1185"/>
      <c r="C775" s="1185"/>
      <c r="D775" s="1185"/>
      <c r="E775" s="1185"/>
      <c r="F775" s="1185"/>
      <c r="G775" s="1185"/>
      <c r="H775" s="1185"/>
      <c r="I775" s="1185"/>
      <c r="J775" s="1185"/>
      <c r="K775" s="1185"/>
      <c r="L775" s="1185"/>
      <c r="M775" s="1185"/>
      <c r="N775" s="195"/>
    </row>
    <row r="776">
      <c r="A776" s="1185"/>
      <c r="B776" s="1185"/>
      <c r="C776" s="1185"/>
      <c r="D776" s="1185"/>
      <c r="E776" s="1185"/>
      <c r="F776" s="1185"/>
      <c r="G776" s="1185"/>
      <c r="H776" s="1185"/>
      <c r="I776" s="1185"/>
      <c r="J776" s="1185"/>
      <c r="K776" s="1185"/>
      <c r="L776" s="1185"/>
      <c r="M776" s="1185"/>
      <c r="N776" s="195"/>
    </row>
    <row r="777">
      <c r="A777" s="1185"/>
      <c r="B777" s="1185"/>
      <c r="C777" s="1185"/>
      <c r="D777" s="1185"/>
      <c r="E777" s="1185"/>
      <c r="F777" s="1185"/>
      <c r="G777" s="1185"/>
      <c r="H777" s="1185"/>
      <c r="I777" s="1185"/>
      <c r="J777" s="1185"/>
      <c r="K777" s="1185"/>
      <c r="L777" s="1185"/>
      <c r="M777" s="1185"/>
      <c r="N777" s="195"/>
    </row>
    <row r="778">
      <c r="A778" s="1185"/>
      <c r="B778" s="1185"/>
      <c r="C778" s="1185"/>
      <c r="D778" s="1185"/>
      <c r="E778" s="1185"/>
      <c r="F778" s="1185"/>
      <c r="G778" s="1185"/>
      <c r="H778" s="1185"/>
      <c r="I778" s="1185"/>
      <c r="J778" s="1185"/>
      <c r="K778" s="1185"/>
      <c r="L778" s="1185"/>
      <c r="M778" s="1185"/>
      <c r="N778" s="195"/>
    </row>
    <row r="779">
      <c r="A779" s="1185"/>
      <c r="B779" s="1185"/>
      <c r="C779" s="1185"/>
      <c r="D779" s="1185"/>
      <c r="E779" s="1185"/>
      <c r="F779" s="1185"/>
      <c r="G779" s="1185"/>
      <c r="H779" s="1185"/>
      <c r="I779" s="1185"/>
      <c r="J779" s="1185"/>
      <c r="K779" s="1185"/>
      <c r="L779" s="1185"/>
      <c r="M779" s="1185"/>
      <c r="N779" s="195"/>
    </row>
    <row r="780">
      <c r="A780" s="1185"/>
      <c r="B780" s="1185"/>
      <c r="C780" s="1185"/>
      <c r="D780" s="1185"/>
      <c r="E780" s="1185"/>
      <c r="F780" s="1185"/>
      <c r="G780" s="1185"/>
      <c r="H780" s="1185"/>
      <c r="I780" s="1185"/>
      <c r="J780" s="1185"/>
      <c r="K780" s="1185"/>
      <c r="L780" s="1185"/>
      <c r="M780" s="1185"/>
      <c r="N780" s="195"/>
    </row>
    <row r="781">
      <c r="A781" s="1185"/>
      <c r="B781" s="1185"/>
      <c r="C781" s="1185"/>
      <c r="D781" s="1185"/>
      <c r="E781" s="1185"/>
      <c r="F781" s="1185"/>
      <c r="G781" s="1185"/>
      <c r="H781" s="1185"/>
      <c r="I781" s="1185"/>
      <c r="J781" s="1185"/>
      <c r="K781" s="1185"/>
      <c r="L781" s="1185"/>
      <c r="M781" s="1185"/>
      <c r="N781" s="195"/>
    </row>
    <row r="782">
      <c r="A782" s="1185"/>
      <c r="B782" s="1185"/>
      <c r="C782" s="1185"/>
      <c r="D782" s="1185"/>
      <c r="E782" s="1185"/>
      <c r="F782" s="1185"/>
      <c r="G782" s="1185"/>
      <c r="H782" s="1185"/>
      <c r="I782" s="1185"/>
      <c r="J782" s="1185"/>
      <c r="K782" s="1185"/>
      <c r="L782" s="1185"/>
      <c r="M782" s="1185"/>
      <c r="N782" s="195"/>
    </row>
    <row r="783">
      <c r="A783" s="1185"/>
      <c r="B783" s="1185"/>
      <c r="C783" s="1185"/>
      <c r="D783" s="1185"/>
      <c r="E783" s="1185"/>
      <c r="F783" s="1185"/>
      <c r="G783" s="1185"/>
      <c r="H783" s="1185"/>
      <c r="I783" s="1185"/>
      <c r="J783" s="1185"/>
      <c r="K783" s="1185"/>
      <c r="L783" s="1185"/>
      <c r="M783" s="1185"/>
      <c r="N783" s="195"/>
    </row>
    <row r="784">
      <c r="A784" s="1185"/>
      <c r="B784" s="1185"/>
      <c r="C784" s="1185"/>
      <c r="D784" s="1185"/>
      <c r="E784" s="1185"/>
      <c r="F784" s="1185"/>
      <c r="G784" s="1185"/>
      <c r="H784" s="1185"/>
      <c r="I784" s="1185"/>
      <c r="J784" s="1185"/>
      <c r="K784" s="1185"/>
      <c r="L784" s="1185"/>
      <c r="M784" s="1185"/>
      <c r="N784" s="195"/>
    </row>
    <row r="785">
      <c r="A785" s="1185"/>
      <c r="B785" s="1185"/>
      <c r="C785" s="1185"/>
      <c r="D785" s="1185"/>
      <c r="E785" s="1185"/>
      <c r="F785" s="1185"/>
      <c r="G785" s="1185"/>
      <c r="H785" s="1185"/>
      <c r="I785" s="1185"/>
      <c r="J785" s="1185"/>
      <c r="K785" s="1185"/>
      <c r="L785" s="1185"/>
      <c r="M785" s="1185"/>
      <c r="N785" s="195"/>
    </row>
    <row r="786">
      <c r="A786" s="1185"/>
      <c r="B786" s="1185"/>
      <c r="C786" s="1185"/>
      <c r="D786" s="1185"/>
      <c r="E786" s="1185"/>
      <c r="F786" s="1185"/>
      <c r="G786" s="1185"/>
      <c r="H786" s="1185"/>
      <c r="I786" s="1185"/>
      <c r="J786" s="1185"/>
      <c r="K786" s="1185"/>
      <c r="L786" s="1185"/>
      <c r="M786" s="1185"/>
      <c r="N786" s="195"/>
    </row>
    <row r="787">
      <c r="A787" s="1185"/>
      <c r="B787" s="1185"/>
      <c r="C787" s="1185"/>
      <c r="D787" s="1185"/>
      <c r="E787" s="1185"/>
      <c r="F787" s="1185"/>
      <c r="G787" s="1185"/>
      <c r="H787" s="1185"/>
      <c r="I787" s="1185"/>
      <c r="J787" s="1185"/>
      <c r="K787" s="1185"/>
      <c r="L787" s="1185"/>
      <c r="M787" s="1185"/>
      <c r="N787" s="195"/>
    </row>
    <row r="788">
      <c r="A788" s="1185"/>
      <c r="B788" s="1185"/>
      <c r="C788" s="1185"/>
      <c r="D788" s="1185"/>
      <c r="E788" s="1185"/>
      <c r="F788" s="1185"/>
      <c r="G788" s="1185"/>
      <c r="H788" s="1185"/>
      <c r="I788" s="1185"/>
      <c r="J788" s="1185"/>
      <c r="K788" s="1185"/>
      <c r="L788" s="1185"/>
      <c r="M788" s="1185"/>
      <c r="N788" s="195"/>
    </row>
    <row r="789">
      <c r="A789" s="1185"/>
      <c r="B789" s="1185"/>
      <c r="C789" s="1185"/>
      <c r="D789" s="1185"/>
      <c r="E789" s="1185"/>
      <c r="F789" s="1185"/>
      <c r="G789" s="1185"/>
      <c r="H789" s="1185"/>
      <c r="I789" s="1185"/>
      <c r="J789" s="1185"/>
      <c r="K789" s="1185"/>
      <c r="L789" s="1185"/>
      <c r="M789" s="1185"/>
      <c r="N789" s="195"/>
    </row>
    <row r="790">
      <c r="A790" s="1185"/>
      <c r="B790" s="1185"/>
      <c r="C790" s="1185"/>
      <c r="D790" s="1185"/>
      <c r="E790" s="1185"/>
      <c r="F790" s="1185"/>
      <c r="G790" s="1185"/>
      <c r="H790" s="1185"/>
      <c r="I790" s="1185"/>
      <c r="J790" s="1185"/>
      <c r="K790" s="1185"/>
      <c r="L790" s="1185"/>
      <c r="M790" s="1185"/>
      <c r="N790" s="195"/>
    </row>
    <row r="791">
      <c r="A791" s="1185"/>
      <c r="B791" s="1185"/>
      <c r="C791" s="1185"/>
      <c r="D791" s="1185"/>
      <c r="E791" s="1185"/>
      <c r="F791" s="1185"/>
      <c r="G791" s="1185"/>
      <c r="H791" s="1185"/>
      <c r="I791" s="1185"/>
      <c r="J791" s="1185"/>
      <c r="K791" s="1185"/>
      <c r="L791" s="1185"/>
      <c r="M791" s="1185"/>
      <c r="N791" s="195"/>
    </row>
    <row r="792">
      <c r="A792" s="1185"/>
      <c r="B792" s="1185"/>
      <c r="C792" s="1185"/>
      <c r="D792" s="1185"/>
      <c r="E792" s="1185"/>
      <c r="F792" s="1185"/>
      <c r="G792" s="1185"/>
      <c r="H792" s="1185"/>
      <c r="I792" s="1185"/>
      <c r="J792" s="1185"/>
      <c r="K792" s="1185"/>
      <c r="L792" s="1185"/>
      <c r="M792" s="1185"/>
      <c r="N792" s="195"/>
    </row>
    <row r="793">
      <c r="A793" s="1185"/>
      <c r="B793" s="1185"/>
      <c r="C793" s="1185"/>
      <c r="D793" s="1185"/>
      <c r="E793" s="1185"/>
      <c r="F793" s="1185"/>
      <c r="G793" s="1185"/>
      <c r="H793" s="1185"/>
      <c r="I793" s="1185"/>
      <c r="J793" s="1185"/>
      <c r="K793" s="1185"/>
      <c r="L793" s="1185"/>
      <c r="M793" s="1185"/>
      <c r="N793" s="195"/>
    </row>
    <row r="794">
      <c r="A794" s="1185"/>
      <c r="B794" s="1185"/>
      <c r="C794" s="1185"/>
      <c r="D794" s="1185"/>
      <c r="E794" s="1185"/>
      <c r="F794" s="1185"/>
      <c r="G794" s="1185"/>
      <c r="H794" s="1185"/>
      <c r="I794" s="1185"/>
      <c r="J794" s="1185"/>
      <c r="K794" s="1185"/>
      <c r="L794" s="1185"/>
      <c r="M794" s="1185"/>
      <c r="N794" s="195"/>
    </row>
    <row r="795">
      <c r="A795" s="1185"/>
      <c r="B795" s="1185"/>
      <c r="C795" s="1185"/>
      <c r="D795" s="1185"/>
      <c r="E795" s="1185"/>
      <c r="F795" s="1185"/>
      <c r="G795" s="1185"/>
      <c r="H795" s="1185"/>
      <c r="I795" s="1185"/>
      <c r="J795" s="1185"/>
      <c r="K795" s="1185"/>
      <c r="L795" s="1185"/>
      <c r="M795" s="1185"/>
      <c r="N795" s="195"/>
    </row>
    <row r="796">
      <c r="A796" s="1185"/>
      <c r="B796" s="1185"/>
      <c r="C796" s="1185"/>
      <c r="D796" s="1185"/>
      <c r="E796" s="1185"/>
      <c r="F796" s="1185"/>
      <c r="G796" s="1185"/>
      <c r="H796" s="1185"/>
      <c r="I796" s="1185"/>
      <c r="J796" s="1185"/>
      <c r="K796" s="1185"/>
      <c r="L796" s="1185"/>
      <c r="M796" s="1185"/>
      <c r="N796" s="195"/>
    </row>
    <row r="797">
      <c r="A797" s="1185"/>
      <c r="B797" s="1185"/>
      <c r="C797" s="1185"/>
      <c r="D797" s="1185"/>
      <c r="E797" s="1185"/>
      <c r="F797" s="1185"/>
      <c r="G797" s="1185"/>
      <c r="H797" s="1185"/>
      <c r="I797" s="1185"/>
      <c r="J797" s="1185"/>
      <c r="K797" s="1185"/>
      <c r="L797" s="1185"/>
      <c r="M797" s="1185"/>
      <c r="N797" s="195"/>
    </row>
    <row r="798">
      <c r="A798" s="1185"/>
      <c r="B798" s="1185"/>
      <c r="C798" s="1185"/>
      <c r="D798" s="1185"/>
      <c r="E798" s="1185"/>
      <c r="F798" s="1185"/>
      <c r="G798" s="1185"/>
      <c r="H798" s="1185"/>
      <c r="I798" s="1185"/>
      <c r="J798" s="1185"/>
      <c r="K798" s="1185"/>
      <c r="L798" s="1185"/>
      <c r="M798" s="1185"/>
      <c r="N798" s="195"/>
    </row>
    <row r="799">
      <c r="A799" s="1185"/>
      <c r="B799" s="1185"/>
      <c r="C799" s="1185"/>
      <c r="D799" s="1185"/>
      <c r="E799" s="1185"/>
      <c r="F799" s="1185"/>
      <c r="G799" s="1185"/>
      <c r="H799" s="1185"/>
      <c r="I799" s="1185"/>
      <c r="J799" s="1185"/>
      <c r="K799" s="1185"/>
      <c r="L799" s="1185"/>
      <c r="M799" s="1185"/>
      <c r="N799" s="195"/>
    </row>
    <row r="800">
      <c r="A800" s="1185"/>
      <c r="B800" s="1185"/>
      <c r="C800" s="1185"/>
      <c r="D800" s="1185"/>
      <c r="E800" s="1185"/>
      <c r="F800" s="1185"/>
      <c r="G800" s="1185"/>
      <c r="H800" s="1185"/>
      <c r="I800" s="1185"/>
      <c r="J800" s="1185"/>
      <c r="K800" s="1185"/>
      <c r="L800" s="1185"/>
      <c r="M800" s="1185"/>
      <c r="N800" s="195"/>
    </row>
    <row r="801">
      <c r="A801" s="1185"/>
      <c r="B801" s="1185"/>
      <c r="C801" s="1185"/>
      <c r="D801" s="1185"/>
      <c r="E801" s="1185"/>
      <c r="F801" s="1185"/>
      <c r="G801" s="1185"/>
      <c r="H801" s="1185"/>
      <c r="I801" s="1185"/>
      <c r="J801" s="1185"/>
      <c r="K801" s="1185"/>
      <c r="L801" s="1185"/>
      <c r="M801" s="1185"/>
      <c r="N801" s="195"/>
    </row>
    <row r="802">
      <c r="A802" s="1185"/>
      <c r="B802" s="1185"/>
      <c r="C802" s="1185"/>
      <c r="D802" s="1185"/>
      <c r="E802" s="1185"/>
      <c r="F802" s="1185"/>
      <c r="G802" s="1185"/>
      <c r="H802" s="1185"/>
      <c r="I802" s="1185"/>
      <c r="J802" s="1185"/>
      <c r="K802" s="1185"/>
      <c r="L802" s="1185"/>
      <c r="M802" s="1185"/>
      <c r="N802" s="195"/>
    </row>
    <row r="803">
      <c r="A803" s="1185"/>
      <c r="B803" s="1185"/>
      <c r="C803" s="1185"/>
      <c r="D803" s="1185"/>
      <c r="E803" s="1185"/>
      <c r="F803" s="1185"/>
      <c r="G803" s="1185"/>
      <c r="H803" s="1185"/>
      <c r="I803" s="1185"/>
      <c r="J803" s="1185"/>
      <c r="K803" s="1185"/>
      <c r="L803" s="1185"/>
      <c r="M803" s="1185"/>
      <c r="N803" s="195"/>
    </row>
    <row r="804">
      <c r="A804" s="1185"/>
      <c r="B804" s="1185"/>
      <c r="C804" s="1185"/>
      <c r="D804" s="1185"/>
      <c r="E804" s="1185"/>
      <c r="F804" s="1185"/>
      <c r="G804" s="1185"/>
      <c r="H804" s="1185"/>
      <c r="I804" s="1185"/>
      <c r="J804" s="1185"/>
      <c r="K804" s="1185"/>
      <c r="L804" s="1185"/>
      <c r="M804" s="1185"/>
      <c r="N804" s="195"/>
    </row>
    <row r="805">
      <c r="A805" s="1185"/>
      <c r="B805" s="1185"/>
      <c r="C805" s="1185"/>
      <c r="D805" s="1185"/>
      <c r="E805" s="1185"/>
      <c r="F805" s="1185"/>
      <c r="G805" s="1185"/>
      <c r="H805" s="1185"/>
      <c r="I805" s="1185"/>
      <c r="J805" s="1185"/>
      <c r="K805" s="1185"/>
      <c r="L805" s="1185"/>
      <c r="M805" s="1185"/>
      <c r="N805" s="195"/>
    </row>
    <row r="806">
      <c r="A806" s="1185"/>
      <c r="B806" s="1185"/>
      <c r="C806" s="1185"/>
      <c r="D806" s="1185"/>
      <c r="E806" s="1185"/>
      <c r="F806" s="1185"/>
      <c r="G806" s="1185"/>
      <c r="H806" s="1185"/>
      <c r="I806" s="1185"/>
      <c r="J806" s="1185"/>
      <c r="K806" s="1185"/>
      <c r="L806" s="1185"/>
      <c r="M806" s="1185"/>
      <c r="N806" s="195"/>
    </row>
    <row r="807">
      <c r="A807" s="1185"/>
      <c r="B807" s="1185"/>
      <c r="C807" s="1185"/>
      <c r="D807" s="1185"/>
      <c r="E807" s="1185"/>
      <c r="F807" s="1185"/>
      <c r="G807" s="1185"/>
      <c r="H807" s="1185"/>
      <c r="I807" s="1185"/>
      <c r="J807" s="1185"/>
      <c r="K807" s="1185"/>
      <c r="L807" s="1185"/>
      <c r="M807" s="1185"/>
      <c r="N807" s="195"/>
    </row>
    <row r="808">
      <c r="A808" s="1185"/>
      <c r="B808" s="1185"/>
      <c r="C808" s="1185"/>
      <c r="D808" s="1185"/>
      <c r="E808" s="1185"/>
      <c r="F808" s="1185"/>
      <c r="G808" s="1185"/>
      <c r="H808" s="1185"/>
      <c r="I808" s="1185"/>
      <c r="J808" s="1185"/>
      <c r="K808" s="1185"/>
      <c r="L808" s="1185"/>
      <c r="M808" s="1185"/>
      <c r="N808" s="195"/>
    </row>
    <row r="809">
      <c r="A809" s="1185"/>
      <c r="B809" s="1185"/>
      <c r="C809" s="1185"/>
      <c r="D809" s="1185"/>
      <c r="E809" s="1185"/>
      <c r="F809" s="1185"/>
      <c r="G809" s="1185"/>
      <c r="H809" s="1185"/>
      <c r="I809" s="1185"/>
      <c r="J809" s="1185"/>
      <c r="K809" s="1185"/>
      <c r="L809" s="1185"/>
      <c r="M809" s="1185"/>
      <c r="N809" s="195"/>
    </row>
    <row r="810">
      <c r="A810" s="1185"/>
      <c r="B810" s="1185"/>
      <c r="C810" s="1185"/>
      <c r="D810" s="1185"/>
      <c r="E810" s="1185"/>
      <c r="F810" s="1185"/>
      <c r="G810" s="1185"/>
      <c r="H810" s="1185"/>
      <c r="I810" s="1185"/>
      <c r="J810" s="1185"/>
      <c r="K810" s="1185"/>
      <c r="L810" s="1185"/>
      <c r="M810" s="1185"/>
      <c r="N810" s="195"/>
    </row>
    <row r="811">
      <c r="A811" s="1185"/>
      <c r="B811" s="1185"/>
      <c r="C811" s="1185"/>
      <c r="D811" s="1185"/>
      <c r="E811" s="1185"/>
      <c r="F811" s="1185"/>
      <c r="G811" s="1185"/>
      <c r="H811" s="1185"/>
      <c r="I811" s="1185"/>
      <c r="J811" s="1185"/>
      <c r="K811" s="1185"/>
      <c r="L811" s="1185"/>
      <c r="M811" s="1185"/>
      <c r="N811" s="195"/>
    </row>
    <row r="812">
      <c r="A812" s="1185"/>
      <c r="B812" s="1185"/>
      <c r="C812" s="1185"/>
      <c r="D812" s="1185"/>
      <c r="E812" s="1185"/>
      <c r="F812" s="1185"/>
      <c r="G812" s="1185"/>
      <c r="H812" s="1185"/>
      <c r="I812" s="1185"/>
      <c r="J812" s="1185"/>
      <c r="K812" s="1185"/>
      <c r="L812" s="1185"/>
      <c r="M812" s="1185"/>
      <c r="N812" s="195"/>
    </row>
    <row r="813">
      <c r="A813" s="1185"/>
      <c r="B813" s="1185"/>
      <c r="C813" s="1185"/>
      <c r="D813" s="1185"/>
      <c r="E813" s="1185"/>
      <c r="F813" s="1185"/>
      <c r="G813" s="1185"/>
      <c r="H813" s="1185"/>
      <c r="I813" s="1185"/>
      <c r="J813" s="1185"/>
      <c r="K813" s="1185"/>
      <c r="L813" s="1185"/>
      <c r="M813" s="1185"/>
      <c r="N813" s="195"/>
    </row>
    <row r="814">
      <c r="A814" s="1185"/>
      <c r="B814" s="1185"/>
      <c r="C814" s="1185"/>
      <c r="D814" s="1185"/>
      <c r="E814" s="1185"/>
      <c r="F814" s="1185"/>
      <c r="G814" s="1185"/>
      <c r="H814" s="1185"/>
      <c r="I814" s="1185"/>
      <c r="J814" s="1185"/>
      <c r="K814" s="1185"/>
      <c r="L814" s="1185"/>
      <c r="M814" s="1185"/>
      <c r="N814" s="195"/>
    </row>
    <row r="815">
      <c r="A815" s="1185"/>
      <c r="B815" s="1185"/>
      <c r="C815" s="1185"/>
      <c r="D815" s="1185"/>
      <c r="E815" s="1185"/>
      <c r="F815" s="1185"/>
      <c r="G815" s="1185"/>
      <c r="H815" s="1185"/>
      <c r="I815" s="1185"/>
      <c r="J815" s="1185"/>
      <c r="K815" s="1185"/>
      <c r="L815" s="1185"/>
      <c r="M815" s="1185"/>
      <c r="N815" s="195"/>
    </row>
    <row r="816">
      <c r="A816" s="1185"/>
      <c r="B816" s="1185"/>
      <c r="C816" s="1185"/>
      <c r="D816" s="1185"/>
      <c r="E816" s="1185"/>
      <c r="F816" s="1185"/>
      <c r="G816" s="1185"/>
      <c r="H816" s="1185"/>
      <c r="I816" s="1185"/>
      <c r="J816" s="1185"/>
      <c r="K816" s="1185"/>
      <c r="L816" s="1185"/>
      <c r="M816" s="1185"/>
      <c r="N816" s="195"/>
    </row>
    <row r="817">
      <c r="A817" s="1185"/>
      <c r="B817" s="1185"/>
      <c r="C817" s="1185"/>
      <c r="D817" s="1185"/>
      <c r="E817" s="1185"/>
      <c r="F817" s="1185"/>
      <c r="G817" s="1185"/>
      <c r="H817" s="1185"/>
      <c r="I817" s="1185"/>
      <c r="J817" s="1185"/>
      <c r="K817" s="1185"/>
      <c r="L817" s="1185"/>
      <c r="M817" s="1185"/>
      <c r="N817" s="195"/>
    </row>
    <row r="818">
      <c r="A818" s="1185"/>
      <c r="B818" s="1185"/>
      <c r="C818" s="1185"/>
      <c r="D818" s="1185"/>
      <c r="E818" s="1185"/>
      <c r="F818" s="1185"/>
      <c r="G818" s="1185"/>
      <c r="H818" s="1185"/>
      <c r="I818" s="1185"/>
      <c r="J818" s="1185"/>
      <c r="K818" s="1185"/>
      <c r="L818" s="1185"/>
      <c r="M818" s="1185"/>
      <c r="N818" s="195"/>
    </row>
    <row r="819">
      <c r="A819" s="1185"/>
      <c r="B819" s="1185"/>
      <c r="C819" s="1185"/>
      <c r="D819" s="1185"/>
      <c r="E819" s="1185"/>
      <c r="F819" s="1185"/>
      <c r="G819" s="1185"/>
      <c r="H819" s="1185"/>
      <c r="I819" s="1185"/>
      <c r="J819" s="1185"/>
      <c r="K819" s="1185"/>
      <c r="L819" s="1185"/>
      <c r="M819" s="1185"/>
      <c r="N819" s="195"/>
    </row>
    <row r="820">
      <c r="A820" s="1185"/>
      <c r="B820" s="1185"/>
      <c r="C820" s="1185"/>
      <c r="D820" s="1185"/>
      <c r="E820" s="1185"/>
      <c r="F820" s="1185"/>
      <c r="G820" s="1185"/>
      <c r="H820" s="1185"/>
      <c r="I820" s="1185"/>
      <c r="J820" s="1185"/>
      <c r="K820" s="1185"/>
      <c r="L820" s="1185"/>
      <c r="M820" s="1185"/>
      <c r="N820" s="195"/>
    </row>
    <row r="821">
      <c r="A821" s="1185"/>
      <c r="B821" s="1185"/>
      <c r="C821" s="1185"/>
      <c r="D821" s="1185"/>
      <c r="E821" s="1185"/>
      <c r="F821" s="1185"/>
      <c r="G821" s="1185"/>
      <c r="H821" s="1185"/>
      <c r="I821" s="1185"/>
      <c r="J821" s="1185"/>
      <c r="K821" s="1185"/>
      <c r="L821" s="1185"/>
      <c r="M821" s="1185"/>
      <c r="N821" s="195"/>
    </row>
    <row r="822">
      <c r="A822" s="1185"/>
      <c r="B822" s="1185"/>
      <c r="C822" s="1185"/>
      <c r="D822" s="1185"/>
      <c r="E822" s="1185"/>
      <c r="F822" s="1185"/>
      <c r="G822" s="1185"/>
      <c r="H822" s="1185"/>
      <c r="I822" s="1185"/>
      <c r="J822" s="1185"/>
      <c r="K822" s="1185"/>
      <c r="L822" s="1185"/>
      <c r="M822" s="1185"/>
      <c r="N822" s="195"/>
    </row>
    <row r="823">
      <c r="A823" s="1185"/>
      <c r="B823" s="1185"/>
      <c r="C823" s="1185"/>
      <c r="D823" s="1185"/>
      <c r="E823" s="1185"/>
      <c r="F823" s="1185"/>
      <c r="G823" s="1185"/>
      <c r="H823" s="1185"/>
      <c r="I823" s="1185"/>
      <c r="J823" s="1185"/>
      <c r="K823" s="1185"/>
      <c r="L823" s="1185"/>
      <c r="M823" s="1185"/>
      <c r="N823" s="195"/>
    </row>
    <row r="824">
      <c r="A824" s="1185"/>
      <c r="B824" s="1185"/>
      <c r="C824" s="1185"/>
      <c r="D824" s="1185"/>
      <c r="E824" s="1185"/>
      <c r="F824" s="1185"/>
      <c r="G824" s="1185"/>
      <c r="H824" s="1185"/>
      <c r="I824" s="1185"/>
      <c r="J824" s="1185"/>
      <c r="K824" s="1185"/>
      <c r="L824" s="1185"/>
      <c r="M824" s="1185"/>
      <c r="N824" s="195"/>
    </row>
    <row r="825">
      <c r="A825" s="1185"/>
      <c r="B825" s="1185"/>
      <c r="C825" s="1185"/>
      <c r="D825" s="1185"/>
      <c r="E825" s="1185"/>
      <c r="F825" s="1185"/>
      <c r="G825" s="1185"/>
      <c r="H825" s="1185"/>
      <c r="I825" s="1185"/>
      <c r="J825" s="1185"/>
      <c r="K825" s="1185"/>
      <c r="L825" s="1185"/>
      <c r="M825" s="1185"/>
      <c r="N825" s="195"/>
    </row>
    <row r="826">
      <c r="A826" s="1185"/>
      <c r="B826" s="1185"/>
      <c r="C826" s="1185"/>
      <c r="D826" s="1185"/>
      <c r="E826" s="1185"/>
      <c r="F826" s="1185"/>
      <c r="G826" s="1185"/>
      <c r="H826" s="1185"/>
      <c r="I826" s="1185"/>
      <c r="J826" s="1185"/>
      <c r="K826" s="1185"/>
      <c r="L826" s="1185"/>
      <c r="M826" s="1185"/>
      <c r="N826" s="195"/>
    </row>
    <row r="827">
      <c r="A827" s="1185"/>
      <c r="B827" s="1185"/>
      <c r="C827" s="1185"/>
      <c r="D827" s="1185"/>
      <c r="E827" s="1185"/>
      <c r="F827" s="1185"/>
      <c r="G827" s="1185"/>
      <c r="H827" s="1185"/>
      <c r="I827" s="1185"/>
      <c r="J827" s="1185"/>
      <c r="K827" s="1185"/>
      <c r="L827" s="1185"/>
      <c r="M827" s="1185"/>
      <c r="N827" s="195"/>
    </row>
    <row r="828">
      <c r="A828" s="1185"/>
      <c r="B828" s="1185"/>
      <c r="C828" s="1185"/>
      <c r="D828" s="1185"/>
      <c r="E828" s="1185"/>
      <c r="F828" s="1185"/>
      <c r="G828" s="1185"/>
      <c r="H828" s="1185"/>
      <c r="I828" s="1185"/>
      <c r="J828" s="1185"/>
      <c r="K828" s="1185"/>
      <c r="L828" s="1185"/>
      <c r="M828" s="1185"/>
      <c r="N828" s="195"/>
    </row>
    <row r="829">
      <c r="A829" s="1185"/>
      <c r="B829" s="1185"/>
      <c r="C829" s="1185"/>
      <c r="D829" s="1185"/>
      <c r="E829" s="1185"/>
      <c r="F829" s="1185"/>
      <c r="G829" s="1185"/>
      <c r="H829" s="1185"/>
      <c r="I829" s="1185"/>
      <c r="J829" s="1185"/>
      <c r="K829" s="1185"/>
      <c r="L829" s="1185"/>
      <c r="M829" s="1185"/>
      <c r="N829" s="195"/>
    </row>
    <row r="830">
      <c r="A830" s="1185"/>
      <c r="B830" s="1185"/>
      <c r="C830" s="1185"/>
      <c r="D830" s="1185"/>
      <c r="E830" s="1185"/>
      <c r="F830" s="1185"/>
      <c r="G830" s="1185"/>
      <c r="H830" s="1185"/>
      <c r="I830" s="1185"/>
      <c r="J830" s="1185"/>
      <c r="K830" s="1185"/>
      <c r="L830" s="1185"/>
      <c r="M830" s="1185"/>
      <c r="N830" s="195"/>
    </row>
    <row r="831">
      <c r="A831" s="1185"/>
      <c r="B831" s="1185"/>
      <c r="C831" s="1185"/>
      <c r="D831" s="1185"/>
      <c r="E831" s="1185"/>
      <c r="F831" s="1185"/>
      <c r="G831" s="1185"/>
      <c r="H831" s="1185"/>
      <c r="I831" s="1185"/>
      <c r="J831" s="1185"/>
      <c r="K831" s="1185"/>
      <c r="L831" s="1185"/>
      <c r="M831" s="1185"/>
      <c r="N831" s="195"/>
    </row>
    <row r="832">
      <c r="A832" s="1185"/>
      <c r="B832" s="1185"/>
      <c r="C832" s="1185"/>
      <c r="D832" s="1185"/>
      <c r="E832" s="1185"/>
      <c r="F832" s="1185"/>
      <c r="G832" s="1185"/>
      <c r="H832" s="1185"/>
      <c r="I832" s="1185"/>
      <c r="J832" s="1185"/>
      <c r="K832" s="1185"/>
      <c r="L832" s="1185"/>
      <c r="M832" s="1185"/>
      <c r="N832" s="195"/>
    </row>
    <row r="833">
      <c r="A833" s="1185"/>
      <c r="B833" s="1185"/>
      <c r="C833" s="1185"/>
      <c r="D833" s="1185"/>
      <c r="E833" s="1185"/>
      <c r="F833" s="1185"/>
      <c r="G833" s="1185"/>
      <c r="H833" s="1185"/>
      <c r="I833" s="1185"/>
      <c r="J833" s="1185"/>
      <c r="K833" s="1185"/>
      <c r="L833" s="1185"/>
      <c r="M833" s="1185"/>
      <c r="N833" s="195"/>
    </row>
    <row r="834">
      <c r="A834" s="1185"/>
      <c r="B834" s="1185"/>
      <c r="C834" s="1185"/>
      <c r="D834" s="1185"/>
      <c r="E834" s="1185"/>
      <c r="F834" s="1185"/>
      <c r="G834" s="1185"/>
      <c r="H834" s="1185"/>
      <c r="I834" s="1185"/>
      <c r="J834" s="1185"/>
      <c r="K834" s="1185"/>
      <c r="L834" s="1185"/>
      <c r="M834" s="1185"/>
      <c r="N834" s="195"/>
    </row>
    <row r="835">
      <c r="A835" s="1185"/>
      <c r="B835" s="1185"/>
      <c r="C835" s="1185"/>
      <c r="D835" s="1185"/>
      <c r="E835" s="1185"/>
      <c r="F835" s="1185"/>
      <c r="G835" s="1185"/>
      <c r="H835" s="1185"/>
      <c r="I835" s="1185"/>
      <c r="J835" s="1185"/>
      <c r="K835" s="1185"/>
      <c r="L835" s="1185"/>
      <c r="M835" s="1185"/>
      <c r="N835" s="195"/>
    </row>
    <row r="836">
      <c r="A836" s="1185"/>
      <c r="B836" s="1185"/>
      <c r="C836" s="1185"/>
      <c r="D836" s="1185"/>
      <c r="E836" s="1185"/>
      <c r="F836" s="1185"/>
      <c r="G836" s="1185"/>
      <c r="H836" s="1185"/>
      <c r="I836" s="1185"/>
      <c r="J836" s="1185"/>
      <c r="K836" s="1185"/>
      <c r="L836" s="1185"/>
      <c r="M836" s="1185"/>
      <c r="N836" s="195"/>
    </row>
    <row r="837">
      <c r="A837" s="1185"/>
      <c r="B837" s="1185"/>
      <c r="C837" s="1185"/>
      <c r="D837" s="1185"/>
      <c r="E837" s="1185"/>
      <c r="F837" s="1185"/>
      <c r="G837" s="1185"/>
      <c r="H837" s="1185"/>
      <c r="I837" s="1185"/>
      <c r="J837" s="1185"/>
      <c r="K837" s="1185"/>
      <c r="L837" s="1185"/>
      <c r="M837" s="1185"/>
      <c r="N837" s="195"/>
    </row>
    <row r="838">
      <c r="A838" s="1185"/>
      <c r="B838" s="1185"/>
      <c r="C838" s="1185"/>
      <c r="D838" s="1185"/>
      <c r="E838" s="1185"/>
      <c r="F838" s="1185"/>
      <c r="G838" s="1185"/>
      <c r="H838" s="1185"/>
      <c r="I838" s="1185"/>
      <c r="J838" s="1185"/>
      <c r="K838" s="1185"/>
      <c r="L838" s="1185"/>
      <c r="M838" s="1185"/>
      <c r="N838" s="195"/>
    </row>
    <row r="839">
      <c r="A839" s="1185"/>
      <c r="B839" s="1185"/>
      <c r="C839" s="1185"/>
      <c r="D839" s="1185"/>
      <c r="E839" s="1185"/>
      <c r="F839" s="1185"/>
      <c r="G839" s="1185"/>
      <c r="H839" s="1185"/>
      <c r="I839" s="1185"/>
      <c r="J839" s="1185"/>
      <c r="K839" s="1185"/>
      <c r="L839" s="1185"/>
      <c r="M839" s="1185"/>
      <c r="N839" s="195"/>
    </row>
    <row r="840">
      <c r="A840" s="1185"/>
      <c r="B840" s="1185"/>
      <c r="C840" s="1185"/>
      <c r="D840" s="1185"/>
      <c r="E840" s="1185"/>
      <c r="F840" s="1185"/>
      <c r="G840" s="1185"/>
      <c r="H840" s="1185"/>
      <c r="I840" s="1185"/>
      <c r="J840" s="1185"/>
      <c r="K840" s="1185"/>
      <c r="L840" s="1185"/>
      <c r="M840" s="1185"/>
      <c r="N840" s="195"/>
    </row>
    <row r="841">
      <c r="A841" s="1185"/>
      <c r="B841" s="1185"/>
      <c r="C841" s="1185"/>
      <c r="D841" s="1185"/>
      <c r="E841" s="1185"/>
      <c r="F841" s="1185"/>
      <c r="G841" s="1185"/>
      <c r="H841" s="1185"/>
      <c r="I841" s="1185"/>
      <c r="J841" s="1185"/>
      <c r="K841" s="1185"/>
      <c r="L841" s="1185"/>
      <c r="M841" s="1185"/>
      <c r="N841" s="195"/>
    </row>
    <row r="842">
      <c r="A842" s="1185"/>
      <c r="B842" s="1185"/>
      <c r="C842" s="1185"/>
      <c r="D842" s="1185"/>
      <c r="E842" s="1185"/>
      <c r="F842" s="1185"/>
      <c r="G842" s="1185"/>
      <c r="H842" s="1185"/>
      <c r="I842" s="1185"/>
      <c r="J842" s="1185"/>
      <c r="K842" s="1185"/>
      <c r="L842" s="1185"/>
      <c r="M842" s="1185"/>
      <c r="N842" s="195"/>
    </row>
    <row r="843">
      <c r="A843" s="1185"/>
      <c r="B843" s="1185"/>
      <c r="C843" s="1185"/>
      <c r="D843" s="1185"/>
      <c r="E843" s="1185"/>
      <c r="F843" s="1185"/>
      <c r="G843" s="1185"/>
      <c r="H843" s="1185"/>
      <c r="I843" s="1185"/>
      <c r="J843" s="1185"/>
      <c r="K843" s="1185"/>
      <c r="L843" s="1185"/>
      <c r="M843" s="1185"/>
      <c r="N843" s="195"/>
    </row>
    <row r="844">
      <c r="A844" s="1185"/>
      <c r="B844" s="1185"/>
      <c r="C844" s="1185"/>
      <c r="D844" s="1185"/>
      <c r="E844" s="1185"/>
      <c r="F844" s="1185"/>
      <c r="G844" s="1185"/>
      <c r="H844" s="1185"/>
      <c r="I844" s="1185"/>
      <c r="J844" s="1185"/>
      <c r="K844" s="1185"/>
      <c r="L844" s="1185"/>
      <c r="M844" s="1185"/>
      <c r="N844" s="195"/>
    </row>
    <row r="845">
      <c r="A845" s="1185"/>
      <c r="B845" s="1185"/>
      <c r="C845" s="1185"/>
      <c r="D845" s="1185"/>
      <c r="E845" s="1185"/>
      <c r="F845" s="1185"/>
      <c r="G845" s="1185"/>
      <c r="H845" s="1185"/>
      <c r="I845" s="1185"/>
      <c r="J845" s="1185"/>
      <c r="K845" s="1185"/>
      <c r="L845" s="1185"/>
      <c r="M845" s="1185"/>
      <c r="N845" s="195"/>
    </row>
    <row r="846">
      <c r="A846" s="1185"/>
      <c r="B846" s="1185"/>
      <c r="C846" s="1185"/>
      <c r="D846" s="1185"/>
      <c r="E846" s="1185"/>
      <c r="F846" s="1185"/>
      <c r="G846" s="1185"/>
      <c r="H846" s="1185"/>
      <c r="I846" s="1185"/>
      <c r="J846" s="1185"/>
      <c r="K846" s="1185"/>
      <c r="L846" s="1185"/>
      <c r="M846" s="1185"/>
      <c r="N846" s="195"/>
    </row>
    <row r="847">
      <c r="A847" s="1185"/>
      <c r="B847" s="1185"/>
      <c r="C847" s="1185"/>
      <c r="D847" s="1185"/>
      <c r="E847" s="1185"/>
      <c r="F847" s="1185"/>
      <c r="G847" s="1185"/>
      <c r="H847" s="1185"/>
      <c r="I847" s="1185"/>
      <c r="J847" s="1185"/>
      <c r="K847" s="1185"/>
      <c r="L847" s="1185"/>
      <c r="M847" s="1185"/>
      <c r="N847" s="195"/>
    </row>
    <row r="848">
      <c r="A848" s="1185"/>
      <c r="B848" s="1185"/>
      <c r="C848" s="1185"/>
      <c r="D848" s="1185"/>
      <c r="E848" s="1185"/>
      <c r="F848" s="1185"/>
      <c r="G848" s="1185"/>
      <c r="H848" s="1185"/>
      <c r="I848" s="1185"/>
      <c r="J848" s="1185"/>
      <c r="K848" s="1185"/>
      <c r="L848" s="1185"/>
      <c r="M848" s="1185"/>
      <c r="N848" s="195"/>
    </row>
    <row r="849">
      <c r="A849" s="1185"/>
      <c r="B849" s="1185"/>
      <c r="C849" s="1185"/>
      <c r="D849" s="1185"/>
      <c r="E849" s="1185"/>
      <c r="F849" s="1185"/>
      <c r="G849" s="1185"/>
      <c r="H849" s="1185"/>
      <c r="I849" s="1185"/>
      <c r="J849" s="1185"/>
      <c r="K849" s="1185"/>
      <c r="L849" s="1185"/>
      <c r="M849" s="1185"/>
      <c r="N849" s="195"/>
    </row>
    <row r="850">
      <c r="A850" s="1185"/>
      <c r="B850" s="1185"/>
      <c r="C850" s="1185"/>
      <c r="D850" s="1185"/>
      <c r="E850" s="1185"/>
      <c r="F850" s="1185"/>
      <c r="G850" s="1185"/>
      <c r="H850" s="1185"/>
      <c r="I850" s="1185"/>
      <c r="J850" s="1185"/>
      <c r="K850" s="1185"/>
      <c r="L850" s="1185"/>
      <c r="M850" s="1185"/>
      <c r="N850" s="195"/>
    </row>
    <row r="851">
      <c r="A851" s="1185"/>
      <c r="B851" s="1185"/>
      <c r="C851" s="1185"/>
      <c r="D851" s="1185"/>
      <c r="E851" s="1185"/>
      <c r="F851" s="1185"/>
      <c r="G851" s="1185"/>
      <c r="H851" s="1185"/>
      <c r="I851" s="1185"/>
      <c r="J851" s="1185"/>
      <c r="K851" s="1185"/>
      <c r="L851" s="1185"/>
      <c r="M851" s="1185"/>
      <c r="N851" s="195"/>
    </row>
    <row r="852">
      <c r="A852" s="1185"/>
      <c r="B852" s="1185"/>
      <c r="C852" s="1185"/>
      <c r="D852" s="1185"/>
      <c r="E852" s="1185"/>
      <c r="F852" s="1185"/>
      <c r="G852" s="1185"/>
      <c r="H852" s="1185"/>
      <c r="I852" s="1185"/>
      <c r="J852" s="1185"/>
      <c r="K852" s="1185"/>
      <c r="L852" s="1185"/>
      <c r="M852" s="1185"/>
      <c r="N852" s="195"/>
    </row>
    <row r="853">
      <c r="A853" s="1185"/>
      <c r="B853" s="1185"/>
      <c r="C853" s="1185"/>
      <c r="D853" s="1185"/>
      <c r="E853" s="1185"/>
      <c r="F853" s="1185"/>
      <c r="G853" s="1185"/>
      <c r="H853" s="1185"/>
      <c r="I853" s="1185"/>
      <c r="J853" s="1185"/>
      <c r="K853" s="1185"/>
      <c r="L853" s="1185"/>
      <c r="M853" s="1185"/>
      <c r="N853" s="195"/>
    </row>
    <row r="854">
      <c r="A854" s="1185"/>
      <c r="B854" s="1185"/>
      <c r="C854" s="1185"/>
      <c r="D854" s="1185"/>
      <c r="E854" s="1185"/>
      <c r="F854" s="1185"/>
      <c r="G854" s="1185"/>
      <c r="H854" s="1185"/>
      <c r="I854" s="1185"/>
      <c r="J854" s="1185"/>
      <c r="K854" s="1185"/>
      <c r="L854" s="1185"/>
      <c r="M854" s="1185"/>
      <c r="N854" s="195"/>
    </row>
    <row r="855">
      <c r="A855" s="1185"/>
      <c r="B855" s="1185"/>
      <c r="C855" s="1185"/>
      <c r="D855" s="1185"/>
      <c r="E855" s="1185"/>
      <c r="F855" s="1185"/>
      <c r="G855" s="1185"/>
      <c r="H855" s="1185"/>
      <c r="I855" s="1185"/>
      <c r="J855" s="1185"/>
      <c r="K855" s="1185"/>
      <c r="L855" s="1185"/>
      <c r="M855" s="1185"/>
      <c r="N855" s="195"/>
    </row>
    <row r="856">
      <c r="A856" s="1185"/>
      <c r="B856" s="1185"/>
      <c r="C856" s="1185"/>
      <c r="D856" s="1185"/>
      <c r="E856" s="1185"/>
      <c r="F856" s="1185"/>
      <c r="G856" s="1185"/>
      <c r="H856" s="1185"/>
      <c r="I856" s="1185"/>
      <c r="J856" s="1185"/>
      <c r="K856" s="1185"/>
      <c r="L856" s="1185"/>
      <c r="M856" s="1185"/>
      <c r="N856" s="195"/>
    </row>
    <row r="857">
      <c r="A857" s="1185"/>
      <c r="B857" s="1185"/>
      <c r="C857" s="1185"/>
      <c r="D857" s="1185"/>
      <c r="E857" s="1185"/>
      <c r="F857" s="1185"/>
      <c r="G857" s="1185"/>
      <c r="H857" s="1185"/>
      <c r="I857" s="1185"/>
      <c r="J857" s="1185"/>
      <c r="K857" s="1185"/>
      <c r="L857" s="1185"/>
      <c r="M857" s="1185"/>
      <c r="N857" s="195"/>
    </row>
    <row r="858">
      <c r="A858" s="1185"/>
      <c r="B858" s="1185"/>
      <c r="C858" s="1185"/>
      <c r="D858" s="1185"/>
      <c r="E858" s="1185"/>
      <c r="F858" s="1185"/>
      <c r="G858" s="1185"/>
      <c r="H858" s="1185"/>
      <c r="I858" s="1185"/>
      <c r="J858" s="1185"/>
      <c r="K858" s="1185"/>
      <c r="L858" s="1185"/>
      <c r="M858" s="1185"/>
      <c r="N858" s="195"/>
    </row>
    <row r="859">
      <c r="A859" s="1185"/>
      <c r="B859" s="1185"/>
      <c r="C859" s="1185"/>
      <c r="D859" s="1185"/>
      <c r="E859" s="1185"/>
      <c r="F859" s="1185"/>
      <c r="G859" s="1185"/>
      <c r="H859" s="1185"/>
      <c r="I859" s="1185"/>
      <c r="J859" s="1185"/>
      <c r="K859" s="1185"/>
      <c r="L859" s="1185"/>
      <c r="M859" s="1185"/>
      <c r="N859" s="195"/>
    </row>
    <row r="860">
      <c r="A860" s="1185"/>
      <c r="B860" s="1185"/>
      <c r="C860" s="1185"/>
      <c r="D860" s="1185"/>
      <c r="E860" s="1185"/>
      <c r="F860" s="1185"/>
      <c r="G860" s="1185"/>
      <c r="H860" s="1185"/>
      <c r="I860" s="1185"/>
      <c r="J860" s="1185"/>
      <c r="K860" s="1185"/>
      <c r="L860" s="1185"/>
      <c r="M860" s="1185"/>
      <c r="N860" s="195"/>
    </row>
    <row r="861">
      <c r="A861" s="1185"/>
      <c r="B861" s="1185"/>
      <c r="C861" s="1185"/>
      <c r="D861" s="1185"/>
      <c r="E861" s="1185"/>
      <c r="F861" s="1185"/>
      <c r="G861" s="1185"/>
      <c r="H861" s="1185"/>
      <c r="I861" s="1185"/>
      <c r="J861" s="1185"/>
      <c r="K861" s="1185"/>
      <c r="L861" s="1185"/>
      <c r="M861" s="1185"/>
      <c r="N861" s="195"/>
    </row>
    <row r="862">
      <c r="A862" s="1185"/>
      <c r="B862" s="1185"/>
      <c r="C862" s="1185"/>
      <c r="D862" s="1185"/>
      <c r="E862" s="1185"/>
      <c r="F862" s="1185"/>
      <c r="G862" s="1185"/>
      <c r="H862" s="1185"/>
      <c r="I862" s="1185"/>
      <c r="J862" s="1185"/>
      <c r="K862" s="1185"/>
      <c r="L862" s="1185"/>
      <c r="M862" s="1185"/>
      <c r="N862" s="195"/>
    </row>
    <row r="863">
      <c r="A863" s="1185"/>
      <c r="B863" s="1185"/>
      <c r="C863" s="1185"/>
      <c r="D863" s="1185"/>
      <c r="E863" s="1185"/>
      <c r="F863" s="1185"/>
      <c r="G863" s="1185"/>
      <c r="H863" s="1185"/>
      <c r="I863" s="1185"/>
      <c r="J863" s="1185"/>
      <c r="K863" s="1185"/>
      <c r="L863" s="1185"/>
      <c r="M863" s="1185"/>
      <c r="N863" s="195"/>
    </row>
    <row r="864">
      <c r="A864" s="1185"/>
      <c r="B864" s="1185"/>
      <c r="C864" s="1185"/>
      <c r="D864" s="1185"/>
      <c r="E864" s="1185"/>
      <c r="F864" s="1185"/>
      <c r="G864" s="1185"/>
      <c r="H864" s="1185"/>
      <c r="I864" s="1185"/>
      <c r="J864" s="1185"/>
      <c r="K864" s="1185"/>
      <c r="L864" s="1185"/>
      <c r="M864" s="1185"/>
      <c r="N864" s="195"/>
    </row>
    <row r="865">
      <c r="A865" s="1185"/>
      <c r="B865" s="1185"/>
      <c r="C865" s="1185"/>
      <c r="D865" s="1185"/>
      <c r="E865" s="1185"/>
      <c r="F865" s="1185"/>
      <c r="G865" s="1185"/>
      <c r="H865" s="1185"/>
      <c r="I865" s="1185"/>
      <c r="J865" s="1185"/>
      <c r="K865" s="1185"/>
      <c r="L865" s="1185"/>
      <c r="M865" s="1185"/>
      <c r="N865" s="195"/>
    </row>
    <row r="866">
      <c r="A866" s="1185"/>
      <c r="B866" s="1185"/>
      <c r="C866" s="1185"/>
      <c r="D866" s="1185"/>
      <c r="E866" s="1185"/>
      <c r="F866" s="1185"/>
      <c r="G866" s="1185"/>
      <c r="H866" s="1185"/>
      <c r="I866" s="1185"/>
      <c r="J866" s="1185"/>
      <c r="K866" s="1185"/>
      <c r="L866" s="1185"/>
      <c r="M866" s="1185"/>
      <c r="N866" s="195"/>
    </row>
    <row r="867">
      <c r="A867" s="1185"/>
      <c r="B867" s="1185"/>
      <c r="C867" s="1185"/>
      <c r="D867" s="1185"/>
      <c r="E867" s="1185"/>
      <c r="F867" s="1185"/>
      <c r="G867" s="1185"/>
      <c r="H867" s="1185"/>
      <c r="I867" s="1185"/>
      <c r="J867" s="1185"/>
      <c r="K867" s="1185"/>
      <c r="L867" s="1185"/>
      <c r="M867" s="1185"/>
      <c r="N867" s="195"/>
    </row>
    <row r="868">
      <c r="A868" s="1185"/>
      <c r="B868" s="1185"/>
      <c r="C868" s="1185"/>
      <c r="D868" s="1185"/>
      <c r="E868" s="1185"/>
      <c r="F868" s="1185"/>
      <c r="G868" s="1185"/>
      <c r="H868" s="1185"/>
      <c r="I868" s="1185"/>
      <c r="J868" s="1185"/>
      <c r="K868" s="1185"/>
      <c r="L868" s="1185"/>
      <c r="M868" s="1185"/>
      <c r="N868" s="195"/>
    </row>
    <row r="869">
      <c r="A869" s="1185"/>
      <c r="B869" s="1185"/>
      <c r="C869" s="1185"/>
      <c r="D869" s="1185"/>
      <c r="E869" s="1185"/>
      <c r="F869" s="1185"/>
      <c r="G869" s="1185"/>
      <c r="H869" s="1185"/>
      <c r="I869" s="1185"/>
      <c r="J869" s="1185"/>
      <c r="K869" s="1185"/>
      <c r="L869" s="1185"/>
      <c r="M869" s="1185"/>
      <c r="N869" s="195"/>
    </row>
    <row r="870">
      <c r="A870" s="1185"/>
      <c r="B870" s="1185"/>
      <c r="C870" s="1185"/>
      <c r="D870" s="1185"/>
      <c r="E870" s="1185"/>
      <c r="F870" s="1185"/>
      <c r="G870" s="1185"/>
      <c r="H870" s="1185"/>
      <c r="I870" s="1185"/>
      <c r="J870" s="1185"/>
      <c r="K870" s="1185"/>
      <c r="L870" s="1185"/>
      <c r="M870" s="1185"/>
      <c r="N870" s="195"/>
    </row>
    <row r="871">
      <c r="A871" s="1185"/>
      <c r="B871" s="1185"/>
      <c r="C871" s="1185"/>
      <c r="D871" s="1185"/>
      <c r="E871" s="1185"/>
      <c r="F871" s="1185"/>
      <c r="G871" s="1185"/>
      <c r="H871" s="1185"/>
      <c r="I871" s="1185"/>
      <c r="J871" s="1185"/>
      <c r="K871" s="1185"/>
      <c r="L871" s="1185"/>
      <c r="M871" s="1185"/>
      <c r="N871" s="195"/>
    </row>
    <row r="872">
      <c r="A872" s="1185"/>
      <c r="B872" s="1185"/>
      <c r="C872" s="1185"/>
      <c r="D872" s="1185"/>
      <c r="E872" s="1185"/>
      <c r="F872" s="1185"/>
      <c r="G872" s="1185"/>
      <c r="H872" s="1185"/>
      <c r="I872" s="1185"/>
      <c r="J872" s="1185"/>
      <c r="K872" s="1185"/>
      <c r="L872" s="1185"/>
      <c r="M872" s="1185"/>
      <c r="N872" s="195"/>
    </row>
    <row r="873">
      <c r="A873" s="1185"/>
      <c r="B873" s="1185"/>
      <c r="C873" s="1185"/>
      <c r="D873" s="1185"/>
      <c r="E873" s="1185"/>
      <c r="F873" s="1185"/>
      <c r="G873" s="1185"/>
      <c r="H873" s="1185"/>
      <c r="I873" s="1185"/>
      <c r="J873" s="1185"/>
      <c r="K873" s="1185"/>
      <c r="L873" s="1185"/>
      <c r="M873" s="1185"/>
      <c r="N873" s="195"/>
    </row>
    <row r="874">
      <c r="A874" s="1185"/>
      <c r="B874" s="1185"/>
      <c r="C874" s="1185"/>
      <c r="D874" s="1185"/>
      <c r="E874" s="1185"/>
      <c r="F874" s="1185"/>
      <c r="G874" s="1185"/>
      <c r="H874" s="1185"/>
      <c r="I874" s="1185"/>
      <c r="J874" s="1185"/>
      <c r="K874" s="1185"/>
      <c r="L874" s="1185"/>
      <c r="M874" s="1185"/>
      <c r="N874" s="195"/>
    </row>
    <row r="875">
      <c r="A875" s="1185"/>
      <c r="B875" s="1185"/>
      <c r="C875" s="1185"/>
      <c r="D875" s="1185"/>
      <c r="E875" s="1185"/>
      <c r="F875" s="1185"/>
      <c r="G875" s="1185"/>
      <c r="H875" s="1185"/>
      <c r="I875" s="1185"/>
      <c r="J875" s="1185"/>
      <c r="K875" s="1185"/>
      <c r="L875" s="1185"/>
      <c r="M875" s="1185"/>
      <c r="N875" s="195"/>
    </row>
    <row r="876">
      <c r="A876" s="1185"/>
      <c r="B876" s="1185"/>
      <c r="C876" s="1185"/>
      <c r="D876" s="1185"/>
      <c r="E876" s="1185"/>
      <c r="F876" s="1185"/>
      <c r="G876" s="1185"/>
      <c r="H876" s="1185"/>
      <c r="I876" s="1185"/>
      <c r="J876" s="1185"/>
      <c r="K876" s="1185"/>
      <c r="L876" s="1185"/>
      <c r="M876" s="1185"/>
      <c r="N876" s="195"/>
    </row>
    <row r="877">
      <c r="A877" s="1185"/>
      <c r="B877" s="1185"/>
      <c r="C877" s="1185"/>
      <c r="D877" s="1185"/>
      <c r="E877" s="1185"/>
      <c r="F877" s="1185"/>
      <c r="G877" s="1185"/>
      <c r="H877" s="1185"/>
      <c r="I877" s="1185"/>
      <c r="J877" s="1185"/>
      <c r="K877" s="1185"/>
      <c r="L877" s="1185"/>
      <c r="M877" s="1185"/>
      <c r="N877" s="195"/>
    </row>
    <row r="878">
      <c r="A878" s="1185"/>
      <c r="B878" s="1185"/>
      <c r="C878" s="1185"/>
      <c r="D878" s="1185"/>
      <c r="E878" s="1185"/>
      <c r="F878" s="1185"/>
      <c r="G878" s="1185"/>
      <c r="H878" s="1185"/>
      <c r="I878" s="1185"/>
      <c r="J878" s="1185"/>
      <c r="K878" s="1185"/>
      <c r="L878" s="1185"/>
      <c r="M878" s="1185"/>
      <c r="N878" s="195"/>
    </row>
    <row r="879">
      <c r="A879" s="1185"/>
      <c r="B879" s="1185"/>
      <c r="C879" s="1185"/>
      <c r="D879" s="1185"/>
      <c r="E879" s="1185"/>
      <c r="F879" s="1185"/>
      <c r="G879" s="1185"/>
      <c r="H879" s="1185"/>
      <c r="I879" s="1185"/>
      <c r="J879" s="1185"/>
      <c r="K879" s="1185"/>
      <c r="L879" s="1185"/>
      <c r="M879" s="1185"/>
      <c r="N879" s="195"/>
    </row>
    <row r="880">
      <c r="A880" s="1185"/>
      <c r="B880" s="1185"/>
      <c r="C880" s="1185"/>
      <c r="D880" s="1185"/>
      <c r="E880" s="1185"/>
      <c r="F880" s="1185"/>
      <c r="G880" s="1185"/>
      <c r="H880" s="1185"/>
      <c r="I880" s="1185"/>
      <c r="J880" s="1185"/>
      <c r="K880" s="1185"/>
      <c r="L880" s="1185"/>
      <c r="M880" s="1185"/>
      <c r="N880" s="195"/>
    </row>
    <row r="881">
      <c r="A881" s="1185"/>
      <c r="B881" s="1185"/>
      <c r="C881" s="1185"/>
      <c r="D881" s="1185"/>
      <c r="E881" s="1185"/>
      <c r="F881" s="1185"/>
      <c r="G881" s="1185"/>
      <c r="H881" s="1185"/>
      <c r="I881" s="1185"/>
      <c r="J881" s="1185"/>
      <c r="K881" s="1185"/>
      <c r="L881" s="1185"/>
      <c r="M881" s="1185"/>
      <c r="N881" s="195"/>
    </row>
    <row r="882">
      <c r="A882" s="1185"/>
      <c r="B882" s="1185"/>
      <c r="C882" s="1185"/>
      <c r="D882" s="1185"/>
      <c r="E882" s="1185"/>
      <c r="F882" s="1185"/>
      <c r="G882" s="1185"/>
      <c r="H882" s="1185"/>
      <c r="I882" s="1185"/>
      <c r="J882" s="1185"/>
      <c r="K882" s="1185"/>
      <c r="L882" s="1185"/>
      <c r="M882" s="1185"/>
      <c r="N882" s="195"/>
    </row>
    <row r="883">
      <c r="A883" s="1185"/>
      <c r="B883" s="1185"/>
      <c r="C883" s="1185"/>
      <c r="D883" s="1185"/>
      <c r="E883" s="1185"/>
      <c r="F883" s="1185"/>
      <c r="G883" s="1185"/>
      <c r="H883" s="1185"/>
      <c r="I883" s="1185"/>
      <c r="J883" s="1185"/>
      <c r="K883" s="1185"/>
      <c r="L883" s="1185"/>
      <c r="M883" s="1185"/>
      <c r="N883" s="195"/>
    </row>
    <row r="884">
      <c r="A884" s="1185"/>
      <c r="B884" s="1185"/>
      <c r="C884" s="1185"/>
      <c r="D884" s="1185"/>
      <c r="E884" s="1185"/>
      <c r="F884" s="1185"/>
      <c r="G884" s="1185"/>
      <c r="H884" s="1185"/>
      <c r="I884" s="1185"/>
      <c r="J884" s="1185"/>
      <c r="K884" s="1185"/>
      <c r="L884" s="1185"/>
      <c r="M884" s="1185"/>
      <c r="N884" s="195"/>
    </row>
    <row r="885">
      <c r="A885" s="1185"/>
      <c r="B885" s="1185"/>
      <c r="C885" s="1185"/>
      <c r="D885" s="1185"/>
      <c r="E885" s="1185"/>
      <c r="F885" s="1185"/>
      <c r="G885" s="1185"/>
      <c r="H885" s="1185"/>
      <c r="I885" s="1185"/>
      <c r="J885" s="1185"/>
      <c r="K885" s="1185"/>
      <c r="L885" s="1185"/>
      <c r="M885" s="1185"/>
      <c r="N885" s="195"/>
    </row>
    <row r="886">
      <c r="A886" s="1185"/>
      <c r="B886" s="1185"/>
      <c r="C886" s="1185"/>
      <c r="D886" s="1185"/>
      <c r="E886" s="1185"/>
      <c r="F886" s="1185"/>
      <c r="G886" s="1185"/>
      <c r="H886" s="1185"/>
      <c r="I886" s="1185"/>
      <c r="J886" s="1185"/>
      <c r="K886" s="1185"/>
      <c r="L886" s="1185"/>
      <c r="M886" s="1185"/>
      <c r="N886" s="195"/>
    </row>
    <row r="887">
      <c r="A887" s="1185"/>
      <c r="B887" s="1185"/>
      <c r="C887" s="1185"/>
      <c r="D887" s="1185"/>
      <c r="E887" s="1185"/>
      <c r="F887" s="1185"/>
      <c r="G887" s="1185"/>
      <c r="H887" s="1185"/>
      <c r="I887" s="1185"/>
      <c r="J887" s="1185"/>
      <c r="K887" s="1185"/>
      <c r="L887" s="1185"/>
      <c r="M887" s="1185"/>
      <c r="N887" s="195"/>
    </row>
    <row r="888">
      <c r="A888" s="1185"/>
      <c r="B888" s="1185"/>
      <c r="C888" s="1185"/>
      <c r="D888" s="1185"/>
      <c r="E888" s="1185"/>
      <c r="F888" s="1185"/>
      <c r="G888" s="1185"/>
      <c r="H888" s="1185"/>
      <c r="I888" s="1185"/>
      <c r="J888" s="1185"/>
      <c r="K888" s="1185"/>
      <c r="L888" s="1185"/>
      <c r="M888" s="1185"/>
      <c r="N888" s="195"/>
    </row>
    <row r="889">
      <c r="A889" s="1185"/>
      <c r="B889" s="1185"/>
      <c r="C889" s="1185"/>
      <c r="D889" s="1185"/>
      <c r="E889" s="1185"/>
      <c r="F889" s="1185"/>
      <c r="G889" s="1185"/>
      <c r="H889" s="1185"/>
      <c r="I889" s="1185"/>
      <c r="J889" s="1185"/>
      <c r="K889" s="1185"/>
      <c r="L889" s="1185"/>
      <c r="M889" s="1185"/>
      <c r="N889" s="195"/>
    </row>
    <row r="890">
      <c r="A890" s="1185"/>
      <c r="B890" s="1185"/>
      <c r="C890" s="1185"/>
      <c r="D890" s="1185"/>
      <c r="E890" s="1185"/>
      <c r="F890" s="1185"/>
      <c r="G890" s="1185"/>
      <c r="H890" s="1185"/>
      <c r="I890" s="1185"/>
      <c r="J890" s="1185"/>
      <c r="K890" s="1185"/>
      <c r="L890" s="1185"/>
      <c r="M890" s="1185"/>
      <c r="N890" s="195"/>
    </row>
    <row r="891">
      <c r="A891" s="1185"/>
      <c r="B891" s="1185"/>
      <c r="C891" s="1185"/>
      <c r="D891" s="1185"/>
      <c r="E891" s="1185"/>
      <c r="F891" s="1185"/>
      <c r="G891" s="1185"/>
      <c r="H891" s="1185"/>
      <c r="I891" s="1185"/>
      <c r="J891" s="1185"/>
      <c r="K891" s="1185"/>
      <c r="L891" s="1185"/>
      <c r="M891" s="1185"/>
      <c r="N891" s="195"/>
    </row>
    <row r="892">
      <c r="A892" s="1185"/>
      <c r="B892" s="1185"/>
      <c r="C892" s="1185"/>
      <c r="D892" s="1185"/>
      <c r="E892" s="1185"/>
      <c r="F892" s="1185"/>
      <c r="G892" s="1185"/>
      <c r="H892" s="1185"/>
      <c r="I892" s="1185"/>
      <c r="J892" s="1185"/>
      <c r="K892" s="1185"/>
      <c r="L892" s="1185"/>
      <c r="M892" s="1185"/>
      <c r="N892" s="195"/>
    </row>
    <row r="893">
      <c r="A893" s="1185"/>
      <c r="B893" s="1185"/>
      <c r="C893" s="1185"/>
      <c r="D893" s="1185"/>
      <c r="E893" s="1185"/>
      <c r="F893" s="1185"/>
      <c r="G893" s="1185"/>
      <c r="H893" s="1185"/>
      <c r="I893" s="1185"/>
      <c r="J893" s="1185"/>
      <c r="K893" s="1185"/>
      <c r="L893" s="1185"/>
      <c r="M893" s="1185"/>
      <c r="N893" s="195"/>
    </row>
    <row r="894">
      <c r="A894" s="1185"/>
      <c r="B894" s="1185"/>
      <c r="C894" s="1185"/>
      <c r="D894" s="1185"/>
      <c r="E894" s="1185"/>
      <c r="F894" s="1185"/>
      <c r="G894" s="1185"/>
      <c r="H894" s="1185"/>
      <c r="I894" s="1185"/>
      <c r="J894" s="1185"/>
      <c r="K894" s="1185"/>
      <c r="L894" s="1185"/>
      <c r="M894" s="1185"/>
      <c r="N894" s="195"/>
    </row>
    <row r="895">
      <c r="A895" s="1185"/>
      <c r="B895" s="1185"/>
      <c r="C895" s="1185"/>
      <c r="D895" s="1185"/>
      <c r="E895" s="1185"/>
      <c r="F895" s="1185"/>
      <c r="G895" s="1185"/>
      <c r="H895" s="1185"/>
      <c r="I895" s="1185"/>
      <c r="J895" s="1185"/>
      <c r="K895" s="1185"/>
      <c r="L895" s="1185"/>
      <c r="M895" s="1185"/>
      <c r="N895" s="195"/>
    </row>
    <row r="896">
      <c r="A896" s="1185"/>
      <c r="B896" s="1185"/>
      <c r="C896" s="1185"/>
      <c r="D896" s="1185"/>
      <c r="E896" s="1185"/>
      <c r="F896" s="1185"/>
      <c r="G896" s="1185"/>
      <c r="H896" s="1185"/>
      <c r="I896" s="1185"/>
      <c r="J896" s="1185"/>
      <c r="K896" s="1185"/>
      <c r="L896" s="1185"/>
      <c r="M896" s="1185"/>
      <c r="N896" s="195"/>
    </row>
    <row r="897">
      <c r="A897" s="1185"/>
      <c r="B897" s="1185"/>
      <c r="C897" s="1185"/>
      <c r="D897" s="1185"/>
      <c r="E897" s="1185"/>
      <c r="F897" s="1185"/>
      <c r="G897" s="1185"/>
      <c r="H897" s="1185"/>
      <c r="I897" s="1185"/>
      <c r="J897" s="1185"/>
      <c r="K897" s="1185"/>
      <c r="L897" s="1185"/>
      <c r="M897" s="1185"/>
      <c r="N897" s="195"/>
    </row>
    <row r="898">
      <c r="A898" s="1185"/>
      <c r="B898" s="1185"/>
      <c r="C898" s="1185"/>
      <c r="D898" s="1185"/>
      <c r="E898" s="1185"/>
      <c r="F898" s="1185"/>
      <c r="G898" s="1185"/>
      <c r="H898" s="1185"/>
      <c r="I898" s="1185"/>
      <c r="J898" s="1185"/>
      <c r="K898" s="1185"/>
      <c r="L898" s="1185"/>
      <c r="M898" s="1185"/>
      <c r="N898" s="195"/>
    </row>
    <row r="899">
      <c r="A899" s="1185"/>
      <c r="B899" s="1185"/>
      <c r="C899" s="1185"/>
      <c r="D899" s="1185"/>
      <c r="E899" s="1185"/>
      <c r="F899" s="1185"/>
      <c r="G899" s="1185"/>
      <c r="H899" s="1185"/>
      <c r="I899" s="1185"/>
      <c r="J899" s="1185"/>
      <c r="K899" s="1185"/>
      <c r="L899" s="1185"/>
      <c r="M899" s="1185"/>
      <c r="N899" s="195"/>
    </row>
    <row r="900">
      <c r="A900" s="1185"/>
      <c r="B900" s="1185"/>
      <c r="C900" s="1185"/>
      <c r="D900" s="1185"/>
      <c r="E900" s="1185"/>
      <c r="F900" s="1185"/>
      <c r="G900" s="1185"/>
      <c r="H900" s="1185"/>
      <c r="I900" s="1185"/>
      <c r="J900" s="1185"/>
      <c r="K900" s="1185"/>
      <c r="L900" s="1185"/>
      <c r="M900" s="1185"/>
      <c r="N900" s="195"/>
    </row>
    <row r="901">
      <c r="A901" s="1185"/>
      <c r="B901" s="1185"/>
      <c r="C901" s="1185"/>
      <c r="D901" s="1185"/>
      <c r="E901" s="1185"/>
      <c r="F901" s="1185"/>
      <c r="G901" s="1185"/>
      <c r="H901" s="1185"/>
      <c r="I901" s="1185"/>
      <c r="J901" s="1185"/>
      <c r="K901" s="1185"/>
      <c r="L901" s="1185"/>
      <c r="M901" s="1185"/>
      <c r="N901" s="195"/>
    </row>
    <row r="902">
      <c r="A902" s="1185"/>
      <c r="B902" s="1185"/>
      <c r="C902" s="1185"/>
      <c r="D902" s="1185"/>
      <c r="E902" s="1185"/>
      <c r="F902" s="1185"/>
      <c r="G902" s="1185"/>
      <c r="H902" s="1185"/>
      <c r="I902" s="1185"/>
      <c r="J902" s="1185"/>
      <c r="K902" s="1185"/>
      <c r="L902" s="1185"/>
      <c r="M902" s="1185"/>
      <c r="N902" s="195"/>
    </row>
    <row r="903">
      <c r="A903" s="1185"/>
      <c r="B903" s="1185"/>
      <c r="C903" s="1185"/>
      <c r="D903" s="1185"/>
      <c r="E903" s="1185"/>
      <c r="F903" s="1185"/>
      <c r="G903" s="1185"/>
      <c r="H903" s="1185"/>
      <c r="I903" s="1185"/>
      <c r="J903" s="1185"/>
      <c r="K903" s="1185"/>
      <c r="L903" s="1185"/>
      <c r="M903" s="1185"/>
      <c r="N903" s="195"/>
    </row>
    <row r="904">
      <c r="A904" s="1185"/>
      <c r="B904" s="1185"/>
      <c r="C904" s="1185"/>
      <c r="D904" s="1185"/>
      <c r="E904" s="1185"/>
      <c r="F904" s="1185"/>
      <c r="G904" s="1185"/>
      <c r="H904" s="1185"/>
      <c r="I904" s="1185"/>
      <c r="J904" s="1185"/>
      <c r="K904" s="1185"/>
      <c r="L904" s="1185"/>
      <c r="M904" s="1185"/>
      <c r="N904" s="195"/>
    </row>
    <row r="905">
      <c r="A905" s="1185"/>
      <c r="B905" s="1185"/>
      <c r="C905" s="1185"/>
      <c r="D905" s="1185"/>
      <c r="E905" s="1185"/>
      <c r="F905" s="1185"/>
      <c r="G905" s="1185"/>
      <c r="H905" s="1185"/>
      <c r="I905" s="1185"/>
      <c r="J905" s="1185"/>
      <c r="K905" s="1185"/>
      <c r="L905" s="1185"/>
      <c r="M905" s="1185"/>
      <c r="N905" s="195"/>
    </row>
    <row r="906">
      <c r="A906" s="1185"/>
      <c r="B906" s="1185"/>
      <c r="C906" s="1185"/>
      <c r="D906" s="1185"/>
      <c r="E906" s="1185"/>
      <c r="F906" s="1185"/>
      <c r="G906" s="1185"/>
      <c r="H906" s="1185"/>
      <c r="I906" s="1185"/>
      <c r="J906" s="1185"/>
      <c r="K906" s="1185"/>
      <c r="L906" s="1185"/>
      <c r="M906" s="1185"/>
      <c r="N906" s="195"/>
    </row>
    <row r="907">
      <c r="A907" s="1185"/>
      <c r="B907" s="1185"/>
      <c r="C907" s="1185"/>
      <c r="D907" s="1185"/>
      <c r="E907" s="1185"/>
      <c r="F907" s="1185"/>
      <c r="G907" s="1185"/>
      <c r="H907" s="1185"/>
      <c r="I907" s="1185"/>
      <c r="J907" s="1185"/>
      <c r="K907" s="1185"/>
      <c r="L907" s="1185"/>
      <c r="M907" s="1185"/>
      <c r="N907" s="195"/>
    </row>
    <row r="908">
      <c r="A908" s="1185"/>
      <c r="B908" s="1185"/>
      <c r="C908" s="1185"/>
      <c r="D908" s="1185"/>
      <c r="E908" s="1185"/>
      <c r="F908" s="1185"/>
      <c r="G908" s="1185"/>
      <c r="H908" s="1185"/>
      <c r="I908" s="1185"/>
      <c r="J908" s="1185"/>
      <c r="K908" s="1185"/>
      <c r="L908" s="1185"/>
      <c r="M908" s="1185"/>
      <c r="N908" s="195"/>
    </row>
    <row r="909">
      <c r="A909" s="1185"/>
      <c r="B909" s="1185"/>
      <c r="C909" s="1185"/>
      <c r="D909" s="1185"/>
      <c r="E909" s="1185"/>
      <c r="F909" s="1185"/>
      <c r="G909" s="1185"/>
      <c r="H909" s="1185"/>
      <c r="I909" s="1185"/>
      <c r="J909" s="1185"/>
      <c r="K909" s="1185"/>
      <c r="L909" s="1185"/>
      <c r="M909" s="1185"/>
      <c r="N909" s="195"/>
    </row>
    <row r="910">
      <c r="A910" s="1185"/>
      <c r="B910" s="1185"/>
      <c r="C910" s="1185"/>
      <c r="D910" s="1185"/>
      <c r="E910" s="1185"/>
      <c r="F910" s="1185"/>
      <c r="G910" s="1185"/>
      <c r="H910" s="1185"/>
      <c r="I910" s="1185"/>
      <c r="J910" s="1185"/>
      <c r="K910" s="1185"/>
      <c r="L910" s="1185"/>
      <c r="M910" s="1185"/>
      <c r="N910" s="195"/>
    </row>
    <row r="911">
      <c r="A911" s="1185"/>
      <c r="B911" s="1185"/>
      <c r="C911" s="1185"/>
      <c r="D911" s="1185"/>
      <c r="E911" s="1185"/>
      <c r="F911" s="1185"/>
      <c r="G911" s="1185"/>
      <c r="H911" s="1185"/>
      <c r="I911" s="1185"/>
      <c r="J911" s="1185"/>
      <c r="K911" s="1185"/>
      <c r="L911" s="1185"/>
      <c r="M911" s="1185"/>
      <c r="N911" s="195"/>
    </row>
    <row r="912">
      <c r="A912" s="1185"/>
      <c r="B912" s="1185"/>
      <c r="C912" s="1185"/>
      <c r="D912" s="1185"/>
      <c r="E912" s="1185"/>
      <c r="F912" s="1185"/>
      <c r="G912" s="1185"/>
      <c r="H912" s="1185"/>
      <c r="I912" s="1185"/>
      <c r="J912" s="1185"/>
      <c r="K912" s="1185"/>
      <c r="L912" s="1185"/>
      <c r="M912" s="1185"/>
      <c r="N912" s="195"/>
    </row>
    <row r="913">
      <c r="A913" s="1185"/>
      <c r="B913" s="1185"/>
      <c r="C913" s="1185"/>
      <c r="D913" s="1185"/>
      <c r="E913" s="1185"/>
      <c r="F913" s="1185"/>
      <c r="G913" s="1185"/>
      <c r="H913" s="1185"/>
      <c r="I913" s="1185"/>
      <c r="J913" s="1185"/>
      <c r="K913" s="1185"/>
      <c r="L913" s="1185"/>
      <c r="M913" s="1185"/>
      <c r="N913" s="195"/>
    </row>
    <row r="914">
      <c r="A914" s="1185"/>
      <c r="B914" s="1185"/>
      <c r="C914" s="1185"/>
      <c r="D914" s="1185"/>
      <c r="E914" s="1185"/>
      <c r="F914" s="1185"/>
      <c r="G914" s="1185"/>
      <c r="H914" s="1185"/>
      <c r="I914" s="1185"/>
      <c r="J914" s="1185"/>
      <c r="K914" s="1185"/>
      <c r="L914" s="1185"/>
      <c r="M914" s="1185"/>
      <c r="N914" s="195"/>
    </row>
    <row r="915">
      <c r="A915" s="1185"/>
      <c r="B915" s="1185"/>
      <c r="C915" s="1185"/>
      <c r="D915" s="1185"/>
      <c r="E915" s="1185"/>
      <c r="F915" s="1185"/>
      <c r="G915" s="1185"/>
      <c r="H915" s="1185"/>
      <c r="I915" s="1185"/>
      <c r="J915" s="1185"/>
      <c r="K915" s="1185"/>
      <c r="L915" s="1185"/>
      <c r="M915" s="1185"/>
      <c r="N915" s="195"/>
    </row>
    <row r="916">
      <c r="A916" s="1185"/>
      <c r="B916" s="1185"/>
      <c r="C916" s="1185"/>
      <c r="D916" s="1185"/>
      <c r="E916" s="1185"/>
      <c r="F916" s="1185"/>
      <c r="G916" s="1185"/>
      <c r="H916" s="1185"/>
      <c r="I916" s="1185"/>
      <c r="J916" s="1185"/>
      <c r="K916" s="1185"/>
      <c r="L916" s="1185"/>
      <c r="M916" s="1185"/>
      <c r="N916" s="195"/>
    </row>
    <row r="917">
      <c r="A917" s="1185"/>
      <c r="B917" s="1185"/>
      <c r="C917" s="1185"/>
      <c r="D917" s="1185"/>
      <c r="E917" s="1185"/>
      <c r="F917" s="1185"/>
      <c r="G917" s="1185"/>
      <c r="H917" s="1185"/>
      <c r="I917" s="1185"/>
      <c r="J917" s="1185"/>
      <c r="K917" s="1185"/>
      <c r="L917" s="1185"/>
      <c r="M917" s="1185"/>
      <c r="N917" s="195"/>
    </row>
    <row r="918">
      <c r="A918" s="1185"/>
      <c r="B918" s="1185"/>
      <c r="C918" s="1185"/>
      <c r="D918" s="1185"/>
      <c r="E918" s="1185"/>
      <c r="F918" s="1185"/>
      <c r="G918" s="1185"/>
      <c r="H918" s="1185"/>
      <c r="I918" s="1185"/>
      <c r="J918" s="1185"/>
      <c r="K918" s="1185"/>
      <c r="L918" s="1185"/>
      <c r="M918" s="1185"/>
      <c r="N918" s="195"/>
    </row>
    <row r="919">
      <c r="A919" s="1185"/>
      <c r="B919" s="1185"/>
      <c r="C919" s="1185"/>
      <c r="D919" s="1185"/>
      <c r="E919" s="1185"/>
      <c r="F919" s="1185"/>
      <c r="G919" s="1185"/>
      <c r="H919" s="1185"/>
      <c r="I919" s="1185"/>
      <c r="J919" s="1185"/>
      <c r="K919" s="1185"/>
      <c r="L919" s="1185"/>
      <c r="M919" s="1185"/>
      <c r="N919" s="195"/>
    </row>
    <row r="920">
      <c r="A920" s="1185"/>
      <c r="B920" s="1185"/>
      <c r="C920" s="1185"/>
      <c r="D920" s="1185"/>
      <c r="E920" s="1185"/>
      <c r="F920" s="1185"/>
      <c r="G920" s="1185"/>
      <c r="H920" s="1185"/>
      <c r="I920" s="1185"/>
      <c r="J920" s="1185"/>
      <c r="K920" s="1185"/>
      <c r="L920" s="1185"/>
      <c r="M920" s="1185"/>
      <c r="N920" s="195"/>
    </row>
    <row r="921">
      <c r="A921" s="1185"/>
      <c r="B921" s="1185"/>
      <c r="C921" s="1185"/>
      <c r="D921" s="1185"/>
      <c r="E921" s="1185"/>
      <c r="F921" s="1185"/>
      <c r="G921" s="1185"/>
      <c r="H921" s="1185"/>
      <c r="I921" s="1185"/>
      <c r="J921" s="1185"/>
      <c r="K921" s="1185"/>
      <c r="L921" s="1185"/>
      <c r="M921" s="1185"/>
      <c r="N921" s="195"/>
    </row>
    <row r="922">
      <c r="A922" s="1185"/>
      <c r="B922" s="1185"/>
      <c r="C922" s="1185"/>
      <c r="D922" s="1185"/>
      <c r="E922" s="1185"/>
      <c r="F922" s="1185"/>
      <c r="G922" s="1185"/>
      <c r="H922" s="1185"/>
      <c r="I922" s="1185"/>
      <c r="J922" s="1185"/>
      <c r="K922" s="1185"/>
      <c r="L922" s="1185"/>
      <c r="M922" s="1185"/>
      <c r="N922" s="195"/>
    </row>
    <row r="923">
      <c r="A923" s="1185"/>
      <c r="B923" s="1185"/>
      <c r="C923" s="1185"/>
      <c r="D923" s="1185"/>
      <c r="E923" s="1185"/>
      <c r="F923" s="1185"/>
      <c r="G923" s="1185"/>
      <c r="H923" s="1185"/>
      <c r="I923" s="1185"/>
      <c r="J923" s="1185"/>
      <c r="K923" s="1185"/>
      <c r="L923" s="1185"/>
      <c r="M923" s="1185"/>
      <c r="N923" s="195"/>
    </row>
    <row r="924">
      <c r="A924" s="1185"/>
      <c r="B924" s="1185"/>
      <c r="C924" s="1185"/>
      <c r="D924" s="1185"/>
      <c r="E924" s="1185"/>
      <c r="F924" s="1185"/>
      <c r="G924" s="1185"/>
      <c r="H924" s="1185"/>
      <c r="I924" s="1185"/>
      <c r="J924" s="1185"/>
      <c r="K924" s="1185"/>
      <c r="L924" s="1185"/>
      <c r="M924" s="1185"/>
      <c r="N924" s="195"/>
    </row>
    <row r="925">
      <c r="A925" s="1185"/>
      <c r="B925" s="1185"/>
      <c r="C925" s="1185"/>
      <c r="D925" s="1185"/>
      <c r="E925" s="1185"/>
      <c r="F925" s="1185"/>
      <c r="G925" s="1185"/>
      <c r="H925" s="1185"/>
      <c r="I925" s="1185"/>
      <c r="J925" s="1185"/>
      <c r="K925" s="1185"/>
      <c r="L925" s="1185"/>
      <c r="M925" s="1185"/>
      <c r="N925" s="195"/>
    </row>
    <row r="926">
      <c r="A926" s="1185"/>
      <c r="B926" s="1185"/>
      <c r="C926" s="1185"/>
      <c r="D926" s="1185"/>
      <c r="E926" s="1185"/>
      <c r="F926" s="1185"/>
      <c r="G926" s="1185"/>
      <c r="H926" s="1185"/>
      <c r="I926" s="1185"/>
      <c r="J926" s="1185"/>
      <c r="K926" s="1185"/>
      <c r="L926" s="1185"/>
      <c r="M926" s="1185"/>
      <c r="N926" s="195"/>
    </row>
    <row r="927">
      <c r="A927" s="1185"/>
      <c r="B927" s="1185"/>
      <c r="C927" s="1185"/>
      <c r="D927" s="1185"/>
      <c r="E927" s="1185"/>
      <c r="F927" s="1185"/>
      <c r="G927" s="1185"/>
      <c r="H927" s="1185"/>
      <c r="I927" s="1185"/>
      <c r="J927" s="1185"/>
      <c r="K927" s="1185"/>
      <c r="L927" s="1185"/>
      <c r="M927" s="1185"/>
      <c r="N927" s="195"/>
    </row>
    <row r="928">
      <c r="A928" s="1185"/>
      <c r="B928" s="1185"/>
      <c r="C928" s="1185"/>
      <c r="D928" s="1185"/>
      <c r="E928" s="1185"/>
      <c r="F928" s="1185"/>
      <c r="G928" s="1185"/>
      <c r="H928" s="1185"/>
      <c r="I928" s="1185"/>
      <c r="J928" s="1185"/>
      <c r="K928" s="1185"/>
      <c r="L928" s="1185"/>
      <c r="M928" s="1185"/>
      <c r="N928" s="195"/>
    </row>
    <row r="929">
      <c r="A929" s="1185"/>
      <c r="B929" s="1185"/>
      <c r="C929" s="1185"/>
      <c r="D929" s="1185"/>
      <c r="E929" s="1185"/>
      <c r="F929" s="1185"/>
      <c r="G929" s="1185"/>
      <c r="H929" s="1185"/>
      <c r="I929" s="1185"/>
      <c r="J929" s="1185"/>
      <c r="K929" s="1185"/>
      <c r="L929" s="1185"/>
      <c r="M929" s="1185"/>
      <c r="N929" s="195"/>
    </row>
    <row r="930">
      <c r="A930" s="1185"/>
      <c r="B930" s="1185"/>
      <c r="C930" s="1185"/>
      <c r="D930" s="1185"/>
      <c r="E930" s="1185"/>
      <c r="F930" s="1185"/>
      <c r="G930" s="1185"/>
      <c r="H930" s="1185"/>
      <c r="I930" s="1185"/>
      <c r="J930" s="1185"/>
      <c r="K930" s="1185"/>
      <c r="L930" s="1185"/>
      <c r="M930" s="1185"/>
      <c r="N930" s="195"/>
    </row>
    <row r="931">
      <c r="A931" s="1185"/>
      <c r="B931" s="1185"/>
      <c r="C931" s="1185"/>
      <c r="D931" s="1185"/>
      <c r="E931" s="1185"/>
      <c r="F931" s="1185"/>
      <c r="G931" s="1185"/>
      <c r="H931" s="1185"/>
      <c r="I931" s="1185"/>
      <c r="J931" s="1185"/>
      <c r="K931" s="1185"/>
      <c r="L931" s="1185"/>
      <c r="M931" s="1185"/>
      <c r="N931" s="195"/>
    </row>
    <row r="932">
      <c r="A932" s="1185"/>
      <c r="B932" s="1185"/>
      <c r="C932" s="1185"/>
      <c r="D932" s="1185"/>
      <c r="E932" s="1185"/>
      <c r="F932" s="1185"/>
      <c r="G932" s="1185"/>
      <c r="H932" s="1185"/>
      <c r="I932" s="1185"/>
      <c r="J932" s="1185"/>
      <c r="K932" s="1185"/>
      <c r="L932" s="1185"/>
      <c r="M932" s="1185"/>
      <c r="N932" s="195"/>
    </row>
    <row r="933">
      <c r="A933" s="1185"/>
      <c r="B933" s="1185"/>
      <c r="C933" s="1185"/>
      <c r="D933" s="1185"/>
      <c r="E933" s="1185"/>
      <c r="F933" s="1185"/>
      <c r="G933" s="1185"/>
      <c r="H933" s="1185"/>
      <c r="I933" s="1185"/>
      <c r="J933" s="1185"/>
      <c r="K933" s="1185"/>
      <c r="L933" s="1185"/>
      <c r="M933" s="1185"/>
      <c r="N933" s="195"/>
    </row>
    <row r="934">
      <c r="A934" s="1185"/>
      <c r="B934" s="1185"/>
      <c r="C934" s="1185"/>
      <c r="D934" s="1185"/>
      <c r="E934" s="1185"/>
      <c r="F934" s="1185"/>
      <c r="G934" s="1185"/>
      <c r="H934" s="1185"/>
      <c r="I934" s="1185"/>
      <c r="J934" s="1185"/>
      <c r="K934" s="1185"/>
      <c r="L934" s="1185"/>
      <c r="M934" s="1185"/>
      <c r="N934" s="195"/>
    </row>
    <row r="935">
      <c r="A935" s="1185"/>
      <c r="B935" s="1185"/>
      <c r="C935" s="1185"/>
      <c r="D935" s="1185"/>
      <c r="E935" s="1185"/>
      <c r="F935" s="1185"/>
      <c r="G935" s="1185"/>
      <c r="H935" s="1185"/>
      <c r="I935" s="1185"/>
      <c r="J935" s="1185"/>
      <c r="K935" s="1185"/>
      <c r="L935" s="1185"/>
      <c r="M935" s="1185"/>
      <c r="N935" s="195"/>
    </row>
    <row r="936">
      <c r="A936" s="1185"/>
      <c r="B936" s="1185"/>
      <c r="C936" s="1185"/>
      <c r="D936" s="1185"/>
      <c r="E936" s="1185"/>
      <c r="F936" s="1185"/>
      <c r="G936" s="1185"/>
      <c r="H936" s="1185"/>
      <c r="I936" s="1185"/>
      <c r="J936" s="1185"/>
      <c r="K936" s="1185"/>
      <c r="L936" s="1185"/>
      <c r="M936" s="1185"/>
      <c r="N936" s="195"/>
    </row>
    <row r="937">
      <c r="A937" s="1185"/>
      <c r="B937" s="1185"/>
      <c r="C937" s="1185"/>
      <c r="D937" s="1185"/>
      <c r="E937" s="1185"/>
      <c r="F937" s="1185"/>
      <c r="G937" s="1185"/>
      <c r="H937" s="1185"/>
      <c r="I937" s="1185"/>
      <c r="J937" s="1185"/>
      <c r="K937" s="1185"/>
      <c r="L937" s="1185"/>
      <c r="M937" s="1185"/>
      <c r="N937" s="195"/>
    </row>
    <row r="938">
      <c r="A938" s="1185"/>
      <c r="B938" s="1185"/>
      <c r="C938" s="1185"/>
      <c r="D938" s="1185"/>
      <c r="E938" s="1185"/>
      <c r="F938" s="1185"/>
      <c r="G938" s="1185"/>
      <c r="H938" s="1185"/>
      <c r="I938" s="1185"/>
      <c r="J938" s="1185"/>
      <c r="K938" s="1185"/>
      <c r="L938" s="1185"/>
      <c r="M938" s="1185"/>
      <c r="N938" s="195"/>
    </row>
    <row r="939">
      <c r="A939" s="1185"/>
      <c r="B939" s="1185"/>
      <c r="C939" s="1185"/>
      <c r="D939" s="1185"/>
      <c r="E939" s="1185"/>
      <c r="F939" s="1185"/>
      <c r="G939" s="1185"/>
      <c r="H939" s="1185"/>
      <c r="I939" s="1185"/>
      <c r="J939" s="1185"/>
      <c r="K939" s="1185"/>
      <c r="L939" s="1185"/>
      <c r="M939" s="1185"/>
      <c r="N939" s="195"/>
    </row>
    <row r="940">
      <c r="A940" s="1185"/>
      <c r="B940" s="1185"/>
      <c r="C940" s="1185"/>
      <c r="D940" s="1185"/>
      <c r="E940" s="1185"/>
      <c r="F940" s="1185"/>
      <c r="G940" s="1185"/>
      <c r="H940" s="1185"/>
      <c r="I940" s="1185"/>
      <c r="J940" s="1185"/>
      <c r="K940" s="1185"/>
      <c r="L940" s="1185"/>
      <c r="M940" s="1185"/>
      <c r="N940" s="195"/>
    </row>
    <row r="941">
      <c r="A941" s="1185"/>
      <c r="B941" s="1185"/>
      <c r="C941" s="1185"/>
      <c r="D941" s="1185"/>
      <c r="E941" s="1185"/>
      <c r="F941" s="1185"/>
      <c r="G941" s="1185"/>
      <c r="H941" s="1185"/>
      <c r="I941" s="1185"/>
      <c r="J941" s="1185"/>
      <c r="K941" s="1185"/>
      <c r="L941" s="1185"/>
      <c r="M941" s="1185"/>
      <c r="N941" s="195"/>
    </row>
    <row r="942">
      <c r="A942" s="1185"/>
      <c r="B942" s="1185"/>
      <c r="C942" s="1185"/>
      <c r="D942" s="1185"/>
      <c r="E942" s="1185"/>
      <c r="F942" s="1185"/>
      <c r="G942" s="1185"/>
      <c r="H942" s="1185"/>
      <c r="I942" s="1185"/>
      <c r="J942" s="1185"/>
      <c r="K942" s="1185"/>
      <c r="L942" s="1185"/>
      <c r="M942" s="1185"/>
      <c r="N942" s="195"/>
    </row>
    <row r="943">
      <c r="A943" s="1185"/>
      <c r="B943" s="1185"/>
      <c r="C943" s="1185"/>
      <c r="D943" s="1185"/>
      <c r="E943" s="1185"/>
      <c r="F943" s="1185"/>
      <c r="G943" s="1185"/>
      <c r="H943" s="1185"/>
      <c r="I943" s="1185"/>
      <c r="J943" s="1185"/>
      <c r="K943" s="1185"/>
      <c r="L943" s="1185"/>
      <c r="M943" s="1185"/>
      <c r="N943" s="195"/>
    </row>
    <row r="944">
      <c r="A944" s="1185"/>
      <c r="B944" s="1185"/>
      <c r="C944" s="1185"/>
      <c r="D944" s="1185"/>
      <c r="E944" s="1185"/>
      <c r="F944" s="1185"/>
      <c r="G944" s="1185"/>
      <c r="H944" s="1185"/>
      <c r="I944" s="1185"/>
      <c r="J944" s="1185"/>
      <c r="K944" s="1185"/>
      <c r="L944" s="1185"/>
      <c r="M944" s="1185"/>
      <c r="N944" s="195"/>
    </row>
    <row r="945">
      <c r="A945" s="1185"/>
      <c r="B945" s="1185"/>
      <c r="C945" s="1185"/>
      <c r="D945" s="1185"/>
      <c r="E945" s="1185"/>
      <c r="F945" s="1185"/>
      <c r="G945" s="1185"/>
      <c r="H945" s="1185"/>
      <c r="I945" s="1185"/>
      <c r="J945" s="1185"/>
      <c r="K945" s="1185"/>
      <c r="L945" s="1185"/>
      <c r="M945" s="1185"/>
      <c r="N945" s="195"/>
    </row>
    <row r="946">
      <c r="A946" s="1185"/>
      <c r="B946" s="1185"/>
      <c r="C946" s="1185"/>
      <c r="D946" s="1185"/>
      <c r="E946" s="1185"/>
      <c r="F946" s="1185"/>
      <c r="G946" s="1185"/>
      <c r="H946" s="1185"/>
      <c r="I946" s="1185"/>
      <c r="J946" s="1185"/>
      <c r="K946" s="1185"/>
      <c r="L946" s="1185"/>
      <c r="M946" s="1185"/>
      <c r="N946" s="195"/>
    </row>
    <row r="947">
      <c r="A947" s="1185"/>
      <c r="B947" s="1185"/>
      <c r="C947" s="1185"/>
      <c r="D947" s="1185"/>
      <c r="E947" s="1185"/>
      <c r="F947" s="1185"/>
      <c r="G947" s="1185"/>
      <c r="H947" s="1185"/>
      <c r="I947" s="1185"/>
      <c r="J947" s="1185"/>
      <c r="K947" s="1185"/>
      <c r="L947" s="1185"/>
      <c r="M947" s="1185"/>
      <c r="N947" s="195"/>
    </row>
    <row r="948">
      <c r="A948" s="1185"/>
      <c r="B948" s="1185"/>
      <c r="C948" s="1185"/>
      <c r="D948" s="1185"/>
      <c r="E948" s="1185"/>
      <c r="F948" s="1185"/>
      <c r="G948" s="1185"/>
      <c r="H948" s="1185"/>
      <c r="I948" s="1185"/>
      <c r="J948" s="1185"/>
      <c r="K948" s="1185"/>
      <c r="L948" s="1185"/>
      <c r="M948" s="1185"/>
      <c r="N948" s="195"/>
    </row>
    <row r="949">
      <c r="A949" s="1185"/>
      <c r="B949" s="1185"/>
      <c r="C949" s="1185"/>
      <c r="D949" s="1185"/>
      <c r="E949" s="1185"/>
      <c r="F949" s="1185"/>
      <c r="G949" s="1185"/>
      <c r="H949" s="1185"/>
      <c r="I949" s="1185"/>
      <c r="J949" s="1185"/>
      <c r="K949" s="1185"/>
      <c r="L949" s="1185"/>
      <c r="M949" s="1185"/>
      <c r="N949" s="195"/>
    </row>
    <row r="950">
      <c r="A950" s="1185"/>
      <c r="B950" s="1185"/>
      <c r="C950" s="1185"/>
      <c r="D950" s="1185"/>
      <c r="E950" s="1185"/>
      <c r="F950" s="1185"/>
      <c r="G950" s="1185"/>
      <c r="H950" s="1185"/>
      <c r="I950" s="1185"/>
      <c r="J950" s="1185"/>
      <c r="K950" s="1185"/>
      <c r="L950" s="1185"/>
      <c r="M950" s="1185"/>
      <c r="N950" s="195"/>
    </row>
    <row r="951">
      <c r="A951" s="1185"/>
      <c r="B951" s="1185"/>
      <c r="C951" s="1185"/>
      <c r="D951" s="1185"/>
      <c r="E951" s="1185"/>
      <c r="F951" s="1185"/>
      <c r="G951" s="1185"/>
      <c r="H951" s="1185"/>
      <c r="I951" s="1185"/>
      <c r="J951" s="1185"/>
      <c r="K951" s="1185"/>
      <c r="L951" s="1185"/>
      <c r="M951" s="1185"/>
      <c r="N951" s="195"/>
    </row>
    <row r="952">
      <c r="A952" s="1185"/>
      <c r="B952" s="1185"/>
      <c r="C952" s="1185"/>
      <c r="D952" s="1185"/>
      <c r="E952" s="1185"/>
      <c r="F952" s="1185"/>
      <c r="G952" s="1185"/>
      <c r="H952" s="1185"/>
      <c r="I952" s="1185"/>
      <c r="J952" s="1185"/>
      <c r="K952" s="1185"/>
      <c r="L952" s="1185"/>
      <c r="M952" s="1185"/>
      <c r="N952" s="195"/>
    </row>
    <row r="953">
      <c r="A953" s="1185"/>
      <c r="B953" s="1185"/>
      <c r="C953" s="1185"/>
      <c r="D953" s="1185"/>
      <c r="E953" s="1185"/>
      <c r="F953" s="1185"/>
      <c r="G953" s="1185"/>
      <c r="H953" s="1185"/>
      <c r="I953" s="1185"/>
      <c r="J953" s="1185"/>
      <c r="K953" s="1185"/>
      <c r="L953" s="1185"/>
      <c r="M953" s="1185"/>
      <c r="N953" s="195"/>
    </row>
    <row r="954">
      <c r="A954" s="1185"/>
      <c r="B954" s="1185"/>
      <c r="C954" s="1185"/>
      <c r="D954" s="1185"/>
      <c r="E954" s="1185"/>
      <c r="F954" s="1185"/>
      <c r="G954" s="1185"/>
      <c r="H954" s="1185"/>
      <c r="I954" s="1185"/>
      <c r="J954" s="1185"/>
      <c r="K954" s="1185"/>
      <c r="L954" s="1185"/>
      <c r="M954" s="1185"/>
      <c r="N954" s="195"/>
    </row>
    <row r="955">
      <c r="A955" s="1185"/>
      <c r="B955" s="1185"/>
      <c r="C955" s="1185"/>
      <c r="D955" s="1185"/>
      <c r="E955" s="1185"/>
      <c r="F955" s="1185"/>
      <c r="G955" s="1185"/>
      <c r="H955" s="1185"/>
      <c r="I955" s="1185"/>
      <c r="J955" s="1185"/>
      <c r="K955" s="1185"/>
      <c r="L955" s="1185"/>
      <c r="M955" s="1185"/>
      <c r="N955" s="195"/>
    </row>
    <row r="956">
      <c r="A956" s="1185"/>
      <c r="B956" s="1185"/>
      <c r="C956" s="1185"/>
      <c r="D956" s="1185"/>
      <c r="E956" s="1185"/>
      <c r="F956" s="1185"/>
      <c r="G956" s="1185"/>
      <c r="H956" s="1185"/>
      <c r="I956" s="1185"/>
      <c r="J956" s="1185"/>
      <c r="K956" s="1185"/>
      <c r="L956" s="1185"/>
      <c r="M956" s="1185"/>
      <c r="N956" s="195"/>
    </row>
    <row r="957">
      <c r="A957" s="1185"/>
      <c r="B957" s="1185"/>
      <c r="C957" s="1185"/>
      <c r="D957" s="1185"/>
      <c r="E957" s="1185"/>
      <c r="F957" s="1185"/>
      <c r="G957" s="1185"/>
      <c r="H957" s="1185"/>
      <c r="I957" s="1185"/>
      <c r="J957" s="1185"/>
      <c r="K957" s="1185"/>
      <c r="L957" s="1185"/>
      <c r="M957" s="1185"/>
      <c r="N957" s="195"/>
    </row>
    <row r="958">
      <c r="A958" s="1185"/>
      <c r="B958" s="1185"/>
      <c r="C958" s="1185"/>
      <c r="D958" s="1185"/>
      <c r="E958" s="1185"/>
      <c r="F958" s="1185"/>
      <c r="G958" s="1185"/>
      <c r="H958" s="1185"/>
      <c r="I958" s="1185"/>
      <c r="J958" s="1185"/>
      <c r="K958" s="1185"/>
      <c r="L958" s="1185"/>
      <c r="M958" s="1185"/>
      <c r="N958" s="195"/>
    </row>
    <row r="959">
      <c r="A959" s="1185"/>
      <c r="B959" s="1185"/>
      <c r="C959" s="1185"/>
      <c r="D959" s="1185"/>
      <c r="E959" s="1185"/>
      <c r="F959" s="1185"/>
      <c r="G959" s="1185"/>
      <c r="H959" s="1185"/>
      <c r="I959" s="1185"/>
      <c r="J959" s="1185"/>
      <c r="K959" s="1185"/>
      <c r="L959" s="1185"/>
      <c r="M959" s="1185"/>
      <c r="N959" s="195"/>
    </row>
    <row r="960">
      <c r="A960" s="1185"/>
      <c r="B960" s="1185"/>
      <c r="C960" s="1185"/>
      <c r="D960" s="1185"/>
      <c r="E960" s="1185"/>
      <c r="F960" s="1185"/>
      <c r="G960" s="1185"/>
      <c r="H960" s="1185"/>
      <c r="I960" s="1185"/>
      <c r="J960" s="1185"/>
      <c r="K960" s="1185"/>
      <c r="L960" s="1185"/>
      <c r="M960" s="1185"/>
      <c r="N960" s="195"/>
    </row>
    <row r="961">
      <c r="A961" s="1185"/>
      <c r="B961" s="1185"/>
      <c r="C961" s="1185"/>
      <c r="D961" s="1185"/>
      <c r="E961" s="1185"/>
      <c r="F961" s="1185"/>
      <c r="G961" s="1185"/>
      <c r="H961" s="1185"/>
      <c r="I961" s="1185"/>
      <c r="J961" s="1185"/>
      <c r="K961" s="1185"/>
      <c r="L961" s="1185"/>
      <c r="M961" s="1185"/>
      <c r="N961" s="195"/>
    </row>
    <row r="962">
      <c r="A962" s="1185"/>
      <c r="B962" s="1185"/>
      <c r="C962" s="1185"/>
      <c r="D962" s="1185"/>
      <c r="E962" s="1185"/>
      <c r="F962" s="1185"/>
      <c r="G962" s="1185"/>
      <c r="H962" s="1185"/>
      <c r="I962" s="1185"/>
      <c r="J962" s="1185"/>
      <c r="K962" s="1185"/>
      <c r="L962" s="1185"/>
      <c r="M962" s="1185"/>
      <c r="N962" s="195"/>
    </row>
    <row r="963">
      <c r="A963" s="1185"/>
      <c r="B963" s="1185"/>
      <c r="C963" s="1185"/>
      <c r="D963" s="1185"/>
      <c r="E963" s="1185"/>
      <c r="F963" s="1185"/>
      <c r="G963" s="1185"/>
      <c r="H963" s="1185"/>
      <c r="I963" s="1185"/>
      <c r="J963" s="1185"/>
      <c r="K963" s="1185"/>
      <c r="L963" s="1185"/>
      <c r="M963" s="1185"/>
      <c r="N963" s="195"/>
    </row>
    <row r="964">
      <c r="A964" s="1185"/>
      <c r="B964" s="1185"/>
      <c r="C964" s="1185"/>
      <c r="D964" s="1185"/>
      <c r="E964" s="1185"/>
      <c r="F964" s="1185"/>
      <c r="G964" s="1185"/>
      <c r="H964" s="1185"/>
      <c r="I964" s="1185"/>
      <c r="J964" s="1185"/>
      <c r="K964" s="1185"/>
      <c r="L964" s="1185"/>
      <c r="M964" s="1185"/>
      <c r="N964" s="195"/>
    </row>
    <row r="965">
      <c r="A965" s="1185"/>
      <c r="B965" s="1185"/>
      <c r="C965" s="1185"/>
      <c r="D965" s="1185"/>
      <c r="E965" s="1185"/>
      <c r="F965" s="1185"/>
      <c r="G965" s="1185"/>
      <c r="H965" s="1185"/>
      <c r="I965" s="1185"/>
      <c r="J965" s="1185"/>
      <c r="K965" s="1185"/>
      <c r="L965" s="1185"/>
      <c r="M965" s="1185"/>
      <c r="N965" s="195"/>
    </row>
    <row r="966">
      <c r="A966" s="1185"/>
      <c r="B966" s="1185"/>
      <c r="C966" s="1185"/>
      <c r="D966" s="1185"/>
      <c r="E966" s="1185"/>
      <c r="F966" s="1185"/>
      <c r="G966" s="1185"/>
      <c r="H966" s="1185"/>
      <c r="I966" s="1185"/>
      <c r="J966" s="1185"/>
      <c r="K966" s="1185"/>
      <c r="L966" s="1185"/>
      <c r="M966" s="1185"/>
      <c r="N966" s="195"/>
    </row>
    <row r="967">
      <c r="A967" s="1185"/>
      <c r="B967" s="1185"/>
      <c r="C967" s="1185"/>
      <c r="D967" s="1185"/>
      <c r="E967" s="1185"/>
      <c r="F967" s="1185"/>
      <c r="G967" s="1185"/>
      <c r="H967" s="1185"/>
      <c r="I967" s="1185"/>
      <c r="J967" s="1185"/>
      <c r="K967" s="1185"/>
      <c r="L967" s="1185"/>
      <c r="M967" s="1185"/>
      <c r="N967" s="195"/>
    </row>
    <row r="968">
      <c r="A968" s="1185"/>
      <c r="B968" s="1185"/>
      <c r="C968" s="1185"/>
      <c r="D968" s="1185"/>
      <c r="E968" s="1185"/>
      <c r="F968" s="1185"/>
      <c r="G968" s="1185"/>
      <c r="H968" s="1185"/>
      <c r="I968" s="1185"/>
      <c r="J968" s="1185"/>
      <c r="K968" s="1185"/>
      <c r="L968" s="1185"/>
      <c r="M968" s="1185"/>
      <c r="N968" s="195"/>
    </row>
    <row r="969">
      <c r="A969" s="1185"/>
      <c r="B969" s="1185"/>
      <c r="C969" s="1185"/>
      <c r="D969" s="1185"/>
      <c r="E969" s="1185"/>
      <c r="F969" s="1185"/>
      <c r="G969" s="1185"/>
      <c r="H969" s="1185"/>
      <c r="I969" s="1185"/>
      <c r="J969" s="1185"/>
      <c r="K969" s="1185"/>
      <c r="L969" s="1185"/>
      <c r="M969" s="1185"/>
      <c r="N969" s="195"/>
    </row>
    <row r="970">
      <c r="A970" s="1185"/>
      <c r="B970" s="1185"/>
      <c r="C970" s="1185"/>
      <c r="D970" s="1185"/>
      <c r="E970" s="1185"/>
      <c r="F970" s="1185"/>
      <c r="G970" s="1185"/>
      <c r="H970" s="1185"/>
      <c r="I970" s="1185"/>
      <c r="J970" s="1185"/>
      <c r="K970" s="1185"/>
      <c r="L970" s="1185"/>
      <c r="M970" s="1185"/>
      <c r="N970" s="195"/>
    </row>
    <row r="971">
      <c r="A971" s="1185"/>
      <c r="B971" s="1185"/>
      <c r="C971" s="1185"/>
      <c r="D971" s="1185"/>
      <c r="E971" s="1185"/>
      <c r="F971" s="1185"/>
      <c r="G971" s="1185"/>
      <c r="H971" s="1185"/>
      <c r="I971" s="1185"/>
      <c r="J971" s="1185"/>
      <c r="K971" s="1185"/>
      <c r="L971" s="1185"/>
      <c r="M971" s="1185"/>
      <c r="N971" s="195"/>
    </row>
    <row r="972">
      <c r="A972" s="1185"/>
      <c r="B972" s="1185"/>
      <c r="C972" s="1185"/>
      <c r="D972" s="1185"/>
      <c r="E972" s="1185"/>
      <c r="F972" s="1185"/>
      <c r="G972" s="1185"/>
      <c r="H972" s="1185"/>
      <c r="I972" s="1185"/>
      <c r="J972" s="1185"/>
      <c r="K972" s="1185"/>
      <c r="L972" s="1185"/>
      <c r="M972" s="1185"/>
      <c r="N972" s="195"/>
    </row>
    <row r="973">
      <c r="A973" s="1185"/>
      <c r="B973" s="1185"/>
      <c r="C973" s="1185"/>
      <c r="D973" s="1185"/>
      <c r="E973" s="1185"/>
      <c r="F973" s="1185"/>
      <c r="G973" s="1185"/>
      <c r="H973" s="1185"/>
      <c r="I973" s="1185"/>
      <c r="J973" s="1185"/>
      <c r="K973" s="1185"/>
      <c r="L973" s="1185"/>
      <c r="M973" s="1185"/>
      <c r="N973" s="195"/>
    </row>
    <row r="974">
      <c r="A974" s="1185"/>
      <c r="B974" s="1185"/>
      <c r="C974" s="1185"/>
      <c r="D974" s="1185"/>
      <c r="E974" s="1185"/>
      <c r="F974" s="1185"/>
      <c r="G974" s="1185"/>
      <c r="H974" s="1185"/>
      <c r="I974" s="1185"/>
      <c r="J974" s="1185"/>
      <c r="K974" s="1185"/>
      <c r="L974" s="1185"/>
      <c r="M974" s="1185"/>
      <c r="N974" s="195"/>
    </row>
    <row r="975">
      <c r="A975" s="1185"/>
      <c r="B975" s="1185"/>
      <c r="C975" s="1185"/>
      <c r="D975" s="1185"/>
      <c r="E975" s="1185"/>
      <c r="F975" s="1185"/>
      <c r="G975" s="1185"/>
      <c r="H975" s="1185"/>
      <c r="I975" s="1185"/>
      <c r="J975" s="1185"/>
      <c r="K975" s="1185"/>
      <c r="L975" s="1185"/>
      <c r="M975" s="1185"/>
      <c r="N975" s="195"/>
    </row>
    <row r="976">
      <c r="A976" s="1185"/>
      <c r="B976" s="1185"/>
      <c r="C976" s="1185"/>
      <c r="D976" s="1185"/>
      <c r="E976" s="1185"/>
      <c r="F976" s="1185"/>
      <c r="G976" s="1185"/>
      <c r="H976" s="1185"/>
      <c r="I976" s="1185"/>
      <c r="J976" s="1185"/>
      <c r="K976" s="1185"/>
      <c r="L976" s="1185"/>
      <c r="M976" s="1185"/>
      <c r="N976" s="195"/>
    </row>
    <row r="977">
      <c r="A977" s="1185"/>
      <c r="B977" s="1185"/>
      <c r="C977" s="1185"/>
      <c r="D977" s="1185"/>
      <c r="E977" s="1185"/>
      <c r="F977" s="1185"/>
      <c r="G977" s="1185"/>
      <c r="H977" s="1185"/>
      <c r="I977" s="1185"/>
      <c r="J977" s="1185"/>
      <c r="K977" s="1185"/>
      <c r="L977" s="1185"/>
      <c r="M977" s="1185"/>
      <c r="N977" s="195"/>
    </row>
    <row r="978">
      <c r="A978" s="1185"/>
      <c r="B978" s="1185"/>
      <c r="C978" s="1185"/>
      <c r="D978" s="1185"/>
      <c r="E978" s="1185"/>
      <c r="F978" s="1185"/>
      <c r="G978" s="1185"/>
      <c r="H978" s="1185"/>
      <c r="I978" s="1185"/>
      <c r="J978" s="1185"/>
      <c r="K978" s="1185"/>
      <c r="L978" s="1185"/>
      <c r="M978" s="1185"/>
      <c r="N978" s="195"/>
    </row>
    <row r="979">
      <c r="A979" s="1185"/>
      <c r="B979" s="1185"/>
      <c r="C979" s="1185"/>
      <c r="D979" s="1185"/>
      <c r="E979" s="1185"/>
      <c r="F979" s="1185"/>
      <c r="G979" s="1185"/>
      <c r="H979" s="1185"/>
      <c r="I979" s="1185"/>
      <c r="J979" s="1185"/>
      <c r="K979" s="1185"/>
      <c r="L979" s="1185"/>
      <c r="M979" s="1185"/>
      <c r="N979" s="195"/>
    </row>
    <row r="980">
      <c r="A980" s="1185"/>
      <c r="B980" s="1185"/>
      <c r="C980" s="1185"/>
      <c r="D980" s="1185"/>
      <c r="E980" s="1185"/>
      <c r="F980" s="1185"/>
      <c r="G980" s="1185"/>
      <c r="H980" s="1185"/>
      <c r="I980" s="1185"/>
      <c r="J980" s="1185"/>
      <c r="K980" s="1185"/>
      <c r="L980" s="1185"/>
      <c r="M980" s="1185"/>
      <c r="N980" s="195"/>
    </row>
    <row r="981">
      <c r="A981" s="1185"/>
      <c r="B981" s="1185"/>
      <c r="C981" s="1185"/>
      <c r="D981" s="1185"/>
      <c r="E981" s="1185"/>
      <c r="F981" s="1185"/>
      <c r="G981" s="1185"/>
      <c r="H981" s="1185"/>
      <c r="I981" s="1185"/>
      <c r="J981" s="1185"/>
      <c r="K981" s="1185"/>
      <c r="L981" s="1185"/>
      <c r="M981" s="1185"/>
      <c r="N981" s="195"/>
    </row>
    <row r="982">
      <c r="A982" s="1185"/>
      <c r="B982" s="1185"/>
      <c r="C982" s="1185"/>
      <c r="D982" s="1185"/>
      <c r="E982" s="1185"/>
      <c r="F982" s="1185"/>
      <c r="G982" s="1185"/>
      <c r="H982" s="1185"/>
      <c r="I982" s="1185"/>
      <c r="J982" s="1185"/>
      <c r="K982" s="1185"/>
      <c r="L982" s="1185"/>
      <c r="M982" s="1185"/>
      <c r="N982" s="195"/>
    </row>
    <row r="983">
      <c r="A983" s="1185"/>
      <c r="B983" s="1185"/>
      <c r="C983" s="1185"/>
      <c r="D983" s="1185"/>
      <c r="E983" s="1185"/>
      <c r="F983" s="1185"/>
      <c r="G983" s="1185"/>
      <c r="H983" s="1185"/>
      <c r="I983" s="1185"/>
      <c r="J983" s="1185"/>
      <c r="K983" s="1185"/>
      <c r="L983" s="1185"/>
      <c r="M983" s="1185"/>
      <c r="N983" s="195"/>
    </row>
    <row r="984">
      <c r="A984" s="1185"/>
      <c r="B984" s="1185"/>
      <c r="C984" s="1185"/>
      <c r="D984" s="1185"/>
      <c r="E984" s="1185"/>
      <c r="F984" s="1185"/>
      <c r="G984" s="1185"/>
      <c r="H984" s="1185"/>
      <c r="I984" s="1185"/>
      <c r="J984" s="1185"/>
      <c r="K984" s="1185"/>
      <c r="L984" s="1185"/>
      <c r="M984" s="1185"/>
      <c r="N984" s="195"/>
    </row>
    <row r="985">
      <c r="A985" s="1185"/>
      <c r="B985" s="1185"/>
      <c r="C985" s="1185"/>
      <c r="D985" s="1185"/>
      <c r="E985" s="1185"/>
      <c r="F985" s="1185"/>
      <c r="G985" s="1185"/>
      <c r="H985" s="1185"/>
      <c r="I985" s="1185"/>
      <c r="J985" s="1185"/>
      <c r="K985" s="1185"/>
      <c r="L985" s="1185"/>
      <c r="M985" s="1185"/>
      <c r="N985" s="195"/>
    </row>
    <row r="986">
      <c r="A986" s="1185"/>
      <c r="B986" s="1185"/>
      <c r="C986" s="1185"/>
      <c r="D986" s="1185"/>
      <c r="E986" s="1185"/>
      <c r="F986" s="1185"/>
      <c r="G986" s="1185"/>
      <c r="H986" s="1185"/>
      <c r="I986" s="1185"/>
      <c r="J986" s="1185"/>
      <c r="K986" s="1185"/>
      <c r="L986" s="1185"/>
      <c r="M986" s="1185"/>
      <c r="N986" s="195"/>
    </row>
    <row r="987">
      <c r="A987" s="1185"/>
      <c r="B987" s="1185"/>
      <c r="C987" s="1185"/>
      <c r="D987" s="1185"/>
      <c r="E987" s="1185"/>
      <c r="F987" s="1185"/>
      <c r="G987" s="1185"/>
      <c r="H987" s="1185"/>
      <c r="I987" s="1185"/>
      <c r="J987" s="1185"/>
      <c r="K987" s="1185"/>
      <c r="L987" s="1185"/>
      <c r="M987" s="1185"/>
      <c r="N987" s="195"/>
    </row>
    <row r="988">
      <c r="A988" s="1185"/>
      <c r="B988" s="1185"/>
      <c r="C988" s="1185"/>
      <c r="D988" s="1185"/>
      <c r="E988" s="1185"/>
      <c r="F988" s="1185"/>
      <c r="G988" s="1185"/>
      <c r="H988" s="1185"/>
      <c r="I988" s="1185"/>
      <c r="J988" s="1185"/>
      <c r="K988" s="1185"/>
      <c r="L988" s="1185"/>
      <c r="M988" s="1185"/>
      <c r="N988" s="195"/>
    </row>
    <row r="989">
      <c r="A989" s="1185"/>
      <c r="B989" s="1185"/>
      <c r="C989" s="1185"/>
      <c r="D989" s="1185"/>
      <c r="E989" s="1185"/>
      <c r="F989" s="1185"/>
      <c r="G989" s="1185"/>
      <c r="H989" s="1185"/>
      <c r="I989" s="1185"/>
      <c r="J989" s="1185"/>
      <c r="K989" s="1185"/>
      <c r="L989" s="1185"/>
      <c r="M989" s="1185"/>
      <c r="N989" s="195"/>
    </row>
    <row r="990">
      <c r="A990" s="1185"/>
      <c r="B990" s="1185"/>
      <c r="C990" s="1185"/>
      <c r="D990" s="1185"/>
      <c r="E990" s="1185"/>
      <c r="F990" s="1185"/>
      <c r="G990" s="1185"/>
      <c r="H990" s="1185"/>
      <c r="I990" s="1185"/>
      <c r="J990" s="1185"/>
      <c r="K990" s="1185"/>
      <c r="L990" s="1185"/>
      <c r="M990" s="1185"/>
      <c r="N990" s="195"/>
    </row>
    <row r="991">
      <c r="A991" s="1185"/>
      <c r="B991" s="1185"/>
      <c r="C991" s="1185"/>
      <c r="D991" s="1185"/>
      <c r="E991" s="1185"/>
      <c r="F991" s="1185"/>
      <c r="G991" s="1185"/>
      <c r="H991" s="1185"/>
      <c r="I991" s="1185"/>
      <c r="J991" s="1185"/>
      <c r="K991" s="1185"/>
      <c r="L991" s="1185"/>
      <c r="M991" s="1185"/>
      <c r="N991" s="195"/>
    </row>
    <row r="992">
      <c r="A992" s="1185"/>
      <c r="B992" s="1185"/>
      <c r="C992" s="1185"/>
      <c r="D992" s="1185"/>
      <c r="E992" s="1185"/>
      <c r="F992" s="1185"/>
      <c r="G992" s="1185"/>
      <c r="H992" s="1185"/>
      <c r="I992" s="1185"/>
      <c r="J992" s="1185"/>
      <c r="K992" s="1185"/>
      <c r="L992" s="1185"/>
      <c r="M992" s="1185"/>
      <c r="N992" s="195"/>
    </row>
    <row r="993">
      <c r="A993" s="1185"/>
      <c r="B993" s="1185"/>
      <c r="C993" s="1185"/>
      <c r="D993" s="1185"/>
      <c r="E993" s="1185"/>
      <c r="F993" s="1185"/>
      <c r="G993" s="1185"/>
      <c r="H993" s="1185"/>
      <c r="I993" s="1185"/>
      <c r="J993" s="1185"/>
      <c r="K993" s="1185"/>
      <c r="L993" s="1185"/>
      <c r="M993" s="1185"/>
      <c r="N993" s="195"/>
    </row>
    <row r="994">
      <c r="A994" s="1185"/>
      <c r="B994" s="1185"/>
      <c r="C994" s="1185"/>
      <c r="D994" s="1185"/>
      <c r="E994" s="1185"/>
      <c r="F994" s="1185"/>
      <c r="G994" s="1185"/>
      <c r="H994" s="1185"/>
      <c r="I994" s="1185"/>
      <c r="J994" s="1185"/>
      <c r="K994" s="1185"/>
      <c r="L994" s="1185"/>
      <c r="M994" s="1185"/>
      <c r="N994" s="195"/>
    </row>
    <row r="995">
      <c r="A995" s="1185"/>
      <c r="B995" s="1185"/>
      <c r="C995" s="1185"/>
      <c r="D995" s="1185"/>
      <c r="E995" s="1185"/>
      <c r="F995" s="1185"/>
      <c r="G995" s="1185"/>
      <c r="H995" s="1185"/>
      <c r="I995" s="1185"/>
      <c r="J995" s="1185"/>
      <c r="K995" s="1185"/>
      <c r="L995" s="1185"/>
      <c r="M995" s="1185"/>
      <c r="N995" s="195"/>
    </row>
    <row r="996">
      <c r="A996" s="1185"/>
      <c r="B996" s="1185"/>
      <c r="C996" s="1185"/>
      <c r="D996" s="1185"/>
      <c r="E996" s="1185"/>
      <c r="F996" s="1185"/>
      <c r="G996" s="1185"/>
      <c r="H996" s="1185"/>
      <c r="I996" s="1185"/>
      <c r="J996" s="1185"/>
      <c r="K996" s="1185"/>
      <c r="L996" s="1185"/>
      <c r="M996" s="1185"/>
      <c r="N996" s="195"/>
    </row>
    <row r="997">
      <c r="A997" s="1185"/>
      <c r="B997" s="1185"/>
      <c r="C997" s="1185"/>
      <c r="D997" s="1185"/>
      <c r="E997" s="1185"/>
      <c r="F997" s="1185"/>
      <c r="G997" s="1185"/>
      <c r="H997" s="1185"/>
      <c r="I997" s="1185"/>
      <c r="J997" s="1185"/>
      <c r="K997" s="1185"/>
      <c r="L997" s="1185"/>
      <c r="M997" s="1185"/>
      <c r="N997" s="195"/>
    </row>
    <row r="998">
      <c r="A998" s="1185"/>
      <c r="B998" s="1185"/>
      <c r="C998" s="1185"/>
      <c r="D998" s="1185"/>
      <c r="E998" s="1185"/>
      <c r="F998" s="1185"/>
      <c r="G998" s="1185"/>
      <c r="H998" s="1185"/>
      <c r="I998" s="1185"/>
      <c r="J998" s="1185"/>
      <c r="K998" s="1185"/>
      <c r="L998" s="1185"/>
      <c r="M998" s="1185"/>
      <c r="N998" s="195"/>
    </row>
    <row r="999">
      <c r="A999" s="1185"/>
      <c r="B999" s="1185"/>
      <c r="C999" s="1185"/>
      <c r="D999" s="1185"/>
      <c r="E999" s="1185"/>
      <c r="F999" s="1185"/>
      <c r="G999" s="1185"/>
      <c r="H999" s="1185"/>
      <c r="I999" s="1185"/>
      <c r="J999" s="1185"/>
      <c r="K999" s="1185"/>
      <c r="L999" s="1185"/>
      <c r="M999" s="1185"/>
      <c r="N999" s="195"/>
    </row>
    <row r="1000">
      <c r="A1000" s="1185"/>
      <c r="B1000" s="1185"/>
      <c r="C1000" s="1185"/>
      <c r="D1000" s="1185"/>
      <c r="E1000" s="1185"/>
      <c r="F1000" s="1185"/>
      <c r="G1000" s="1185"/>
      <c r="H1000" s="1185"/>
      <c r="I1000" s="1185"/>
      <c r="J1000" s="1185"/>
      <c r="K1000" s="1185"/>
      <c r="L1000" s="1185"/>
      <c r="M1000" s="1185"/>
      <c r="N1000" s="195"/>
    </row>
    <row r="1001">
      <c r="A1001" s="1185"/>
      <c r="B1001" s="1185"/>
      <c r="C1001" s="1185"/>
      <c r="D1001" s="1185"/>
      <c r="E1001" s="1185"/>
      <c r="F1001" s="1185"/>
      <c r="G1001" s="1185"/>
      <c r="H1001" s="1185"/>
      <c r="I1001" s="1185"/>
      <c r="J1001" s="1185"/>
      <c r="K1001" s="1185"/>
      <c r="L1001" s="1185"/>
      <c r="M1001" s="1185"/>
      <c r="N1001" s="195"/>
    </row>
    <row r="1002">
      <c r="A1002" s="1185"/>
      <c r="B1002" s="1185"/>
      <c r="C1002" s="1185"/>
      <c r="D1002" s="1185"/>
      <c r="E1002" s="1185"/>
      <c r="F1002" s="1185"/>
      <c r="G1002" s="1185"/>
      <c r="H1002" s="1185"/>
      <c r="I1002" s="1185"/>
      <c r="J1002" s="1185"/>
      <c r="K1002" s="1185"/>
      <c r="L1002" s="1185"/>
      <c r="M1002" s="1185"/>
      <c r="N1002" s="195"/>
    </row>
    <row r="1003">
      <c r="A1003" s="1185"/>
      <c r="B1003" s="1185"/>
      <c r="C1003" s="1185"/>
      <c r="D1003" s="1185"/>
      <c r="E1003" s="1185"/>
      <c r="F1003" s="1185"/>
      <c r="G1003" s="1185"/>
      <c r="H1003" s="1185"/>
      <c r="I1003" s="1185"/>
      <c r="J1003" s="1185"/>
      <c r="K1003" s="1185"/>
      <c r="L1003" s="1185"/>
      <c r="M1003" s="1185"/>
      <c r="N1003" s="195"/>
    </row>
    <row r="1004">
      <c r="A1004" s="1185"/>
      <c r="B1004" s="1185"/>
      <c r="C1004" s="1185"/>
      <c r="D1004" s="1185"/>
      <c r="E1004" s="1185"/>
      <c r="F1004" s="1185"/>
      <c r="G1004" s="1185"/>
      <c r="H1004" s="1185"/>
      <c r="I1004" s="1185"/>
      <c r="J1004" s="1185"/>
      <c r="K1004" s="1185"/>
      <c r="L1004" s="1185"/>
      <c r="M1004" s="1185"/>
      <c r="N1004" s="195"/>
    </row>
    <row r="1005">
      <c r="A1005" s="1185"/>
      <c r="B1005" s="1185"/>
      <c r="C1005" s="1185"/>
      <c r="D1005" s="1185"/>
      <c r="E1005" s="1185"/>
      <c r="F1005" s="1185"/>
      <c r="G1005" s="1185"/>
      <c r="H1005" s="1185"/>
      <c r="I1005" s="1185"/>
      <c r="J1005" s="1185"/>
      <c r="K1005" s="1185"/>
      <c r="L1005" s="1185"/>
      <c r="M1005" s="1185"/>
      <c r="N1005" s="195"/>
    </row>
    <row r="1006">
      <c r="A1006" s="1185"/>
      <c r="B1006" s="1185"/>
      <c r="C1006" s="1185"/>
      <c r="D1006" s="1185"/>
      <c r="E1006" s="1185"/>
      <c r="F1006" s="1185"/>
      <c r="G1006" s="1185"/>
      <c r="H1006" s="1185"/>
      <c r="I1006" s="1185"/>
      <c r="J1006" s="1185"/>
      <c r="K1006" s="1185"/>
      <c r="L1006" s="1185"/>
      <c r="M1006" s="1185"/>
      <c r="N1006" s="195"/>
    </row>
    <row r="1007">
      <c r="A1007" s="1185"/>
      <c r="B1007" s="1185"/>
      <c r="C1007" s="1185"/>
      <c r="D1007" s="1185"/>
      <c r="E1007" s="1185"/>
      <c r="F1007" s="1185"/>
      <c r="G1007" s="1185"/>
      <c r="H1007" s="1185"/>
      <c r="I1007" s="1185"/>
      <c r="J1007" s="1185"/>
      <c r="K1007" s="1185"/>
      <c r="L1007" s="1185"/>
      <c r="M1007" s="1185"/>
      <c r="N1007" s="195"/>
    </row>
    <row r="1008">
      <c r="A1008" s="1185"/>
      <c r="B1008" s="1185"/>
      <c r="C1008" s="1185"/>
      <c r="D1008" s="1185"/>
      <c r="E1008" s="1185"/>
      <c r="F1008" s="1185"/>
      <c r="G1008" s="1185"/>
      <c r="H1008" s="1185"/>
      <c r="I1008" s="1185"/>
      <c r="J1008" s="1185"/>
      <c r="K1008" s="1185"/>
      <c r="L1008" s="1185"/>
      <c r="M1008" s="1185"/>
      <c r="N1008" s="195"/>
    </row>
    <row r="1009">
      <c r="A1009" s="1185"/>
      <c r="B1009" s="1185"/>
      <c r="C1009" s="1185"/>
      <c r="D1009" s="1185"/>
      <c r="E1009" s="1185"/>
      <c r="F1009" s="1185"/>
      <c r="G1009" s="1185"/>
      <c r="H1009" s="1185"/>
      <c r="I1009" s="1185"/>
      <c r="J1009" s="1185"/>
      <c r="K1009" s="1185"/>
      <c r="L1009" s="1185"/>
      <c r="M1009" s="1185"/>
      <c r="N1009" s="195"/>
    </row>
    <row r="1010">
      <c r="A1010" s="1185"/>
      <c r="B1010" s="1185"/>
      <c r="C1010" s="1185"/>
      <c r="D1010" s="1185"/>
      <c r="E1010" s="1185"/>
      <c r="F1010" s="1185"/>
      <c r="G1010" s="1185"/>
      <c r="H1010" s="1185"/>
      <c r="I1010" s="1185"/>
      <c r="J1010" s="1185"/>
      <c r="K1010" s="1185"/>
      <c r="L1010" s="1185"/>
      <c r="M1010" s="1185"/>
      <c r="N1010" s="195"/>
    </row>
    <row r="1011">
      <c r="A1011" s="1185"/>
      <c r="B1011" s="1185"/>
      <c r="C1011" s="1185"/>
      <c r="D1011" s="1185"/>
      <c r="E1011" s="1185"/>
      <c r="F1011" s="1185"/>
      <c r="G1011" s="1185"/>
      <c r="H1011" s="1185"/>
      <c r="I1011" s="1185"/>
      <c r="J1011" s="1185"/>
      <c r="K1011" s="1185"/>
      <c r="L1011" s="1185"/>
      <c r="M1011" s="1185"/>
      <c r="N1011" s="195"/>
    </row>
    <row r="1012">
      <c r="A1012" s="1185"/>
      <c r="B1012" s="1185"/>
      <c r="C1012" s="1185"/>
      <c r="D1012" s="1185"/>
      <c r="E1012" s="1185"/>
      <c r="F1012" s="1185"/>
      <c r="G1012" s="1185"/>
      <c r="H1012" s="1185"/>
      <c r="I1012" s="1185"/>
      <c r="J1012" s="1185"/>
      <c r="K1012" s="1185"/>
      <c r="L1012" s="1185"/>
      <c r="M1012" s="1185"/>
      <c r="N1012" s="195"/>
    </row>
    <row r="1013">
      <c r="A1013" s="1185"/>
      <c r="B1013" s="1185"/>
      <c r="C1013" s="1185"/>
      <c r="D1013" s="1185"/>
      <c r="E1013" s="1185"/>
      <c r="F1013" s="1185"/>
      <c r="G1013" s="1185"/>
      <c r="H1013" s="1185"/>
      <c r="I1013" s="1185"/>
      <c r="J1013" s="1185"/>
      <c r="K1013" s="1185"/>
      <c r="L1013" s="1185"/>
      <c r="M1013" s="1185"/>
      <c r="N1013" s="195"/>
    </row>
    <row r="1014">
      <c r="A1014" s="1185"/>
      <c r="B1014" s="1185"/>
      <c r="C1014" s="1185"/>
      <c r="D1014" s="1185"/>
      <c r="E1014" s="1185"/>
      <c r="F1014" s="1185"/>
      <c r="G1014" s="1185"/>
      <c r="H1014" s="1185"/>
      <c r="I1014" s="1185"/>
      <c r="J1014" s="1185"/>
      <c r="K1014" s="1185"/>
      <c r="L1014" s="1185"/>
      <c r="M1014" s="1185"/>
      <c r="N1014" s="195"/>
    </row>
    <row r="1015">
      <c r="A1015" s="1185"/>
      <c r="B1015" s="1185"/>
      <c r="C1015" s="1185"/>
      <c r="D1015" s="1185"/>
      <c r="E1015" s="1185"/>
      <c r="F1015" s="1185"/>
      <c r="G1015" s="1185"/>
      <c r="H1015" s="1185"/>
      <c r="I1015" s="1185"/>
      <c r="J1015" s="1185"/>
      <c r="K1015" s="1185"/>
      <c r="L1015" s="1185"/>
      <c r="M1015" s="1185"/>
      <c r="N1015" s="195"/>
    </row>
    <row r="1016">
      <c r="A1016" s="1185"/>
      <c r="B1016" s="1185"/>
      <c r="C1016" s="1185"/>
      <c r="D1016" s="1185"/>
      <c r="E1016" s="1185"/>
      <c r="F1016" s="1185"/>
      <c r="G1016" s="1185"/>
      <c r="H1016" s="1185"/>
      <c r="I1016" s="1185"/>
      <c r="J1016" s="1185"/>
      <c r="K1016" s="1185"/>
      <c r="L1016" s="1185"/>
      <c r="M1016" s="1185"/>
      <c r="N1016" s="195"/>
    </row>
    <row r="1017">
      <c r="A1017" s="1185"/>
      <c r="B1017" s="1185"/>
      <c r="C1017" s="1185"/>
      <c r="D1017" s="1185"/>
      <c r="E1017" s="1185"/>
      <c r="F1017" s="1185"/>
      <c r="G1017" s="1185"/>
      <c r="H1017" s="1185"/>
      <c r="I1017" s="1185"/>
      <c r="J1017" s="1185"/>
      <c r="K1017" s="1185"/>
      <c r="L1017" s="1185"/>
      <c r="M1017" s="1185"/>
      <c r="N1017" s="195"/>
    </row>
    <row r="1018">
      <c r="A1018" s="1185"/>
      <c r="B1018" s="1185"/>
      <c r="C1018" s="1185"/>
      <c r="D1018" s="1185"/>
      <c r="E1018" s="1185"/>
      <c r="F1018" s="1185"/>
      <c r="G1018" s="1185"/>
      <c r="H1018" s="1185"/>
      <c r="I1018" s="1185"/>
      <c r="J1018" s="1185"/>
      <c r="K1018" s="1185"/>
      <c r="L1018" s="1185"/>
      <c r="M1018" s="1185"/>
      <c r="N1018" s="195"/>
    </row>
    <row r="1019">
      <c r="A1019" s="1185"/>
      <c r="B1019" s="1185"/>
      <c r="C1019" s="1185"/>
      <c r="D1019" s="1185"/>
      <c r="E1019" s="1185"/>
      <c r="F1019" s="1185"/>
      <c r="G1019" s="1185"/>
      <c r="H1019" s="1185"/>
      <c r="I1019" s="1185"/>
      <c r="J1019" s="1185"/>
      <c r="K1019" s="1185"/>
      <c r="L1019" s="1185"/>
      <c r="M1019" s="1185"/>
      <c r="N1019" s="195"/>
    </row>
    <row r="1020">
      <c r="A1020" s="1185"/>
      <c r="B1020" s="1185"/>
      <c r="C1020" s="1185"/>
      <c r="D1020" s="1185"/>
      <c r="E1020" s="1185"/>
      <c r="F1020" s="1185"/>
      <c r="G1020" s="1185"/>
      <c r="H1020" s="1185"/>
      <c r="I1020" s="1185"/>
      <c r="J1020" s="1185"/>
      <c r="K1020" s="1185"/>
      <c r="L1020" s="1185"/>
      <c r="M1020" s="1185"/>
      <c r="N1020" s="195"/>
    </row>
    <row r="1021">
      <c r="A1021" s="1185"/>
      <c r="B1021" s="1185"/>
      <c r="C1021" s="1185"/>
      <c r="D1021" s="1185"/>
      <c r="E1021" s="1185"/>
      <c r="F1021" s="1185"/>
      <c r="G1021" s="1185"/>
      <c r="H1021" s="1185"/>
      <c r="I1021" s="1185"/>
      <c r="J1021" s="1185"/>
      <c r="K1021" s="1185"/>
      <c r="L1021" s="1185"/>
      <c r="M1021" s="1185"/>
      <c r="N1021" s="195"/>
    </row>
    <row r="1022">
      <c r="A1022" s="1185"/>
      <c r="B1022" s="1185"/>
      <c r="C1022" s="1185"/>
      <c r="D1022" s="1185"/>
      <c r="E1022" s="1185"/>
      <c r="F1022" s="1185"/>
      <c r="G1022" s="1185"/>
      <c r="H1022" s="1185"/>
      <c r="I1022" s="1185"/>
      <c r="J1022" s="1185"/>
      <c r="K1022" s="1185"/>
      <c r="L1022" s="1185"/>
      <c r="M1022" s="1185"/>
      <c r="N1022" s="195"/>
    </row>
    <row r="1023">
      <c r="A1023" s="1185"/>
      <c r="B1023" s="1185"/>
      <c r="C1023" s="1185"/>
      <c r="D1023" s="1185"/>
      <c r="E1023" s="1185"/>
      <c r="F1023" s="1185"/>
      <c r="G1023" s="1185"/>
      <c r="H1023" s="1185"/>
      <c r="I1023" s="1185"/>
      <c r="J1023" s="1185"/>
      <c r="K1023" s="1185"/>
      <c r="L1023" s="1185"/>
      <c r="M1023" s="1185"/>
      <c r="N1023" s="195"/>
    </row>
    <row r="1024">
      <c r="A1024" s="1185"/>
      <c r="B1024" s="1185"/>
      <c r="C1024" s="1185"/>
      <c r="D1024" s="1185"/>
      <c r="E1024" s="1185"/>
      <c r="F1024" s="1185"/>
      <c r="G1024" s="1185"/>
      <c r="H1024" s="1185"/>
      <c r="I1024" s="1185"/>
      <c r="J1024" s="1185"/>
      <c r="K1024" s="1185"/>
      <c r="L1024" s="1185"/>
      <c r="M1024" s="1185"/>
      <c r="N1024" s="195"/>
    </row>
    <row r="1025">
      <c r="A1025" s="1185"/>
      <c r="B1025" s="1185"/>
      <c r="C1025" s="1185"/>
      <c r="D1025" s="1185"/>
      <c r="E1025" s="1185"/>
      <c r="F1025" s="1185"/>
      <c r="G1025" s="1185"/>
      <c r="H1025" s="1185"/>
      <c r="I1025" s="1185"/>
      <c r="J1025" s="1185"/>
      <c r="K1025" s="1185"/>
      <c r="L1025" s="1185"/>
      <c r="M1025" s="1185"/>
      <c r="N1025" s="195"/>
    </row>
    <row r="1026">
      <c r="A1026" s="1185"/>
      <c r="B1026" s="1185"/>
      <c r="C1026" s="1185"/>
      <c r="D1026" s="1185"/>
      <c r="E1026" s="1185"/>
      <c r="F1026" s="1185"/>
      <c r="G1026" s="1185"/>
      <c r="H1026" s="1185"/>
      <c r="I1026" s="1185"/>
      <c r="J1026" s="1185"/>
      <c r="K1026" s="1185"/>
      <c r="L1026" s="1185"/>
      <c r="M1026" s="1185"/>
      <c r="N1026" s="195"/>
    </row>
    <row r="1027">
      <c r="A1027" s="1185"/>
      <c r="B1027" s="1185"/>
      <c r="C1027" s="1185"/>
      <c r="D1027" s="1185"/>
      <c r="E1027" s="1185"/>
      <c r="F1027" s="1185"/>
      <c r="G1027" s="1185"/>
      <c r="H1027" s="1185"/>
      <c r="I1027" s="1185"/>
      <c r="J1027" s="1185"/>
      <c r="K1027" s="1185"/>
      <c r="L1027" s="1185"/>
      <c r="M1027" s="1185"/>
      <c r="N1027" s="195"/>
    </row>
    <row r="1028">
      <c r="A1028" s="1185"/>
      <c r="B1028" s="1185"/>
      <c r="C1028" s="1185"/>
      <c r="D1028" s="1185"/>
      <c r="E1028" s="1185"/>
      <c r="F1028" s="1185"/>
      <c r="G1028" s="1185"/>
      <c r="H1028" s="1185"/>
      <c r="I1028" s="1185"/>
      <c r="J1028" s="1185"/>
      <c r="K1028" s="1185"/>
      <c r="L1028" s="1185"/>
      <c r="M1028" s="1185"/>
      <c r="N1028" s="195"/>
    </row>
    <row r="1029">
      <c r="A1029" s="1185"/>
      <c r="B1029" s="1185"/>
      <c r="C1029" s="1185"/>
      <c r="D1029" s="1185"/>
      <c r="E1029" s="1185"/>
      <c r="F1029" s="1185"/>
      <c r="G1029" s="1185"/>
      <c r="H1029" s="1185"/>
      <c r="I1029" s="1185"/>
      <c r="J1029" s="1185"/>
      <c r="K1029" s="1185"/>
      <c r="L1029" s="1185"/>
      <c r="M1029" s="1185"/>
      <c r="N1029" s="195"/>
    </row>
    <row r="1030">
      <c r="A1030" s="1185"/>
      <c r="B1030" s="1185"/>
      <c r="C1030" s="1185"/>
      <c r="D1030" s="1185"/>
      <c r="E1030" s="1185"/>
      <c r="F1030" s="1185"/>
      <c r="G1030" s="1185"/>
      <c r="H1030" s="1185"/>
      <c r="I1030" s="1185"/>
      <c r="J1030" s="1185"/>
      <c r="K1030" s="1185"/>
      <c r="L1030" s="1185"/>
      <c r="M1030" s="1185"/>
      <c r="N1030" s="195"/>
    </row>
    <row r="1031">
      <c r="A1031" s="1185"/>
      <c r="B1031" s="1185"/>
      <c r="C1031" s="1185"/>
      <c r="D1031" s="1185"/>
      <c r="E1031" s="1185"/>
      <c r="F1031" s="1185"/>
      <c r="G1031" s="1185"/>
      <c r="H1031" s="1185"/>
      <c r="I1031" s="1185"/>
      <c r="J1031" s="1185"/>
      <c r="K1031" s="1185"/>
      <c r="L1031" s="1185"/>
      <c r="M1031" s="1185"/>
      <c r="N1031" s="195"/>
    </row>
    <row r="1032">
      <c r="A1032" s="1185"/>
      <c r="B1032" s="1185"/>
      <c r="C1032" s="1185"/>
      <c r="D1032" s="1185"/>
      <c r="E1032" s="1185"/>
      <c r="F1032" s="1185"/>
      <c r="G1032" s="1185"/>
      <c r="H1032" s="1185"/>
      <c r="I1032" s="1185"/>
      <c r="J1032" s="1185"/>
      <c r="K1032" s="1185"/>
      <c r="L1032" s="1185"/>
      <c r="M1032" s="1185"/>
      <c r="N1032" s="195"/>
    </row>
    <row r="1033">
      <c r="A1033" s="1185"/>
      <c r="B1033" s="1185"/>
      <c r="C1033" s="1185"/>
      <c r="D1033" s="1185"/>
      <c r="E1033" s="1185"/>
      <c r="F1033" s="1185"/>
      <c r="G1033" s="1185"/>
      <c r="H1033" s="1185"/>
      <c r="I1033" s="1185"/>
      <c r="J1033" s="1185"/>
      <c r="K1033" s="1185"/>
      <c r="L1033" s="1185"/>
      <c r="M1033" s="1185"/>
      <c r="N1033" s="195"/>
    </row>
    <row r="1034">
      <c r="A1034" s="1185"/>
      <c r="B1034" s="1185"/>
      <c r="C1034" s="1185"/>
      <c r="D1034" s="1185"/>
      <c r="E1034" s="1185"/>
      <c r="F1034" s="1185"/>
      <c r="G1034" s="1185"/>
      <c r="H1034" s="1185"/>
      <c r="I1034" s="1185"/>
      <c r="J1034" s="1185"/>
      <c r="K1034" s="1185"/>
      <c r="L1034" s="1185"/>
      <c r="M1034" s="1185"/>
      <c r="N1034" s="195"/>
    </row>
    <row r="1035">
      <c r="A1035" s="1185"/>
      <c r="B1035" s="1185"/>
      <c r="C1035" s="1185"/>
      <c r="D1035" s="1185"/>
      <c r="E1035" s="1185"/>
      <c r="F1035" s="1185"/>
      <c r="G1035" s="1185"/>
      <c r="H1035" s="1185"/>
      <c r="I1035" s="1185"/>
      <c r="J1035" s="1185"/>
      <c r="K1035" s="1185"/>
      <c r="L1035" s="1185"/>
      <c r="M1035" s="1185"/>
      <c r="N1035" s="195"/>
    </row>
    <row r="1036">
      <c r="A1036" s="1185"/>
      <c r="B1036" s="1185"/>
      <c r="C1036" s="1185"/>
      <c r="D1036" s="1185"/>
      <c r="E1036" s="1185"/>
      <c r="F1036" s="1185"/>
      <c r="G1036" s="1185"/>
      <c r="H1036" s="1185"/>
      <c r="I1036" s="1185"/>
      <c r="J1036" s="1185"/>
      <c r="K1036" s="1185"/>
      <c r="L1036" s="1185"/>
      <c r="M1036" s="1185"/>
      <c r="N1036" s="195"/>
    </row>
    <row r="1037">
      <c r="A1037" s="1185"/>
      <c r="B1037" s="1185"/>
      <c r="C1037" s="1185"/>
      <c r="D1037" s="1185"/>
      <c r="E1037" s="1185"/>
      <c r="F1037" s="1185"/>
      <c r="G1037" s="1185"/>
      <c r="H1037" s="1185"/>
      <c r="I1037" s="1185"/>
      <c r="J1037" s="1185"/>
      <c r="K1037" s="1185"/>
      <c r="L1037" s="1185"/>
      <c r="M1037" s="1185"/>
      <c r="N1037" s="195"/>
    </row>
    <row r="1038">
      <c r="A1038" s="1185"/>
      <c r="B1038" s="1185"/>
      <c r="C1038" s="1185"/>
      <c r="D1038" s="1185"/>
      <c r="E1038" s="1185"/>
      <c r="F1038" s="1185"/>
      <c r="G1038" s="1185"/>
      <c r="H1038" s="1185"/>
      <c r="I1038" s="1185"/>
      <c r="J1038" s="1185"/>
      <c r="K1038" s="1185"/>
      <c r="L1038" s="1185"/>
      <c r="M1038" s="1185"/>
      <c r="N1038" s="195"/>
    </row>
    <row r="1039">
      <c r="A1039" s="1185"/>
      <c r="B1039" s="1185"/>
      <c r="C1039" s="1185"/>
      <c r="D1039" s="1185"/>
      <c r="E1039" s="1185"/>
      <c r="F1039" s="1185"/>
      <c r="G1039" s="1185"/>
      <c r="H1039" s="1185"/>
      <c r="I1039" s="1185"/>
      <c r="J1039" s="1185"/>
      <c r="K1039" s="1185"/>
      <c r="L1039" s="1185"/>
      <c r="M1039" s="1185"/>
      <c r="N1039" s="195"/>
    </row>
    <row r="1040">
      <c r="A1040" s="1185"/>
      <c r="B1040" s="1185"/>
      <c r="C1040" s="1185"/>
      <c r="D1040" s="1185"/>
      <c r="E1040" s="1185"/>
      <c r="F1040" s="1185"/>
      <c r="G1040" s="1185"/>
      <c r="H1040" s="1185"/>
      <c r="I1040" s="1185"/>
      <c r="J1040" s="1185"/>
      <c r="K1040" s="1185"/>
      <c r="L1040" s="1185"/>
      <c r="M1040" s="1185"/>
      <c r="N1040" s="195"/>
    </row>
    <row r="1041">
      <c r="A1041" s="1185"/>
      <c r="B1041" s="1185"/>
      <c r="C1041" s="1185"/>
      <c r="D1041" s="1185"/>
      <c r="E1041" s="1185"/>
      <c r="F1041" s="1185"/>
      <c r="G1041" s="1185"/>
      <c r="H1041" s="1185"/>
      <c r="I1041" s="1185"/>
      <c r="J1041" s="1185"/>
      <c r="K1041" s="1185"/>
      <c r="L1041" s="1185"/>
      <c r="M1041" s="1185"/>
      <c r="N1041" s="195"/>
    </row>
    <row r="1042">
      <c r="A1042" s="1185"/>
      <c r="B1042" s="1185"/>
      <c r="C1042" s="1185"/>
      <c r="D1042" s="1185"/>
      <c r="E1042" s="1185"/>
      <c r="F1042" s="1185"/>
      <c r="G1042" s="1185"/>
      <c r="H1042" s="1185"/>
      <c r="I1042" s="1185"/>
      <c r="J1042" s="1185"/>
      <c r="K1042" s="1185"/>
      <c r="L1042" s="1185"/>
      <c r="M1042" s="1185"/>
      <c r="N1042" s="195"/>
    </row>
    <row r="1043">
      <c r="A1043" s="1185"/>
      <c r="B1043" s="1185"/>
      <c r="C1043" s="1185"/>
      <c r="D1043" s="1185"/>
      <c r="E1043" s="1185"/>
      <c r="F1043" s="1185"/>
      <c r="G1043" s="1185"/>
      <c r="H1043" s="1185"/>
      <c r="I1043" s="1185"/>
      <c r="J1043" s="1185"/>
      <c r="K1043" s="1185"/>
      <c r="L1043" s="1185"/>
      <c r="M1043" s="1185"/>
      <c r="N1043" s="195"/>
    </row>
    <row r="1044">
      <c r="A1044" s="1185"/>
      <c r="B1044" s="1185"/>
      <c r="C1044" s="1185"/>
      <c r="D1044" s="1185"/>
      <c r="E1044" s="1185"/>
      <c r="F1044" s="1185"/>
      <c r="G1044" s="1185"/>
      <c r="H1044" s="1185"/>
      <c r="I1044" s="1185"/>
      <c r="J1044" s="1185"/>
      <c r="K1044" s="1185"/>
      <c r="L1044" s="1185"/>
      <c r="M1044" s="1185"/>
      <c r="N1044" s="195"/>
    </row>
    <row r="1045">
      <c r="A1045" s="1185"/>
      <c r="B1045" s="1185"/>
      <c r="C1045" s="1185"/>
      <c r="D1045" s="1185"/>
      <c r="E1045" s="1185"/>
      <c r="F1045" s="1185"/>
      <c r="G1045" s="1185"/>
      <c r="H1045" s="1185"/>
      <c r="I1045" s="1185"/>
      <c r="J1045" s="1185"/>
      <c r="K1045" s="1185"/>
      <c r="L1045" s="1185"/>
      <c r="M1045" s="1185"/>
      <c r="N1045" s="195"/>
    </row>
    <row r="1046">
      <c r="A1046" s="1185"/>
      <c r="B1046" s="1185"/>
      <c r="C1046" s="1185"/>
      <c r="D1046" s="1185"/>
      <c r="E1046" s="1185"/>
      <c r="F1046" s="1185"/>
      <c r="G1046" s="1185"/>
      <c r="H1046" s="1185"/>
      <c r="I1046" s="1185"/>
      <c r="J1046" s="1185"/>
      <c r="K1046" s="1185"/>
      <c r="L1046" s="1185"/>
      <c r="M1046" s="1185"/>
      <c r="N1046" s="195"/>
    </row>
    <row r="1047">
      <c r="A1047" s="1185"/>
      <c r="B1047" s="1185"/>
      <c r="C1047" s="1185"/>
      <c r="D1047" s="1185"/>
      <c r="E1047" s="1185"/>
      <c r="F1047" s="1185"/>
      <c r="G1047" s="1185"/>
      <c r="H1047" s="1185"/>
      <c r="I1047" s="1185"/>
      <c r="J1047" s="1185"/>
      <c r="K1047" s="1185"/>
      <c r="L1047" s="1185"/>
      <c r="M1047" s="1185"/>
      <c r="N1047" s="195"/>
    </row>
    <row r="1048">
      <c r="A1048" s="1185"/>
      <c r="B1048" s="1185"/>
      <c r="C1048" s="1185"/>
      <c r="D1048" s="1185"/>
      <c r="E1048" s="1185"/>
      <c r="F1048" s="1185"/>
      <c r="G1048" s="1185"/>
      <c r="H1048" s="1185"/>
      <c r="I1048" s="1185"/>
      <c r="J1048" s="1185"/>
      <c r="K1048" s="1185"/>
      <c r="L1048" s="1185"/>
      <c r="M1048" s="1185"/>
      <c r="N1048" s="195"/>
    </row>
    <row r="1049">
      <c r="A1049" s="1185"/>
      <c r="B1049" s="1185"/>
      <c r="C1049" s="1185"/>
      <c r="D1049" s="1185"/>
      <c r="E1049" s="1185"/>
      <c r="F1049" s="1185"/>
      <c r="G1049" s="1185"/>
      <c r="H1049" s="1185"/>
      <c r="I1049" s="1185"/>
      <c r="J1049" s="1185"/>
      <c r="K1049" s="1185"/>
      <c r="L1049" s="1185"/>
      <c r="M1049" s="1185"/>
      <c r="N1049" s="195"/>
    </row>
    <row r="1050">
      <c r="A1050" s="1185"/>
      <c r="B1050" s="1185"/>
      <c r="C1050" s="1185"/>
      <c r="D1050" s="1185"/>
      <c r="E1050" s="1185"/>
      <c r="F1050" s="1185"/>
      <c r="G1050" s="1185"/>
      <c r="H1050" s="1185"/>
      <c r="I1050" s="1185"/>
      <c r="J1050" s="1185"/>
      <c r="K1050" s="1185"/>
      <c r="L1050" s="1185"/>
      <c r="M1050" s="1185"/>
      <c r="N1050" s="195"/>
    </row>
    <row r="1051">
      <c r="A1051" s="1185"/>
      <c r="B1051" s="1185"/>
      <c r="C1051" s="1185"/>
      <c r="D1051" s="1185"/>
      <c r="E1051" s="1185"/>
      <c r="F1051" s="1185"/>
      <c r="G1051" s="1185"/>
      <c r="H1051" s="1185"/>
      <c r="I1051" s="1185"/>
      <c r="J1051" s="1185"/>
      <c r="K1051" s="1185"/>
      <c r="L1051" s="1185"/>
      <c r="M1051" s="1185"/>
      <c r="N1051" s="195"/>
    </row>
    <row r="1052">
      <c r="A1052" s="1185"/>
      <c r="B1052" s="1185"/>
      <c r="C1052" s="1185"/>
      <c r="D1052" s="1185"/>
      <c r="E1052" s="1185"/>
      <c r="F1052" s="1185"/>
      <c r="G1052" s="1185"/>
      <c r="H1052" s="1185"/>
      <c r="I1052" s="1185"/>
      <c r="J1052" s="1185"/>
      <c r="K1052" s="1185"/>
      <c r="L1052" s="1185"/>
      <c r="M1052" s="1185"/>
      <c r="N1052" s="195"/>
    </row>
    <row r="1053">
      <c r="A1053" s="1185"/>
      <c r="B1053" s="1185"/>
      <c r="C1053" s="1185"/>
      <c r="D1053" s="1185"/>
      <c r="E1053" s="1185"/>
      <c r="F1053" s="1185"/>
      <c r="G1053" s="1185"/>
      <c r="H1053" s="1185"/>
      <c r="I1053" s="1185"/>
      <c r="J1053" s="1185"/>
      <c r="K1053" s="1185"/>
      <c r="L1053" s="1185"/>
      <c r="M1053" s="1185"/>
      <c r="N1053" s="195"/>
    </row>
    <row r="1054">
      <c r="A1054" s="1185"/>
      <c r="B1054" s="1185"/>
      <c r="C1054" s="1185"/>
      <c r="D1054" s="1185"/>
      <c r="E1054" s="1185"/>
      <c r="F1054" s="1185"/>
      <c r="G1054" s="1185"/>
      <c r="H1054" s="1185"/>
      <c r="I1054" s="1185"/>
      <c r="J1054" s="1185"/>
      <c r="K1054" s="1185"/>
      <c r="L1054" s="1185"/>
      <c r="M1054" s="1185"/>
      <c r="N1054" s="195"/>
    </row>
    <row r="1055">
      <c r="A1055" s="1185"/>
      <c r="B1055" s="1185"/>
      <c r="C1055" s="1185"/>
      <c r="D1055" s="1185"/>
      <c r="E1055" s="1185"/>
      <c r="F1055" s="1185"/>
      <c r="G1055" s="1185"/>
      <c r="H1055" s="1185"/>
      <c r="I1055" s="1185"/>
      <c r="J1055" s="1185"/>
      <c r="K1055" s="1185"/>
      <c r="L1055" s="1185"/>
      <c r="M1055" s="1185"/>
      <c r="N1055" s="195"/>
    </row>
    <row r="1056">
      <c r="A1056" s="1185"/>
      <c r="B1056" s="1185"/>
      <c r="C1056" s="1185"/>
      <c r="D1056" s="1185"/>
      <c r="E1056" s="1185"/>
      <c r="F1056" s="1185"/>
      <c r="G1056" s="1185"/>
      <c r="H1056" s="1185"/>
      <c r="I1056" s="1185"/>
      <c r="J1056" s="1185"/>
      <c r="K1056" s="1185"/>
      <c r="L1056" s="1185"/>
      <c r="M1056" s="1185"/>
      <c r="N1056" s="195"/>
    </row>
    <row r="1057">
      <c r="A1057" s="1185"/>
      <c r="B1057" s="1185"/>
      <c r="C1057" s="1185"/>
      <c r="D1057" s="1185"/>
      <c r="E1057" s="1185"/>
      <c r="F1057" s="1185"/>
      <c r="G1057" s="1185"/>
      <c r="H1057" s="1185"/>
      <c r="I1057" s="1185"/>
      <c r="J1057" s="1185"/>
      <c r="K1057" s="1185"/>
      <c r="L1057" s="1185"/>
      <c r="M1057" s="1185"/>
      <c r="N1057" s="195"/>
    </row>
    <row r="1058">
      <c r="A1058" s="1185"/>
      <c r="B1058" s="1185"/>
      <c r="C1058" s="1185"/>
      <c r="D1058" s="1185"/>
      <c r="E1058" s="1185"/>
      <c r="F1058" s="1185"/>
      <c r="G1058" s="1185"/>
      <c r="H1058" s="1185"/>
      <c r="I1058" s="1185"/>
      <c r="J1058" s="1185"/>
      <c r="K1058" s="1185"/>
      <c r="L1058" s="1185"/>
      <c r="M1058" s="1185"/>
      <c r="N1058" s="195"/>
    </row>
    <row r="1059">
      <c r="A1059" s="1185"/>
      <c r="B1059" s="1185"/>
      <c r="C1059" s="1185"/>
      <c r="D1059" s="1185"/>
      <c r="E1059" s="1185"/>
      <c r="F1059" s="1185"/>
      <c r="G1059" s="1185"/>
      <c r="H1059" s="1185"/>
      <c r="I1059" s="1185"/>
      <c r="J1059" s="1185"/>
      <c r="K1059" s="1185"/>
      <c r="L1059" s="1185"/>
      <c r="M1059" s="1185"/>
      <c r="N1059" s="195"/>
    </row>
    <row r="1060">
      <c r="A1060" s="1185"/>
      <c r="B1060" s="1185"/>
      <c r="C1060" s="1185"/>
      <c r="D1060" s="1185"/>
      <c r="E1060" s="1185"/>
      <c r="F1060" s="1185"/>
      <c r="G1060" s="1185"/>
      <c r="H1060" s="1185"/>
      <c r="I1060" s="1185"/>
      <c r="J1060" s="1185"/>
      <c r="K1060" s="1185"/>
      <c r="L1060" s="1185"/>
      <c r="M1060" s="1185"/>
      <c r="N1060" s="195"/>
    </row>
    <row r="1061">
      <c r="A1061" s="1185"/>
      <c r="B1061" s="1185"/>
      <c r="C1061" s="1185"/>
      <c r="D1061" s="1185"/>
      <c r="E1061" s="1185"/>
      <c r="F1061" s="1185"/>
      <c r="G1061" s="1185"/>
      <c r="H1061" s="1185"/>
      <c r="I1061" s="1185"/>
      <c r="J1061" s="1185"/>
      <c r="K1061" s="1185"/>
      <c r="L1061" s="1185"/>
      <c r="M1061" s="1185"/>
      <c r="N1061" s="195"/>
    </row>
    <row r="1062">
      <c r="A1062" s="1185"/>
      <c r="B1062" s="1185"/>
      <c r="C1062" s="1185"/>
      <c r="D1062" s="1185"/>
      <c r="E1062" s="1185"/>
      <c r="F1062" s="1185"/>
      <c r="G1062" s="1185"/>
      <c r="H1062" s="1185"/>
      <c r="I1062" s="1185"/>
      <c r="J1062" s="1185"/>
      <c r="K1062" s="1185"/>
      <c r="L1062" s="1185"/>
      <c r="M1062" s="1185"/>
      <c r="N1062" s="195"/>
    </row>
    <row r="1063">
      <c r="A1063" s="1185"/>
      <c r="B1063" s="1185"/>
      <c r="C1063" s="1185"/>
      <c r="D1063" s="1185"/>
      <c r="E1063" s="1185"/>
      <c r="F1063" s="1185"/>
      <c r="G1063" s="1185"/>
      <c r="H1063" s="1185"/>
      <c r="I1063" s="1185"/>
      <c r="J1063" s="1185"/>
      <c r="K1063" s="1185"/>
      <c r="L1063" s="1185"/>
      <c r="M1063" s="1185"/>
      <c r="N1063" s="195"/>
    </row>
    <row r="1064">
      <c r="A1064" s="1185"/>
      <c r="B1064" s="1185"/>
      <c r="C1064" s="1185"/>
      <c r="D1064" s="1185"/>
      <c r="E1064" s="1185"/>
      <c r="F1064" s="1185"/>
      <c r="G1064" s="1185"/>
      <c r="H1064" s="1185"/>
      <c r="I1064" s="1185"/>
      <c r="J1064" s="1185"/>
      <c r="K1064" s="1185"/>
      <c r="L1064" s="1185"/>
      <c r="M1064" s="1185"/>
      <c r="N1064" s="195"/>
    </row>
    <row r="1065">
      <c r="A1065" s="1185"/>
      <c r="B1065" s="1185"/>
      <c r="C1065" s="1185"/>
      <c r="D1065" s="1185"/>
      <c r="E1065" s="1185"/>
      <c r="F1065" s="1185"/>
      <c r="G1065" s="1185"/>
      <c r="H1065" s="1185"/>
      <c r="I1065" s="1185"/>
      <c r="J1065" s="1185"/>
      <c r="K1065" s="1185"/>
      <c r="L1065" s="1185"/>
      <c r="M1065" s="1185"/>
      <c r="N1065" s="195"/>
    </row>
    <row r="1066">
      <c r="A1066" s="1185"/>
      <c r="B1066" s="1185"/>
      <c r="C1066" s="1185"/>
      <c r="D1066" s="1185"/>
      <c r="E1066" s="1185"/>
      <c r="F1066" s="1185"/>
      <c r="G1066" s="1185"/>
      <c r="H1066" s="1185"/>
      <c r="I1066" s="1185"/>
      <c r="J1066" s="1185"/>
      <c r="K1066" s="1185"/>
      <c r="L1066" s="1185"/>
      <c r="M1066" s="1185"/>
      <c r="N1066" s="195"/>
    </row>
    <row r="1067">
      <c r="A1067" s="1185"/>
      <c r="B1067" s="1185"/>
      <c r="C1067" s="1185"/>
      <c r="D1067" s="1185"/>
      <c r="E1067" s="1185"/>
      <c r="F1067" s="1185"/>
      <c r="G1067" s="1185"/>
      <c r="H1067" s="1185"/>
      <c r="I1067" s="1185"/>
      <c r="J1067" s="1185"/>
      <c r="K1067" s="1185"/>
      <c r="L1067" s="1185"/>
      <c r="M1067" s="1185"/>
      <c r="N1067" s="195"/>
    </row>
    <row r="1068">
      <c r="A1068" s="1185"/>
      <c r="B1068" s="1185"/>
      <c r="C1068" s="1185"/>
      <c r="D1068" s="1185"/>
      <c r="E1068" s="1185"/>
      <c r="F1068" s="1185"/>
      <c r="G1068" s="1185"/>
      <c r="H1068" s="1185"/>
      <c r="I1068" s="1185"/>
      <c r="J1068" s="1185"/>
      <c r="K1068" s="1185"/>
      <c r="L1068" s="1185"/>
      <c r="M1068" s="1185"/>
      <c r="N1068" s="195"/>
    </row>
    <row r="1069">
      <c r="A1069" s="1185"/>
      <c r="B1069" s="1185"/>
      <c r="C1069" s="1185"/>
      <c r="D1069" s="1185"/>
      <c r="E1069" s="1185"/>
      <c r="F1069" s="1185"/>
      <c r="G1069" s="1185"/>
      <c r="H1069" s="1185"/>
      <c r="I1069" s="1185"/>
      <c r="J1069" s="1185"/>
      <c r="K1069" s="1185"/>
      <c r="L1069" s="1185"/>
      <c r="M1069" s="1185"/>
      <c r="N1069" s="195"/>
    </row>
    <row r="1070">
      <c r="A1070" s="1185"/>
      <c r="B1070" s="1185"/>
      <c r="C1070" s="1185"/>
      <c r="D1070" s="1185"/>
      <c r="E1070" s="1185"/>
      <c r="F1070" s="1185"/>
      <c r="G1070" s="1185"/>
      <c r="H1070" s="1185"/>
      <c r="I1070" s="1185"/>
      <c r="J1070" s="1185"/>
      <c r="K1070" s="1185"/>
      <c r="L1070" s="1185"/>
      <c r="M1070" s="1185"/>
      <c r="N1070" s="195"/>
    </row>
    <row r="1071">
      <c r="A1071" s="1185"/>
      <c r="B1071" s="1185"/>
      <c r="C1071" s="1185"/>
      <c r="D1071" s="1185"/>
      <c r="E1071" s="1185"/>
      <c r="F1071" s="1185"/>
      <c r="G1071" s="1185"/>
      <c r="H1071" s="1185"/>
      <c r="I1071" s="1185"/>
      <c r="J1071" s="1185"/>
      <c r="K1071" s="1185"/>
      <c r="L1071" s="1185"/>
      <c r="M1071" s="1185"/>
      <c r="N1071" s="195"/>
    </row>
    <row r="1072">
      <c r="A1072" s="1185"/>
      <c r="B1072" s="1185"/>
      <c r="C1072" s="1185"/>
      <c r="D1072" s="1185"/>
      <c r="E1072" s="1185"/>
      <c r="F1072" s="1185"/>
      <c r="G1072" s="1185"/>
      <c r="H1072" s="1185"/>
      <c r="I1072" s="1185"/>
      <c r="J1072" s="1185"/>
      <c r="K1072" s="1185"/>
      <c r="L1072" s="1185"/>
      <c r="M1072" s="1185"/>
      <c r="N1072" s="195"/>
    </row>
    <row r="1073">
      <c r="A1073" s="1185"/>
      <c r="B1073" s="1185"/>
      <c r="C1073" s="1185"/>
      <c r="D1073" s="1185"/>
      <c r="E1073" s="1185"/>
      <c r="F1073" s="1185"/>
      <c r="G1073" s="1185"/>
      <c r="H1073" s="1185"/>
      <c r="I1073" s="1185"/>
      <c r="J1073" s="1185"/>
      <c r="K1073" s="1185"/>
      <c r="L1073" s="1185"/>
      <c r="M1073" s="1185"/>
      <c r="N1073" s="195"/>
    </row>
    <row r="1074">
      <c r="A1074" s="1185"/>
      <c r="B1074" s="1185"/>
      <c r="C1074" s="1185"/>
      <c r="D1074" s="1185"/>
      <c r="E1074" s="1185"/>
      <c r="F1074" s="1185"/>
      <c r="G1074" s="1185"/>
      <c r="H1074" s="1185"/>
      <c r="I1074" s="1185"/>
      <c r="J1074" s="1185"/>
      <c r="K1074" s="1185"/>
      <c r="L1074" s="1185"/>
      <c r="M1074" s="1185"/>
      <c r="N1074" s="195"/>
    </row>
    <row r="1075">
      <c r="A1075" s="1185"/>
      <c r="B1075" s="1185"/>
      <c r="C1075" s="1185"/>
      <c r="D1075" s="1185"/>
      <c r="E1075" s="1185"/>
      <c r="F1075" s="1185"/>
      <c r="G1075" s="1185"/>
      <c r="H1075" s="1185"/>
      <c r="I1075" s="1185"/>
      <c r="J1075" s="1185"/>
      <c r="K1075" s="1185"/>
      <c r="L1075" s="1185"/>
      <c r="M1075" s="1185"/>
      <c r="N1075" s="195"/>
    </row>
    <row r="1076">
      <c r="A1076" s="1185"/>
      <c r="B1076" s="1185"/>
      <c r="C1076" s="1185"/>
      <c r="D1076" s="1185"/>
      <c r="E1076" s="1185"/>
      <c r="F1076" s="1185"/>
      <c r="G1076" s="1185"/>
      <c r="H1076" s="1185"/>
      <c r="I1076" s="1185"/>
      <c r="J1076" s="1185"/>
      <c r="K1076" s="1185"/>
      <c r="L1076" s="1185"/>
      <c r="M1076" s="1185"/>
      <c r="N1076" s="195"/>
    </row>
    <row r="1077">
      <c r="A1077" s="1185"/>
      <c r="B1077" s="1185"/>
      <c r="C1077" s="1185"/>
      <c r="D1077" s="1185"/>
      <c r="E1077" s="1185"/>
      <c r="F1077" s="1185"/>
      <c r="G1077" s="1185"/>
      <c r="H1077" s="1185"/>
      <c r="I1077" s="1185"/>
      <c r="J1077" s="1185"/>
      <c r="K1077" s="1185"/>
      <c r="L1077" s="1185"/>
      <c r="M1077" s="1185"/>
      <c r="N1077" s="195"/>
    </row>
    <row r="1078">
      <c r="A1078" s="1185"/>
      <c r="B1078" s="1185"/>
      <c r="C1078" s="1185"/>
      <c r="D1078" s="1185"/>
      <c r="E1078" s="1185"/>
      <c r="F1078" s="1185"/>
      <c r="G1078" s="1185"/>
      <c r="H1078" s="1185"/>
      <c r="I1078" s="1185"/>
      <c r="J1078" s="1185"/>
      <c r="K1078" s="1185"/>
      <c r="L1078" s="1185"/>
      <c r="M1078" s="1185"/>
      <c r="N1078" s="195"/>
    </row>
    <row r="1079">
      <c r="A1079" s="1185"/>
      <c r="B1079" s="1185"/>
      <c r="C1079" s="1185"/>
      <c r="D1079" s="1185"/>
      <c r="E1079" s="1185"/>
      <c r="F1079" s="1185"/>
      <c r="G1079" s="1185"/>
      <c r="H1079" s="1185"/>
      <c r="I1079" s="1185"/>
      <c r="J1079" s="1185"/>
      <c r="K1079" s="1185"/>
      <c r="L1079" s="1185"/>
      <c r="M1079" s="1185"/>
      <c r="N1079" s="195"/>
    </row>
    <row r="1080">
      <c r="A1080" s="1185"/>
      <c r="B1080" s="1185"/>
      <c r="C1080" s="1185"/>
      <c r="D1080" s="1185"/>
      <c r="E1080" s="1185"/>
      <c r="F1080" s="1185"/>
      <c r="G1080" s="1185"/>
      <c r="H1080" s="1185"/>
      <c r="I1080" s="1185"/>
      <c r="J1080" s="1185"/>
      <c r="K1080" s="1185"/>
      <c r="L1080" s="1185"/>
      <c r="M1080" s="1185"/>
      <c r="N1080" s="195"/>
    </row>
    <row r="1081">
      <c r="A1081" s="1185"/>
      <c r="B1081" s="1185"/>
      <c r="C1081" s="1185"/>
      <c r="D1081" s="1185"/>
      <c r="E1081" s="1185"/>
      <c r="F1081" s="1185"/>
      <c r="G1081" s="1185"/>
      <c r="H1081" s="1185"/>
      <c r="I1081" s="1185"/>
      <c r="J1081" s="1185"/>
      <c r="K1081" s="1185"/>
      <c r="L1081" s="1185"/>
      <c r="M1081" s="1185"/>
      <c r="N1081" s="195"/>
    </row>
    <row r="1082">
      <c r="A1082" s="1185"/>
      <c r="B1082" s="1185"/>
      <c r="C1082" s="1185"/>
      <c r="D1082" s="1185"/>
      <c r="E1082" s="1185"/>
      <c r="F1082" s="1185"/>
      <c r="G1082" s="1185"/>
      <c r="H1082" s="1185"/>
      <c r="I1082" s="1185"/>
      <c r="J1082" s="1185"/>
      <c r="K1082" s="1185"/>
      <c r="L1082" s="1185"/>
      <c r="M1082" s="1185"/>
      <c r="N1082" s="195"/>
    </row>
    <row r="1083">
      <c r="A1083" s="1185"/>
      <c r="B1083" s="1185"/>
      <c r="C1083" s="1185"/>
      <c r="D1083" s="1185"/>
      <c r="E1083" s="1185"/>
      <c r="F1083" s="1185"/>
      <c r="G1083" s="1185"/>
      <c r="H1083" s="1185"/>
      <c r="I1083" s="1185"/>
      <c r="J1083" s="1185"/>
      <c r="K1083" s="1185"/>
      <c r="L1083" s="1185"/>
      <c r="M1083" s="1185"/>
      <c r="N1083" s="195"/>
    </row>
    <row r="1084">
      <c r="A1084" s="1185"/>
      <c r="B1084" s="1185"/>
      <c r="C1084" s="1185"/>
      <c r="D1084" s="1185"/>
      <c r="E1084" s="1185"/>
      <c r="F1084" s="1185"/>
      <c r="G1084" s="1185"/>
      <c r="H1084" s="1185"/>
      <c r="I1084" s="1185"/>
      <c r="J1084" s="1185"/>
      <c r="K1084" s="1185"/>
      <c r="L1084" s="1185"/>
      <c r="M1084" s="1185"/>
      <c r="N1084" s="195"/>
    </row>
    <row r="1085">
      <c r="A1085" s="1185"/>
      <c r="B1085" s="1185"/>
      <c r="C1085" s="1185"/>
      <c r="D1085" s="1185"/>
      <c r="E1085" s="1185"/>
      <c r="F1085" s="1185"/>
      <c r="G1085" s="1185"/>
      <c r="H1085" s="1185"/>
      <c r="I1085" s="1185"/>
      <c r="J1085" s="1185"/>
      <c r="K1085" s="1185"/>
      <c r="L1085" s="1185"/>
      <c r="M1085" s="1185"/>
      <c r="N1085" s="195"/>
    </row>
    <row r="1086">
      <c r="A1086" s="1185"/>
      <c r="B1086" s="1185"/>
      <c r="C1086" s="1185"/>
      <c r="D1086" s="1185"/>
      <c r="E1086" s="1185"/>
      <c r="F1086" s="1185"/>
      <c r="G1086" s="1185"/>
      <c r="H1086" s="1185"/>
      <c r="I1086" s="1185"/>
      <c r="J1086" s="1185"/>
      <c r="K1086" s="1185"/>
      <c r="L1086" s="1185"/>
      <c r="M1086" s="1185"/>
      <c r="N1086" s="195"/>
    </row>
    <row r="1087">
      <c r="A1087" s="1185"/>
      <c r="B1087" s="1185"/>
      <c r="C1087" s="1185"/>
      <c r="D1087" s="1185"/>
      <c r="E1087" s="1185"/>
      <c r="F1087" s="1185"/>
      <c r="G1087" s="1185"/>
      <c r="H1087" s="1185"/>
      <c r="I1087" s="1185"/>
      <c r="J1087" s="1185"/>
      <c r="K1087" s="1185"/>
      <c r="L1087" s="1185"/>
      <c r="M1087" s="1185"/>
      <c r="N1087" s="195"/>
    </row>
    <row r="1088">
      <c r="A1088" s="1185"/>
      <c r="B1088" s="1185"/>
      <c r="C1088" s="1185"/>
      <c r="D1088" s="1185"/>
      <c r="E1088" s="1185"/>
      <c r="F1088" s="1185"/>
      <c r="G1088" s="1185"/>
      <c r="H1088" s="1185"/>
      <c r="I1088" s="1185"/>
      <c r="J1088" s="1185"/>
      <c r="K1088" s="1185"/>
      <c r="L1088" s="1185"/>
      <c r="M1088" s="1185"/>
      <c r="N1088" s="195"/>
    </row>
    <row r="1089">
      <c r="A1089" s="1185"/>
      <c r="B1089" s="1185"/>
      <c r="C1089" s="1185"/>
      <c r="D1089" s="1185"/>
      <c r="E1089" s="1185"/>
      <c r="F1089" s="1185"/>
      <c r="G1089" s="1185"/>
      <c r="H1089" s="1185"/>
      <c r="I1089" s="1185"/>
      <c r="J1089" s="1185"/>
      <c r="K1089" s="1185"/>
      <c r="L1089" s="1185"/>
      <c r="M1089" s="1185"/>
      <c r="N1089" s="195"/>
    </row>
    <row r="1090">
      <c r="A1090" s="1185"/>
      <c r="B1090" s="1185"/>
      <c r="C1090" s="1185"/>
      <c r="D1090" s="1185"/>
      <c r="E1090" s="1185"/>
      <c r="F1090" s="1185"/>
      <c r="G1090" s="1185"/>
      <c r="H1090" s="1185"/>
      <c r="I1090" s="1185"/>
      <c r="J1090" s="1185"/>
      <c r="K1090" s="1185"/>
      <c r="L1090" s="1185"/>
      <c r="M1090" s="1185"/>
      <c r="N1090" s="195"/>
    </row>
    <row r="1091">
      <c r="A1091" s="1185"/>
      <c r="B1091" s="1185"/>
      <c r="C1091" s="1185"/>
      <c r="D1091" s="1185"/>
      <c r="E1091" s="1185"/>
      <c r="F1091" s="1185"/>
      <c r="G1091" s="1185"/>
      <c r="H1091" s="1185"/>
      <c r="I1091" s="1185"/>
      <c r="J1091" s="1185"/>
      <c r="K1091" s="1185"/>
      <c r="L1091" s="1185"/>
      <c r="M1091" s="1185"/>
      <c r="N1091" s="195"/>
    </row>
    <row r="1092">
      <c r="A1092" s="1185"/>
      <c r="B1092" s="1185"/>
      <c r="C1092" s="1185"/>
      <c r="D1092" s="1185"/>
      <c r="E1092" s="1185"/>
      <c r="F1092" s="1185"/>
      <c r="G1092" s="1185"/>
      <c r="H1092" s="1185"/>
      <c r="I1092" s="1185"/>
      <c r="J1092" s="1185"/>
      <c r="K1092" s="1185"/>
      <c r="L1092" s="1185"/>
      <c r="M1092" s="1185"/>
      <c r="N1092" s="195"/>
    </row>
    <row r="1093">
      <c r="A1093" s="1185"/>
      <c r="B1093" s="1185"/>
      <c r="C1093" s="1185"/>
      <c r="D1093" s="1185"/>
      <c r="E1093" s="1185"/>
      <c r="F1093" s="1185"/>
      <c r="G1093" s="1185"/>
      <c r="H1093" s="1185"/>
      <c r="I1093" s="1185"/>
      <c r="J1093" s="1185"/>
      <c r="K1093" s="1185"/>
      <c r="L1093" s="1185"/>
      <c r="M1093" s="1185"/>
      <c r="N1093" s="195"/>
    </row>
    <row r="1094">
      <c r="A1094" s="1185"/>
      <c r="B1094" s="1185"/>
      <c r="C1094" s="1185"/>
      <c r="D1094" s="1185"/>
      <c r="E1094" s="1185"/>
      <c r="F1094" s="1185"/>
      <c r="G1094" s="1185"/>
      <c r="H1094" s="1185"/>
      <c r="I1094" s="1185"/>
      <c r="J1094" s="1185"/>
      <c r="K1094" s="1185"/>
      <c r="L1094" s="1185"/>
      <c r="M1094" s="1185"/>
      <c r="N1094" s="195"/>
    </row>
    <row r="1095">
      <c r="A1095" s="1185"/>
      <c r="B1095" s="1185"/>
      <c r="C1095" s="1185"/>
      <c r="D1095" s="1185"/>
      <c r="E1095" s="1185"/>
      <c r="F1095" s="1185"/>
      <c r="G1095" s="1185"/>
      <c r="H1095" s="1185"/>
      <c r="I1095" s="1185"/>
      <c r="J1095" s="1185"/>
      <c r="K1095" s="1185"/>
      <c r="L1095" s="1185"/>
      <c r="M1095" s="1185"/>
      <c r="N1095" s="195"/>
    </row>
    <row r="1096">
      <c r="A1096" s="1185"/>
      <c r="B1096" s="1185"/>
      <c r="C1096" s="1185"/>
      <c r="D1096" s="1185"/>
      <c r="E1096" s="1185"/>
      <c r="F1096" s="1185"/>
      <c r="G1096" s="1185"/>
      <c r="H1096" s="1185"/>
      <c r="I1096" s="1185"/>
      <c r="J1096" s="1185"/>
      <c r="K1096" s="1185"/>
      <c r="L1096" s="1185"/>
      <c r="M1096" s="1185"/>
      <c r="N1096" s="195"/>
    </row>
    <row r="1097">
      <c r="A1097" s="1185"/>
      <c r="B1097" s="1185"/>
      <c r="C1097" s="1185"/>
      <c r="D1097" s="1185"/>
      <c r="E1097" s="1185"/>
      <c r="F1097" s="1185"/>
      <c r="G1097" s="1185"/>
      <c r="H1097" s="1185"/>
      <c r="I1097" s="1185"/>
      <c r="J1097" s="1185"/>
      <c r="K1097" s="1185"/>
      <c r="L1097" s="1185"/>
      <c r="M1097" s="1185"/>
      <c r="N1097" s="195"/>
    </row>
    <row r="1098">
      <c r="A1098" s="1185"/>
      <c r="B1098" s="1185"/>
      <c r="C1098" s="1185"/>
      <c r="D1098" s="1185"/>
      <c r="E1098" s="1185"/>
      <c r="F1098" s="1185"/>
      <c r="G1098" s="1185"/>
      <c r="H1098" s="1185"/>
      <c r="I1098" s="1185"/>
      <c r="J1098" s="1185"/>
      <c r="K1098" s="1185"/>
      <c r="L1098" s="1185"/>
      <c r="M1098" s="1185"/>
      <c r="N1098" s="195"/>
    </row>
    <row r="1099">
      <c r="A1099" s="1185"/>
      <c r="B1099" s="1185"/>
      <c r="C1099" s="1185"/>
      <c r="D1099" s="1185"/>
      <c r="E1099" s="1185"/>
      <c r="F1099" s="1185"/>
      <c r="G1099" s="1185"/>
      <c r="H1099" s="1185"/>
      <c r="I1099" s="1185"/>
      <c r="J1099" s="1185"/>
      <c r="K1099" s="1185"/>
      <c r="L1099" s="1185"/>
      <c r="M1099" s="1185"/>
      <c r="N1099" s="195"/>
    </row>
    <row r="1100">
      <c r="A1100" s="1185"/>
      <c r="B1100" s="1185"/>
      <c r="C1100" s="1185"/>
      <c r="D1100" s="1185"/>
      <c r="E1100" s="1185"/>
      <c r="F1100" s="1185"/>
      <c r="G1100" s="1185"/>
      <c r="H1100" s="1185"/>
      <c r="I1100" s="1185"/>
      <c r="J1100" s="1185"/>
      <c r="K1100" s="1185"/>
      <c r="L1100" s="1185"/>
      <c r="M1100" s="1185"/>
      <c r="N1100" s="195"/>
    </row>
    <row r="1101">
      <c r="A1101" s="1185"/>
      <c r="B1101" s="1185"/>
      <c r="C1101" s="1185"/>
      <c r="D1101" s="1185"/>
      <c r="E1101" s="1185"/>
      <c r="F1101" s="1185"/>
      <c r="G1101" s="1185"/>
      <c r="H1101" s="1185"/>
      <c r="I1101" s="1185"/>
      <c r="J1101" s="1185"/>
      <c r="K1101" s="1185"/>
      <c r="L1101" s="1185"/>
      <c r="M1101" s="1185"/>
      <c r="N1101" s="195"/>
    </row>
    <row r="1102">
      <c r="A1102" s="1185"/>
      <c r="B1102" s="1185"/>
      <c r="C1102" s="1185"/>
      <c r="D1102" s="1185"/>
      <c r="E1102" s="1185"/>
      <c r="F1102" s="1185"/>
      <c r="G1102" s="1185"/>
      <c r="H1102" s="1185"/>
      <c r="I1102" s="1185"/>
      <c r="J1102" s="1185"/>
      <c r="K1102" s="1185"/>
      <c r="L1102" s="1185"/>
      <c r="M1102" s="1185"/>
      <c r="N1102" s="195"/>
    </row>
    <row r="1103">
      <c r="A1103" s="1185"/>
      <c r="B1103" s="1185"/>
      <c r="C1103" s="1185"/>
      <c r="D1103" s="1185"/>
      <c r="E1103" s="1185"/>
      <c r="F1103" s="1185"/>
      <c r="G1103" s="1185"/>
      <c r="H1103" s="1185"/>
      <c r="I1103" s="1185"/>
      <c r="J1103" s="1185"/>
      <c r="K1103" s="1185"/>
      <c r="L1103" s="1185"/>
      <c r="M1103" s="1185"/>
      <c r="N1103" s="195"/>
    </row>
    <row r="1104">
      <c r="A1104" s="1185"/>
      <c r="B1104" s="1185"/>
      <c r="C1104" s="1185"/>
      <c r="D1104" s="1185"/>
      <c r="E1104" s="1185"/>
      <c r="F1104" s="1185"/>
      <c r="G1104" s="1185"/>
      <c r="H1104" s="1185"/>
      <c r="I1104" s="1185"/>
      <c r="J1104" s="1185"/>
      <c r="K1104" s="1185"/>
      <c r="L1104" s="1185"/>
      <c r="M1104" s="1185"/>
      <c r="N1104" s="195"/>
    </row>
    <row r="1105">
      <c r="A1105" s="1185"/>
      <c r="B1105" s="1185"/>
      <c r="C1105" s="1185"/>
      <c r="D1105" s="1185"/>
      <c r="E1105" s="1185"/>
      <c r="F1105" s="1185"/>
      <c r="G1105" s="1185"/>
      <c r="H1105" s="1185"/>
      <c r="I1105" s="1185"/>
      <c r="J1105" s="1185"/>
      <c r="K1105" s="1185"/>
      <c r="L1105" s="1185"/>
      <c r="M1105" s="1185"/>
      <c r="N1105" s="195"/>
    </row>
    <row r="1106">
      <c r="A1106" s="1185"/>
      <c r="B1106" s="1185"/>
      <c r="C1106" s="1185"/>
      <c r="D1106" s="1185"/>
      <c r="E1106" s="1185"/>
      <c r="F1106" s="1185"/>
      <c r="G1106" s="1185"/>
      <c r="H1106" s="1185"/>
      <c r="I1106" s="1185"/>
      <c r="J1106" s="1185"/>
      <c r="K1106" s="1185"/>
      <c r="L1106" s="1185"/>
      <c r="M1106" s="1185"/>
      <c r="N1106" s="195"/>
    </row>
    <row r="1107">
      <c r="A1107" s="1185"/>
      <c r="B1107" s="1185"/>
      <c r="C1107" s="1185"/>
      <c r="D1107" s="1185"/>
      <c r="E1107" s="1185"/>
      <c r="F1107" s="1185"/>
      <c r="G1107" s="1185"/>
      <c r="H1107" s="1185"/>
      <c r="I1107" s="1185"/>
      <c r="J1107" s="1185"/>
      <c r="K1107" s="1185"/>
      <c r="L1107" s="1185"/>
      <c r="M1107" s="1185"/>
      <c r="N1107" s="195"/>
    </row>
    <row r="1108">
      <c r="A1108" s="1185"/>
      <c r="B1108" s="1185"/>
      <c r="C1108" s="1185"/>
      <c r="D1108" s="1185"/>
      <c r="E1108" s="1185"/>
      <c r="F1108" s="1185"/>
      <c r="G1108" s="1185"/>
      <c r="H1108" s="1185"/>
      <c r="I1108" s="1185"/>
      <c r="J1108" s="1185"/>
      <c r="K1108" s="1185"/>
      <c r="L1108" s="1185"/>
      <c r="M1108" s="1185"/>
      <c r="N1108" s="195"/>
    </row>
    <row r="1109">
      <c r="A1109" s="1185"/>
      <c r="B1109" s="1185"/>
      <c r="C1109" s="1185"/>
      <c r="D1109" s="1185"/>
      <c r="E1109" s="1185"/>
      <c r="F1109" s="1185"/>
      <c r="G1109" s="1185"/>
      <c r="H1109" s="1185"/>
      <c r="I1109" s="1185"/>
      <c r="J1109" s="1185"/>
      <c r="K1109" s="1185"/>
      <c r="L1109" s="1185"/>
      <c r="M1109" s="1185"/>
      <c r="N1109" s="195"/>
    </row>
    <row r="1110">
      <c r="A1110" s="1185"/>
      <c r="B1110" s="1185"/>
      <c r="C1110" s="1185"/>
      <c r="D1110" s="1185"/>
      <c r="E1110" s="1185"/>
      <c r="F1110" s="1185"/>
      <c r="G1110" s="1185"/>
      <c r="H1110" s="1185"/>
      <c r="I1110" s="1185"/>
      <c r="J1110" s="1185"/>
      <c r="K1110" s="1185"/>
      <c r="L1110" s="1185"/>
      <c r="M1110" s="1185"/>
      <c r="N1110" s="195"/>
    </row>
    <row r="1111">
      <c r="A1111" s="1185"/>
      <c r="B1111" s="1185"/>
      <c r="C1111" s="1185"/>
      <c r="D1111" s="1185"/>
      <c r="E1111" s="1185"/>
      <c r="F1111" s="1185"/>
      <c r="G1111" s="1185"/>
      <c r="H1111" s="1185"/>
      <c r="I1111" s="1185"/>
      <c r="J1111" s="1185"/>
      <c r="K1111" s="1185"/>
      <c r="L1111" s="1185"/>
      <c r="M1111" s="1185"/>
      <c r="N1111" s="195"/>
    </row>
    <row r="1112">
      <c r="A1112" s="1185"/>
      <c r="B1112" s="1185"/>
      <c r="C1112" s="1185"/>
      <c r="D1112" s="1185"/>
      <c r="E1112" s="1185"/>
      <c r="F1112" s="1185"/>
      <c r="G1112" s="1185"/>
      <c r="H1112" s="1185"/>
      <c r="I1112" s="1185"/>
      <c r="J1112" s="1185"/>
      <c r="K1112" s="1185"/>
      <c r="L1112" s="1185"/>
      <c r="M1112" s="1185"/>
      <c r="N1112" s="195"/>
    </row>
    <row r="1113">
      <c r="A1113" s="1185"/>
      <c r="B1113" s="1185"/>
      <c r="C1113" s="1185"/>
      <c r="D1113" s="1185"/>
      <c r="E1113" s="1185"/>
      <c r="F1113" s="1185"/>
      <c r="G1113" s="1185"/>
      <c r="H1113" s="1185"/>
      <c r="I1113" s="1185"/>
      <c r="J1113" s="1185"/>
      <c r="K1113" s="1185"/>
      <c r="L1113" s="1185"/>
      <c r="M1113" s="1185"/>
      <c r="N1113" s="195"/>
    </row>
    <row r="1114">
      <c r="A1114" s="1185"/>
      <c r="B1114" s="1185"/>
      <c r="C1114" s="1185"/>
      <c r="D1114" s="1185"/>
      <c r="E1114" s="1185"/>
      <c r="F1114" s="1185"/>
      <c r="G1114" s="1185"/>
      <c r="H1114" s="1185"/>
      <c r="I1114" s="1185"/>
      <c r="J1114" s="1185"/>
      <c r="K1114" s="1185"/>
      <c r="L1114" s="1185"/>
      <c r="M1114" s="1185"/>
      <c r="N1114" s="195"/>
    </row>
    <row r="1115">
      <c r="A1115" s="1185"/>
      <c r="B1115" s="1185"/>
      <c r="C1115" s="1185"/>
      <c r="D1115" s="1185"/>
      <c r="E1115" s="1185"/>
      <c r="F1115" s="1185"/>
      <c r="G1115" s="1185"/>
      <c r="H1115" s="1185"/>
      <c r="I1115" s="1185"/>
      <c r="J1115" s="1185"/>
      <c r="K1115" s="1185"/>
      <c r="L1115" s="1185"/>
      <c r="M1115" s="1185"/>
      <c r="N1115" s="195"/>
    </row>
    <row r="1116">
      <c r="A1116" s="1185"/>
      <c r="B1116" s="1185"/>
      <c r="C1116" s="1185"/>
      <c r="D1116" s="1185"/>
      <c r="E1116" s="1185"/>
      <c r="F1116" s="1185"/>
      <c r="G1116" s="1185"/>
      <c r="H1116" s="1185"/>
      <c r="I1116" s="1185"/>
      <c r="J1116" s="1185"/>
      <c r="K1116" s="1185"/>
      <c r="L1116" s="1185"/>
      <c r="M1116" s="1185"/>
      <c r="N1116" s="195"/>
    </row>
    <row r="1117">
      <c r="A1117" s="1185"/>
      <c r="B1117" s="1185"/>
      <c r="C1117" s="1185"/>
      <c r="D1117" s="1185"/>
      <c r="E1117" s="1185"/>
      <c r="F1117" s="1185"/>
      <c r="G1117" s="1185"/>
      <c r="H1117" s="1185"/>
      <c r="I1117" s="1185"/>
      <c r="J1117" s="1185"/>
      <c r="K1117" s="1185"/>
      <c r="L1117" s="1185"/>
      <c r="M1117" s="1185"/>
      <c r="N1117" s="195"/>
    </row>
    <row r="1118">
      <c r="A1118" s="1185"/>
      <c r="B1118" s="1185"/>
      <c r="C1118" s="1185"/>
      <c r="D1118" s="1185"/>
      <c r="E1118" s="1185"/>
      <c r="F1118" s="1185"/>
      <c r="G1118" s="1185"/>
      <c r="H1118" s="1185"/>
      <c r="I1118" s="1185"/>
      <c r="J1118" s="1185"/>
      <c r="K1118" s="1185"/>
      <c r="L1118" s="1185"/>
      <c r="M1118" s="1185"/>
      <c r="N1118" s="195"/>
    </row>
    <row r="1119">
      <c r="A1119" s="1185"/>
      <c r="B1119" s="1185"/>
      <c r="C1119" s="1185"/>
      <c r="D1119" s="1185"/>
      <c r="E1119" s="1185"/>
      <c r="F1119" s="1185"/>
      <c r="G1119" s="1185"/>
      <c r="H1119" s="1185"/>
      <c r="I1119" s="1185"/>
      <c r="J1119" s="1185"/>
      <c r="K1119" s="1185"/>
      <c r="L1119" s="1185"/>
      <c r="M1119" s="1185"/>
      <c r="N1119" s="195"/>
    </row>
    <row r="1120">
      <c r="A1120" s="1185"/>
      <c r="B1120" s="1185"/>
      <c r="C1120" s="1185"/>
      <c r="D1120" s="1185"/>
      <c r="E1120" s="1185"/>
      <c r="F1120" s="1185"/>
      <c r="G1120" s="1185"/>
      <c r="H1120" s="1185"/>
      <c r="I1120" s="1185"/>
      <c r="J1120" s="1185"/>
      <c r="K1120" s="1185"/>
      <c r="L1120" s="1185"/>
      <c r="M1120" s="1185"/>
      <c r="N1120" s="195"/>
    </row>
    <row r="1121">
      <c r="A1121" s="1185"/>
      <c r="B1121" s="1185"/>
      <c r="C1121" s="1185"/>
      <c r="D1121" s="1185"/>
      <c r="E1121" s="1185"/>
      <c r="F1121" s="1185"/>
      <c r="G1121" s="1185"/>
      <c r="H1121" s="1185"/>
      <c r="I1121" s="1185"/>
      <c r="J1121" s="1185"/>
      <c r="K1121" s="1185"/>
      <c r="L1121" s="1185"/>
      <c r="M1121" s="1185"/>
      <c r="N1121" s="195"/>
    </row>
    <row r="1122">
      <c r="A1122" s="1185"/>
      <c r="B1122" s="1185"/>
      <c r="C1122" s="1185"/>
      <c r="D1122" s="1185"/>
      <c r="E1122" s="1185"/>
      <c r="F1122" s="1185"/>
      <c r="G1122" s="1185"/>
      <c r="H1122" s="1185"/>
      <c r="I1122" s="1185"/>
      <c r="J1122" s="1185"/>
      <c r="K1122" s="1185"/>
      <c r="L1122" s="1185"/>
      <c r="M1122" s="1185"/>
      <c r="N1122" s="195"/>
    </row>
    <row r="1123">
      <c r="A1123" s="1185"/>
      <c r="B1123" s="1185"/>
      <c r="C1123" s="1185"/>
      <c r="D1123" s="1185"/>
      <c r="E1123" s="1185"/>
      <c r="F1123" s="1185"/>
      <c r="G1123" s="1185"/>
      <c r="H1123" s="1185"/>
      <c r="I1123" s="1185"/>
      <c r="J1123" s="1185"/>
      <c r="K1123" s="1185"/>
      <c r="L1123" s="1185"/>
      <c r="M1123" s="1185"/>
      <c r="N1123" s="195"/>
    </row>
    <row r="1124">
      <c r="A1124" s="1185"/>
      <c r="B1124" s="1185"/>
      <c r="C1124" s="1185"/>
      <c r="D1124" s="1185"/>
      <c r="E1124" s="1185"/>
      <c r="F1124" s="1185"/>
      <c r="G1124" s="1185"/>
      <c r="H1124" s="1185"/>
      <c r="I1124" s="1185"/>
      <c r="J1124" s="1185"/>
      <c r="K1124" s="1185"/>
      <c r="L1124" s="1185"/>
      <c r="M1124" s="1185"/>
      <c r="N1124" s="195"/>
    </row>
    <row r="1125">
      <c r="A1125" s="1185"/>
      <c r="B1125" s="1185"/>
      <c r="C1125" s="1185"/>
      <c r="D1125" s="1185"/>
      <c r="E1125" s="1185"/>
      <c r="F1125" s="1185"/>
      <c r="G1125" s="1185"/>
      <c r="H1125" s="1185"/>
      <c r="I1125" s="1185"/>
      <c r="J1125" s="1185"/>
      <c r="K1125" s="1185"/>
      <c r="L1125" s="1185"/>
      <c r="M1125" s="1185"/>
      <c r="N1125" s="195"/>
    </row>
    <row r="1126">
      <c r="A1126" s="1185"/>
      <c r="B1126" s="1185"/>
      <c r="C1126" s="1185"/>
      <c r="D1126" s="1185"/>
      <c r="E1126" s="1185"/>
      <c r="F1126" s="1185"/>
      <c r="G1126" s="1185"/>
      <c r="H1126" s="1185"/>
      <c r="I1126" s="1185"/>
      <c r="J1126" s="1185"/>
      <c r="K1126" s="1185"/>
      <c r="L1126" s="1185"/>
      <c r="M1126" s="1185"/>
      <c r="N1126" s="195"/>
    </row>
    <row r="1127">
      <c r="A1127" s="1185"/>
      <c r="B1127" s="1185"/>
      <c r="C1127" s="1185"/>
      <c r="D1127" s="1185"/>
      <c r="E1127" s="1185"/>
      <c r="F1127" s="1185"/>
      <c r="G1127" s="1185"/>
      <c r="H1127" s="1185"/>
      <c r="I1127" s="1185"/>
      <c r="J1127" s="1185"/>
      <c r="K1127" s="1185"/>
      <c r="L1127" s="1185"/>
      <c r="M1127" s="1185"/>
      <c r="N1127" s="195"/>
    </row>
    <row r="1128">
      <c r="A1128" s="1185"/>
      <c r="B1128" s="1185"/>
      <c r="C1128" s="1185"/>
      <c r="D1128" s="1185"/>
      <c r="E1128" s="1185"/>
      <c r="F1128" s="1185"/>
      <c r="G1128" s="1185"/>
      <c r="H1128" s="1185"/>
      <c r="I1128" s="1185"/>
      <c r="J1128" s="1185"/>
      <c r="K1128" s="1185"/>
      <c r="L1128" s="1185"/>
      <c r="M1128" s="1185"/>
      <c r="N1128" s="195"/>
    </row>
    <row r="1129">
      <c r="A1129" s="1185"/>
      <c r="B1129" s="1185"/>
      <c r="C1129" s="1185"/>
      <c r="D1129" s="1185"/>
      <c r="E1129" s="1185"/>
      <c r="F1129" s="1185"/>
      <c r="G1129" s="1185"/>
      <c r="H1129" s="1185"/>
      <c r="I1129" s="1185"/>
      <c r="J1129" s="1185"/>
      <c r="K1129" s="1185"/>
      <c r="L1129" s="1185"/>
      <c r="M1129" s="1185"/>
      <c r="N1129" s="195"/>
    </row>
    <row r="1130">
      <c r="A1130" s="1185"/>
      <c r="B1130" s="1185"/>
      <c r="C1130" s="1185"/>
      <c r="D1130" s="1185"/>
      <c r="E1130" s="1185"/>
      <c r="F1130" s="1185"/>
      <c r="G1130" s="1185"/>
      <c r="H1130" s="1185"/>
      <c r="I1130" s="1185"/>
      <c r="J1130" s="1185"/>
      <c r="K1130" s="1185"/>
      <c r="L1130" s="1185"/>
      <c r="M1130" s="1185"/>
      <c r="N1130" s="195"/>
    </row>
    <row r="1131">
      <c r="A1131" s="1185"/>
      <c r="B1131" s="1185"/>
      <c r="C1131" s="1185"/>
      <c r="D1131" s="1185"/>
      <c r="E1131" s="1185"/>
      <c r="F1131" s="1185"/>
      <c r="G1131" s="1185"/>
      <c r="H1131" s="1185"/>
      <c r="I1131" s="1185"/>
      <c r="J1131" s="1185"/>
      <c r="K1131" s="1185"/>
      <c r="L1131" s="1185"/>
      <c r="M1131" s="1185"/>
      <c r="N1131" s="195"/>
    </row>
    <row r="1132">
      <c r="A1132" s="1185"/>
      <c r="B1132" s="1185"/>
      <c r="C1132" s="1185"/>
      <c r="D1132" s="1185"/>
      <c r="E1132" s="1185"/>
      <c r="F1132" s="1185"/>
      <c r="G1132" s="1185"/>
      <c r="H1132" s="1185"/>
      <c r="I1132" s="1185"/>
      <c r="J1132" s="1185"/>
      <c r="K1132" s="1185"/>
      <c r="L1132" s="1185"/>
      <c r="M1132" s="1185"/>
      <c r="N1132" s="195"/>
    </row>
    <row r="1133">
      <c r="A1133" s="1185"/>
      <c r="B1133" s="1185"/>
      <c r="C1133" s="1185"/>
      <c r="D1133" s="1185"/>
      <c r="E1133" s="1185"/>
      <c r="F1133" s="1185"/>
      <c r="G1133" s="1185"/>
      <c r="H1133" s="1185"/>
      <c r="I1133" s="1185"/>
      <c r="J1133" s="1185"/>
      <c r="K1133" s="1185"/>
      <c r="L1133" s="1185"/>
      <c r="M1133" s="1185"/>
      <c r="N1133" s="195"/>
    </row>
    <row r="1134">
      <c r="A1134" s="1185"/>
      <c r="B1134" s="1185"/>
      <c r="C1134" s="1185"/>
      <c r="D1134" s="1185"/>
      <c r="E1134" s="1185"/>
      <c r="F1134" s="1185"/>
      <c r="G1134" s="1185"/>
      <c r="H1134" s="1185"/>
      <c r="I1134" s="1185"/>
      <c r="J1134" s="1185"/>
      <c r="K1134" s="1185"/>
      <c r="L1134" s="1185"/>
      <c r="M1134" s="1185"/>
      <c r="N1134" s="195"/>
    </row>
    <row r="1135">
      <c r="A1135" s="1185"/>
      <c r="B1135" s="1185"/>
      <c r="C1135" s="1185"/>
      <c r="D1135" s="1185"/>
      <c r="E1135" s="1185"/>
      <c r="F1135" s="1185"/>
      <c r="G1135" s="1185"/>
      <c r="H1135" s="1185"/>
      <c r="I1135" s="1185"/>
      <c r="J1135" s="1185"/>
      <c r="K1135" s="1185"/>
      <c r="L1135" s="1185"/>
      <c r="M1135" s="1185"/>
      <c r="N1135" s="195"/>
    </row>
    <row r="1136">
      <c r="A1136" s="1185"/>
      <c r="B1136" s="1185"/>
      <c r="C1136" s="1185"/>
      <c r="D1136" s="1185"/>
      <c r="E1136" s="1185"/>
      <c r="F1136" s="1185"/>
      <c r="G1136" s="1185"/>
      <c r="H1136" s="1185"/>
      <c r="I1136" s="1185"/>
      <c r="J1136" s="1185"/>
      <c r="K1136" s="1185"/>
      <c r="L1136" s="1185"/>
      <c r="M1136" s="1185"/>
      <c r="N1136" s="195"/>
    </row>
    <row r="1137">
      <c r="A1137" s="1185"/>
      <c r="B1137" s="1185"/>
      <c r="C1137" s="1185"/>
      <c r="D1137" s="1185"/>
      <c r="E1137" s="1185"/>
      <c r="F1137" s="1185"/>
      <c r="G1137" s="1185"/>
      <c r="H1137" s="1185"/>
      <c r="I1137" s="1185"/>
      <c r="J1137" s="1185"/>
      <c r="K1137" s="1185"/>
      <c r="L1137" s="1185"/>
      <c r="M1137" s="1185"/>
      <c r="N1137" s="195"/>
    </row>
    <row r="1138">
      <c r="A1138" s="1185"/>
      <c r="B1138" s="1185"/>
      <c r="C1138" s="1185"/>
      <c r="D1138" s="1185"/>
      <c r="E1138" s="1185"/>
      <c r="F1138" s="1185"/>
      <c r="G1138" s="1185"/>
      <c r="H1138" s="1185"/>
      <c r="I1138" s="1185"/>
      <c r="J1138" s="1185"/>
      <c r="K1138" s="1185"/>
      <c r="L1138" s="1185"/>
      <c r="M1138" s="1185"/>
      <c r="N1138" s="195"/>
    </row>
    <row r="1139">
      <c r="A1139" s="1185"/>
      <c r="B1139" s="1185"/>
      <c r="C1139" s="1185"/>
      <c r="D1139" s="1185"/>
      <c r="E1139" s="1185"/>
      <c r="F1139" s="1185"/>
      <c r="G1139" s="1185"/>
      <c r="H1139" s="1185"/>
      <c r="I1139" s="1185"/>
      <c r="J1139" s="1185"/>
      <c r="K1139" s="1185"/>
      <c r="L1139" s="1185"/>
      <c r="M1139" s="1185"/>
      <c r="N1139" s="195"/>
    </row>
    <row r="1140">
      <c r="A1140" s="1185"/>
      <c r="B1140" s="1185"/>
      <c r="C1140" s="1185"/>
      <c r="D1140" s="1185"/>
      <c r="E1140" s="1185"/>
      <c r="F1140" s="1185"/>
      <c r="G1140" s="1185"/>
      <c r="H1140" s="1185"/>
      <c r="I1140" s="1185"/>
      <c r="J1140" s="1185"/>
      <c r="K1140" s="1185"/>
      <c r="L1140" s="1185"/>
      <c r="M1140" s="1185"/>
      <c r="N1140" s="195"/>
    </row>
    <row r="1141">
      <c r="A1141" s="1185"/>
      <c r="B1141" s="1185"/>
      <c r="C1141" s="1185"/>
      <c r="D1141" s="1185"/>
      <c r="E1141" s="1185"/>
      <c r="F1141" s="1185"/>
      <c r="G1141" s="1185"/>
      <c r="H1141" s="1185"/>
      <c r="I1141" s="1185"/>
      <c r="J1141" s="1185"/>
      <c r="K1141" s="1185"/>
      <c r="L1141" s="1185"/>
      <c r="M1141" s="1185"/>
      <c r="N1141" s="195"/>
    </row>
    <row r="1142">
      <c r="A1142" s="1185"/>
      <c r="B1142" s="1185"/>
      <c r="C1142" s="1185"/>
      <c r="D1142" s="1185"/>
      <c r="E1142" s="1185"/>
      <c r="F1142" s="1185"/>
      <c r="G1142" s="1185"/>
      <c r="H1142" s="1185"/>
      <c r="I1142" s="1185"/>
      <c r="J1142" s="1185"/>
      <c r="K1142" s="1185"/>
      <c r="L1142" s="1185"/>
      <c r="M1142" s="1185"/>
      <c r="N1142" s="195"/>
    </row>
    <row r="1143">
      <c r="A1143" s="1185"/>
      <c r="B1143" s="1185"/>
      <c r="C1143" s="1185"/>
      <c r="D1143" s="1185"/>
      <c r="E1143" s="1185"/>
      <c r="F1143" s="1185"/>
      <c r="G1143" s="1185"/>
      <c r="H1143" s="1185"/>
      <c r="I1143" s="1185"/>
      <c r="J1143" s="1185"/>
      <c r="K1143" s="1185"/>
      <c r="L1143" s="1185"/>
      <c r="M1143" s="1185"/>
      <c r="N1143" s="195"/>
    </row>
    <row r="1144">
      <c r="A1144" s="1185"/>
      <c r="B1144" s="1185"/>
      <c r="C1144" s="1185"/>
      <c r="D1144" s="1185"/>
      <c r="E1144" s="1185"/>
      <c r="F1144" s="1185"/>
      <c r="G1144" s="1185"/>
      <c r="H1144" s="1185"/>
      <c r="I1144" s="1185"/>
      <c r="J1144" s="1185"/>
      <c r="K1144" s="1185"/>
      <c r="L1144" s="1185"/>
      <c r="M1144" s="1185"/>
      <c r="N1144" s="195"/>
    </row>
    <row r="1145">
      <c r="A1145" s="1185"/>
      <c r="B1145" s="1185"/>
      <c r="C1145" s="1185"/>
      <c r="D1145" s="1185"/>
      <c r="E1145" s="1185"/>
      <c r="F1145" s="1185"/>
      <c r="G1145" s="1185"/>
      <c r="H1145" s="1185"/>
      <c r="I1145" s="1185"/>
      <c r="J1145" s="1185"/>
      <c r="K1145" s="1185"/>
      <c r="L1145" s="1185"/>
      <c r="M1145" s="1185"/>
      <c r="N1145" s="195"/>
    </row>
    <row r="1146">
      <c r="A1146" s="1185"/>
      <c r="B1146" s="1185"/>
      <c r="C1146" s="1185"/>
      <c r="D1146" s="1185"/>
      <c r="E1146" s="1185"/>
      <c r="F1146" s="1185"/>
      <c r="G1146" s="1185"/>
      <c r="H1146" s="1185"/>
      <c r="I1146" s="1185"/>
      <c r="J1146" s="1185"/>
      <c r="K1146" s="1185"/>
      <c r="L1146" s="1185"/>
      <c r="M1146" s="1185"/>
      <c r="N1146" s="195"/>
    </row>
    <row r="1147">
      <c r="A1147" s="1185"/>
      <c r="B1147" s="1185"/>
      <c r="C1147" s="1185"/>
      <c r="D1147" s="1185"/>
      <c r="E1147" s="1185"/>
      <c r="F1147" s="1185"/>
      <c r="G1147" s="1185"/>
      <c r="H1147" s="1185"/>
      <c r="I1147" s="1185"/>
      <c r="J1147" s="1185"/>
      <c r="K1147" s="1185"/>
      <c r="L1147" s="1185"/>
      <c r="M1147" s="1185"/>
      <c r="N1147" s="195"/>
    </row>
    <row r="1148">
      <c r="A1148" s="1185"/>
      <c r="B1148" s="1185"/>
      <c r="C1148" s="1185"/>
      <c r="D1148" s="1185"/>
      <c r="E1148" s="1185"/>
      <c r="F1148" s="1185"/>
      <c r="G1148" s="1185"/>
      <c r="H1148" s="1185"/>
      <c r="I1148" s="1185"/>
      <c r="J1148" s="1185"/>
      <c r="K1148" s="1185"/>
      <c r="L1148" s="1185"/>
      <c r="M1148" s="1185"/>
      <c r="N1148" s="195"/>
    </row>
    <row r="1149">
      <c r="A1149" s="1185"/>
      <c r="B1149" s="1185"/>
      <c r="C1149" s="1185"/>
      <c r="D1149" s="1185"/>
      <c r="E1149" s="1185"/>
      <c r="F1149" s="1185"/>
      <c r="G1149" s="1185"/>
      <c r="H1149" s="1185"/>
      <c r="I1149" s="1185"/>
      <c r="J1149" s="1185"/>
      <c r="K1149" s="1185"/>
      <c r="L1149" s="1185"/>
      <c r="M1149" s="1185"/>
      <c r="N1149" s="195"/>
    </row>
    <row r="1150">
      <c r="A1150" s="1185"/>
      <c r="B1150" s="1185"/>
      <c r="C1150" s="1185"/>
      <c r="D1150" s="1185"/>
      <c r="E1150" s="1185"/>
      <c r="F1150" s="1185"/>
      <c r="G1150" s="1185"/>
      <c r="H1150" s="1185"/>
      <c r="I1150" s="1185"/>
      <c r="J1150" s="1185"/>
      <c r="K1150" s="1185"/>
      <c r="L1150" s="1185"/>
      <c r="M1150" s="1185"/>
      <c r="N1150" s="195"/>
    </row>
    <row r="1151">
      <c r="A1151" s="1185"/>
      <c r="B1151" s="1185"/>
      <c r="C1151" s="1185"/>
      <c r="D1151" s="1185"/>
      <c r="E1151" s="1185"/>
      <c r="F1151" s="1185"/>
      <c r="G1151" s="1185"/>
      <c r="H1151" s="1185"/>
      <c r="I1151" s="1185"/>
      <c r="J1151" s="1185"/>
      <c r="K1151" s="1185"/>
      <c r="L1151" s="1185"/>
      <c r="M1151" s="1185"/>
      <c r="N1151" s="195"/>
    </row>
    <row r="1152">
      <c r="A1152" s="1185"/>
      <c r="B1152" s="1185"/>
      <c r="C1152" s="1185"/>
      <c r="D1152" s="1185"/>
      <c r="E1152" s="1185"/>
      <c r="F1152" s="1185"/>
      <c r="G1152" s="1185"/>
      <c r="H1152" s="1185"/>
      <c r="I1152" s="1185"/>
      <c r="J1152" s="1185"/>
      <c r="K1152" s="1185"/>
      <c r="L1152" s="1185"/>
      <c r="M1152" s="1185"/>
      <c r="N1152" s="195"/>
    </row>
    <row r="1153">
      <c r="A1153" s="1185"/>
      <c r="B1153" s="1185"/>
      <c r="C1153" s="1185"/>
      <c r="D1153" s="1185"/>
      <c r="E1153" s="1185"/>
      <c r="F1153" s="1185"/>
      <c r="G1153" s="1185"/>
      <c r="H1153" s="1185"/>
      <c r="I1153" s="1185"/>
      <c r="J1153" s="1185"/>
      <c r="K1153" s="1185"/>
      <c r="L1153" s="1185"/>
      <c r="M1153" s="1185"/>
      <c r="N1153" s="195"/>
    </row>
    <row r="1154">
      <c r="A1154" s="1185"/>
      <c r="B1154" s="1185"/>
      <c r="C1154" s="1185"/>
      <c r="D1154" s="1185"/>
      <c r="E1154" s="1185"/>
      <c r="F1154" s="1185"/>
      <c r="G1154" s="1185"/>
      <c r="H1154" s="1185"/>
      <c r="I1154" s="1185"/>
      <c r="J1154" s="1185"/>
      <c r="K1154" s="1185"/>
      <c r="L1154" s="1185"/>
      <c r="M1154" s="1185"/>
      <c r="N1154" s="195"/>
    </row>
    <row r="1155">
      <c r="A1155" s="1185"/>
      <c r="B1155" s="1185"/>
      <c r="C1155" s="1185"/>
      <c r="D1155" s="1185"/>
      <c r="E1155" s="1185"/>
      <c r="F1155" s="1185"/>
      <c r="G1155" s="1185"/>
      <c r="H1155" s="1185"/>
      <c r="I1155" s="1185"/>
      <c r="J1155" s="1185"/>
      <c r="K1155" s="1185"/>
      <c r="L1155" s="1185"/>
      <c r="M1155" s="1185"/>
      <c r="N1155" s="195"/>
    </row>
    <row r="1156">
      <c r="A1156" s="1185"/>
      <c r="B1156" s="1185"/>
      <c r="C1156" s="1185"/>
      <c r="D1156" s="1185"/>
      <c r="E1156" s="1185"/>
      <c r="F1156" s="1185"/>
      <c r="G1156" s="1185"/>
      <c r="H1156" s="1185"/>
      <c r="I1156" s="1185"/>
      <c r="J1156" s="1185"/>
      <c r="K1156" s="1185"/>
      <c r="L1156" s="1185"/>
      <c r="M1156" s="1185"/>
      <c r="N1156" s="195"/>
    </row>
    <row r="1157">
      <c r="A1157" s="1185"/>
      <c r="B1157" s="1185"/>
      <c r="C1157" s="1185"/>
      <c r="D1157" s="1185"/>
      <c r="E1157" s="1185"/>
      <c r="F1157" s="1185"/>
      <c r="G1157" s="1185"/>
      <c r="H1157" s="1185"/>
      <c r="I1157" s="1185"/>
      <c r="J1157" s="1185"/>
      <c r="K1157" s="1185"/>
      <c r="L1157" s="1185"/>
      <c r="M1157" s="1185"/>
      <c r="N1157" s="195"/>
    </row>
    <row r="1158">
      <c r="A1158" s="1185"/>
      <c r="B1158" s="1185"/>
      <c r="C1158" s="1185"/>
      <c r="D1158" s="1185"/>
      <c r="E1158" s="1185"/>
      <c r="F1158" s="1185"/>
      <c r="G1158" s="1185"/>
      <c r="H1158" s="1185"/>
      <c r="I1158" s="1185"/>
      <c r="J1158" s="1185"/>
      <c r="K1158" s="1185"/>
      <c r="L1158" s="1185"/>
      <c r="M1158" s="1185"/>
      <c r="N1158" s="195"/>
    </row>
    <row r="1159">
      <c r="A1159" s="1185"/>
      <c r="B1159" s="1185"/>
      <c r="C1159" s="1185"/>
      <c r="D1159" s="1185"/>
      <c r="E1159" s="1185"/>
      <c r="F1159" s="1185"/>
      <c r="G1159" s="1185"/>
      <c r="H1159" s="1185"/>
      <c r="I1159" s="1185"/>
      <c r="J1159" s="1185"/>
      <c r="K1159" s="1185"/>
      <c r="L1159" s="1185"/>
      <c r="M1159" s="1185"/>
      <c r="N1159" s="195"/>
    </row>
    <row r="1160">
      <c r="A1160" s="1185"/>
      <c r="B1160" s="1185"/>
      <c r="C1160" s="1185"/>
      <c r="D1160" s="1185"/>
      <c r="E1160" s="1185"/>
      <c r="F1160" s="1185"/>
      <c r="G1160" s="1185"/>
      <c r="H1160" s="1185"/>
      <c r="I1160" s="1185"/>
      <c r="J1160" s="1185"/>
      <c r="K1160" s="1185"/>
      <c r="L1160" s="1185"/>
      <c r="M1160" s="1185"/>
      <c r="N1160" s="195"/>
    </row>
    <row r="1161">
      <c r="A1161" s="1185"/>
      <c r="B1161" s="1185"/>
      <c r="C1161" s="1185"/>
      <c r="D1161" s="1185"/>
      <c r="E1161" s="1185"/>
      <c r="F1161" s="1185"/>
      <c r="G1161" s="1185"/>
      <c r="H1161" s="1185"/>
      <c r="I1161" s="1185"/>
      <c r="J1161" s="1185"/>
      <c r="K1161" s="1185"/>
      <c r="L1161" s="1185"/>
      <c r="M1161" s="1185"/>
      <c r="N1161" s="195"/>
    </row>
    <row r="1162">
      <c r="A1162" s="1185"/>
      <c r="B1162" s="1185"/>
      <c r="C1162" s="1185"/>
      <c r="D1162" s="1185"/>
      <c r="E1162" s="1185"/>
      <c r="F1162" s="1185"/>
      <c r="G1162" s="1185"/>
      <c r="H1162" s="1185"/>
      <c r="I1162" s="1185"/>
      <c r="J1162" s="1185"/>
      <c r="K1162" s="1185"/>
      <c r="L1162" s="1185"/>
      <c r="M1162" s="1185"/>
      <c r="N1162" s="195"/>
    </row>
    <row r="1163">
      <c r="A1163" s="1185"/>
      <c r="B1163" s="1185"/>
      <c r="C1163" s="1185"/>
      <c r="D1163" s="1185"/>
      <c r="E1163" s="1185"/>
      <c r="F1163" s="1185"/>
      <c r="G1163" s="1185"/>
      <c r="H1163" s="1185"/>
      <c r="I1163" s="1185"/>
      <c r="J1163" s="1185"/>
      <c r="K1163" s="1185"/>
      <c r="L1163" s="1185"/>
      <c r="M1163" s="1185"/>
      <c r="N1163" s="195"/>
    </row>
    <row r="1164">
      <c r="A1164" s="1185"/>
      <c r="B1164" s="1185"/>
      <c r="C1164" s="1185"/>
      <c r="D1164" s="1185"/>
      <c r="E1164" s="1185"/>
      <c r="F1164" s="1185"/>
      <c r="G1164" s="1185"/>
      <c r="H1164" s="1185"/>
      <c r="I1164" s="1185"/>
      <c r="J1164" s="1185"/>
      <c r="K1164" s="1185"/>
      <c r="L1164" s="1185"/>
      <c r="M1164" s="1185"/>
      <c r="N1164" s="195"/>
    </row>
    <row r="1165">
      <c r="A1165" s="1185"/>
      <c r="B1165" s="1185"/>
      <c r="C1165" s="1185"/>
      <c r="D1165" s="1185"/>
      <c r="E1165" s="1185"/>
      <c r="F1165" s="1185"/>
      <c r="G1165" s="1185"/>
      <c r="H1165" s="1185"/>
      <c r="I1165" s="1185"/>
      <c r="J1165" s="1185"/>
      <c r="K1165" s="1185"/>
      <c r="L1165" s="1185"/>
      <c r="M1165" s="1185"/>
      <c r="N1165" s="195"/>
    </row>
    <row r="1166">
      <c r="A1166" s="1185"/>
      <c r="B1166" s="1185"/>
      <c r="C1166" s="1185"/>
      <c r="D1166" s="1185"/>
      <c r="E1166" s="1185"/>
      <c r="F1166" s="1185"/>
      <c r="G1166" s="1185"/>
      <c r="H1166" s="1185"/>
      <c r="I1166" s="1185"/>
      <c r="J1166" s="1185"/>
      <c r="K1166" s="1185"/>
      <c r="L1166" s="1185"/>
      <c r="M1166" s="1185"/>
      <c r="N1166" s="195"/>
    </row>
    <row r="1167">
      <c r="A1167" s="1185"/>
      <c r="B1167" s="1185"/>
      <c r="C1167" s="1185"/>
      <c r="D1167" s="1185"/>
      <c r="E1167" s="1185"/>
      <c r="F1167" s="1185"/>
      <c r="G1167" s="1185"/>
      <c r="H1167" s="1185"/>
      <c r="I1167" s="1185"/>
      <c r="J1167" s="1185"/>
      <c r="K1167" s="1185"/>
      <c r="L1167" s="1185"/>
      <c r="M1167" s="1185"/>
      <c r="N1167" s="195"/>
    </row>
    <row r="1168">
      <c r="A1168" s="1185"/>
      <c r="B1168" s="1185"/>
      <c r="C1168" s="1185"/>
      <c r="D1168" s="1185"/>
      <c r="E1168" s="1185"/>
      <c r="F1168" s="1185"/>
      <c r="G1168" s="1185"/>
      <c r="H1168" s="1185"/>
      <c r="I1168" s="1185"/>
      <c r="J1168" s="1185"/>
      <c r="K1168" s="1185"/>
      <c r="L1168" s="1185"/>
      <c r="M1168" s="1185"/>
      <c r="N1168" s="195"/>
    </row>
    <row r="1169">
      <c r="A1169" s="1185"/>
      <c r="B1169" s="1185"/>
      <c r="C1169" s="1185"/>
      <c r="D1169" s="1185"/>
      <c r="E1169" s="1185"/>
      <c r="F1169" s="1185"/>
      <c r="G1169" s="1185"/>
      <c r="H1169" s="1185"/>
      <c r="I1169" s="1185"/>
      <c r="J1169" s="1185"/>
      <c r="K1169" s="1185"/>
      <c r="L1169" s="1185"/>
      <c r="M1169" s="1185"/>
      <c r="N1169" s="195"/>
    </row>
    <row r="1170">
      <c r="A1170" s="1185"/>
      <c r="B1170" s="1185"/>
      <c r="C1170" s="1185"/>
      <c r="D1170" s="1185"/>
      <c r="E1170" s="1185"/>
      <c r="F1170" s="1185"/>
      <c r="G1170" s="1185"/>
      <c r="H1170" s="1185"/>
      <c r="I1170" s="1185"/>
      <c r="J1170" s="1185"/>
      <c r="K1170" s="1185"/>
      <c r="L1170" s="1185"/>
      <c r="M1170" s="1185"/>
      <c r="N1170" s="195"/>
    </row>
    <row r="1171">
      <c r="A1171" s="1185"/>
      <c r="B1171" s="1185"/>
      <c r="C1171" s="1185"/>
      <c r="D1171" s="1185"/>
      <c r="E1171" s="1185"/>
      <c r="F1171" s="1185"/>
      <c r="G1171" s="1185"/>
      <c r="H1171" s="1185"/>
      <c r="I1171" s="1185"/>
      <c r="J1171" s="1185"/>
      <c r="K1171" s="1185"/>
      <c r="L1171" s="1185"/>
      <c r="M1171" s="1185"/>
      <c r="N1171" s="195"/>
    </row>
    <row r="1172">
      <c r="A1172" s="1185"/>
      <c r="B1172" s="1185"/>
      <c r="C1172" s="1185"/>
      <c r="D1172" s="1185"/>
      <c r="E1172" s="1185"/>
      <c r="F1172" s="1185"/>
      <c r="G1172" s="1185"/>
      <c r="H1172" s="1185"/>
      <c r="I1172" s="1185"/>
      <c r="J1172" s="1185"/>
      <c r="K1172" s="1185"/>
      <c r="L1172" s="1185"/>
      <c r="M1172" s="1185"/>
      <c r="N1172" s="195"/>
    </row>
    <row r="1173">
      <c r="A1173" s="1185"/>
      <c r="B1173" s="1185"/>
      <c r="C1173" s="1185"/>
      <c r="D1173" s="1185"/>
      <c r="E1173" s="1185"/>
      <c r="F1173" s="1185"/>
      <c r="G1173" s="1185"/>
      <c r="H1173" s="1185"/>
      <c r="I1173" s="1185"/>
      <c r="J1173" s="1185"/>
      <c r="K1173" s="1185"/>
      <c r="L1173" s="1185"/>
      <c r="M1173" s="1185"/>
      <c r="N1173" s="195"/>
    </row>
    <row r="1174">
      <c r="A1174" s="1185"/>
      <c r="B1174" s="1185"/>
      <c r="C1174" s="1185"/>
      <c r="D1174" s="1185"/>
      <c r="E1174" s="1185"/>
      <c r="F1174" s="1185"/>
      <c r="G1174" s="1185"/>
      <c r="H1174" s="1185"/>
      <c r="I1174" s="1185"/>
      <c r="J1174" s="1185"/>
      <c r="K1174" s="1185"/>
      <c r="L1174" s="1185"/>
      <c r="M1174" s="1185"/>
      <c r="N1174" s="195"/>
    </row>
    <row r="1175">
      <c r="A1175" s="1185"/>
      <c r="B1175" s="1185"/>
      <c r="C1175" s="1185"/>
      <c r="D1175" s="1185"/>
      <c r="E1175" s="1185"/>
      <c r="F1175" s="1185"/>
      <c r="G1175" s="1185"/>
      <c r="H1175" s="1185"/>
      <c r="I1175" s="1185"/>
      <c r="J1175" s="1185"/>
      <c r="K1175" s="1185"/>
      <c r="L1175" s="1185"/>
      <c r="M1175" s="1185"/>
      <c r="N1175" s="195"/>
    </row>
    <row r="1176">
      <c r="A1176" s="1185"/>
      <c r="B1176" s="1185"/>
      <c r="C1176" s="1185"/>
      <c r="D1176" s="1185"/>
      <c r="E1176" s="1185"/>
      <c r="F1176" s="1185"/>
      <c r="G1176" s="1185"/>
      <c r="H1176" s="1185"/>
      <c r="I1176" s="1185"/>
      <c r="J1176" s="1185"/>
      <c r="K1176" s="1185"/>
      <c r="L1176" s="1185"/>
      <c r="M1176" s="1185"/>
      <c r="N1176" s="195"/>
    </row>
    <row r="1177">
      <c r="A1177" s="1185"/>
      <c r="B1177" s="1185"/>
      <c r="C1177" s="1185"/>
      <c r="D1177" s="1185"/>
      <c r="E1177" s="1185"/>
      <c r="F1177" s="1185"/>
      <c r="G1177" s="1185"/>
      <c r="H1177" s="1185"/>
      <c r="I1177" s="1185"/>
      <c r="J1177" s="1185"/>
      <c r="K1177" s="1185"/>
      <c r="L1177" s="1185"/>
      <c r="M1177" s="1185"/>
      <c r="N1177" s="195"/>
    </row>
    <row r="1178">
      <c r="A1178" s="1185"/>
      <c r="B1178" s="1185"/>
      <c r="C1178" s="1185"/>
      <c r="D1178" s="1185"/>
      <c r="E1178" s="1185"/>
      <c r="F1178" s="1185"/>
      <c r="G1178" s="1185"/>
      <c r="H1178" s="1185"/>
      <c r="I1178" s="1185"/>
      <c r="J1178" s="1185"/>
      <c r="K1178" s="1185"/>
      <c r="L1178" s="1185"/>
      <c r="M1178" s="1185"/>
      <c r="N1178" s="195"/>
    </row>
    <row r="1179">
      <c r="A1179" s="1185"/>
      <c r="B1179" s="1185"/>
      <c r="C1179" s="1185"/>
      <c r="D1179" s="1185"/>
      <c r="E1179" s="1185"/>
      <c r="F1179" s="1185"/>
      <c r="G1179" s="1185"/>
      <c r="H1179" s="1185"/>
      <c r="I1179" s="1185"/>
      <c r="J1179" s="1185"/>
      <c r="K1179" s="1185"/>
      <c r="L1179" s="1185"/>
      <c r="M1179" s="1185"/>
      <c r="N1179" s="195"/>
    </row>
    <row r="1180">
      <c r="A1180" s="1185"/>
      <c r="B1180" s="1185"/>
      <c r="C1180" s="1185"/>
      <c r="D1180" s="1185"/>
      <c r="E1180" s="1185"/>
      <c r="F1180" s="1185"/>
      <c r="G1180" s="1185"/>
      <c r="H1180" s="1185"/>
      <c r="I1180" s="1185"/>
      <c r="J1180" s="1185"/>
      <c r="K1180" s="1185"/>
      <c r="L1180" s="1185"/>
      <c r="M1180" s="1185"/>
      <c r="N1180" s="195"/>
    </row>
    <row r="1181">
      <c r="A1181" s="1185"/>
      <c r="B1181" s="1185"/>
      <c r="C1181" s="1185"/>
      <c r="D1181" s="1185"/>
      <c r="E1181" s="1185"/>
      <c r="F1181" s="1185"/>
      <c r="G1181" s="1185"/>
      <c r="H1181" s="1185"/>
      <c r="I1181" s="1185"/>
      <c r="J1181" s="1185"/>
      <c r="K1181" s="1185"/>
      <c r="L1181" s="1185"/>
      <c r="M1181" s="1185"/>
      <c r="N1181" s="195"/>
    </row>
    <row r="1182">
      <c r="A1182" s="1185"/>
      <c r="B1182" s="1185"/>
      <c r="C1182" s="1185"/>
      <c r="D1182" s="1185"/>
      <c r="E1182" s="1185"/>
      <c r="F1182" s="1185"/>
      <c r="G1182" s="1185"/>
      <c r="H1182" s="1185"/>
      <c r="I1182" s="1185"/>
      <c r="J1182" s="1185"/>
      <c r="K1182" s="1185"/>
      <c r="L1182" s="1185"/>
      <c r="M1182" s="1185"/>
      <c r="N1182" s="195"/>
    </row>
    <row r="1183">
      <c r="A1183" s="1185"/>
      <c r="B1183" s="1185"/>
      <c r="C1183" s="1185"/>
      <c r="D1183" s="1185"/>
      <c r="E1183" s="1185"/>
      <c r="F1183" s="1185"/>
      <c r="G1183" s="1185"/>
      <c r="H1183" s="1185"/>
      <c r="I1183" s="1185"/>
      <c r="J1183" s="1185"/>
      <c r="K1183" s="1185"/>
      <c r="L1183" s="1185"/>
      <c r="M1183" s="1185"/>
      <c r="N1183" s="195"/>
    </row>
    <row r="1184">
      <c r="A1184" s="1185"/>
      <c r="B1184" s="1185"/>
      <c r="C1184" s="1185"/>
      <c r="D1184" s="1185"/>
      <c r="E1184" s="1185"/>
      <c r="F1184" s="1185"/>
      <c r="G1184" s="1185"/>
      <c r="H1184" s="1185"/>
      <c r="I1184" s="1185"/>
      <c r="J1184" s="1185"/>
      <c r="K1184" s="1185"/>
      <c r="L1184" s="1185"/>
      <c r="M1184" s="1185"/>
      <c r="N1184" s="195"/>
    </row>
    <row r="1185">
      <c r="A1185" s="1185"/>
      <c r="B1185" s="1185"/>
      <c r="C1185" s="1185"/>
      <c r="D1185" s="1185"/>
      <c r="E1185" s="1185"/>
      <c r="F1185" s="1185"/>
      <c r="G1185" s="1185"/>
      <c r="H1185" s="1185"/>
      <c r="I1185" s="1185"/>
      <c r="J1185" s="1185"/>
      <c r="K1185" s="1185"/>
      <c r="L1185" s="1185"/>
      <c r="M1185" s="1185"/>
      <c r="N1185" s="195"/>
    </row>
    <row r="1186">
      <c r="A1186" s="1185"/>
      <c r="B1186" s="1185"/>
      <c r="C1186" s="1185"/>
      <c r="D1186" s="1185"/>
      <c r="E1186" s="1185"/>
      <c r="F1186" s="1185"/>
      <c r="G1186" s="1185"/>
      <c r="H1186" s="1185"/>
      <c r="I1186" s="1185"/>
      <c r="J1186" s="1185"/>
      <c r="K1186" s="1185"/>
      <c r="L1186" s="1185"/>
      <c r="M1186" s="1185"/>
      <c r="N1186" s="195"/>
    </row>
    <row r="1187">
      <c r="A1187" s="1185"/>
      <c r="B1187" s="1185"/>
      <c r="C1187" s="1185"/>
      <c r="D1187" s="1185"/>
      <c r="E1187" s="1185"/>
      <c r="F1187" s="1185"/>
      <c r="G1187" s="1185"/>
      <c r="H1187" s="1185"/>
      <c r="I1187" s="1185"/>
      <c r="J1187" s="1185"/>
      <c r="K1187" s="1185"/>
      <c r="L1187" s="1185"/>
      <c r="M1187" s="1185"/>
      <c r="N1187" s="195"/>
    </row>
    <row r="1188">
      <c r="A1188" s="1185"/>
      <c r="B1188" s="1185"/>
      <c r="C1188" s="1185"/>
      <c r="D1188" s="1185"/>
      <c r="E1188" s="1185"/>
      <c r="F1188" s="1185"/>
      <c r="G1188" s="1185"/>
      <c r="H1188" s="1185"/>
      <c r="I1188" s="1185"/>
      <c r="J1188" s="1185"/>
      <c r="K1188" s="1185"/>
      <c r="L1188" s="1185"/>
      <c r="M1188" s="1185"/>
      <c r="N1188" s="195"/>
    </row>
    <row r="1189">
      <c r="A1189" s="1185"/>
      <c r="B1189" s="1185"/>
      <c r="C1189" s="1185"/>
      <c r="D1189" s="1185"/>
      <c r="E1189" s="1185"/>
      <c r="F1189" s="1185"/>
      <c r="G1189" s="1185"/>
      <c r="H1189" s="1185"/>
      <c r="I1189" s="1185"/>
      <c r="J1189" s="1185"/>
      <c r="K1189" s="1185"/>
      <c r="L1189" s="1185"/>
      <c r="M1189" s="1185"/>
      <c r="N1189" s="195"/>
    </row>
    <row r="1190">
      <c r="A1190" s="1185"/>
      <c r="B1190" s="1185"/>
      <c r="C1190" s="1185"/>
      <c r="D1190" s="1185"/>
      <c r="E1190" s="1185"/>
      <c r="F1190" s="1185"/>
      <c r="G1190" s="1185"/>
      <c r="H1190" s="1185"/>
      <c r="I1190" s="1185"/>
      <c r="J1190" s="1185"/>
      <c r="K1190" s="1185"/>
      <c r="L1190" s="1185"/>
      <c r="M1190" s="1185"/>
      <c r="N1190" s="195"/>
    </row>
    <row r="1191">
      <c r="A1191" s="1185"/>
      <c r="B1191" s="1185"/>
      <c r="C1191" s="1185"/>
      <c r="D1191" s="1185"/>
      <c r="E1191" s="1185"/>
      <c r="F1191" s="1185"/>
      <c r="G1191" s="1185"/>
      <c r="H1191" s="1185"/>
      <c r="I1191" s="1185"/>
      <c r="J1191" s="1185"/>
      <c r="K1191" s="1185"/>
      <c r="L1191" s="1185"/>
      <c r="M1191" s="1185"/>
      <c r="N1191" s="195"/>
    </row>
    <row r="1192">
      <c r="A1192" s="1185"/>
      <c r="B1192" s="1185"/>
      <c r="C1192" s="1185"/>
      <c r="D1192" s="1185"/>
      <c r="E1192" s="1185"/>
      <c r="F1192" s="1185"/>
      <c r="G1192" s="1185"/>
      <c r="H1192" s="1185"/>
      <c r="I1192" s="1185"/>
      <c r="J1192" s="1185"/>
      <c r="K1192" s="1185"/>
      <c r="L1192" s="1185"/>
      <c r="M1192" s="1185"/>
      <c r="N1192" s="195"/>
    </row>
    <row r="1193">
      <c r="A1193" s="1185"/>
      <c r="B1193" s="1185"/>
      <c r="C1193" s="1185"/>
      <c r="D1193" s="1185"/>
      <c r="E1193" s="1185"/>
      <c r="F1193" s="1185"/>
      <c r="G1193" s="1185"/>
      <c r="H1193" s="1185"/>
      <c r="I1193" s="1185"/>
      <c r="J1193" s="1185"/>
      <c r="K1193" s="1185"/>
      <c r="L1193" s="1185"/>
      <c r="M1193" s="1185"/>
      <c r="N1193" s="195"/>
    </row>
    <row r="1194">
      <c r="A1194" s="1185"/>
      <c r="B1194" s="1185"/>
      <c r="C1194" s="1185"/>
      <c r="D1194" s="1185"/>
      <c r="E1194" s="1185"/>
      <c r="F1194" s="1185"/>
      <c r="G1194" s="1185"/>
      <c r="H1194" s="1185"/>
      <c r="I1194" s="1185"/>
      <c r="J1194" s="1185"/>
      <c r="K1194" s="1185"/>
      <c r="L1194" s="1185"/>
      <c r="M1194" s="1185"/>
      <c r="N1194" s="195"/>
    </row>
    <row r="1195">
      <c r="A1195" s="1185"/>
      <c r="B1195" s="1185"/>
      <c r="C1195" s="1185"/>
      <c r="D1195" s="1185"/>
      <c r="E1195" s="1185"/>
      <c r="F1195" s="1185"/>
      <c r="G1195" s="1185"/>
      <c r="H1195" s="1185"/>
      <c r="I1195" s="1185"/>
      <c r="J1195" s="1185"/>
      <c r="K1195" s="1185"/>
      <c r="L1195" s="1185"/>
      <c r="M1195" s="1185"/>
      <c r="N1195" s="195"/>
    </row>
    <row r="1196">
      <c r="A1196" s="1185"/>
      <c r="B1196" s="1185"/>
      <c r="C1196" s="1185"/>
      <c r="D1196" s="1185"/>
      <c r="E1196" s="1185"/>
      <c r="F1196" s="1185"/>
      <c r="G1196" s="1185"/>
      <c r="H1196" s="1185"/>
      <c r="I1196" s="1185"/>
      <c r="J1196" s="1185"/>
      <c r="K1196" s="1185"/>
      <c r="L1196" s="1185"/>
      <c r="M1196" s="1185"/>
      <c r="N1196" s="195"/>
    </row>
    <row r="1197">
      <c r="A1197" s="1185"/>
      <c r="B1197" s="1185"/>
      <c r="C1197" s="1185"/>
      <c r="D1197" s="1185"/>
      <c r="E1197" s="1185"/>
      <c r="F1197" s="1185"/>
      <c r="G1197" s="1185"/>
      <c r="H1197" s="1185"/>
      <c r="I1197" s="1185"/>
      <c r="J1197" s="1185"/>
      <c r="K1197" s="1185"/>
      <c r="L1197" s="1185"/>
      <c r="M1197" s="1185"/>
      <c r="N1197" s="195"/>
    </row>
    <row r="1198">
      <c r="A1198" s="1185"/>
      <c r="B1198" s="1185"/>
      <c r="C1198" s="1185"/>
      <c r="D1198" s="1185"/>
      <c r="E1198" s="1185"/>
      <c r="F1198" s="1185"/>
      <c r="G1198" s="1185"/>
      <c r="H1198" s="1185"/>
      <c r="I1198" s="1185"/>
      <c r="J1198" s="1185"/>
      <c r="K1198" s="1185"/>
      <c r="L1198" s="1185"/>
      <c r="M1198" s="1185"/>
      <c r="N1198" s="195"/>
    </row>
    <row r="1199">
      <c r="A1199" s="1185"/>
      <c r="B1199" s="1185"/>
      <c r="C1199" s="1185"/>
      <c r="D1199" s="1185"/>
      <c r="E1199" s="1185"/>
      <c r="F1199" s="1185"/>
      <c r="G1199" s="1185"/>
      <c r="H1199" s="1185"/>
      <c r="I1199" s="1185"/>
      <c r="J1199" s="1185"/>
      <c r="K1199" s="1185"/>
      <c r="L1199" s="1185"/>
      <c r="M1199" s="1185"/>
      <c r="N1199" s="195"/>
    </row>
    <row r="1200">
      <c r="A1200" s="1185"/>
      <c r="B1200" s="1185"/>
      <c r="C1200" s="1185"/>
      <c r="D1200" s="1185"/>
      <c r="E1200" s="1185"/>
      <c r="F1200" s="1185"/>
      <c r="G1200" s="1185"/>
      <c r="H1200" s="1185"/>
      <c r="I1200" s="1185"/>
      <c r="J1200" s="1185"/>
      <c r="K1200" s="1185"/>
      <c r="L1200" s="1185"/>
      <c r="M1200" s="1185"/>
      <c r="N1200" s="195"/>
    </row>
    <row r="1201">
      <c r="A1201" s="1185"/>
      <c r="B1201" s="1185"/>
      <c r="C1201" s="1185"/>
      <c r="D1201" s="1185"/>
      <c r="E1201" s="1185"/>
      <c r="F1201" s="1185"/>
      <c r="G1201" s="1185"/>
      <c r="H1201" s="1185"/>
      <c r="I1201" s="1185"/>
      <c r="J1201" s="1185"/>
      <c r="K1201" s="1185"/>
      <c r="L1201" s="1185"/>
      <c r="M1201" s="1185"/>
      <c r="N1201" s="195"/>
    </row>
    <row r="1202">
      <c r="A1202" s="1185"/>
      <c r="B1202" s="1185"/>
      <c r="C1202" s="1185"/>
      <c r="D1202" s="1185"/>
      <c r="E1202" s="1185"/>
      <c r="F1202" s="1185"/>
      <c r="G1202" s="1185"/>
      <c r="H1202" s="1185"/>
      <c r="I1202" s="1185"/>
      <c r="J1202" s="1185"/>
      <c r="K1202" s="1185"/>
      <c r="L1202" s="1185"/>
      <c r="M1202" s="1185"/>
      <c r="N1202" s="195"/>
    </row>
    <row r="1203">
      <c r="A1203" s="1185"/>
      <c r="B1203" s="1185"/>
      <c r="C1203" s="1185"/>
      <c r="D1203" s="1185"/>
      <c r="E1203" s="1185"/>
      <c r="F1203" s="1185"/>
      <c r="G1203" s="1185"/>
      <c r="H1203" s="1185"/>
      <c r="I1203" s="1185"/>
      <c r="J1203" s="1185"/>
      <c r="K1203" s="1185"/>
      <c r="L1203" s="1185"/>
      <c r="M1203" s="1185"/>
      <c r="N1203" s="195"/>
    </row>
    <row r="1204">
      <c r="A1204" s="1185"/>
      <c r="B1204" s="1185"/>
      <c r="C1204" s="1185"/>
      <c r="D1204" s="1185"/>
      <c r="E1204" s="1185"/>
      <c r="F1204" s="1185"/>
      <c r="G1204" s="1185"/>
      <c r="H1204" s="1185"/>
      <c r="I1204" s="1185"/>
      <c r="J1204" s="1185"/>
      <c r="K1204" s="1185"/>
      <c r="L1204" s="1185"/>
      <c r="M1204" s="1185"/>
      <c r="N1204" s="195"/>
    </row>
    <row r="1205">
      <c r="A1205" s="1185"/>
      <c r="B1205" s="1185"/>
      <c r="C1205" s="1185"/>
      <c r="D1205" s="1185"/>
      <c r="E1205" s="1185"/>
      <c r="F1205" s="1185"/>
      <c r="G1205" s="1185"/>
      <c r="H1205" s="1185"/>
      <c r="I1205" s="1185"/>
      <c r="J1205" s="1185"/>
      <c r="K1205" s="1185"/>
      <c r="L1205" s="1185"/>
      <c r="M1205" s="1185"/>
      <c r="N1205" s="195"/>
    </row>
    <row r="1206">
      <c r="A1206" s="1185"/>
      <c r="B1206" s="1185"/>
      <c r="C1206" s="1185"/>
      <c r="D1206" s="1185"/>
      <c r="E1206" s="1185"/>
      <c r="F1206" s="1185"/>
      <c r="G1206" s="1185"/>
      <c r="H1206" s="1185"/>
      <c r="I1206" s="1185"/>
      <c r="J1206" s="1185"/>
      <c r="K1206" s="1185"/>
      <c r="L1206" s="1185"/>
      <c r="M1206" s="1185"/>
      <c r="N1206" s="195"/>
    </row>
    <row r="1207">
      <c r="A1207" s="1185"/>
      <c r="B1207" s="1185"/>
      <c r="C1207" s="1185"/>
      <c r="D1207" s="1185"/>
      <c r="E1207" s="1185"/>
      <c r="F1207" s="1185"/>
      <c r="G1207" s="1185"/>
      <c r="H1207" s="1185"/>
      <c r="I1207" s="1185"/>
      <c r="J1207" s="1185"/>
      <c r="K1207" s="1185"/>
      <c r="L1207" s="1185"/>
      <c r="M1207" s="1185"/>
      <c r="N1207" s="195"/>
    </row>
    <row r="1208">
      <c r="A1208" s="1185"/>
      <c r="B1208" s="1185"/>
      <c r="C1208" s="1185"/>
      <c r="D1208" s="1185"/>
      <c r="E1208" s="1185"/>
      <c r="F1208" s="1185"/>
      <c r="G1208" s="1185"/>
      <c r="H1208" s="1185"/>
      <c r="I1208" s="1185"/>
      <c r="J1208" s="1185"/>
      <c r="K1208" s="1185"/>
      <c r="L1208" s="1185"/>
      <c r="M1208" s="1185"/>
      <c r="N1208" s="195"/>
    </row>
    <row r="1209">
      <c r="A1209" s="1185"/>
      <c r="B1209" s="1185"/>
      <c r="C1209" s="1185"/>
      <c r="D1209" s="1185"/>
      <c r="E1209" s="1185"/>
      <c r="F1209" s="1185"/>
      <c r="G1209" s="1185"/>
      <c r="H1209" s="1185"/>
      <c r="I1209" s="1185"/>
      <c r="J1209" s="1185"/>
      <c r="K1209" s="1185"/>
      <c r="L1209" s="1185"/>
      <c r="M1209" s="1185"/>
      <c r="N1209" s="195"/>
    </row>
    <row r="1210">
      <c r="A1210" s="1185"/>
      <c r="B1210" s="1185"/>
      <c r="C1210" s="1185"/>
      <c r="D1210" s="1185"/>
      <c r="E1210" s="1185"/>
      <c r="F1210" s="1185"/>
      <c r="G1210" s="1185"/>
      <c r="H1210" s="1185"/>
      <c r="I1210" s="1185"/>
      <c r="J1210" s="1185"/>
      <c r="K1210" s="1185"/>
      <c r="L1210" s="1185"/>
      <c r="M1210" s="1185"/>
      <c r="N1210" s="195"/>
    </row>
    <row r="1211">
      <c r="A1211" s="1185"/>
      <c r="B1211" s="1185"/>
      <c r="C1211" s="1185"/>
      <c r="D1211" s="1185"/>
      <c r="E1211" s="1185"/>
      <c r="F1211" s="1185"/>
      <c r="G1211" s="1185"/>
      <c r="H1211" s="1185"/>
      <c r="I1211" s="1185"/>
      <c r="J1211" s="1185"/>
      <c r="K1211" s="1185"/>
      <c r="L1211" s="1185"/>
      <c r="M1211" s="1185"/>
      <c r="N1211" s="195"/>
    </row>
    <row r="1212">
      <c r="A1212" s="1185"/>
      <c r="B1212" s="1185"/>
      <c r="C1212" s="1185"/>
      <c r="D1212" s="1185"/>
      <c r="E1212" s="1185"/>
      <c r="F1212" s="1185"/>
      <c r="G1212" s="1185"/>
      <c r="H1212" s="1185"/>
      <c r="I1212" s="1185"/>
      <c r="J1212" s="1185"/>
      <c r="K1212" s="1185"/>
      <c r="L1212" s="1185"/>
      <c r="M1212" s="1185"/>
      <c r="N1212" s="195"/>
    </row>
    <row r="1213">
      <c r="A1213" s="1185"/>
      <c r="B1213" s="1185"/>
      <c r="C1213" s="1185"/>
      <c r="D1213" s="1185"/>
      <c r="E1213" s="1185"/>
      <c r="F1213" s="1185"/>
      <c r="G1213" s="1185"/>
      <c r="H1213" s="1185"/>
      <c r="I1213" s="1185"/>
      <c r="J1213" s="1185"/>
      <c r="K1213" s="1185"/>
      <c r="L1213" s="1185"/>
      <c r="M1213" s="1185"/>
      <c r="N1213" s="195"/>
    </row>
    <row r="1214">
      <c r="A1214" s="1185"/>
      <c r="B1214" s="1185"/>
      <c r="C1214" s="1185"/>
      <c r="D1214" s="1185"/>
      <c r="E1214" s="1185"/>
      <c r="F1214" s="1185"/>
      <c r="G1214" s="1185"/>
      <c r="H1214" s="1185"/>
      <c r="I1214" s="1185"/>
      <c r="J1214" s="1185"/>
      <c r="K1214" s="1185"/>
      <c r="L1214" s="1185"/>
      <c r="M1214" s="1185"/>
      <c r="N1214" s="195"/>
    </row>
    <row r="1215">
      <c r="A1215" s="1185"/>
      <c r="B1215" s="1185"/>
      <c r="C1215" s="1185"/>
      <c r="D1215" s="1185"/>
      <c r="E1215" s="1185"/>
      <c r="F1215" s="1185"/>
      <c r="G1215" s="1185"/>
      <c r="H1215" s="1185"/>
      <c r="I1215" s="1185"/>
      <c r="J1215" s="1185"/>
      <c r="K1215" s="1185"/>
      <c r="L1215" s="1185"/>
      <c r="M1215" s="1185"/>
      <c r="N1215" s="195"/>
    </row>
    <row r="1216">
      <c r="A1216" s="1185"/>
      <c r="B1216" s="1185"/>
      <c r="C1216" s="1185"/>
      <c r="D1216" s="1185"/>
      <c r="E1216" s="1185"/>
      <c r="F1216" s="1185"/>
      <c r="G1216" s="1185"/>
      <c r="H1216" s="1185"/>
      <c r="I1216" s="1185"/>
      <c r="J1216" s="1185"/>
      <c r="K1216" s="1185"/>
      <c r="L1216" s="1185"/>
      <c r="M1216" s="1185"/>
      <c r="N1216" s="195"/>
    </row>
    <row r="1217">
      <c r="A1217" s="1185"/>
      <c r="B1217" s="1185"/>
      <c r="C1217" s="1185"/>
      <c r="D1217" s="1185"/>
      <c r="E1217" s="1185"/>
      <c r="F1217" s="1185"/>
      <c r="G1217" s="1185"/>
      <c r="H1217" s="1185"/>
      <c r="I1217" s="1185"/>
      <c r="J1217" s="1185"/>
      <c r="K1217" s="1185"/>
      <c r="L1217" s="1185"/>
      <c r="M1217" s="1185"/>
      <c r="N1217" s="195"/>
    </row>
    <row r="1218">
      <c r="A1218" s="1185"/>
      <c r="B1218" s="1185"/>
      <c r="C1218" s="1185"/>
      <c r="D1218" s="1185"/>
      <c r="E1218" s="1185"/>
      <c r="F1218" s="1185"/>
      <c r="G1218" s="1185"/>
      <c r="H1218" s="1185"/>
      <c r="I1218" s="1185"/>
      <c r="J1218" s="1185"/>
      <c r="K1218" s="1185"/>
      <c r="L1218" s="1185"/>
      <c r="M1218" s="1185"/>
      <c r="N1218" s="195"/>
    </row>
    <row r="1219">
      <c r="A1219" s="1185"/>
      <c r="B1219" s="1185"/>
      <c r="C1219" s="1185"/>
      <c r="D1219" s="1185"/>
      <c r="E1219" s="1185"/>
      <c r="F1219" s="1185"/>
      <c r="G1219" s="1185"/>
      <c r="H1219" s="1185"/>
      <c r="I1219" s="1185"/>
      <c r="J1219" s="1185"/>
      <c r="K1219" s="1185"/>
      <c r="L1219" s="1185"/>
      <c r="M1219" s="1185"/>
      <c r="N1219" s="195"/>
    </row>
    <row r="1220">
      <c r="A1220" s="1185"/>
      <c r="B1220" s="1185"/>
      <c r="C1220" s="1185"/>
      <c r="D1220" s="1185"/>
      <c r="E1220" s="1185"/>
      <c r="F1220" s="1185"/>
      <c r="G1220" s="1185"/>
      <c r="H1220" s="1185"/>
      <c r="I1220" s="1185"/>
      <c r="J1220" s="1185"/>
      <c r="K1220" s="1185"/>
      <c r="L1220" s="1185"/>
      <c r="M1220" s="1185"/>
      <c r="N1220" s="195"/>
    </row>
    <row r="1221">
      <c r="A1221" s="1185"/>
      <c r="B1221" s="1185"/>
      <c r="C1221" s="1185"/>
      <c r="D1221" s="1185"/>
      <c r="E1221" s="1185"/>
      <c r="F1221" s="1185"/>
      <c r="G1221" s="1185"/>
      <c r="H1221" s="1185"/>
      <c r="I1221" s="1185"/>
      <c r="J1221" s="1185"/>
      <c r="K1221" s="1185"/>
      <c r="L1221" s="1185"/>
      <c r="M1221" s="1185"/>
      <c r="N1221" s="195"/>
    </row>
    <row r="1222">
      <c r="A1222" s="1185"/>
      <c r="B1222" s="1185"/>
      <c r="C1222" s="1185"/>
      <c r="D1222" s="1185"/>
      <c r="E1222" s="1185"/>
      <c r="F1222" s="1185"/>
      <c r="G1222" s="1185"/>
      <c r="H1222" s="1185"/>
      <c r="I1222" s="1185"/>
      <c r="J1222" s="1185"/>
      <c r="K1222" s="1185"/>
      <c r="L1222" s="1185"/>
      <c r="M1222" s="1185"/>
      <c r="N1222" s="195"/>
    </row>
    <row r="1223">
      <c r="A1223" s="1185"/>
      <c r="B1223" s="1185"/>
      <c r="C1223" s="1185"/>
      <c r="D1223" s="1185"/>
      <c r="E1223" s="1185"/>
      <c r="F1223" s="1185"/>
      <c r="G1223" s="1185"/>
      <c r="H1223" s="1185"/>
      <c r="I1223" s="1185"/>
      <c r="J1223" s="1185"/>
      <c r="K1223" s="1185"/>
      <c r="L1223" s="1185"/>
      <c r="M1223" s="1185"/>
      <c r="N1223" s="195"/>
    </row>
    <row r="1224">
      <c r="A1224" s="1185"/>
      <c r="B1224" s="1185"/>
      <c r="C1224" s="1185"/>
      <c r="D1224" s="1185"/>
      <c r="E1224" s="1185"/>
      <c r="F1224" s="1185"/>
      <c r="G1224" s="1185"/>
      <c r="H1224" s="1185"/>
      <c r="I1224" s="1185"/>
      <c r="J1224" s="1185"/>
      <c r="K1224" s="1185"/>
      <c r="L1224" s="1185"/>
      <c r="M1224" s="1185"/>
      <c r="N1224" s="195"/>
    </row>
    <row r="1225">
      <c r="A1225" s="1185"/>
      <c r="B1225" s="1185"/>
      <c r="C1225" s="1185"/>
      <c r="D1225" s="1185"/>
      <c r="E1225" s="1185"/>
      <c r="F1225" s="1185"/>
      <c r="G1225" s="1185"/>
      <c r="H1225" s="1185"/>
      <c r="I1225" s="1185"/>
      <c r="J1225" s="1185"/>
      <c r="K1225" s="1185"/>
      <c r="L1225" s="1185"/>
      <c r="M1225" s="1185"/>
      <c r="N1225" s="195"/>
    </row>
    <row r="1226">
      <c r="A1226" s="1185"/>
      <c r="B1226" s="1185"/>
      <c r="C1226" s="1185"/>
      <c r="D1226" s="1185"/>
      <c r="E1226" s="1185"/>
      <c r="F1226" s="1185"/>
      <c r="G1226" s="1185"/>
      <c r="H1226" s="1185"/>
      <c r="I1226" s="1185"/>
      <c r="J1226" s="1185"/>
      <c r="K1226" s="1185"/>
      <c r="L1226" s="1185"/>
      <c r="M1226" s="1185"/>
      <c r="N1226" s="195"/>
    </row>
    <row r="1227">
      <c r="A1227" s="1185"/>
      <c r="B1227" s="1185"/>
      <c r="C1227" s="1185"/>
      <c r="D1227" s="1185"/>
      <c r="E1227" s="1185"/>
      <c r="F1227" s="1185"/>
      <c r="G1227" s="1185"/>
      <c r="H1227" s="1185"/>
      <c r="I1227" s="1185"/>
      <c r="J1227" s="1185"/>
      <c r="K1227" s="1185"/>
      <c r="L1227" s="1185"/>
      <c r="M1227" s="1185"/>
      <c r="N1227" s="195"/>
    </row>
    <row r="1228">
      <c r="A1228" s="1185"/>
      <c r="B1228" s="1185"/>
      <c r="C1228" s="1185"/>
      <c r="D1228" s="1185"/>
      <c r="E1228" s="1185"/>
      <c r="F1228" s="1185"/>
      <c r="G1228" s="1185"/>
      <c r="H1228" s="1185"/>
      <c r="I1228" s="1185"/>
      <c r="J1228" s="1185"/>
      <c r="K1228" s="1185"/>
      <c r="L1228" s="1185"/>
      <c r="M1228" s="1185"/>
      <c r="N1228" s="195"/>
    </row>
    <row r="1229">
      <c r="A1229" s="1185"/>
      <c r="B1229" s="1185"/>
      <c r="C1229" s="1185"/>
      <c r="D1229" s="1185"/>
      <c r="E1229" s="1185"/>
      <c r="F1229" s="1185"/>
      <c r="G1229" s="1185"/>
      <c r="H1229" s="1185"/>
      <c r="I1229" s="1185"/>
      <c r="J1229" s="1185"/>
      <c r="K1229" s="1185"/>
      <c r="L1229" s="1185"/>
      <c r="M1229" s="1185"/>
      <c r="N1229" s="195"/>
    </row>
    <row r="1230">
      <c r="A1230" s="1185"/>
      <c r="B1230" s="1185"/>
      <c r="C1230" s="1185"/>
      <c r="D1230" s="1185"/>
      <c r="E1230" s="1185"/>
      <c r="F1230" s="1185"/>
      <c r="G1230" s="1185"/>
      <c r="H1230" s="1185"/>
      <c r="I1230" s="1185"/>
      <c r="J1230" s="1185"/>
      <c r="K1230" s="1185"/>
      <c r="L1230" s="1185"/>
      <c r="M1230" s="1185"/>
      <c r="N1230" s="195"/>
    </row>
    <row r="1231">
      <c r="A1231" s="1185"/>
      <c r="B1231" s="1185"/>
      <c r="C1231" s="1185"/>
      <c r="D1231" s="1185"/>
      <c r="E1231" s="1185"/>
      <c r="F1231" s="1185"/>
      <c r="G1231" s="1185"/>
      <c r="H1231" s="1185"/>
      <c r="I1231" s="1185"/>
      <c r="J1231" s="1185"/>
      <c r="K1231" s="1185"/>
      <c r="L1231" s="1185"/>
      <c r="M1231" s="1185"/>
      <c r="N1231" s="195"/>
    </row>
    <row r="1232">
      <c r="A1232" s="1185"/>
      <c r="B1232" s="1185"/>
      <c r="C1232" s="1185"/>
      <c r="D1232" s="1185"/>
      <c r="E1232" s="1185"/>
      <c r="F1232" s="1185"/>
      <c r="G1232" s="1185"/>
      <c r="H1232" s="1185"/>
      <c r="I1232" s="1185"/>
      <c r="J1232" s="1185"/>
      <c r="K1232" s="1185"/>
      <c r="L1232" s="1185"/>
      <c r="M1232" s="1185"/>
      <c r="N1232" s="195"/>
    </row>
    <row r="1233">
      <c r="A1233" s="1185"/>
      <c r="B1233" s="1185"/>
      <c r="C1233" s="1185"/>
      <c r="D1233" s="1185"/>
      <c r="E1233" s="1185"/>
      <c r="F1233" s="1185"/>
      <c r="G1233" s="1185"/>
      <c r="H1233" s="1185"/>
      <c r="I1233" s="1185"/>
      <c r="J1233" s="1185"/>
      <c r="K1233" s="1185"/>
      <c r="L1233" s="1185"/>
      <c r="M1233" s="1185"/>
      <c r="N1233" s="195"/>
    </row>
    <row r="1234">
      <c r="A1234" s="1185"/>
      <c r="B1234" s="1185"/>
      <c r="C1234" s="1185"/>
      <c r="D1234" s="1185"/>
      <c r="E1234" s="1185"/>
      <c r="F1234" s="1185"/>
      <c r="G1234" s="1185"/>
      <c r="H1234" s="1185"/>
      <c r="I1234" s="1185"/>
      <c r="J1234" s="1185"/>
      <c r="K1234" s="1185"/>
      <c r="L1234" s="1185"/>
      <c r="M1234" s="1185"/>
      <c r="N1234" s="195"/>
    </row>
    <row r="1235">
      <c r="A1235" s="1185"/>
      <c r="B1235" s="1185"/>
      <c r="C1235" s="1185"/>
      <c r="D1235" s="1185"/>
      <c r="E1235" s="1185"/>
      <c r="F1235" s="1185"/>
      <c r="G1235" s="1185"/>
      <c r="H1235" s="1185"/>
      <c r="I1235" s="1185"/>
      <c r="J1235" s="1185"/>
      <c r="K1235" s="1185"/>
      <c r="L1235" s="1185"/>
      <c r="M1235" s="1185"/>
      <c r="N1235" s="195"/>
    </row>
    <row r="1236">
      <c r="A1236" s="1185"/>
      <c r="B1236" s="1185"/>
      <c r="C1236" s="1185"/>
      <c r="D1236" s="1185"/>
      <c r="E1236" s="1185"/>
      <c r="F1236" s="1185"/>
      <c r="G1236" s="1185"/>
      <c r="H1236" s="1185"/>
      <c r="I1236" s="1185"/>
      <c r="J1236" s="1185"/>
      <c r="K1236" s="1185"/>
      <c r="L1236" s="1185"/>
      <c r="M1236" s="1185"/>
      <c r="N1236" s="195"/>
    </row>
    <row r="1237">
      <c r="A1237" s="1185"/>
      <c r="B1237" s="1185"/>
      <c r="C1237" s="1185"/>
      <c r="D1237" s="1185"/>
      <c r="E1237" s="1185"/>
      <c r="F1237" s="1185"/>
      <c r="G1237" s="1185"/>
      <c r="H1237" s="1185"/>
      <c r="I1237" s="1185"/>
      <c r="J1237" s="1185"/>
      <c r="K1237" s="1185"/>
      <c r="L1237" s="1185"/>
      <c r="M1237" s="1185"/>
      <c r="N1237" s="195"/>
    </row>
    <row r="1238">
      <c r="A1238" s="1185"/>
      <c r="B1238" s="1185"/>
      <c r="C1238" s="1185"/>
      <c r="D1238" s="1185"/>
      <c r="E1238" s="1185"/>
      <c r="F1238" s="1185"/>
      <c r="G1238" s="1185"/>
      <c r="H1238" s="1185"/>
      <c r="I1238" s="1185"/>
      <c r="J1238" s="1185"/>
      <c r="K1238" s="1185"/>
      <c r="L1238" s="1185"/>
      <c r="M1238" s="1185"/>
      <c r="N1238" s="195"/>
    </row>
    <row r="1239">
      <c r="A1239" s="1185"/>
      <c r="B1239" s="1185"/>
      <c r="C1239" s="1185"/>
      <c r="D1239" s="1185"/>
      <c r="E1239" s="1185"/>
      <c r="F1239" s="1185"/>
      <c r="G1239" s="1185"/>
      <c r="H1239" s="1185"/>
      <c r="I1239" s="1185"/>
      <c r="J1239" s="1185"/>
      <c r="K1239" s="1185"/>
      <c r="L1239" s="1185"/>
      <c r="M1239" s="1185"/>
      <c r="N1239" s="195"/>
    </row>
    <row r="1240">
      <c r="A1240" s="1185"/>
      <c r="B1240" s="1185"/>
      <c r="C1240" s="1185"/>
      <c r="D1240" s="1185"/>
      <c r="E1240" s="1185"/>
      <c r="F1240" s="1185"/>
      <c r="G1240" s="1185"/>
      <c r="H1240" s="1185"/>
      <c r="I1240" s="1185"/>
      <c r="J1240" s="1185"/>
      <c r="K1240" s="1185"/>
      <c r="L1240" s="1185"/>
      <c r="M1240" s="1185"/>
      <c r="N1240" s="195"/>
    </row>
    <row r="1241">
      <c r="A1241" s="1185"/>
      <c r="B1241" s="1185"/>
      <c r="C1241" s="1185"/>
      <c r="D1241" s="1185"/>
      <c r="E1241" s="1185"/>
      <c r="F1241" s="1185"/>
      <c r="G1241" s="1185"/>
      <c r="H1241" s="1185"/>
      <c r="I1241" s="1185"/>
      <c r="J1241" s="1185"/>
      <c r="K1241" s="1185"/>
      <c r="L1241" s="1185"/>
      <c r="M1241" s="1185"/>
      <c r="N1241" s="195"/>
    </row>
    <row r="1242">
      <c r="A1242" s="1185"/>
      <c r="B1242" s="1185"/>
      <c r="C1242" s="1185"/>
      <c r="D1242" s="1185"/>
      <c r="E1242" s="1185"/>
      <c r="F1242" s="1185"/>
      <c r="G1242" s="1185"/>
      <c r="H1242" s="1185"/>
      <c r="I1242" s="1185"/>
      <c r="J1242" s="1185"/>
      <c r="K1242" s="1185"/>
      <c r="L1242" s="1185"/>
      <c r="M1242" s="1185"/>
      <c r="N1242" s="195"/>
    </row>
    <row r="1243">
      <c r="A1243" s="1185"/>
      <c r="B1243" s="1185"/>
      <c r="C1243" s="1185"/>
      <c r="D1243" s="1185"/>
      <c r="E1243" s="1185"/>
      <c r="F1243" s="1185"/>
      <c r="G1243" s="1185"/>
      <c r="H1243" s="1185"/>
      <c r="I1243" s="1185"/>
      <c r="J1243" s="1185"/>
      <c r="K1243" s="1185"/>
      <c r="L1243" s="1185"/>
      <c r="M1243" s="1185"/>
      <c r="N1243" s="195"/>
    </row>
    <row r="1244">
      <c r="A1244" s="1185"/>
      <c r="B1244" s="1185"/>
      <c r="C1244" s="1185"/>
      <c r="D1244" s="1185"/>
      <c r="E1244" s="1185"/>
      <c r="F1244" s="1185"/>
      <c r="G1244" s="1185"/>
      <c r="H1244" s="1185"/>
      <c r="I1244" s="1185"/>
      <c r="J1244" s="1185"/>
      <c r="K1244" s="1185"/>
      <c r="L1244" s="1185"/>
      <c r="M1244" s="1185"/>
      <c r="N1244" s="195"/>
    </row>
    <row r="1245">
      <c r="A1245" s="1185"/>
      <c r="B1245" s="1185"/>
      <c r="C1245" s="1185"/>
      <c r="D1245" s="1185"/>
      <c r="E1245" s="1185"/>
      <c r="F1245" s="1185"/>
      <c r="G1245" s="1185"/>
      <c r="H1245" s="1185"/>
      <c r="I1245" s="1185"/>
      <c r="J1245" s="1185"/>
      <c r="K1245" s="1185"/>
      <c r="L1245" s="1185"/>
      <c r="M1245" s="1185"/>
      <c r="N1245" s="195"/>
    </row>
    <row r="1246">
      <c r="A1246" s="1185"/>
      <c r="B1246" s="1185"/>
      <c r="C1246" s="1185"/>
      <c r="D1246" s="1185"/>
      <c r="E1246" s="1185"/>
      <c r="F1246" s="1185"/>
      <c r="G1246" s="1185"/>
      <c r="H1246" s="1185"/>
      <c r="I1246" s="1185"/>
      <c r="J1246" s="1185"/>
      <c r="K1246" s="1185"/>
      <c r="L1246" s="1185"/>
      <c r="M1246" s="1185"/>
      <c r="N1246" s="195"/>
    </row>
    <row r="1247">
      <c r="A1247" s="1185"/>
      <c r="B1247" s="1185"/>
      <c r="C1247" s="1185"/>
      <c r="D1247" s="1185"/>
      <c r="E1247" s="1185"/>
      <c r="F1247" s="1185"/>
      <c r="G1247" s="1185"/>
      <c r="H1247" s="1185"/>
      <c r="I1247" s="1185"/>
      <c r="J1247" s="1185"/>
      <c r="K1247" s="1185"/>
      <c r="L1247" s="1185"/>
      <c r="M1247" s="1185"/>
      <c r="N1247" s="195"/>
    </row>
    <row r="1248">
      <c r="A1248" s="1185"/>
      <c r="B1248" s="1185"/>
      <c r="C1248" s="1185"/>
      <c r="D1248" s="1185"/>
      <c r="E1248" s="1185"/>
      <c r="F1248" s="1185"/>
      <c r="G1248" s="1185"/>
      <c r="H1248" s="1185"/>
      <c r="I1248" s="1185"/>
      <c r="J1248" s="1185"/>
      <c r="K1248" s="1185"/>
      <c r="L1248" s="1185"/>
      <c r="M1248" s="1185"/>
      <c r="N1248" s="195"/>
    </row>
    <row r="1249">
      <c r="A1249" s="1185"/>
      <c r="B1249" s="1185"/>
      <c r="C1249" s="1185"/>
      <c r="D1249" s="1185"/>
      <c r="E1249" s="1185"/>
      <c r="F1249" s="1185"/>
      <c r="G1249" s="1185"/>
      <c r="H1249" s="1185"/>
      <c r="I1249" s="1185"/>
      <c r="J1249" s="1185"/>
      <c r="K1249" s="1185"/>
      <c r="L1249" s="1185"/>
      <c r="M1249" s="1185"/>
      <c r="N1249" s="195"/>
    </row>
    <row r="1250">
      <c r="A1250" s="1185"/>
      <c r="B1250" s="1185"/>
      <c r="C1250" s="1185"/>
      <c r="D1250" s="1185"/>
      <c r="E1250" s="1185"/>
      <c r="F1250" s="1185"/>
      <c r="G1250" s="1185"/>
      <c r="H1250" s="1185"/>
      <c r="I1250" s="1185"/>
      <c r="J1250" s="1185"/>
      <c r="K1250" s="1185"/>
      <c r="L1250" s="1185"/>
      <c r="M1250" s="1185"/>
      <c r="N1250" s="195"/>
    </row>
    <row r="1251">
      <c r="A1251" s="1185"/>
      <c r="B1251" s="1185"/>
      <c r="C1251" s="1185"/>
      <c r="D1251" s="1185"/>
      <c r="E1251" s="1185"/>
      <c r="F1251" s="1185"/>
      <c r="G1251" s="1185"/>
      <c r="H1251" s="1185"/>
      <c r="I1251" s="1185"/>
      <c r="J1251" s="1185"/>
      <c r="K1251" s="1185"/>
      <c r="L1251" s="1185"/>
      <c r="M1251" s="1185"/>
      <c r="N1251" s="195"/>
    </row>
    <row r="1252">
      <c r="A1252" s="1185"/>
      <c r="B1252" s="1185"/>
      <c r="C1252" s="1185"/>
      <c r="D1252" s="1185"/>
      <c r="E1252" s="1185"/>
      <c r="F1252" s="1185"/>
      <c r="G1252" s="1185"/>
      <c r="H1252" s="1185"/>
      <c r="I1252" s="1185"/>
      <c r="J1252" s="1185"/>
      <c r="K1252" s="1185"/>
      <c r="L1252" s="1185"/>
      <c r="M1252" s="1185"/>
      <c r="N1252" s="195"/>
    </row>
    <row r="1253">
      <c r="A1253" s="1185"/>
      <c r="B1253" s="1185"/>
      <c r="C1253" s="1185"/>
      <c r="D1253" s="1185"/>
      <c r="E1253" s="1185"/>
      <c r="F1253" s="1185"/>
      <c r="G1253" s="1185"/>
      <c r="H1253" s="1185"/>
      <c r="I1253" s="1185"/>
      <c r="J1253" s="1185"/>
      <c r="K1253" s="1185"/>
      <c r="L1253" s="1185"/>
      <c r="M1253" s="1185"/>
      <c r="N1253" s="195"/>
    </row>
    <row r="1254">
      <c r="A1254" s="1185"/>
      <c r="B1254" s="1185"/>
      <c r="C1254" s="1185"/>
      <c r="D1254" s="1185"/>
      <c r="E1254" s="1185"/>
      <c r="F1254" s="1185"/>
      <c r="G1254" s="1185"/>
      <c r="H1254" s="1185"/>
      <c r="I1254" s="1185"/>
      <c r="J1254" s="1185"/>
      <c r="K1254" s="1185"/>
      <c r="L1254" s="1185"/>
      <c r="M1254" s="1185"/>
      <c r="N1254" s="195"/>
    </row>
    <row r="1255">
      <c r="A1255" s="1185"/>
      <c r="B1255" s="1185"/>
      <c r="C1255" s="1185"/>
      <c r="D1255" s="1185"/>
      <c r="E1255" s="1185"/>
      <c r="F1255" s="1185"/>
      <c r="G1255" s="1185"/>
      <c r="H1255" s="1185"/>
      <c r="I1255" s="1185"/>
      <c r="J1255" s="1185"/>
      <c r="K1255" s="1185"/>
      <c r="L1255" s="1185"/>
      <c r="M1255" s="1185"/>
      <c r="N1255" s="195"/>
    </row>
    <row r="1256">
      <c r="A1256" s="1185"/>
      <c r="B1256" s="1185"/>
      <c r="C1256" s="1185"/>
      <c r="D1256" s="1185"/>
      <c r="E1256" s="1185"/>
      <c r="F1256" s="1185"/>
      <c r="G1256" s="1185"/>
      <c r="H1256" s="1185"/>
      <c r="I1256" s="1185"/>
      <c r="J1256" s="1185"/>
      <c r="K1256" s="1185"/>
      <c r="L1256" s="1185"/>
      <c r="M1256" s="1185"/>
      <c r="N1256" s="195"/>
    </row>
    <row r="1257">
      <c r="A1257" s="1185"/>
      <c r="B1257" s="1185"/>
      <c r="C1257" s="1185"/>
      <c r="D1257" s="1185"/>
      <c r="E1257" s="1185"/>
      <c r="F1257" s="1185"/>
      <c r="G1257" s="1185"/>
      <c r="H1257" s="1185"/>
      <c r="I1257" s="1185"/>
      <c r="J1257" s="1185"/>
      <c r="K1257" s="1185"/>
      <c r="L1257" s="1185"/>
      <c r="M1257" s="1185"/>
      <c r="N1257" s="195"/>
    </row>
    <row r="1258">
      <c r="A1258" s="1185"/>
      <c r="B1258" s="1185"/>
      <c r="C1258" s="1185"/>
      <c r="D1258" s="1185"/>
      <c r="E1258" s="1185"/>
      <c r="F1258" s="1185"/>
      <c r="G1258" s="1185"/>
      <c r="H1258" s="1185"/>
      <c r="I1258" s="1185"/>
      <c r="J1258" s="1185"/>
      <c r="K1258" s="1185"/>
      <c r="L1258" s="1185"/>
      <c r="M1258" s="1185"/>
      <c r="N1258" s="195"/>
    </row>
    <row r="1259">
      <c r="A1259" s="1185"/>
      <c r="B1259" s="1185"/>
      <c r="C1259" s="1185"/>
      <c r="D1259" s="1185"/>
      <c r="E1259" s="1185"/>
      <c r="F1259" s="1185"/>
      <c r="G1259" s="1185"/>
      <c r="H1259" s="1185"/>
      <c r="I1259" s="1185"/>
      <c r="J1259" s="1185"/>
      <c r="K1259" s="1185"/>
      <c r="L1259" s="1185"/>
      <c r="M1259" s="1185"/>
      <c r="N1259" s="195"/>
    </row>
    <row r="1260">
      <c r="A1260" s="1185"/>
      <c r="B1260" s="1185"/>
      <c r="C1260" s="1185"/>
      <c r="D1260" s="1185"/>
      <c r="E1260" s="1185"/>
      <c r="F1260" s="1185"/>
      <c r="G1260" s="1185"/>
      <c r="H1260" s="1185"/>
      <c r="I1260" s="1185"/>
      <c r="J1260" s="1185"/>
      <c r="K1260" s="1185"/>
      <c r="L1260" s="1185"/>
      <c r="M1260" s="1185"/>
      <c r="N1260" s="195"/>
    </row>
    <row r="1261">
      <c r="A1261" s="1185"/>
      <c r="B1261" s="1185"/>
      <c r="C1261" s="1185"/>
      <c r="D1261" s="1185"/>
      <c r="E1261" s="1185"/>
      <c r="F1261" s="1185"/>
      <c r="G1261" s="1185"/>
      <c r="H1261" s="1185"/>
      <c r="I1261" s="1185"/>
      <c r="J1261" s="1185"/>
      <c r="K1261" s="1185"/>
      <c r="L1261" s="1185"/>
      <c r="M1261" s="1185"/>
      <c r="N1261" s="195"/>
    </row>
    <row r="1262">
      <c r="A1262" s="1185"/>
      <c r="B1262" s="1185"/>
      <c r="C1262" s="1185"/>
      <c r="D1262" s="1185"/>
      <c r="E1262" s="1185"/>
      <c r="F1262" s="1185"/>
      <c r="G1262" s="1185"/>
      <c r="H1262" s="1185"/>
      <c r="I1262" s="1185"/>
      <c r="J1262" s="1185"/>
      <c r="K1262" s="1185"/>
      <c r="L1262" s="1185"/>
      <c r="M1262" s="1185"/>
      <c r="N1262" s="195"/>
    </row>
    <row r="1263">
      <c r="A1263" s="1185"/>
      <c r="B1263" s="1185"/>
      <c r="C1263" s="1185"/>
      <c r="D1263" s="1185"/>
      <c r="E1263" s="1185"/>
      <c r="F1263" s="1185"/>
      <c r="G1263" s="1185"/>
      <c r="H1263" s="1185"/>
      <c r="I1263" s="1185"/>
      <c r="J1263" s="1185"/>
      <c r="K1263" s="1185"/>
      <c r="L1263" s="1185"/>
      <c r="M1263" s="1185"/>
      <c r="N1263" s="195"/>
    </row>
    <row r="1264">
      <c r="A1264" s="1185"/>
      <c r="B1264" s="1185"/>
      <c r="C1264" s="1185"/>
      <c r="D1264" s="1185"/>
      <c r="E1264" s="1185"/>
      <c r="F1264" s="1185"/>
      <c r="G1264" s="1185"/>
      <c r="H1264" s="1185"/>
      <c r="I1264" s="1185"/>
      <c r="J1264" s="1185"/>
      <c r="K1264" s="1185"/>
      <c r="L1264" s="1185"/>
      <c r="M1264" s="1185"/>
      <c r="N1264" s="195"/>
    </row>
    <row r="1265">
      <c r="A1265" s="1185"/>
      <c r="B1265" s="1185"/>
      <c r="C1265" s="1185"/>
      <c r="D1265" s="1185"/>
      <c r="E1265" s="1185"/>
      <c r="F1265" s="1185"/>
      <c r="G1265" s="1185"/>
      <c r="H1265" s="1185"/>
      <c r="I1265" s="1185"/>
      <c r="J1265" s="1185"/>
      <c r="K1265" s="1185"/>
      <c r="L1265" s="1185"/>
      <c r="M1265" s="1185"/>
      <c r="N1265" s="195"/>
    </row>
    <row r="1266">
      <c r="A1266" s="1185"/>
      <c r="B1266" s="1185"/>
      <c r="C1266" s="1185"/>
      <c r="D1266" s="1185"/>
      <c r="E1266" s="1185"/>
      <c r="F1266" s="1185"/>
      <c r="G1266" s="1185"/>
      <c r="H1266" s="1185"/>
      <c r="I1266" s="1185"/>
      <c r="J1266" s="1185"/>
      <c r="K1266" s="1185"/>
      <c r="L1266" s="1185"/>
      <c r="M1266" s="1185"/>
      <c r="N1266" s="195"/>
    </row>
    <row r="1267">
      <c r="A1267" s="1185"/>
      <c r="B1267" s="1185"/>
      <c r="C1267" s="1185"/>
      <c r="D1267" s="1185"/>
      <c r="E1267" s="1185"/>
      <c r="F1267" s="1185"/>
      <c r="G1267" s="1185"/>
      <c r="H1267" s="1185"/>
      <c r="I1267" s="1185"/>
      <c r="J1267" s="1185"/>
      <c r="K1267" s="1185"/>
      <c r="L1267" s="1185"/>
      <c r="M1267" s="1185"/>
      <c r="N1267" s="195"/>
    </row>
    <row r="1268">
      <c r="A1268" s="1185"/>
      <c r="B1268" s="1185"/>
      <c r="C1268" s="1185"/>
      <c r="D1268" s="1185"/>
      <c r="E1268" s="1185"/>
      <c r="F1268" s="1185"/>
      <c r="G1268" s="1185"/>
      <c r="H1268" s="1185"/>
      <c r="I1268" s="1185"/>
      <c r="J1268" s="1185"/>
      <c r="K1268" s="1185"/>
      <c r="L1268" s="1185"/>
      <c r="M1268" s="1185"/>
      <c r="N1268" s="195"/>
    </row>
    <row r="1269">
      <c r="A1269" s="1185"/>
      <c r="B1269" s="1185"/>
      <c r="C1269" s="1185"/>
      <c r="D1269" s="1185"/>
      <c r="E1269" s="1185"/>
      <c r="F1269" s="1185"/>
      <c r="G1269" s="1185"/>
      <c r="H1269" s="1185"/>
      <c r="I1269" s="1185"/>
      <c r="J1269" s="1185"/>
      <c r="K1269" s="1185"/>
      <c r="L1269" s="1185"/>
      <c r="M1269" s="1185"/>
      <c r="N1269" s="195"/>
    </row>
    <row r="1270">
      <c r="A1270" s="1185"/>
      <c r="B1270" s="1185"/>
      <c r="C1270" s="1185"/>
      <c r="D1270" s="1185"/>
      <c r="E1270" s="1185"/>
      <c r="F1270" s="1185"/>
      <c r="G1270" s="1185"/>
      <c r="H1270" s="1185"/>
      <c r="I1270" s="1185"/>
      <c r="J1270" s="1185"/>
      <c r="K1270" s="1185"/>
      <c r="L1270" s="1185"/>
      <c r="M1270" s="1185"/>
      <c r="N1270" s="195"/>
    </row>
  </sheetData>
  <mergeCells count="342">
    <mergeCell ref="A206:A226"/>
    <mergeCell ref="A233:A236"/>
    <mergeCell ref="A250:A263"/>
    <mergeCell ref="B282:B287"/>
    <mergeCell ref="C282:C287"/>
    <mergeCell ref="C288:C294"/>
    <mergeCell ref="C295:C300"/>
    <mergeCell ref="B288:B294"/>
    <mergeCell ref="B295:B300"/>
    <mergeCell ref="B303:B307"/>
    <mergeCell ref="C303:C307"/>
    <mergeCell ref="B308:B309"/>
    <mergeCell ref="C308:C309"/>
    <mergeCell ref="C312:C313"/>
    <mergeCell ref="B176:B198"/>
    <mergeCell ref="C176:C198"/>
    <mergeCell ref="A202:A203"/>
    <mergeCell ref="B202:B203"/>
    <mergeCell ref="C202:C203"/>
    <mergeCell ref="C207:C214"/>
    <mergeCell ref="C215:C226"/>
    <mergeCell ref="C243:C244"/>
    <mergeCell ref="B250:B263"/>
    <mergeCell ref="C250:C263"/>
    <mergeCell ref="E250:E263"/>
    <mergeCell ref="F250:F263"/>
    <mergeCell ref="E282:E287"/>
    <mergeCell ref="F282:F287"/>
    <mergeCell ref="E295:E296"/>
    <mergeCell ref="D297:D298"/>
    <mergeCell ref="E297:E298"/>
    <mergeCell ref="F297:F298"/>
    <mergeCell ref="E299:E300"/>
    <mergeCell ref="F299:F300"/>
    <mergeCell ref="E303:E307"/>
    <mergeCell ref="F303:F307"/>
    <mergeCell ref="E308:E309"/>
    <mergeCell ref="E288:E289"/>
    <mergeCell ref="F288:F289"/>
    <mergeCell ref="E290:E291"/>
    <mergeCell ref="F290:F291"/>
    <mergeCell ref="E292:E293"/>
    <mergeCell ref="F292:F293"/>
    <mergeCell ref="F295:F296"/>
    <mergeCell ref="A282:A300"/>
    <mergeCell ref="A303:A307"/>
    <mergeCell ref="A308:A309"/>
    <mergeCell ref="A316:A322"/>
    <mergeCell ref="A324:A326"/>
    <mergeCell ref="F316:F322"/>
    <mergeCell ref="F324:F331"/>
    <mergeCell ref="B312:B313"/>
    <mergeCell ref="B316:B322"/>
    <mergeCell ref="C316:C322"/>
    <mergeCell ref="E316:E322"/>
    <mergeCell ref="B324:B326"/>
    <mergeCell ref="C324:C326"/>
    <mergeCell ref="E324:E326"/>
    <mergeCell ref="F279:F280"/>
    <mergeCell ref="K279:M280"/>
    <mergeCell ref="N279:N280"/>
    <mergeCell ref="A281:N281"/>
    <mergeCell ref="K288:M289"/>
    <mergeCell ref="N288:N289"/>
    <mergeCell ref="N290:N291"/>
    <mergeCell ref="I297:I298"/>
    <mergeCell ref="J297:J298"/>
    <mergeCell ref="K290:M291"/>
    <mergeCell ref="K292:M293"/>
    <mergeCell ref="N292:N293"/>
    <mergeCell ref="K295:M296"/>
    <mergeCell ref="N295:N296"/>
    <mergeCell ref="G297:G298"/>
    <mergeCell ref="H297:H298"/>
    <mergeCell ref="K297:M298"/>
    <mergeCell ref="N297:N298"/>
    <mergeCell ref="K299:M300"/>
    <mergeCell ref="N299:N300"/>
    <mergeCell ref="L308:M308"/>
    <mergeCell ref="L309:M309"/>
    <mergeCell ref="A314:N314"/>
    <mergeCell ref="C340:C341"/>
    <mergeCell ref="D340:D341"/>
    <mergeCell ref="H340:H341"/>
    <mergeCell ref="I340:I341"/>
    <mergeCell ref="J340:J341"/>
    <mergeCell ref="K340:K341"/>
    <mergeCell ref="N376:N377"/>
    <mergeCell ref="K377:M377"/>
    <mergeCell ref="A374:N374"/>
    <mergeCell ref="A375:N375"/>
    <mergeCell ref="A376:A377"/>
    <mergeCell ref="B376:B377"/>
    <mergeCell ref="C376:C377"/>
    <mergeCell ref="E376:E377"/>
    <mergeCell ref="F376:F377"/>
    <mergeCell ref="J381:J382"/>
    <mergeCell ref="K381:K382"/>
    <mergeCell ref="K390:M391"/>
    <mergeCell ref="K392:M393"/>
    <mergeCell ref="L408:M409"/>
    <mergeCell ref="N408:N409"/>
    <mergeCell ref="D383:D384"/>
    <mergeCell ref="E383:E384"/>
    <mergeCell ref="E385:E386"/>
    <mergeCell ref="E388:E389"/>
    <mergeCell ref="E390:E391"/>
    <mergeCell ref="E392:E393"/>
    <mergeCell ref="E394:E395"/>
    <mergeCell ref="E401:E402"/>
    <mergeCell ref="H383:H384"/>
    <mergeCell ref="I383:I384"/>
    <mergeCell ref="J383:J384"/>
    <mergeCell ref="K383:K384"/>
    <mergeCell ref="C381:C384"/>
    <mergeCell ref="D381:D382"/>
    <mergeCell ref="E381:E382"/>
    <mergeCell ref="F381:F382"/>
    <mergeCell ref="G381:G382"/>
    <mergeCell ref="H381:H382"/>
    <mergeCell ref="I381:I382"/>
    <mergeCell ref="A396:N396"/>
    <mergeCell ref="A400:N400"/>
    <mergeCell ref="A403:N403"/>
    <mergeCell ref="F383:F384"/>
    <mergeCell ref="G383:G384"/>
    <mergeCell ref="F385:F386"/>
    <mergeCell ref="F388:F389"/>
    <mergeCell ref="F390:F391"/>
    <mergeCell ref="F392:F393"/>
    <mergeCell ref="F394:F395"/>
    <mergeCell ref="F401:F402"/>
    <mergeCell ref="B359:B361"/>
    <mergeCell ref="C359:C361"/>
    <mergeCell ref="A362:A367"/>
    <mergeCell ref="B362:B367"/>
    <mergeCell ref="C362:C367"/>
    <mergeCell ref="A381:A384"/>
    <mergeCell ref="B381:B384"/>
    <mergeCell ref="B394:B395"/>
    <mergeCell ref="C394:C395"/>
    <mergeCell ref="A385:A386"/>
    <mergeCell ref="B385:B386"/>
    <mergeCell ref="C385:C386"/>
    <mergeCell ref="A388:A389"/>
    <mergeCell ref="B388:B389"/>
    <mergeCell ref="C388:C389"/>
    <mergeCell ref="A394:A395"/>
    <mergeCell ref="G408:G409"/>
    <mergeCell ref="H408:H409"/>
    <mergeCell ref="I408:I409"/>
    <mergeCell ref="J408:J409"/>
    <mergeCell ref="K408:K409"/>
    <mergeCell ref="A397:A398"/>
    <mergeCell ref="A401:A402"/>
    <mergeCell ref="B401:B402"/>
    <mergeCell ref="C401:C402"/>
    <mergeCell ref="D408:D409"/>
    <mergeCell ref="E408:E409"/>
    <mergeCell ref="F408:F409"/>
    <mergeCell ref="L340:M340"/>
    <mergeCell ref="L341:M341"/>
    <mergeCell ref="K344:M347"/>
    <mergeCell ref="N344:N347"/>
    <mergeCell ref="N349:N350"/>
    <mergeCell ref="L362:N367"/>
    <mergeCell ref="A343:N343"/>
    <mergeCell ref="A348:N348"/>
    <mergeCell ref="A315:N315"/>
    <mergeCell ref="A323:N323"/>
    <mergeCell ref="A332:N332"/>
    <mergeCell ref="A338:N338"/>
    <mergeCell ref="A339:N339"/>
    <mergeCell ref="A340:A342"/>
    <mergeCell ref="B340:B341"/>
    <mergeCell ref="E340:E341"/>
    <mergeCell ref="G340:G341"/>
    <mergeCell ref="A344:A347"/>
    <mergeCell ref="B344:B347"/>
    <mergeCell ref="C344:C347"/>
    <mergeCell ref="E344:E347"/>
    <mergeCell ref="F344:F347"/>
    <mergeCell ref="E359:E361"/>
    <mergeCell ref="F359:F361"/>
    <mergeCell ref="E362:E367"/>
    <mergeCell ref="F362:F367"/>
    <mergeCell ref="K378:M379"/>
    <mergeCell ref="L381:M382"/>
    <mergeCell ref="N381:N382"/>
    <mergeCell ref="L383:M384"/>
    <mergeCell ref="N383:N384"/>
    <mergeCell ref="A378:A379"/>
    <mergeCell ref="B378:B379"/>
    <mergeCell ref="C378:C379"/>
    <mergeCell ref="E378:E379"/>
    <mergeCell ref="F378:F379"/>
    <mergeCell ref="N378:N379"/>
    <mergeCell ref="A380:N380"/>
    <mergeCell ref="A387:N387"/>
    <mergeCell ref="F21:F23"/>
    <mergeCell ref="L21:L23"/>
    <mergeCell ref="M21:M23"/>
    <mergeCell ref="N21:N24"/>
    <mergeCell ref="F4:F9"/>
    <mergeCell ref="F25:F27"/>
    <mergeCell ref="L25:L27"/>
    <mergeCell ref="M25:M27"/>
    <mergeCell ref="N25:N28"/>
    <mergeCell ref="D28:M28"/>
    <mergeCell ref="D29:M29"/>
    <mergeCell ref="A30:N30"/>
    <mergeCell ref="A33:N33"/>
    <mergeCell ref="A34:N34"/>
    <mergeCell ref="A2:N2"/>
    <mergeCell ref="A3:N3"/>
    <mergeCell ref="A4:A9"/>
    <mergeCell ref="B4:B9"/>
    <mergeCell ref="C4:C9"/>
    <mergeCell ref="A21:A28"/>
    <mergeCell ref="D24:M24"/>
    <mergeCell ref="B63:B66"/>
    <mergeCell ref="C63:C66"/>
    <mergeCell ref="A67:A75"/>
    <mergeCell ref="B67:B75"/>
    <mergeCell ref="C67:C75"/>
    <mergeCell ref="E67:E75"/>
    <mergeCell ref="A76:A89"/>
    <mergeCell ref="B76:B89"/>
    <mergeCell ref="C76:C89"/>
    <mergeCell ref="A93:A124"/>
    <mergeCell ref="B93:B111"/>
    <mergeCell ref="C93:C111"/>
    <mergeCell ref="E93:E111"/>
    <mergeCell ref="F93:F111"/>
    <mergeCell ref="E112:E124"/>
    <mergeCell ref="F112:F124"/>
    <mergeCell ref="A126:N126"/>
    <mergeCell ref="B112:B124"/>
    <mergeCell ref="C112:C124"/>
    <mergeCell ref="A127:A131"/>
    <mergeCell ref="B128:B130"/>
    <mergeCell ref="C128:C130"/>
    <mergeCell ref="B132:B134"/>
    <mergeCell ref="C132:C134"/>
    <mergeCell ref="B21:B28"/>
    <mergeCell ref="C21:C28"/>
    <mergeCell ref="A31:A32"/>
    <mergeCell ref="B31:B32"/>
    <mergeCell ref="C31:C32"/>
    <mergeCell ref="A35:A40"/>
    <mergeCell ref="B35:B36"/>
    <mergeCell ref="E63:E66"/>
    <mergeCell ref="N63:N66"/>
    <mergeCell ref="N67:N75"/>
    <mergeCell ref="A42:A61"/>
    <mergeCell ref="B42:B60"/>
    <mergeCell ref="C42:C60"/>
    <mergeCell ref="E42:E60"/>
    <mergeCell ref="F42:F60"/>
    <mergeCell ref="A62:N62"/>
    <mergeCell ref="A63:A66"/>
    <mergeCell ref="E76:E89"/>
    <mergeCell ref="F76:F89"/>
    <mergeCell ref="L90:M90"/>
    <mergeCell ref="A92:N92"/>
    <mergeCell ref="E128:E130"/>
    <mergeCell ref="F128:F130"/>
    <mergeCell ref="N128:N129"/>
    <mergeCell ref="E132:E134"/>
    <mergeCell ref="F132:F134"/>
    <mergeCell ref="N132:N133"/>
    <mergeCell ref="A135:N135"/>
    <mergeCell ref="A136:A142"/>
    <mergeCell ref="B136:B142"/>
    <mergeCell ref="C136:C142"/>
    <mergeCell ref="E136:E142"/>
    <mergeCell ref="F136:F142"/>
    <mergeCell ref="A156:N156"/>
    <mergeCell ref="E176:E186"/>
    <mergeCell ref="F176:F186"/>
    <mergeCell ref="B233:B236"/>
    <mergeCell ref="C233:C236"/>
    <mergeCell ref="E233:E236"/>
    <mergeCell ref="F233:F236"/>
    <mergeCell ref="A242:N242"/>
    <mergeCell ref="F243:F244"/>
    <mergeCell ref="K243:K244"/>
    <mergeCell ref="M243:M244"/>
    <mergeCell ref="A249:N249"/>
    <mergeCell ref="A271:N271"/>
    <mergeCell ref="A272:N272"/>
    <mergeCell ref="A273:A276"/>
    <mergeCell ref="B273:B276"/>
    <mergeCell ref="C273:C276"/>
    <mergeCell ref="N275:N276"/>
    <mergeCell ref="E187:E191"/>
    <mergeCell ref="F187:F191"/>
    <mergeCell ref="F202:F203"/>
    <mergeCell ref="F207:F214"/>
    <mergeCell ref="F215:F226"/>
    <mergeCell ref="E157:E172"/>
    <mergeCell ref="E193:E197"/>
    <mergeCell ref="E202:E203"/>
    <mergeCell ref="E207:E214"/>
    <mergeCell ref="E215:E226"/>
    <mergeCell ref="E243:E244"/>
    <mergeCell ref="F193:F197"/>
    <mergeCell ref="D198:N198"/>
    <mergeCell ref="A199:N199"/>
    <mergeCell ref="A204:N204"/>
    <mergeCell ref="A205:N205"/>
    <mergeCell ref="A157:A172"/>
    <mergeCell ref="B157:B172"/>
    <mergeCell ref="C157:C172"/>
    <mergeCell ref="F157:F172"/>
    <mergeCell ref="A175:N175"/>
    <mergeCell ref="A176:A198"/>
    <mergeCell ref="D192:N192"/>
    <mergeCell ref="B207:B214"/>
    <mergeCell ref="B215:B226"/>
    <mergeCell ref="A232:N232"/>
    <mergeCell ref="E273:E276"/>
    <mergeCell ref="F273:F276"/>
    <mergeCell ref="A277:A280"/>
    <mergeCell ref="B277:B280"/>
    <mergeCell ref="C277:C280"/>
    <mergeCell ref="E277:E280"/>
    <mergeCell ref="F277:F278"/>
    <mergeCell ref="A349:A350"/>
    <mergeCell ref="B349:B350"/>
    <mergeCell ref="C349:C350"/>
    <mergeCell ref="E349:E350"/>
    <mergeCell ref="F349:F350"/>
    <mergeCell ref="A351:N351"/>
    <mergeCell ref="A352:N352"/>
    <mergeCell ref="A354:A356"/>
    <mergeCell ref="B354:B356"/>
    <mergeCell ref="C354:C356"/>
    <mergeCell ref="E354:E356"/>
    <mergeCell ref="F354:F356"/>
    <mergeCell ref="A358:N358"/>
    <mergeCell ref="A359:A361"/>
  </mergeCells>
  <hyperlinks>
    <hyperlink r:id="rId1" ref="N5"/>
    <hyperlink r:id="rId2" ref="N6"/>
    <hyperlink r:id="rId3" ref="N8"/>
    <hyperlink r:id="rId4" ref="N35"/>
    <hyperlink r:id="rId5" ref="N41"/>
    <hyperlink r:id="rId6" ref="N90"/>
    <hyperlink r:id="rId7" ref="N91"/>
    <hyperlink r:id="rId8" ref="N125"/>
    <hyperlink r:id="rId9" ref="N201"/>
    <hyperlink r:id="rId10" ref="N206"/>
    <hyperlink r:id="rId11" ref="N288"/>
    <hyperlink r:id="rId12" ref="N290"/>
    <hyperlink r:id="rId13" ref="N292"/>
    <hyperlink r:id="rId14" ref="N295"/>
    <hyperlink r:id="rId15" ref="N297"/>
    <hyperlink r:id="rId16" ref="N299"/>
    <hyperlink r:id="rId17" ref="N301"/>
    <hyperlink r:id="rId18" ref="N302"/>
    <hyperlink r:id="rId19" ref="N308"/>
    <hyperlink r:id="rId20" ref="N309"/>
    <hyperlink r:id="rId21" ref="N340"/>
    <hyperlink r:id="rId22" ref="N341"/>
    <hyperlink r:id="rId23" ref="N342"/>
    <hyperlink r:id="rId24" ref="N353"/>
    <hyperlink r:id="rId25" ref="N357"/>
    <hyperlink r:id="rId26" ref="N359"/>
    <hyperlink r:id="rId27" ref="L362"/>
    <hyperlink r:id="rId28" ref="N376"/>
    <hyperlink r:id="rId29" ref="N381"/>
    <hyperlink r:id="rId30" ref="N383"/>
    <hyperlink r:id="rId31" ref="N404"/>
  </hyperlinks>
  <drawing r:id="rId32"/>
  <tableParts count="6">
    <tablePart r:id="rId39"/>
    <tablePart r:id="rId40"/>
    <tablePart r:id="rId41"/>
    <tablePart r:id="rId42"/>
    <tablePart r:id="rId43"/>
    <tablePart r:id="rId44"/>
  </tableParts>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35.13"/>
    <col hidden="1" min="10" max="10" width="12.63"/>
    <col hidden="1" min="16" max="18" width="12.63"/>
    <col hidden="1" min="20" max="20" width="12.63"/>
    <col hidden="1" min="22" max="23" width="12.63"/>
    <col hidden="1" min="25" max="26" width="12.63"/>
    <col hidden="1" min="29" max="32" width="12.63"/>
    <col hidden="1" min="34" max="38" width="12.63"/>
    <col hidden="1" min="40" max="41" width="12.63"/>
    <col hidden="1" min="43" max="66" width="12.63"/>
    <col hidden="1" min="68" max="286" width="12.63"/>
    <col hidden="1" min="288" max="404" width="12.63"/>
  </cols>
  <sheetData>
    <row r="1">
      <c r="A1" s="2003" t="str">
        <f>IFERROR(__xludf.DUMMYFUNCTION("importrange(""https://docs.google.com/spreadsheets/d/1h3joSlQaOlngey3vZhG2-5sxXk4iDOWjc1J33kkadUI/edit#gid=1687480006"",""BDD matrice SAP!c1:c"")"),"")</f>
        <v/>
      </c>
      <c r="B1" s="2004">
        <f>IFERROR(__xludf.DUMMYFUNCTION("importrange(""https://docs.google.com/spreadsheets/d/1h3joSlQaOlngey3vZhG2-5sxXk4iDOWjc1J33kkadUI/edit#gid=1687480006"",""BDD matrice SAP!A1:A"")"),45293.0)</f>
        <v>45293</v>
      </c>
      <c r="C1" s="2003" t="str">
        <f>IFERROR(__xludf.DUMMYFUNCTION("importrange(""https://docs.google.com/spreadsheets/d/1h3joSlQaOlngey3vZhG2-5sxXk4iDOWjc1J33kkadUI/edit#gid=1687480006"",""BDD matrice SAP!d1:d"")"),"")</f>
        <v/>
      </c>
      <c r="D1" s="2003" t="str">
        <f>IFERROR(__xludf.DUMMYFUNCTION("importrange(""https://docs.google.com/spreadsheets/d/1h3joSlQaOlngey3vZhG2-5sxXk4iDOWjc1J33kkadUI/edit#gid=1687480006"",""BDD matrice SAP!f1:f"")"),"")</f>
        <v/>
      </c>
      <c r="E1" s="2003" t="str">
        <f>IFERROR(__xludf.DUMMYFUNCTION("importrange(""https://docs.google.com/spreadsheets/d/1h3joSlQaOlngey3vZhG2-5sxXk4iDOWjc1J33kkadUI/edit#gid=1687480006"",""BDD matrice SAP!e1:e"")"),"")</f>
        <v/>
      </c>
      <c r="F1" s="2003" t="str">
        <f>IFERROR(__xludf.DUMMYFUNCTION("importrange(""https://docs.google.com/spreadsheets/d/1h3joSlQaOlngey3vZhG2-5sxXk4iDOWjc1J33kkadUI/edit#gid=1687480006"",""BDD matrice SAP!g1:g"")"),"")</f>
        <v/>
      </c>
      <c r="G1" s="2003" t="str">
        <f>IFERROR(__xludf.DUMMYFUNCTION("importrange(""https://docs.google.com/spreadsheets/d/1h3joSlQaOlngey3vZhG2-5sxXk4iDOWjc1J33kkadUI/edit#gid=1687480006"",""BDD matrice SAP!i1:i"")"),"")</f>
        <v/>
      </c>
      <c r="H1" s="2003" t="str">
        <f>IFERROR(__xludf.DUMMYFUNCTION("importrange(""https://docs.google.com/spreadsheets/d/1h3joSlQaOlngey3vZhG2-5sxXk4iDOWjc1J33kkadUI/edit#gid=1687480006"",""BDD matrice SAP!k1:l"")"),"")</f>
        <v/>
      </c>
    </row>
    <row r="2">
      <c r="A2" s="2005" t="str">
        <f>IFERROR(__xludf.DUMMYFUNCTION("""COMPUTED_VALUE"""),"Code art.")</f>
        <v>Code art.</v>
      </c>
      <c r="B2" s="2005" t="str">
        <f>IFERROR(__xludf.DUMMYFUNCTION("""COMPUTED_VALUE"""),"GM")</f>
        <v>GM</v>
      </c>
      <c r="C2" s="2005" t="str">
        <f>IFERROR(__xludf.DUMMYFUNCTION("""COMPUTED_VALUE"""),"Produit")</f>
        <v>Produit</v>
      </c>
      <c r="D2" s="2005" t="str">
        <f>IFERROR(__xludf.DUMMYFUNCTION("""COMPUTED_VALUE"""),"Référence")</f>
        <v>Référence</v>
      </c>
      <c r="E2" s="2005" t="str">
        <f>IFERROR(__xludf.DUMMYFUNCTION("""COMPUTED_VALUE"""),"Marque")</f>
        <v>Marque</v>
      </c>
      <c r="F2" s="2005" t="str">
        <f>IFERROR(__xludf.DUMMYFUNCTION("""COMPUTED_VALUE"""),"PU Péri-Urbain")</f>
        <v>PU Péri-Urbain</v>
      </c>
      <c r="G2" s="2005" t="str">
        <f>IFERROR(__xludf.DUMMYFUNCTION("""COMPUTED_VALUE"""),"CV")</f>
        <v>CV</v>
      </c>
      <c r="H2" s="2005" t="str">
        <f>IFERROR(__xludf.DUMMYFUNCTION("""COMPUTED_VALUE"""),"PVN")</f>
        <v>PVN</v>
      </c>
      <c r="I2" s="2005" t="str">
        <f>IFERROR(__xludf.DUMMYFUNCTION("""COMPUTED_VALUE"""),"Px B.com")</f>
        <v>Px B.com</v>
      </c>
    </row>
    <row r="3">
      <c r="A3" s="2005">
        <f>IFERROR(__xludf.DUMMYFUNCTION("""COMPUTED_VALUE"""),133165.0)</f>
        <v>133165</v>
      </c>
      <c r="B3" s="2005">
        <f>IFERROR(__xludf.DUMMYFUNCTION("""COMPUTED_VALUE"""),2403005.0)</f>
        <v>2403005</v>
      </c>
      <c r="C3" s="2005" t="str">
        <f>IFERROR(__xludf.DUMMYFUNCTION("""COMPUTED_VALUE"""),"Cartouche")</f>
        <v>Cartouche</v>
      </c>
      <c r="D3" s="2005" t="str">
        <f>IFERROR(__xludf.DUMMYFUNCTION("""COMPUTED_VALUE"""),"T1801 Noire Série Paquerette")</f>
        <v>T1801 Noire Série Paquerette</v>
      </c>
      <c r="E3" s="2005" t="str">
        <f>IFERROR(__xludf.DUMMYFUNCTION("""COMPUTED_VALUE"""),"EPSON")</f>
        <v>EPSON</v>
      </c>
      <c r="F3" s="2005" t="str">
        <f>IFERROR(__xludf.DUMMYFUNCTION("""COMPUTED_VALUE"""),"A")</f>
        <v>A</v>
      </c>
      <c r="G3" s="2005" t="str">
        <f>IFERROR(__xludf.DUMMYFUNCTION("""COMPUTED_VALUE"""),"FF")</f>
        <v>FF</v>
      </c>
      <c r="H3" s="2005">
        <f>IFERROR(__xludf.DUMMYFUNCTION("""COMPUTED_VALUE"""),15.99)</f>
        <v>15.99</v>
      </c>
      <c r="I3" s="2005">
        <f>IFERROR(__xludf.DUMMYFUNCTION("""COMPUTED_VALUE"""),15.99)</f>
        <v>15.99</v>
      </c>
      <c r="BD3" s="2006"/>
      <c r="LM3" s="2007"/>
    </row>
    <row r="4">
      <c r="A4" s="2005">
        <f>IFERROR(__xludf.DUMMYFUNCTION("""COMPUTED_VALUE"""),133518.0)</f>
        <v>133518</v>
      </c>
      <c r="B4" s="2005">
        <f>IFERROR(__xludf.DUMMYFUNCTION("""COMPUTED_VALUE"""),2403010.0)</f>
        <v>2403010</v>
      </c>
      <c r="C4" s="2005" t="str">
        <f>IFERROR(__xludf.DUMMYFUNCTION("""COMPUTED_VALUE"""),"Toner")</f>
        <v>Toner</v>
      </c>
      <c r="D4" s="2005" t="str">
        <f>IFERROR(__xludf.DUMMYFUNCTION("""COMPUTED_VALUE"""),"Noir CF280A")</f>
        <v>Noir CF280A</v>
      </c>
      <c r="E4" s="2005" t="str">
        <f>IFERROR(__xludf.DUMMYFUNCTION("""COMPUTED_VALUE"""),"HP")</f>
        <v>HP</v>
      </c>
      <c r="F4" s="2005" t="str">
        <f>IFERROR(__xludf.DUMMYFUNCTION("""COMPUTED_VALUE"""),"H")</f>
        <v>H</v>
      </c>
      <c r="G4" s="2005" t="str">
        <f>IFERROR(__xludf.DUMMYFUNCTION("""COMPUTED_VALUE"""),"NN")</f>
        <v>NN</v>
      </c>
      <c r="H4" s="2005">
        <f>IFERROR(__xludf.DUMMYFUNCTION("""COMPUTED_VALUE"""),150.99)</f>
        <v>150.99</v>
      </c>
      <c r="I4" s="2005">
        <f>IFERROR(__xludf.DUMMYFUNCTION("""COMPUTED_VALUE"""),150.99)</f>
        <v>150.99</v>
      </c>
      <c r="BD4" s="2006"/>
      <c r="LL4" s="2007"/>
      <c r="LM4" s="2007"/>
      <c r="MX4" s="2007"/>
      <c r="ND4" s="2007"/>
    </row>
    <row r="5">
      <c r="A5" s="2005">
        <f>IFERROR(__xludf.DUMMYFUNCTION("""COMPUTED_VALUE"""),133910.0)</f>
        <v>133910</v>
      </c>
      <c r="B5" s="2005">
        <f>IFERROR(__xludf.DUMMYFUNCTION("""COMPUTED_VALUE"""),2403005.0)</f>
        <v>2403005</v>
      </c>
      <c r="C5" s="2005" t="str">
        <f>IFERROR(__xludf.DUMMYFUNCTION("""COMPUTED_VALUE"""),"Cartouche")</f>
        <v>Cartouche</v>
      </c>
      <c r="D5" s="2005" t="str">
        <f>IFERROR(__xludf.DUMMYFUNCTION("""COMPUTED_VALUE"""),"LC1240 Noire")</f>
        <v>LC1240 Noire</v>
      </c>
      <c r="E5" s="2005" t="str">
        <f>IFERROR(__xludf.DUMMYFUNCTION("""COMPUTED_VALUE"""),"BROTHER")</f>
        <v>BROTHER</v>
      </c>
      <c r="F5" s="2005" t="str">
        <f>IFERROR(__xludf.DUMMYFUNCTION("""COMPUTED_VALUE"""),"H")</f>
        <v>H</v>
      </c>
      <c r="G5" s="2005" t="str">
        <f>IFERROR(__xludf.DUMMYFUNCTION("""COMPUTED_VALUE"""),"NN")</f>
        <v>NN</v>
      </c>
      <c r="H5" s="2005">
        <f>IFERROR(__xludf.DUMMYFUNCTION("""COMPUTED_VALUE"""),30.89)</f>
        <v>30.89</v>
      </c>
      <c r="I5" s="2005">
        <f>IFERROR(__xludf.DUMMYFUNCTION("""COMPUTED_VALUE"""),25.99)</f>
        <v>25.99</v>
      </c>
      <c r="BD5" s="2006"/>
      <c r="LL5" s="2007"/>
      <c r="LM5" s="2007"/>
      <c r="MX5" s="2007"/>
      <c r="ND5" s="2007"/>
    </row>
    <row r="6">
      <c r="A6" s="2005">
        <f>IFERROR(__xludf.DUMMYFUNCTION("""COMPUTED_VALUE"""),133911.0)</f>
        <v>133911</v>
      </c>
      <c r="B6" s="2005">
        <f>IFERROR(__xludf.DUMMYFUNCTION("""COMPUTED_VALUE"""),2403005.0)</f>
        <v>2403005</v>
      </c>
      <c r="C6" s="2005" t="str">
        <f>IFERROR(__xludf.DUMMYFUNCTION("""COMPUTED_VALUE"""),"Cartouche")</f>
        <v>Cartouche</v>
      </c>
      <c r="D6" s="2005" t="str">
        <f>IFERROR(__xludf.DUMMYFUNCTION("""COMPUTED_VALUE"""),"LC1240 Cyan")</f>
        <v>LC1240 Cyan</v>
      </c>
      <c r="E6" s="2005" t="str">
        <f>IFERROR(__xludf.DUMMYFUNCTION("""COMPUTED_VALUE"""),"BROTHER")</f>
        <v>BROTHER</v>
      </c>
      <c r="F6" s="2005" t="str">
        <f>IFERROR(__xludf.DUMMYFUNCTION("""COMPUTED_VALUE"""),"H")</f>
        <v>H</v>
      </c>
      <c r="G6" s="2005" t="str">
        <f>IFERROR(__xludf.DUMMYFUNCTION("""COMPUTED_VALUE"""),"NN")</f>
        <v>NN</v>
      </c>
      <c r="H6" s="2005">
        <f>IFERROR(__xludf.DUMMYFUNCTION("""COMPUTED_VALUE"""),19.99)</f>
        <v>19.99</v>
      </c>
      <c r="I6" s="2005">
        <f>IFERROR(__xludf.DUMMYFUNCTION("""COMPUTED_VALUE"""),16.99)</f>
        <v>16.99</v>
      </c>
      <c r="BD6" s="2006"/>
      <c r="LL6" s="2008"/>
      <c r="LM6" s="2007"/>
      <c r="MX6" s="2007"/>
      <c r="ND6" s="2007"/>
    </row>
    <row r="7">
      <c r="A7" s="2005">
        <f>IFERROR(__xludf.DUMMYFUNCTION("""COMPUTED_VALUE"""),133932.0)</f>
        <v>133932</v>
      </c>
      <c r="B7" s="2005">
        <f>IFERROR(__xludf.DUMMYFUNCTION("""COMPUTED_VALUE"""),2403005.0)</f>
        <v>2403005</v>
      </c>
      <c r="C7" s="2005" t="str">
        <f>IFERROR(__xludf.DUMMYFUNCTION("""COMPUTED_VALUE"""),"Cartouche")</f>
        <v>Cartouche</v>
      </c>
      <c r="D7" s="2005" t="str">
        <f>IFERROR(__xludf.DUMMYFUNCTION("""COMPUTED_VALUE"""),"LC1240 Magenta")</f>
        <v>LC1240 Magenta</v>
      </c>
      <c r="E7" s="2005" t="str">
        <f>IFERROR(__xludf.DUMMYFUNCTION("""COMPUTED_VALUE"""),"BROTHER")</f>
        <v>BROTHER</v>
      </c>
      <c r="F7" s="2005" t="str">
        <f>IFERROR(__xludf.DUMMYFUNCTION("""COMPUTED_VALUE"""),"H")</f>
        <v>H</v>
      </c>
      <c r="G7" s="2005" t="str">
        <f>IFERROR(__xludf.DUMMYFUNCTION("""COMPUTED_VALUE"""),"NN")</f>
        <v>NN</v>
      </c>
      <c r="H7" s="2005">
        <f>IFERROR(__xludf.DUMMYFUNCTION("""COMPUTED_VALUE"""),19.99)</f>
        <v>19.99</v>
      </c>
      <c r="I7" s="2005">
        <f>IFERROR(__xludf.DUMMYFUNCTION("""COMPUTED_VALUE"""),16.99)</f>
        <v>16.99</v>
      </c>
      <c r="BD7" s="2006"/>
      <c r="LL7" s="2008"/>
      <c r="LM7" s="2007"/>
      <c r="MX7" s="2007"/>
      <c r="ND7" s="2007"/>
    </row>
    <row r="8">
      <c r="A8" s="2005">
        <f>IFERROR(__xludf.DUMMYFUNCTION("""COMPUTED_VALUE"""),133933.0)</f>
        <v>133933</v>
      </c>
      <c r="B8" s="2005">
        <f>IFERROR(__xludf.DUMMYFUNCTION("""COMPUTED_VALUE"""),2403005.0)</f>
        <v>2403005</v>
      </c>
      <c r="C8" s="2005" t="str">
        <f>IFERROR(__xludf.DUMMYFUNCTION("""COMPUTED_VALUE"""),"Cartouche")</f>
        <v>Cartouche</v>
      </c>
      <c r="D8" s="2005" t="str">
        <f>IFERROR(__xludf.DUMMYFUNCTION("""COMPUTED_VALUE"""),"LC1240 Jaune")</f>
        <v>LC1240 Jaune</v>
      </c>
      <c r="E8" s="2005" t="str">
        <f>IFERROR(__xludf.DUMMYFUNCTION("""COMPUTED_VALUE"""),"BROTHER")</f>
        <v>BROTHER</v>
      </c>
      <c r="F8" s="2005" t="str">
        <f>IFERROR(__xludf.DUMMYFUNCTION("""COMPUTED_VALUE"""),"H")</f>
        <v>H</v>
      </c>
      <c r="G8" s="2005" t="str">
        <f>IFERROR(__xludf.DUMMYFUNCTION("""COMPUTED_VALUE"""),"AC")</f>
        <v>AC</v>
      </c>
      <c r="H8" s="2005">
        <f>IFERROR(__xludf.DUMMYFUNCTION("""COMPUTED_VALUE"""),19.49)</f>
        <v>19.49</v>
      </c>
      <c r="I8" s="2005">
        <f>IFERROR(__xludf.DUMMYFUNCTION("""COMPUTED_VALUE"""),16.99)</f>
        <v>16.99</v>
      </c>
      <c r="BD8" s="2006"/>
      <c r="LL8" s="2007"/>
      <c r="LM8" s="2007"/>
      <c r="MX8" s="2007"/>
      <c r="ND8" s="2007"/>
    </row>
    <row r="9">
      <c r="A9" s="2005">
        <f>IFERROR(__xludf.DUMMYFUNCTION("""COMPUTED_VALUE"""),134200.0)</f>
        <v>134200</v>
      </c>
      <c r="B9" s="2005">
        <f>IFERROR(__xludf.DUMMYFUNCTION("""COMPUTED_VALUE"""),2403010.0)</f>
        <v>2403010</v>
      </c>
      <c r="C9" s="2005" t="str">
        <f>IFERROR(__xludf.DUMMYFUNCTION("""COMPUTED_VALUE"""),"Toner")</f>
        <v>Toner</v>
      </c>
      <c r="D9" s="2005" t="str">
        <f>IFERROR(__xludf.DUMMYFUNCTION("""COMPUTED_VALUE"""),"CLT504SN Noir")</f>
        <v>CLT504SN Noir</v>
      </c>
      <c r="E9" s="2005" t="str">
        <f>IFERROR(__xludf.DUMMYFUNCTION("""COMPUTED_VALUE"""),"SAMSUNG")</f>
        <v>SAMSUNG</v>
      </c>
      <c r="F9" s="2005" t="str">
        <f>IFERROR(__xludf.DUMMYFUNCTION("""COMPUTED_VALUE"""),"H")</f>
        <v>H</v>
      </c>
      <c r="G9" s="2005" t="str">
        <f>IFERROR(__xludf.DUMMYFUNCTION("""COMPUTED_VALUE"""),"FR")</f>
        <v>FR</v>
      </c>
      <c r="H9" s="2005">
        <f>IFERROR(__xludf.DUMMYFUNCTION("""COMPUTED_VALUE"""),79.99)</f>
        <v>79.99</v>
      </c>
      <c r="I9" s="2005">
        <f>IFERROR(__xludf.DUMMYFUNCTION("""COMPUTED_VALUE"""),79.99)</f>
        <v>79.99</v>
      </c>
      <c r="BD9" s="2006"/>
      <c r="LL9" s="2007"/>
      <c r="LM9" s="2007"/>
      <c r="MX9" s="2007"/>
      <c r="ND9" s="2007"/>
    </row>
    <row r="10">
      <c r="A10" s="2005">
        <f>IFERROR(__xludf.DUMMYFUNCTION("""COMPUTED_VALUE"""),134201.0)</f>
        <v>134201</v>
      </c>
      <c r="B10" s="2005">
        <f>IFERROR(__xludf.DUMMYFUNCTION("""COMPUTED_VALUE"""),2403010.0)</f>
        <v>2403010</v>
      </c>
      <c r="C10" s="2005" t="str">
        <f>IFERROR(__xludf.DUMMYFUNCTION("""COMPUTED_VALUE"""),"Toner")</f>
        <v>Toner</v>
      </c>
      <c r="D10" s="2005" t="str">
        <f>IFERROR(__xludf.DUMMYFUNCTION("""COMPUTED_VALUE"""),"CLT504SC Cyan")</f>
        <v>CLT504SC Cyan</v>
      </c>
      <c r="E10" s="2005" t="str">
        <f>IFERROR(__xludf.DUMMYFUNCTION("""COMPUTED_VALUE"""),"SAMSUNG")</f>
        <v>SAMSUNG</v>
      </c>
      <c r="F10" s="2005" t="str">
        <f>IFERROR(__xludf.DUMMYFUNCTION("""COMPUTED_VALUE"""),"H")</f>
        <v>H</v>
      </c>
      <c r="G10" s="2005" t="str">
        <f>IFERROR(__xludf.DUMMYFUNCTION("""COMPUTED_VALUE"""),"FR")</f>
        <v>FR</v>
      </c>
      <c r="H10">
        <f>IFERROR(__xludf.DUMMYFUNCTION("""COMPUTED_VALUE"""),79.99)</f>
        <v>79.99</v>
      </c>
      <c r="I10">
        <f>IFERROR(__xludf.DUMMYFUNCTION("""COMPUTED_VALUE"""),79.99)</f>
        <v>79.99</v>
      </c>
      <c r="BD10" s="2006"/>
      <c r="LL10" s="2007"/>
      <c r="LM10" s="2007"/>
      <c r="MX10" s="2007"/>
      <c r="ND10" s="2007"/>
    </row>
    <row r="11">
      <c r="A11" s="2005">
        <f>IFERROR(__xludf.DUMMYFUNCTION("""COMPUTED_VALUE"""),134232.0)</f>
        <v>134232</v>
      </c>
      <c r="B11" s="2005">
        <f>IFERROR(__xludf.DUMMYFUNCTION("""COMPUTED_VALUE"""),2403010.0)</f>
        <v>2403010</v>
      </c>
      <c r="C11" s="2005" t="str">
        <f>IFERROR(__xludf.DUMMYFUNCTION("""COMPUTED_VALUE"""),"Toner")</f>
        <v>Toner</v>
      </c>
      <c r="D11" s="2005" t="str">
        <f>IFERROR(__xludf.DUMMYFUNCTION("""COMPUTED_VALUE"""),"CLT504SM Magenta")</f>
        <v>CLT504SM Magenta</v>
      </c>
      <c r="E11" s="2005" t="str">
        <f>IFERROR(__xludf.DUMMYFUNCTION("""COMPUTED_VALUE"""),"SAMSUNG")</f>
        <v>SAMSUNG</v>
      </c>
      <c r="F11" s="2005" t="str">
        <f>IFERROR(__xludf.DUMMYFUNCTION("""COMPUTED_VALUE"""),"H")</f>
        <v>H</v>
      </c>
      <c r="G11" s="2005" t="str">
        <f>IFERROR(__xludf.DUMMYFUNCTION("""COMPUTED_VALUE"""),"FR")</f>
        <v>FR</v>
      </c>
      <c r="H11" s="2005">
        <f>IFERROR(__xludf.DUMMYFUNCTION("""COMPUTED_VALUE"""),79.99)</f>
        <v>79.99</v>
      </c>
      <c r="I11" s="2005">
        <f>IFERROR(__xludf.DUMMYFUNCTION("""COMPUTED_VALUE"""),79.99)</f>
        <v>79.99</v>
      </c>
      <c r="BD11" s="2006"/>
      <c r="LL11" s="2007"/>
      <c r="LM11" s="2007"/>
      <c r="MX11" s="2007"/>
      <c r="ND11" s="2008"/>
    </row>
    <row r="12">
      <c r="A12" s="2005">
        <f>IFERROR(__xludf.DUMMYFUNCTION("""COMPUTED_VALUE"""),134235.0)</f>
        <v>134235</v>
      </c>
      <c r="B12" s="2005">
        <f>IFERROR(__xludf.DUMMYFUNCTION("""COMPUTED_VALUE"""),2403010.0)</f>
        <v>2403010</v>
      </c>
      <c r="C12" s="2005" t="str">
        <f>IFERROR(__xludf.DUMMYFUNCTION("""COMPUTED_VALUE"""),"Toner")</f>
        <v>Toner</v>
      </c>
      <c r="D12" s="2005" t="str">
        <f>IFERROR(__xludf.DUMMYFUNCTION("""COMPUTED_VALUE"""),"CLT504SY Jaune")</f>
        <v>CLT504SY Jaune</v>
      </c>
      <c r="E12" s="2005" t="str">
        <f>IFERROR(__xludf.DUMMYFUNCTION("""COMPUTED_VALUE"""),"SAMSUNG")</f>
        <v>SAMSUNG</v>
      </c>
      <c r="F12" s="2005" t="str">
        <f>IFERROR(__xludf.DUMMYFUNCTION("""COMPUTED_VALUE"""),"A")</f>
        <v>A</v>
      </c>
      <c r="G12" s="2005" t="str">
        <f>IFERROR(__xludf.DUMMYFUNCTION("""COMPUTED_VALUE"""),"NN")</f>
        <v>NN</v>
      </c>
      <c r="H12" s="2005">
        <f>IFERROR(__xludf.DUMMYFUNCTION("""COMPUTED_VALUE"""),69.99)</f>
        <v>69.99</v>
      </c>
      <c r="I12" s="2005">
        <f>IFERROR(__xludf.DUMMYFUNCTION("""COMPUTED_VALUE"""),69.99)</f>
        <v>69.99</v>
      </c>
      <c r="BD12" s="2006"/>
      <c r="LL12" s="2007"/>
      <c r="LM12" s="2007"/>
      <c r="MX12" s="2007"/>
      <c r="ND12" s="2007"/>
    </row>
    <row r="13">
      <c r="A13" s="2005">
        <f>IFERROR(__xludf.DUMMYFUNCTION("""COMPUTED_VALUE"""),134246.0)</f>
        <v>134246</v>
      </c>
      <c r="B13" s="2005">
        <f>IFERROR(__xludf.DUMMYFUNCTION("""COMPUTED_VALUE"""),2403005.0)</f>
        <v>2403005</v>
      </c>
      <c r="C13" s="2005" t="str">
        <f>IFERROR(__xludf.DUMMYFUNCTION("""COMPUTED_VALUE"""),"Cartouche")</f>
        <v>Cartouche</v>
      </c>
      <c r="D13" s="2005" t="str">
        <f>IFERROR(__xludf.DUMMYFUNCTION("""COMPUTED_VALUE"""),"T7022 XL Cyan Série Tour Eiffel")</f>
        <v>T7022 XL Cyan Série Tour Eiffel</v>
      </c>
      <c r="E13" s="2005" t="str">
        <f>IFERROR(__xludf.DUMMYFUNCTION("""COMPUTED_VALUE"""),"EPSON")</f>
        <v>EPSON</v>
      </c>
      <c r="F13" s="2005" t="str">
        <f>IFERROR(__xludf.DUMMYFUNCTION("""COMPUTED_VALUE"""),"H")</f>
        <v>H</v>
      </c>
      <c r="G13" s="2005" t="str">
        <f>IFERROR(__xludf.DUMMYFUNCTION("""COMPUTED_VALUE"""),"NN")</f>
        <v>NN</v>
      </c>
      <c r="H13" s="2005">
        <f>IFERROR(__xludf.DUMMYFUNCTION("""COMPUTED_VALUE"""),43.99)</f>
        <v>43.99</v>
      </c>
      <c r="I13" s="2005">
        <f>IFERROR(__xludf.DUMMYFUNCTION("""COMPUTED_VALUE"""),43.99)</f>
        <v>43.99</v>
      </c>
      <c r="BD13" s="2006"/>
      <c r="LL13" s="2007"/>
      <c r="LM13" s="2007"/>
      <c r="MX13" s="2007"/>
      <c r="ND13" s="2008"/>
    </row>
    <row r="14">
      <c r="A14" s="2005">
        <f>IFERROR(__xludf.DUMMYFUNCTION("""COMPUTED_VALUE"""),134251.0)</f>
        <v>134251</v>
      </c>
      <c r="B14" s="2005">
        <f>IFERROR(__xludf.DUMMYFUNCTION("""COMPUTED_VALUE"""),2403005.0)</f>
        <v>2403005</v>
      </c>
      <c r="C14" s="2005" t="str">
        <f>IFERROR(__xludf.DUMMYFUNCTION("""COMPUTED_VALUE"""),"Cartouche")</f>
        <v>Cartouche</v>
      </c>
      <c r="D14" s="2005" t="str">
        <f>IFERROR(__xludf.DUMMYFUNCTION("""COMPUTED_VALUE"""),"T7024 XL Jaune Série Tour Eiffel")</f>
        <v>T7024 XL Jaune Série Tour Eiffel</v>
      </c>
      <c r="E14" s="2005" t="str">
        <f>IFERROR(__xludf.DUMMYFUNCTION("""COMPUTED_VALUE"""),"EPSON")</f>
        <v>EPSON</v>
      </c>
      <c r="F14" s="2005" t="str">
        <f>IFERROR(__xludf.DUMMYFUNCTION("""COMPUTED_VALUE"""),"H")</f>
        <v>H</v>
      </c>
      <c r="G14" s="2005" t="str">
        <f>IFERROR(__xludf.DUMMYFUNCTION("""COMPUTED_VALUE"""),"NN")</f>
        <v>NN</v>
      </c>
      <c r="H14" s="2005">
        <f>IFERROR(__xludf.DUMMYFUNCTION("""COMPUTED_VALUE"""),43.99)</f>
        <v>43.99</v>
      </c>
      <c r="I14" s="2005">
        <f>IFERROR(__xludf.DUMMYFUNCTION("""COMPUTED_VALUE"""),43.99)</f>
        <v>43.99</v>
      </c>
      <c r="BD14" s="2006"/>
      <c r="LL14" s="2007"/>
      <c r="LM14" s="2007"/>
      <c r="MX14" s="2008"/>
      <c r="ND14" s="2007"/>
    </row>
    <row r="15">
      <c r="A15">
        <f>IFERROR(__xludf.DUMMYFUNCTION("""COMPUTED_VALUE"""),134876.0)</f>
        <v>134876</v>
      </c>
      <c r="B15">
        <f>IFERROR(__xludf.DUMMYFUNCTION("""COMPUTED_VALUE"""),2403005.0)</f>
        <v>2403005</v>
      </c>
      <c r="C15" t="str">
        <f>IFERROR(__xludf.DUMMYFUNCTION("""COMPUTED_VALUE"""),"Cartouche")</f>
        <v>Cartouche</v>
      </c>
      <c r="D15" t="str">
        <f>IFERROR(__xludf.DUMMYFUNCTION("""COMPUTED_VALUE"""),"T1802 Cyan Serie Paquerette")</f>
        <v>T1802 Cyan Serie Paquerette</v>
      </c>
      <c r="E15" t="str">
        <f>IFERROR(__xludf.DUMMYFUNCTION("""COMPUTED_VALUE"""),"EPSON")</f>
        <v>EPSON</v>
      </c>
      <c r="F15" t="str">
        <f>IFERROR(__xludf.DUMMYFUNCTION("""COMPUTED_VALUE"""),"A")</f>
        <v>A</v>
      </c>
      <c r="G15" t="str">
        <f>IFERROR(__xludf.DUMMYFUNCTION("""COMPUTED_VALUE"""),"FF")</f>
        <v>FF</v>
      </c>
      <c r="H15">
        <f>IFERROR(__xludf.DUMMYFUNCTION("""COMPUTED_VALUE"""),13.99)</f>
        <v>13.99</v>
      </c>
      <c r="I15">
        <f>IFERROR(__xludf.DUMMYFUNCTION("""COMPUTED_VALUE"""),13.99)</f>
        <v>13.99</v>
      </c>
      <c r="BD15" s="2006"/>
      <c r="LL15" s="2007"/>
      <c r="LM15" s="2007"/>
      <c r="MX15" s="2007"/>
      <c r="ND15" s="2007"/>
    </row>
    <row r="16">
      <c r="A16" s="2005">
        <f>IFERROR(__xludf.DUMMYFUNCTION("""COMPUTED_VALUE"""),134877.0)</f>
        <v>134877</v>
      </c>
      <c r="B16" s="2005">
        <f>IFERROR(__xludf.DUMMYFUNCTION("""COMPUTED_VALUE"""),2403005.0)</f>
        <v>2403005</v>
      </c>
      <c r="C16" s="2005" t="str">
        <f>IFERROR(__xludf.DUMMYFUNCTION("""COMPUTED_VALUE"""),"Cartouche")</f>
        <v>Cartouche</v>
      </c>
      <c r="D16" s="2005" t="str">
        <f>IFERROR(__xludf.DUMMYFUNCTION("""COMPUTED_VALUE"""),"T1803 Magenta Série Paquerette")</f>
        <v>T1803 Magenta Série Paquerette</v>
      </c>
      <c r="E16" s="2005" t="str">
        <f>IFERROR(__xludf.DUMMYFUNCTION("""COMPUTED_VALUE"""),"EPSON")</f>
        <v>EPSON</v>
      </c>
      <c r="F16" s="2005" t="str">
        <f>IFERROR(__xludf.DUMMYFUNCTION("""COMPUTED_VALUE"""),"A")</f>
        <v>A</v>
      </c>
      <c r="G16" s="2005" t="str">
        <f>IFERROR(__xludf.DUMMYFUNCTION("""COMPUTED_VALUE"""),"FI")</f>
        <v>FI</v>
      </c>
      <c r="H16" s="2005">
        <f>IFERROR(__xludf.DUMMYFUNCTION("""COMPUTED_VALUE"""),13.99)</f>
        <v>13.99</v>
      </c>
      <c r="I16" s="2005">
        <f>IFERROR(__xludf.DUMMYFUNCTION("""COMPUTED_VALUE"""),13.99)</f>
        <v>13.99</v>
      </c>
      <c r="BD16" s="2006"/>
      <c r="LL16" s="2007"/>
      <c r="LM16" s="2007"/>
      <c r="MX16" s="2008"/>
      <c r="ND16" s="2007"/>
    </row>
    <row r="17">
      <c r="A17" s="2005">
        <f>IFERROR(__xludf.DUMMYFUNCTION("""COMPUTED_VALUE"""),134878.0)</f>
        <v>134878</v>
      </c>
      <c r="B17" s="2005">
        <f>IFERROR(__xludf.DUMMYFUNCTION("""COMPUTED_VALUE"""),2403005.0)</f>
        <v>2403005</v>
      </c>
      <c r="C17" s="2005" t="str">
        <f>IFERROR(__xludf.DUMMYFUNCTION("""COMPUTED_VALUE"""),"Cartouche")</f>
        <v>Cartouche</v>
      </c>
      <c r="D17" s="2005" t="str">
        <f>IFERROR(__xludf.DUMMYFUNCTION("""COMPUTED_VALUE"""),"T1804 Jaune Serie Paquerette")</f>
        <v>T1804 Jaune Serie Paquerette</v>
      </c>
      <c r="E17" s="2005" t="str">
        <f>IFERROR(__xludf.DUMMYFUNCTION("""COMPUTED_VALUE"""),"EPSON")</f>
        <v>EPSON</v>
      </c>
      <c r="F17" s="2005" t="str">
        <f>IFERROR(__xludf.DUMMYFUNCTION("""COMPUTED_VALUE"""),"A")</f>
        <v>A</v>
      </c>
      <c r="G17" s="2005" t="str">
        <f>IFERROR(__xludf.DUMMYFUNCTION("""COMPUTED_VALUE"""),"FF")</f>
        <v>FF</v>
      </c>
      <c r="H17" s="2005">
        <f>IFERROR(__xludf.DUMMYFUNCTION("""COMPUTED_VALUE"""),13.99)</f>
        <v>13.99</v>
      </c>
      <c r="I17" s="2005">
        <f>IFERROR(__xludf.DUMMYFUNCTION("""COMPUTED_VALUE"""),13.99)</f>
        <v>13.99</v>
      </c>
      <c r="BD17" s="2006"/>
      <c r="LL17" s="2007"/>
      <c r="LM17" s="2007"/>
      <c r="MX17" s="2007"/>
      <c r="ND17" s="2007"/>
    </row>
    <row r="18">
      <c r="A18" s="2005">
        <f>IFERROR(__xludf.DUMMYFUNCTION("""COMPUTED_VALUE"""),134879.0)</f>
        <v>134879</v>
      </c>
      <c r="B18" s="2005">
        <f>IFERROR(__xludf.DUMMYFUNCTION("""COMPUTED_VALUE"""),2403005.0)</f>
        <v>2403005</v>
      </c>
      <c r="C18" s="2005" t="str">
        <f>IFERROR(__xludf.DUMMYFUNCTION("""COMPUTED_VALUE"""),"Pack")</f>
        <v>Pack</v>
      </c>
      <c r="D18" s="2005" t="str">
        <f>IFERROR(__xludf.DUMMYFUNCTION("""COMPUTED_VALUE"""),"T1806 (N/C/M/J)  Série Paquerette")</f>
        <v>T1806 (N/C/M/J)  Série Paquerette</v>
      </c>
      <c r="E18" s="2005" t="str">
        <f>IFERROR(__xludf.DUMMYFUNCTION("""COMPUTED_VALUE"""),"EPSON")</f>
        <v>EPSON</v>
      </c>
      <c r="F18" s="2005" t="str">
        <f>IFERROR(__xludf.DUMMYFUNCTION("""COMPUTED_VALUE"""),"A")</f>
        <v>A</v>
      </c>
      <c r="G18" s="2005" t="str">
        <f>IFERROR(__xludf.DUMMYFUNCTION("""COMPUTED_VALUE"""),"FR")</f>
        <v>FR</v>
      </c>
      <c r="H18" s="2005">
        <f>IFERROR(__xludf.DUMMYFUNCTION("""COMPUTED_VALUE"""),55.0)</f>
        <v>55</v>
      </c>
      <c r="I18" s="2005">
        <f>IFERROR(__xludf.DUMMYFUNCTION("""COMPUTED_VALUE"""),55.0)</f>
        <v>55</v>
      </c>
      <c r="BD18" s="2006"/>
      <c r="LL18" s="2007"/>
      <c r="LM18" s="2007"/>
      <c r="MX18" s="2007"/>
      <c r="ND18" s="2007"/>
    </row>
    <row r="19">
      <c r="A19" s="2005">
        <f>IFERROR(__xludf.DUMMYFUNCTION("""COMPUTED_VALUE"""),135598.0)</f>
        <v>135598</v>
      </c>
      <c r="B19" s="2005">
        <f>IFERROR(__xludf.DUMMYFUNCTION("""COMPUTED_VALUE"""),2502015.0)</f>
        <v>2502015</v>
      </c>
      <c r="C19" s="2005" t="str">
        <f>IFERROR(__xludf.DUMMYFUNCTION("""COMPUTED_VALUE"""),"PAVE NUMERIQUE")</f>
        <v>PAVE NUMERIQUE</v>
      </c>
      <c r="D19" s="2005" t="str">
        <f>IFERROR(__xludf.DUMMYFUNCTION("""COMPUTED_VALUE"""),"Slim Klavia")</f>
        <v>Slim Klavia</v>
      </c>
      <c r="E19" s="2005" t="str">
        <f>IFERROR(__xludf.DUMMYFUNCTION("""COMPUTED_VALUE"""),"ESSENTIELB")</f>
        <v>ESSENTIELB</v>
      </c>
      <c r="F19" s="2005" t="str">
        <f>IFERROR(__xludf.DUMMYFUNCTION("""COMPUTED_VALUE"""),"A")</f>
        <v>A</v>
      </c>
      <c r="G19" s="2005" t="str">
        <f>IFERROR(__xludf.DUMMYFUNCTION("""COMPUTED_VALUE"""),"NN")</f>
        <v>NN</v>
      </c>
      <c r="H19" s="2005">
        <f>IFERROR(__xludf.DUMMYFUNCTION("""COMPUTED_VALUE"""),12.99)</f>
        <v>12.99</v>
      </c>
      <c r="I19" s="2005">
        <f>IFERROR(__xludf.DUMMYFUNCTION("""COMPUTED_VALUE"""),12.99)</f>
        <v>12.99</v>
      </c>
      <c r="BD19" s="2006"/>
      <c r="LL19" s="2007"/>
      <c r="LM19" s="2007"/>
      <c r="MX19" s="2007"/>
      <c r="ND19" s="2007"/>
    </row>
    <row r="20">
      <c r="A20" s="2005">
        <f>IFERROR(__xludf.DUMMYFUNCTION("""COMPUTED_VALUE"""),135726.0)</f>
        <v>135726</v>
      </c>
      <c r="B20" s="2005">
        <f>IFERROR(__xludf.DUMMYFUNCTION("""COMPUTED_VALUE"""),2403005.0)</f>
        <v>2403005</v>
      </c>
      <c r="C20" s="2005" t="str">
        <f>IFERROR(__xludf.DUMMYFUNCTION("""COMPUTED_VALUE"""),"Cartouche")</f>
        <v>Cartouche</v>
      </c>
      <c r="D20" s="2005" t="str">
        <f>IFERROR(__xludf.DUMMYFUNCTION("""COMPUTED_VALUE"""),"T260 Noire Série Ours Polaire")</f>
        <v>T260 Noire Série Ours Polaire</v>
      </c>
      <c r="E20" s="2005" t="str">
        <f>IFERROR(__xludf.DUMMYFUNCTION("""COMPUTED_VALUE"""),"EPSON")</f>
        <v>EPSON</v>
      </c>
      <c r="F20" s="2005" t="str">
        <f>IFERROR(__xludf.DUMMYFUNCTION("""COMPUTED_VALUE"""),"C")</f>
        <v>C</v>
      </c>
      <c r="G20" s="2005" t="str">
        <f>IFERROR(__xludf.DUMMYFUNCTION("""COMPUTED_VALUE"""),"AC")</f>
        <v>AC</v>
      </c>
      <c r="H20" s="2005">
        <f>IFERROR(__xludf.DUMMYFUNCTION("""COMPUTED_VALUE"""),18.99)</f>
        <v>18.99</v>
      </c>
      <c r="I20" s="2005">
        <f>IFERROR(__xludf.DUMMYFUNCTION("""COMPUTED_VALUE"""),18.99)</f>
        <v>18.99</v>
      </c>
      <c r="BD20" s="2006"/>
      <c r="LL20" s="2007"/>
      <c r="LM20" s="2007"/>
      <c r="MX20" s="2007"/>
      <c r="ND20" s="2007"/>
    </row>
    <row r="21">
      <c r="A21" s="2005">
        <f>IFERROR(__xludf.DUMMYFUNCTION("""COMPUTED_VALUE"""),135727.0)</f>
        <v>135727</v>
      </c>
      <c r="B21" s="2005">
        <f>IFERROR(__xludf.DUMMYFUNCTION("""COMPUTED_VALUE"""),2403005.0)</f>
        <v>2403005</v>
      </c>
      <c r="C21" s="2005" t="str">
        <f>IFERROR(__xludf.DUMMYFUNCTION("""COMPUTED_VALUE"""),"Cartouche")</f>
        <v>Cartouche</v>
      </c>
      <c r="D21" s="2005" t="str">
        <f>IFERROR(__xludf.DUMMYFUNCTION("""COMPUTED_VALUE"""),"T2611 Noire Photo Série Ours Polaire")</f>
        <v>T2611 Noire Photo Série Ours Polaire</v>
      </c>
      <c r="E21" s="2005" t="str">
        <f>IFERROR(__xludf.DUMMYFUNCTION("""COMPUTED_VALUE"""),"EPSON")</f>
        <v>EPSON</v>
      </c>
      <c r="F21" s="2005" t="str">
        <f>IFERROR(__xludf.DUMMYFUNCTION("""COMPUTED_VALUE"""),"H")</f>
        <v>H</v>
      </c>
      <c r="G21" s="2005" t="str">
        <f>IFERROR(__xludf.DUMMYFUNCTION("""COMPUTED_VALUE"""),"AC")</f>
        <v>AC</v>
      </c>
      <c r="H21" s="2005">
        <f>IFERROR(__xludf.DUMMYFUNCTION("""COMPUTED_VALUE"""),15.99)</f>
        <v>15.99</v>
      </c>
      <c r="I21" s="2005">
        <f>IFERROR(__xludf.DUMMYFUNCTION("""COMPUTED_VALUE"""),15.99)</f>
        <v>15.99</v>
      </c>
      <c r="BD21" s="2006"/>
      <c r="LL21" s="2007"/>
      <c r="LM21" s="2007"/>
      <c r="MX21" s="2007"/>
      <c r="ND21" s="2007"/>
    </row>
    <row r="22">
      <c r="A22" s="2005">
        <f>IFERROR(__xludf.DUMMYFUNCTION("""COMPUTED_VALUE"""),135728.0)</f>
        <v>135728</v>
      </c>
      <c r="B22" s="2005">
        <f>IFERROR(__xludf.DUMMYFUNCTION("""COMPUTED_VALUE"""),2403005.0)</f>
        <v>2403005</v>
      </c>
      <c r="C22" s="2005" t="str">
        <f>IFERROR(__xludf.DUMMYFUNCTION("""COMPUTED_VALUE"""),"Cartouche")</f>
        <v>Cartouche</v>
      </c>
      <c r="D22" s="2005" t="str">
        <f>IFERROR(__xludf.DUMMYFUNCTION("""COMPUTED_VALUE"""),"T2612 Cyan Série Ours Polaire")</f>
        <v>T2612 Cyan Série Ours Polaire</v>
      </c>
      <c r="E22" s="2005" t="str">
        <f>IFERROR(__xludf.DUMMYFUNCTION("""COMPUTED_VALUE"""),"EPSON")</f>
        <v>EPSON</v>
      </c>
      <c r="F22" s="2005" t="str">
        <f>IFERROR(__xludf.DUMMYFUNCTION("""COMPUTED_VALUE"""),"D")</f>
        <v>D</v>
      </c>
      <c r="G22" s="2005" t="str">
        <f>IFERROR(__xludf.DUMMYFUNCTION("""COMPUTED_VALUE"""),"FR")</f>
        <v>FR</v>
      </c>
      <c r="H22" s="2005">
        <f>IFERROR(__xludf.DUMMYFUNCTION("""COMPUTED_VALUE"""),15.99)</f>
        <v>15.99</v>
      </c>
      <c r="I22" s="2005">
        <f>IFERROR(__xludf.DUMMYFUNCTION("""COMPUTED_VALUE"""),15.99)</f>
        <v>15.99</v>
      </c>
      <c r="BD22" s="2006"/>
      <c r="LM22" s="2007"/>
      <c r="MX22" s="2007"/>
      <c r="ND22" s="2008"/>
    </row>
    <row r="23">
      <c r="A23" s="2005">
        <f>IFERROR(__xludf.DUMMYFUNCTION("""COMPUTED_VALUE"""),135729.0)</f>
        <v>135729</v>
      </c>
      <c r="B23" s="2005">
        <f>IFERROR(__xludf.DUMMYFUNCTION("""COMPUTED_VALUE"""),2403005.0)</f>
        <v>2403005</v>
      </c>
      <c r="C23" s="2005" t="str">
        <f>IFERROR(__xludf.DUMMYFUNCTION("""COMPUTED_VALUE"""),"Cartouche")</f>
        <v>Cartouche</v>
      </c>
      <c r="D23" s="2005" t="str">
        <f>IFERROR(__xludf.DUMMYFUNCTION("""COMPUTED_VALUE"""),"T2613 Magenta Série Ours Polaire")</f>
        <v>T2613 Magenta Série Ours Polaire</v>
      </c>
      <c r="E23" s="2005" t="str">
        <f>IFERROR(__xludf.DUMMYFUNCTION("""COMPUTED_VALUE"""),"EPSON")</f>
        <v>EPSON</v>
      </c>
      <c r="F23" s="2005" t="str">
        <f>IFERROR(__xludf.DUMMYFUNCTION("""COMPUTED_VALUE"""),"D")</f>
        <v>D</v>
      </c>
      <c r="G23" s="2005" t="str">
        <f>IFERROR(__xludf.DUMMYFUNCTION("""COMPUTED_VALUE"""),"FI")</f>
        <v>FI</v>
      </c>
      <c r="H23" s="2005">
        <f>IFERROR(__xludf.DUMMYFUNCTION("""COMPUTED_VALUE"""),15.99)</f>
        <v>15.99</v>
      </c>
      <c r="I23" s="2005">
        <f>IFERROR(__xludf.DUMMYFUNCTION("""COMPUTED_VALUE"""),15.99)</f>
        <v>15.99</v>
      </c>
      <c r="BD23" s="2006"/>
      <c r="LL23" s="2007"/>
      <c r="LM23" s="2007"/>
      <c r="MX23" s="2007"/>
      <c r="ND23" s="2007"/>
    </row>
    <row r="24">
      <c r="A24" s="2005">
        <f>IFERROR(__xludf.DUMMYFUNCTION("""COMPUTED_VALUE"""),135730.0)</f>
        <v>135730</v>
      </c>
      <c r="B24" s="2005">
        <f>IFERROR(__xludf.DUMMYFUNCTION("""COMPUTED_VALUE"""),2403005.0)</f>
        <v>2403005</v>
      </c>
      <c r="C24" s="2005" t="str">
        <f>IFERROR(__xludf.DUMMYFUNCTION("""COMPUTED_VALUE"""),"Cartouche")</f>
        <v>Cartouche</v>
      </c>
      <c r="D24" s="2005" t="str">
        <f>IFERROR(__xludf.DUMMYFUNCTION("""COMPUTED_VALUE"""),"T2614 Jaune Série Ours Polaire")</f>
        <v>T2614 Jaune Série Ours Polaire</v>
      </c>
      <c r="E24" s="2005" t="str">
        <f>IFERROR(__xludf.DUMMYFUNCTION("""COMPUTED_VALUE"""),"EPSON")</f>
        <v>EPSON</v>
      </c>
      <c r="F24" s="2005" t="str">
        <f>IFERROR(__xludf.DUMMYFUNCTION("""COMPUTED_VALUE"""),"D")</f>
        <v>D</v>
      </c>
      <c r="G24" s="2005" t="str">
        <f>IFERROR(__xludf.DUMMYFUNCTION("""COMPUTED_VALUE"""),"FF")</f>
        <v>FF</v>
      </c>
      <c r="H24">
        <f>IFERROR(__xludf.DUMMYFUNCTION("""COMPUTED_VALUE"""),15.99)</f>
        <v>15.99</v>
      </c>
      <c r="I24">
        <f>IFERROR(__xludf.DUMMYFUNCTION("""COMPUTED_VALUE"""),15.99)</f>
        <v>15.99</v>
      </c>
      <c r="BD24" s="2006"/>
      <c r="LL24" s="2007"/>
      <c r="LM24" s="2007"/>
      <c r="MX24" s="2007"/>
      <c r="ND24" s="2007"/>
    </row>
    <row r="25">
      <c r="A25" s="2005">
        <f>IFERROR(__xludf.DUMMYFUNCTION("""COMPUTED_VALUE"""),135858.0)</f>
        <v>135858</v>
      </c>
      <c r="B25" s="2005">
        <f>IFERROR(__xludf.DUMMYFUNCTION("""COMPUTED_VALUE"""),2502515.0)</f>
        <v>2502515</v>
      </c>
      <c r="C25" s="2005" t="str">
        <f>IFERROR(__xludf.DUMMYFUNCTION("""COMPUTED_VALUE"""),"Câble")</f>
        <v>Câble</v>
      </c>
      <c r="D25" s="2005" t="str">
        <f>IFERROR(__xludf.DUMMYFUNCTION("""COMPUTED_VALUE"""),"antivol à combinaison")</f>
        <v>antivol à combinaison</v>
      </c>
      <c r="E25" s="2005" t="str">
        <f>IFERROR(__xludf.DUMMYFUNCTION("""COMPUTED_VALUE"""),"ESSENTIELB")</f>
        <v>ESSENTIELB</v>
      </c>
      <c r="F25" s="2005" t="str">
        <f>IFERROR(__xludf.DUMMYFUNCTION("""COMPUTED_VALUE"""),"B")</f>
        <v>B</v>
      </c>
      <c r="G25" s="2005" t="str">
        <f>IFERROR(__xludf.DUMMYFUNCTION("""COMPUTED_VALUE"""),"NN")</f>
        <v>NN</v>
      </c>
      <c r="H25" s="2005">
        <f>IFERROR(__xludf.DUMMYFUNCTION("""COMPUTED_VALUE"""),19.99)</f>
        <v>19.99</v>
      </c>
      <c r="I25" s="2005">
        <f>IFERROR(__xludf.DUMMYFUNCTION("""COMPUTED_VALUE"""),19.99)</f>
        <v>19.99</v>
      </c>
      <c r="BD25" s="2006"/>
      <c r="LL25" s="2007"/>
      <c r="LM25" s="2007"/>
      <c r="MX25" s="2007"/>
      <c r="ND25" s="2007"/>
    </row>
    <row r="26">
      <c r="A26" s="2005">
        <f>IFERROR(__xludf.DUMMYFUNCTION("""COMPUTED_VALUE"""),136434.0)</f>
        <v>136434</v>
      </c>
      <c r="B26" s="2005">
        <f>IFERROR(__xludf.DUMMYFUNCTION("""COMPUTED_VALUE"""),2503010.0)</f>
        <v>2503010</v>
      </c>
      <c r="C26" s="2005" t="str">
        <f>IFERROR(__xludf.DUMMYFUNCTION("""COMPUTED_VALUE"""),"Casque micro")</f>
        <v>Casque micro</v>
      </c>
      <c r="D26" s="2005" t="str">
        <f>IFERROR(__xludf.DUMMYFUNCTION("""COMPUTED_VALUE"""),"H340 USB Headset")</f>
        <v>H340 USB Headset</v>
      </c>
      <c r="E26" s="2005" t="str">
        <f>IFERROR(__xludf.DUMMYFUNCTION("""COMPUTED_VALUE"""),"LOGITECH")</f>
        <v>LOGITECH</v>
      </c>
      <c r="F26" s="2005" t="str">
        <f>IFERROR(__xludf.DUMMYFUNCTION("""COMPUTED_VALUE"""),"C")</f>
        <v>C</v>
      </c>
      <c r="G26" s="2005" t="str">
        <f>IFERROR(__xludf.DUMMYFUNCTION("""COMPUTED_VALUE"""),"AC")</f>
        <v>AC</v>
      </c>
      <c r="H26" s="2005">
        <f>IFERROR(__xludf.DUMMYFUNCTION("""COMPUTED_VALUE"""),39.99)</f>
        <v>39.99</v>
      </c>
      <c r="I26" s="2005">
        <f>IFERROR(__xludf.DUMMYFUNCTION("""COMPUTED_VALUE"""),39.99)</f>
        <v>39.99</v>
      </c>
      <c r="BD26" s="2006"/>
      <c r="LL26" s="2007"/>
      <c r="LM26" s="2007"/>
      <c r="MX26" s="2007"/>
      <c r="ND26" s="2008"/>
    </row>
    <row r="27">
      <c r="A27" s="2005">
        <f>IFERROR(__xludf.DUMMYFUNCTION("""COMPUTED_VALUE"""),136646.0)</f>
        <v>136646</v>
      </c>
      <c r="B27" s="2005">
        <f>IFERROR(__xludf.DUMMYFUNCTION("""COMPUTED_VALUE"""),2703040.0)</f>
        <v>2703040</v>
      </c>
      <c r="C27" s="2005" t="str">
        <f>IFERROR(__xludf.DUMMYFUNCTION("""COMPUTED_VALUE"""),"Etiquette")</f>
        <v>Etiquette</v>
      </c>
      <c r="D27" s="2005" t="str">
        <f>IFERROR(__xludf.DUMMYFUNCTION("""COMPUTED_VALUE"""),"TZe221 9mm")</f>
        <v>TZe221 9mm</v>
      </c>
      <c r="E27" s="2005" t="str">
        <f>IFERROR(__xludf.DUMMYFUNCTION("""COMPUTED_VALUE"""),"BROTHER")</f>
        <v>BROTHER</v>
      </c>
      <c r="F27" s="2005" t="str">
        <f>IFERROR(__xludf.DUMMYFUNCTION("""COMPUTED_VALUE"""),"H")</f>
        <v>H</v>
      </c>
      <c r="G27" s="2005" t="str">
        <f>IFERROR(__xludf.DUMMYFUNCTION("""COMPUTED_VALUE"""),"AC")</f>
        <v>AC</v>
      </c>
      <c r="H27" s="2005">
        <f>IFERROR(__xludf.DUMMYFUNCTION("""COMPUTED_VALUE"""),17.99)</f>
        <v>17.99</v>
      </c>
      <c r="I27" s="2005">
        <f>IFERROR(__xludf.DUMMYFUNCTION("""COMPUTED_VALUE"""),15.99)</f>
        <v>15.99</v>
      </c>
      <c r="BD27" s="2006"/>
      <c r="LL27" s="2007"/>
      <c r="LM27" s="2007"/>
      <c r="MX27" s="2007"/>
      <c r="ND27" s="2008"/>
    </row>
    <row r="28">
      <c r="A28" s="2005">
        <f>IFERROR(__xludf.DUMMYFUNCTION("""COMPUTED_VALUE"""),136648.0)</f>
        <v>136648</v>
      </c>
      <c r="B28" s="2005">
        <f>IFERROR(__xludf.DUMMYFUNCTION("""COMPUTED_VALUE"""),2703040.0)</f>
        <v>2703040</v>
      </c>
      <c r="C28" s="2005" t="str">
        <f>IFERROR(__xludf.DUMMYFUNCTION("""COMPUTED_VALUE"""),"Etiquette")</f>
        <v>Etiquette</v>
      </c>
      <c r="D28" s="2005" t="str">
        <f>IFERROR(__xludf.DUMMYFUNCTION("""COMPUTED_VALUE"""),"TZe131 Noir/transparent")</f>
        <v>TZe131 Noir/transparent</v>
      </c>
      <c r="E28" s="2005" t="str">
        <f>IFERROR(__xludf.DUMMYFUNCTION("""COMPUTED_VALUE"""),"BROTHER")</f>
        <v>BROTHER</v>
      </c>
      <c r="F28" s="2005" t="str">
        <f>IFERROR(__xludf.DUMMYFUNCTION("""COMPUTED_VALUE"""),"H")</f>
        <v>H</v>
      </c>
      <c r="G28" s="2005" t="str">
        <f>IFERROR(__xludf.DUMMYFUNCTION("""COMPUTED_VALUE"""),"NN")</f>
        <v>NN</v>
      </c>
      <c r="H28" s="2005">
        <f>IFERROR(__xludf.DUMMYFUNCTION("""COMPUTED_VALUE"""),17.99)</f>
        <v>17.99</v>
      </c>
      <c r="I28" s="2005">
        <f>IFERROR(__xludf.DUMMYFUNCTION("""COMPUTED_VALUE"""),17.99)</f>
        <v>17.99</v>
      </c>
      <c r="BD28" s="2006"/>
      <c r="LM28" s="2007"/>
      <c r="MX28" s="2007"/>
      <c r="ND28" s="2007"/>
    </row>
    <row r="29">
      <c r="A29" s="2005">
        <f>IFERROR(__xludf.DUMMYFUNCTION("""COMPUTED_VALUE"""),136649.0)</f>
        <v>136649</v>
      </c>
      <c r="B29" s="2005">
        <f>IFERROR(__xludf.DUMMYFUNCTION("""COMPUTED_VALUE"""),2703040.0)</f>
        <v>2703040</v>
      </c>
      <c r="C29" s="2005" t="str">
        <f>IFERROR(__xludf.DUMMYFUNCTION("""COMPUTED_VALUE"""),"Etiquette")</f>
        <v>Etiquette</v>
      </c>
      <c r="D29" s="2005" t="str">
        <f>IFERROR(__xludf.DUMMYFUNCTION("""COMPUTED_VALUE"""),"TZe631 12mm Noir et Jaune")</f>
        <v>TZe631 12mm Noir et Jaune</v>
      </c>
      <c r="E29" s="2005" t="str">
        <f>IFERROR(__xludf.DUMMYFUNCTION("""COMPUTED_VALUE"""),"BROTHER")</f>
        <v>BROTHER</v>
      </c>
      <c r="F29" s="2005" t="str">
        <f>IFERROR(__xludf.DUMMYFUNCTION("""COMPUTED_VALUE"""),"H")</f>
        <v>H</v>
      </c>
      <c r="G29" s="2005" t="str">
        <f>IFERROR(__xludf.DUMMYFUNCTION("""COMPUTED_VALUE"""),"NN")</f>
        <v>NN</v>
      </c>
      <c r="H29">
        <f>IFERROR(__xludf.DUMMYFUNCTION("""COMPUTED_VALUE"""),18.99)</f>
        <v>18.99</v>
      </c>
      <c r="I29">
        <f>IFERROR(__xludf.DUMMYFUNCTION("""COMPUTED_VALUE"""),18.99)</f>
        <v>18.99</v>
      </c>
      <c r="BD29" s="2006"/>
      <c r="LM29" s="2007"/>
    </row>
    <row r="30">
      <c r="A30" s="2005">
        <f>IFERROR(__xludf.DUMMYFUNCTION("""COMPUTED_VALUE"""),136650.0)</f>
        <v>136650</v>
      </c>
      <c r="B30" s="2005">
        <f>IFERROR(__xludf.DUMMYFUNCTION("""COMPUTED_VALUE"""),2703040.0)</f>
        <v>2703040</v>
      </c>
      <c r="C30" s="2005" t="str">
        <f>IFERROR(__xludf.DUMMYFUNCTION("""COMPUTED_VALUE"""),"Etiquette")</f>
        <v>Etiquette</v>
      </c>
      <c r="D30" s="2005" t="str">
        <f>IFERROR(__xludf.DUMMYFUNCTION("""COMPUTED_VALUE"""),"TZe231 Noir et Blanc")</f>
        <v>TZe231 Noir et Blanc</v>
      </c>
      <c r="E30" s="2005" t="str">
        <f>IFERROR(__xludf.DUMMYFUNCTION("""COMPUTED_VALUE"""),"BROTHER")</f>
        <v>BROTHER</v>
      </c>
      <c r="F30" s="2005" t="str">
        <f>IFERROR(__xludf.DUMMYFUNCTION("""COMPUTED_VALUE"""),"H")</f>
        <v>H</v>
      </c>
      <c r="G30" s="2005" t="str">
        <f>IFERROR(__xludf.DUMMYFUNCTION("""COMPUTED_VALUE"""),"AC")</f>
        <v>AC</v>
      </c>
      <c r="H30" s="2005">
        <f>IFERROR(__xludf.DUMMYFUNCTION("""COMPUTED_VALUE"""),18.99)</f>
        <v>18.99</v>
      </c>
      <c r="I30" s="2005">
        <f>IFERROR(__xludf.DUMMYFUNCTION("""COMPUTED_VALUE"""),18.99)</f>
        <v>18.99</v>
      </c>
      <c r="BD30" s="2006"/>
      <c r="LM30" s="2007"/>
    </row>
    <row r="31">
      <c r="A31" s="2005">
        <f>IFERROR(__xludf.DUMMYFUNCTION("""COMPUTED_VALUE"""),136742.0)</f>
        <v>136742</v>
      </c>
      <c r="B31" s="2005">
        <f>IFERROR(__xludf.DUMMYFUNCTION("""COMPUTED_VALUE"""),2703040.0)</f>
        <v>2703040</v>
      </c>
      <c r="C31" s="2005" t="str">
        <f>IFERROR(__xludf.DUMMYFUNCTION("""COMPUTED_VALUE"""),"Etiquette")</f>
        <v>Etiquette</v>
      </c>
      <c r="D31" s="2005" t="str">
        <f>IFERROR(__xludf.DUMMYFUNCTION("""COMPUTED_VALUE"""),"TZeFA3 Tissus Bleu et Blanc")</f>
        <v>TZeFA3 Tissus Bleu et Blanc</v>
      </c>
      <c r="E31" s="2005" t="str">
        <f>IFERROR(__xludf.DUMMYFUNCTION("""COMPUTED_VALUE"""),"BROTHER")</f>
        <v>BROTHER</v>
      </c>
      <c r="F31" s="2005" t="str">
        <f>IFERROR(__xludf.DUMMYFUNCTION("""COMPUTED_VALUE"""),"H")</f>
        <v>H</v>
      </c>
      <c r="G31" s="2005" t="str">
        <f>IFERROR(__xludf.DUMMYFUNCTION("""COMPUTED_VALUE"""),"NN")</f>
        <v>NN</v>
      </c>
      <c r="H31" s="2005">
        <f>IFERROR(__xludf.DUMMYFUNCTION("""COMPUTED_VALUE"""),18.99)</f>
        <v>18.99</v>
      </c>
      <c r="I31" s="2005">
        <f>IFERROR(__xludf.DUMMYFUNCTION("""COMPUTED_VALUE"""),12.99)</f>
        <v>12.99</v>
      </c>
      <c r="BD31" s="2006"/>
      <c r="LM31" s="2007"/>
    </row>
    <row r="32">
      <c r="A32" s="2005">
        <f>IFERROR(__xludf.DUMMYFUNCTION("""COMPUTED_VALUE"""),136748.0)</f>
        <v>136748</v>
      </c>
      <c r="B32" s="2005">
        <f>IFERROR(__xludf.DUMMYFUNCTION("""COMPUTED_VALUE"""),2703040.0)</f>
        <v>2703040</v>
      </c>
      <c r="C32" s="2005" t="str">
        <f>IFERROR(__xludf.DUMMYFUNCTION("""COMPUTED_VALUE"""),"Etiquette")</f>
        <v>Etiquette</v>
      </c>
      <c r="D32" s="2005" t="str">
        <f>IFERROR(__xludf.DUMMYFUNCTION("""COMPUTED_VALUE"""),"DK11201 Etiquettes d'adressage standard")</f>
        <v>DK11201 Etiquettes d'adressage standard</v>
      </c>
      <c r="E32" s="2005" t="str">
        <f>IFERROR(__xludf.DUMMYFUNCTION("""COMPUTED_VALUE"""),"BROTHER")</f>
        <v>BROTHER</v>
      </c>
      <c r="F32" s="2005" t="str">
        <f>IFERROR(__xludf.DUMMYFUNCTION("""COMPUTED_VALUE"""),"H")</f>
        <v>H</v>
      </c>
      <c r="G32" s="2005" t="str">
        <f>IFERROR(__xludf.DUMMYFUNCTION("""COMPUTED_VALUE"""),"NN")</f>
        <v>NN</v>
      </c>
      <c r="H32" s="2005">
        <f>IFERROR(__xludf.DUMMYFUNCTION("""COMPUTED_VALUE"""),14.99)</f>
        <v>14.99</v>
      </c>
      <c r="I32" s="2005">
        <f>IFERROR(__xludf.DUMMYFUNCTION("""COMPUTED_VALUE"""),14.99)</f>
        <v>14.99</v>
      </c>
      <c r="BD32" s="2006"/>
      <c r="LM32" s="2007"/>
    </row>
    <row r="33">
      <c r="A33" s="2005">
        <f>IFERROR(__xludf.DUMMYFUNCTION("""COMPUTED_VALUE"""),136782.0)</f>
        <v>136782</v>
      </c>
      <c r="B33" s="2005">
        <f>IFERROR(__xludf.DUMMYFUNCTION("""COMPUTED_VALUE"""),2703040.0)</f>
        <v>2703040</v>
      </c>
      <c r="C33" s="2005" t="str">
        <f>IFERROR(__xludf.DUMMYFUNCTION("""COMPUTED_VALUE"""),"Etiquette")</f>
        <v>Etiquette</v>
      </c>
      <c r="D33" s="2005" t="str">
        <f>IFERROR(__xludf.DUMMYFUNCTION("""COMPUTED_VALUE"""),"DK22205")</f>
        <v>DK22205</v>
      </c>
      <c r="E33" s="2005" t="str">
        <f>IFERROR(__xludf.DUMMYFUNCTION("""COMPUTED_VALUE"""),"BROTHER")</f>
        <v>BROTHER</v>
      </c>
      <c r="F33" s="2005" t="str">
        <f>IFERROR(__xludf.DUMMYFUNCTION("""COMPUTED_VALUE"""),"H")</f>
        <v>H</v>
      </c>
      <c r="G33" s="2005" t="str">
        <f>IFERROR(__xludf.DUMMYFUNCTION("""COMPUTED_VALUE"""),"NN")</f>
        <v>NN</v>
      </c>
      <c r="H33" s="2005">
        <f>IFERROR(__xludf.DUMMYFUNCTION("""COMPUTED_VALUE"""),22.99)</f>
        <v>22.99</v>
      </c>
      <c r="I33" s="2005">
        <f>IFERROR(__xludf.DUMMYFUNCTION("""COMPUTED_VALUE"""),18.89)</f>
        <v>18.89</v>
      </c>
      <c r="BD33" s="2006"/>
      <c r="LM33" s="2007"/>
    </row>
    <row r="34">
      <c r="A34" s="2005">
        <f>IFERROR(__xludf.DUMMYFUNCTION("""COMPUTED_VALUE"""),137017.0)</f>
        <v>137017</v>
      </c>
      <c r="B34" s="2005">
        <f>IFERROR(__xludf.DUMMYFUNCTION("""COMPUTED_VALUE"""),2502015.0)</f>
        <v>2502015</v>
      </c>
      <c r="C34" s="2005" t="str">
        <f>IFERROR(__xludf.DUMMYFUNCTION("""COMPUTED_VALUE"""),"Clavier+Souris")</f>
        <v>Clavier+Souris</v>
      </c>
      <c r="D34" s="2005" t="str">
        <f>IFERROR(__xludf.DUMMYFUNCTION("""COMPUTED_VALUE"""),"MK330")</f>
        <v>MK330</v>
      </c>
      <c r="E34" s="2005" t="str">
        <f>IFERROR(__xludf.DUMMYFUNCTION("""COMPUTED_VALUE"""),"LOGITECH")</f>
        <v>LOGITECH</v>
      </c>
      <c r="F34" s="2005" t="str">
        <f>IFERROR(__xludf.DUMMYFUNCTION("""COMPUTED_VALUE"""),"C")</f>
        <v>C</v>
      </c>
      <c r="G34" s="2005" t="str">
        <f>IFERROR(__xludf.DUMMYFUNCTION("""COMPUTED_VALUE"""),"AC")</f>
        <v>AC</v>
      </c>
      <c r="H34" s="2005">
        <f>IFERROR(__xludf.DUMMYFUNCTION("""COMPUTED_VALUE"""),59.99)</f>
        <v>59.99</v>
      </c>
      <c r="I34" s="2005">
        <f>IFERROR(__xludf.DUMMYFUNCTION("""COMPUTED_VALUE"""),59.99)</f>
        <v>59.99</v>
      </c>
      <c r="BD34" s="2006"/>
      <c r="LM34" s="2007"/>
    </row>
    <row r="35">
      <c r="A35" s="2005">
        <f>IFERROR(__xludf.DUMMYFUNCTION("""COMPUTED_VALUE"""),137582.0)</f>
        <v>137582</v>
      </c>
      <c r="B35" s="2005">
        <f>IFERROR(__xludf.DUMMYFUNCTION("""COMPUTED_VALUE"""),2502515.0)</f>
        <v>2502515</v>
      </c>
      <c r="C35" s="2005" t="str">
        <f>IFERROR(__xludf.DUMMYFUNCTION("""COMPUTED_VALUE"""),"Câble")</f>
        <v>Câble</v>
      </c>
      <c r="D35" s="2005" t="str">
        <f>IFERROR(__xludf.DUMMYFUNCTION("""COMPUTED_VALUE"""),"antivol à code pour notebook")</f>
        <v>antivol à code pour notebook</v>
      </c>
      <c r="E35" s="2005" t="str">
        <f>IFERROR(__xludf.DUMMYFUNCTION("""COMPUTED_VALUE"""),"TNB")</f>
        <v>TNB</v>
      </c>
      <c r="F35" s="2005" t="str">
        <f>IFERROR(__xludf.DUMMYFUNCTION("""COMPUTED_VALUE"""),"B")</f>
        <v>B</v>
      </c>
      <c r="G35" s="2005" t="str">
        <f>IFERROR(__xludf.DUMMYFUNCTION("""COMPUTED_VALUE"""),"NN")</f>
        <v>NN</v>
      </c>
      <c r="H35" s="2005">
        <f>IFERROR(__xludf.DUMMYFUNCTION("""COMPUTED_VALUE"""),19.99)</f>
        <v>19.99</v>
      </c>
      <c r="I35" s="2005">
        <f>IFERROR(__xludf.DUMMYFUNCTION("""COMPUTED_VALUE"""),19.99)</f>
        <v>19.99</v>
      </c>
      <c r="BD35" s="2006"/>
      <c r="LL35" s="2007"/>
      <c r="LM35" s="2007"/>
      <c r="MX35" s="2007"/>
      <c r="ND35" s="2007"/>
    </row>
    <row r="36">
      <c r="A36" s="2005">
        <f>IFERROR(__xludf.DUMMYFUNCTION("""COMPUTED_VALUE"""),139478.0)</f>
        <v>139478</v>
      </c>
      <c r="B36" s="2005">
        <f>IFERROR(__xludf.DUMMYFUNCTION("""COMPUTED_VALUE"""),1103006.0)</f>
        <v>1103006</v>
      </c>
      <c r="C36" s="2005" t="str">
        <f>IFERROR(__xludf.DUMMYFUNCTION("""COMPUTED_VALUE"""),"Tél.")</f>
        <v>Tél.</v>
      </c>
      <c r="D36" s="2005" t="str">
        <f>IFERROR(__xludf.DUMMYFUNCTION("""COMPUTED_VALUE"""),"DA410")</f>
        <v>DA410</v>
      </c>
      <c r="E36" s="2005" t="str">
        <f>IFERROR(__xludf.DUMMYFUNCTION("""COMPUTED_VALUE"""),"GIGASET")</f>
        <v>GIGASET</v>
      </c>
      <c r="F36" s="2005" t="str">
        <f>IFERROR(__xludf.DUMMYFUNCTION("""COMPUTED_VALUE"""),"H")</f>
        <v>H</v>
      </c>
      <c r="G36" s="2005" t="str">
        <f>IFERROR(__xludf.DUMMYFUNCTION("""COMPUTED_VALUE"""),"NN")</f>
        <v>NN</v>
      </c>
      <c r="H36" s="2005">
        <f>IFERROR(__xludf.DUMMYFUNCTION("""COMPUTED_VALUE"""),11.99)</f>
        <v>11.99</v>
      </c>
      <c r="I36" s="2005">
        <f>IFERROR(__xludf.DUMMYFUNCTION("""COMPUTED_VALUE"""),11.99)</f>
        <v>11.99</v>
      </c>
      <c r="BD36" s="2006"/>
      <c r="LL36" s="2007"/>
      <c r="LM36" s="2007"/>
      <c r="MX36" s="2007"/>
      <c r="ND36" s="2007"/>
    </row>
    <row r="37">
      <c r="A37" s="2005">
        <f>IFERROR(__xludf.DUMMYFUNCTION("""COMPUTED_VALUE"""),139609.0)</f>
        <v>139609</v>
      </c>
      <c r="B37" s="2005">
        <f>IFERROR(__xludf.DUMMYFUNCTION("""COMPUTED_VALUE"""),2403005.0)</f>
        <v>2403005</v>
      </c>
      <c r="C37" s="2005" t="str">
        <f>IFERROR(__xludf.DUMMYFUNCTION("""COMPUTED_VALUE"""),"Cartouche")</f>
        <v>Cartouche</v>
      </c>
      <c r="D37" s="2005" t="str">
        <f>IFERROR(__xludf.DUMMYFUNCTION("""COMPUTED_VALUE"""),"T1621 Noire Série Stylo Plume")</f>
        <v>T1621 Noire Série Stylo Plume</v>
      </c>
      <c r="E37" s="2005" t="str">
        <f>IFERROR(__xludf.DUMMYFUNCTION("""COMPUTED_VALUE"""),"EPSON")</f>
        <v>EPSON</v>
      </c>
      <c r="F37" s="2005" t="str">
        <f>IFERROR(__xludf.DUMMYFUNCTION("""COMPUTED_VALUE"""),"C")</f>
        <v>C</v>
      </c>
      <c r="G37" s="2005" t="str">
        <f>IFERROR(__xludf.DUMMYFUNCTION("""COMPUTED_VALUE"""),"AC")</f>
        <v>AC</v>
      </c>
      <c r="H37" s="2005">
        <f>IFERROR(__xludf.DUMMYFUNCTION("""COMPUTED_VALUE"""),16.99)</f>
        <v>16.99</v>
      </c>
      <c r="I37" s="2005">
        <f>IFERROR(__xludf.DUMMYFUNCTION("""COMPUTED_VALUE"""),16.99)</f>
        <v>16.99</v>
      </c>
      <c r="BD37" s="2006"/>
      <c r="LL37" s="2007"/>
      <c r="LM37" s="2007"/>
      <c r="MX37" s="2007"/>
      <c r="ND37" s="2007"/>
    </row>
    <row r="38">
      <c r="A38" s="2005">
        <f>IFERROR(__xludf.DUMMYFUNCTION("""COMPUTED_VALUE"""),139610.0)</f>
        <v>139610</v>
      </c>
      <c r="B38" s="2005">
        <f>IFERROR(__xludf.DUMMYFUNCTION("""COMPUTED_VALUE"""),2403005.0)</f>
        <v>2403005</v>
      </c>
      <c r="C38" s="2005" t="str">
        <f>IFERROR(__xludf.DUMMYFUNCTION("""COMPUTED_VALUE"""),"Cartouche")</f>
        <v>Cartouche</v>
      </c>
      <c r="D38" s="2005" t="str">
        <f>IFERROR(__xludf.DUMMYFUNCTION("""COMPUTED_VALUE"""),"T1622 Cyan Série Stylo Plume")</f>
        <v>T1622 Cyan Série Stylo Plume</v>
      </c>
      <c r="E38" s="2005" t="str">
        <f>IFERROR(__xludf.DUMMYFUNCTION("""COMPUTED_VALUE"""),"EPSON")</f>
        <v>EPSON</v>
      </c>
      <c r="F38" s="2005" t="str">
        <f>IFERROR(__xludf.DUMMYFUNCTION("""COMPUTED_VALUE"""),"C")</f>
        <v>C</v>
      </c>
      <c r="G38" s="2005" t="str">
        <f>IFERROR(__xludf.DUMMYFUNCTION("""COMPUTED_VALUE"""),"AC")</f>
        <v>AC</v>
      </c>
      <c r="H38" s="2005">
        <f>IFERROR(__xludf.DUMMYFUNCTION("""COMPUTED_VALUE"""),12.99)</f>
        <v>12.99</v>
      </c>
      <c r="I38" s="2005">
        <f>IFERROR(__xludf.DUMMYFUNCTION("""COMPUTED_VALUE"""),12.99)</f>
        <v>12.99</v>
      </c>
      <c r="BD38" s="2006"/>
      <c r="LL38" s="2007"/>
      <c r="LM38" s="2007"/>
      <c r="MX38" s="2007"/>
      <c r="ND38" s="2007"/>
    </row>
    <row r="39">
      <c r="A39" s="2005">
        <f>IFERROR(__xludf.DUMMYFUNCTION("""COMPUTED_VALUE"""),139632.0)</f>
        <v>139632</v>
      </c>
      <c r="B39" s="2005">
        <f>IFERROR(__xludf.DUMMYFUNCTION("""COMPUTED_VALUE"""),2403005.0)</f>
        <v>2403005</v>
      </c>
      <c r="C39" s="2005" t="str">
        <f>IFERROR(__xludf.DUMMYFUNCTION("""COMPUTED_VALUE"""),"Cartouche")</f>
        <v>Cartouche</v>
      </c>
      <c r="D39" s="2005" t="str">
        <f>IFERROR(__xludf.DUMMYFUNCTION("""COMPUTED_VALUE"""),"T1623 Magenta Série Stylo Plume")</f>
        <v>T1623 Magenta Série Stylo Plume</v>
      </c>
      <c r="E39" s="2005" t="str">
        <f>IFERROR(__xludf.DUMMYFUNCTION("""COMPUTED_VALUE"""),"EPSON")</f>
        <v>EPSON</v>
      </c>
      <c r="F39" s="2005" t="str">
        <f>IFERROR(__xludf.DUMMYFUNCTION("""COMPUTED_VALUE"""),"E")</f>
        <v>E</v>
      </c>
      <c r="G39" s="2005" t="str">
        <f>IFERROR(__xludf.DUMMYFUNCTION("""COMPUTED_VALUE"""),"AC")</f>
        <v>AC</v>
      </c>
      <c r="H39" s="2005">
        <f>IFERROR(__xludf.DUMMYFUNCTION("""COMPUTED_VALUE"""),12.99)</f>
        <v>12.99</v>
      </c>
      <c r="I39" s="2005">
        <f>IFERROR(__xludf.DUMMYFUNCTION("""COMPUTED_VALUE"""),12.99)</f>
        <v>12.99</v>
      </c>
      <c r="BD39" s="2006"/>
      <c r="LL39" s="2008"/>
      <c r="LM39" s="2007"/>
      <c r="MX39" s="2007"/>
      <c r="ND39" s="2007"/>
    </row>
    <row r="40">
      <c r="A40" s="2005">
        <f>IFERROR(__xludf.DUMMYFUNCTION("""COMPUTED_VALUE"""),139633.0)</f>
        <v>139633</v>
      </c>
      <c r="B40" s="2005">
        <f>IFERROR(__xludf.DUMMYFUNCTION("""COMPUTED_VALUE"""),2403005.0)</f>
        <v>2403005</v>
      </c>
      <c r="C40" s="2005" t="str">
        <f>IFERROR(__xludf.DUMMYFUNCTION("""COMPUTED_VALUE"""),"Cartouche")</f>
        <v>Cartouche</v>
      </c>
      <c r="D40" s="2005" t="str">
        <f>IFERROR(__xludf.DUMMYFUNCTION("""COMPUTED_VALUE"""),"T1624 Jaune Série Stylo Plume")</f>
        <v>T1624 Jaune Série Stylo Plume</v>
      </c>
      <c r="E40" s="2005" t="str">
        <f>IFERROR(__xludf.DUMMYFUNCTION("""COMPUTED_VALUE"""),"EPSON")</f>
        <v>EPSON</v>
      </c>
      <c r="F40" s="2005" t="str">
        <f>IFERROR(__xludf.DUMMYFUNCTION("""COMPUTED_VALUE"""),"H")</f>
        <v>H</v>
      </c>
      <c r="G40" s="2005" t="str">
        <f>IFERROR(__xludf.DUMMYFUNCTION("""COMPUTED_VALUE"""),"AC")</f>
        <v>AC</v>
      </c>
      <c r="H40" s="2005">
        <f>IFERROR(__xludf.DUMMYFUNCTION("""COMPUTED_VALUE"""),12.99)</f>
        <v>12.99</v>
      </c>
      <c r="I40" s="2005">
        <f>IFERROR(__xludf.DUMMYFUNCTION("""COMPUTED_VALUE"""),12.99)</f>
        <v>12.99</v>
      </c>
      <c r="BD40" s="2006"/>
      <c r="LL40" s="2007"/>
      <c r="LM40" s="2007"/>
      <c r="MX40" s="2007"/>
      <c r="ND40" s="2007"/>
    </row>
    <row r="41">
      <c r="A41" s="2005">
        <f>IFERROR(__xludf.DUMMYFUNCTION("""COMPUTED_VALUE"""),139634.0)</f>
        <v>139634</v>
      </c>
      <c r="B41" s="2005">
        <f>IFERROR(__xludf.DUMMYFUNCTION("""COMPUTED_VALUE"""),2403005.0)</f>
        <v>2403005</v>
      </c>
      <c r="C41" s="2005" t="str">
        <f>IFERROR(__xludf.DUMMYFUNCTION("""COMPUTED_VALUE"""),"Pack")</f>
        <v>Pack</v>
      </c>
      <c r="D41" s="2005" t="str">
        <f>IFERROR(__xludf.DUMMYFUNCTION("""COMPUTED_VALUE"""),"T1626 série Stylo plume N CMJ")</f>
        <v>T1626 série Stylo plume N CMJ</v>
      </c>
      <c r="E41" s="2005" t="str">
        <f>IFERROR(__xludf.DUMMYFUNCTION("""COMPUTED_VALUE"""),"EPSON")</f>
        <v>EPSON</v>
      </c>
      <c r="F41" s="2005" t="str">
        <f>IFERROR(__xludf.DUMMYFUNCTION("""COMPUTED_VALUE"""),"A")</f>
        <v>A</v>
      </c>
      <c r="G41" s="2005" t="str">
        <f>IFERROR(__xludf.DUMMYFUNCTION("""COMPUTED_VALUE"""),"AC")</f>
        <v>AC</v>
      </c>
      <c r="H41" s="2005">
        <f>IFERROR(__xludf.DUMMYFUNCTION("""COMPUTED_VALUE"""),53.0)</f>
        <v>53</v>
      </c>
      <c r="I41" s="2005">
        <f>IFERROR(__xludf.DUMMYFUNCTION("""COMPUTED_VALUE"""),53.0)</f>
        <v>53</v>
      </c>
      <c r="BD41" s="2006"/>
      <c r="LL41" s="2007"/>
      <c r="LM41" s="2007"/>
      <c r="MX41" s="2007"/>
      <c r="ND41" s="2007"/>
    </row>
    <row r="42">
      <c r="A42" s="2005">
        <f>IFERROR(__xludf.DUMMYFUNCTION("""COMPUTED_VALUE"""),140717.0)</f>
        <v>140717</v>
      </c>
      <c r="B42" s="2005">
        <f>IFERROR(__xludf.DUMMYFUNCTION("""COMPUTED_VALUE"""),2403005.0)</f>
        <v>2403005</v>
      </c>
      <c r="C42" s="2005" t="str">
        <f>IFERROR(__xludf.DUMMYFUNCTION("""COMPUTED_VALUE"""),"Cartouche")</f>
        <v>Cartouche</v>
      </c>
      <c r="D42" s="2005" t="str">
        <f>IFERROR(__xludf.DUMMYFUNCTION("""COMPUTED_VALUE"""),"H364 Noire Série Pomme")</f>
        <v>H364 Noire Série Pomme</v>
      </c>
      <c r="E42" s="2005" t="str">
        <f>IFERROR(__xludf.DUMMYFUNCTION("""COMPUTED_VALUE"""),"ESSENTIELB")</f>
        <v>ESSENTIELB</v>
      </c>
      <c r="F42" s="2005" t="str">
        <f>IFERROR(__xludf.DUMMYFUNCTION("""COMPUTED_VALUE"""),"B")</f>
        <v>B</v>
      </c>
      <c r="G42" s="2005" t="str">
        <f>IFERROR(__xludf.DUMMYFUNCTION("""COMPUTED_VALUE"""),"NN")</f>
        <v>NN</v>
      </c>
      <c r="H42" s="2005">
        <f>IFERROR(__xludf.DUMMYFUNCTION("""COMPUTED_VALUE"""),9.99)</f>
        <v>9.99</v>
      </c>
      <c r="I42" s="2005">
        <f>IFERROR(__xludf.DUMMYFUNCTION("""COMPUTED_VALUE"""),9.99)</f>
        <v>9.99</v>
      </c>
      <c r="BD42" s="2006"/>
      <c r="LL42" s="2007"/>
      <c r="LM42" s="2007"/>
      <c r="MX42" s="2007"/>
      <c r="ND42" s="2007"/>
    </row>
    <row r="43">
      <c r="A43" s="2005">
        <f>IFERROR(__xludf.DUMMYFUNCTION("""COMPUTED_VALUE"""),140718.0)</f>
        <v>140718</v>
      </c>
      <c r="B43" s="2005">
        <f>IFERROR(__xludf.DUMMYFUNCTION("""COMPUTED_VALUE"""),2403005.0)</f>
        <v>2403005</v>
      </c>
      <c r="C43" s="2005" t="str">
        <f>IFERROR(__xludf.DUMMYFUNCTION("""COMPUTED_VALUE"""),"Cartouche")</f>
        <v>Cartouche</v>
      </c>
      <c r="D43" s="2005" t="str">
        <f>IFERROR(__xludf.DUMMYFUNCTION("""COMPUTED_VALUE"""),"H364 Cyan Série Pomme")</f>
        <v>H364 Cyan Série Pomme</v>
      </c>
      <c r="E43" s="2005" t="str">
        <f>IFERROR(__xludf.DUMMYFUNCTION("""COMPUTED_VALUE"""),"ESSENTIELB")</f>
        <v>ESSENTIELB</v>
      </c>
      <c r="F43" s="2005" t="str">
        <f>IFERROR(__xludf.DUMMYFUNCTION("""COMPUTED_VALUE"""),"B")</f>
        <v>B</v>
      </c>
      <c r="G43" s="2005" t="str">
        <f>IFERROR(__xludf.DUMMYFUNCTION("""COMPUTED_VALUE"""),"NN")</f>
        <v>NN</v>
      </c>
      <c r="H43" s="2005">
        <f>IFERROR(__xludf.DUMMYFUNCTION("""COMPUTED_VALUE"""),7.99)</f>
        <v>7.99</v>
      </c>
      <c r="I43" s="2005">
        <f>IFERROR(__xludf.DUMMYFUNCTION("""COMPUTED_VALUE"""),7.99)</f>
        <v>7.99</v>
      </c>
      <c r="BD43" s="2006"/>
      <c r="LL43" s="2007"/>
      <c r="LM43" s="2007"/>
      <c r="MX43" s="2007"/>
      <c r="ND43" s="2008"/>
    </row>
    <row r="44">
      <c r="A44" s="2005">
        <f>IFERROR(__xludf.DUMMYFUNCTION("""COMPUTED_VALUE"""),140719.0)</f>
        <v>140719</v>
      </c>
      <c r="B44" s="2005">
        <f>IFERROR(__xludf.DUMMYFUNCTION("""COMPUTED_VALUE"""),2403005.0)</f>
        <v>2403005</v>
      </c>
      <c r="C44" s="2005" t="str">
        <f>IFERROR(__xludf.DUMMYFUNCTION("""COMPUTED_VALUE"""),"Cartouche")</f>
        <v>Cartouche</v>
      </c>
      <c r="D44" s="2005" t="str">
        <f>IFERROR(__xludf.DUMMYFUNCTION("""COMPUTED_VALUE"""),"H364 Magenta Série Pomme")</f>
        <v>H364 Magenta Série Pomme</v>
      </c>
      <c r="E44" s="2005" t="str">
        <f>IFERROR(__xludf.DUMMYFUNCTION("""COMPUTED_VALUE"""),"ESSENTIELB")</f>
        <v>ESSENTIELB</v>
      </c>
      <c r="F44" s="2005" t="str">
        <f>IFERROR(__xludf.DUMMYFUNCTION("""COMPUTED_VALUE"""),"B")</f>
        <v>B</v>
      </c>
      <c r="G44" s="2005" t="str">
        <f>IFERROR(__xludf.DUMMYFUNCTION("""COMPUTED_VALUE"""),"NN")</f>
        <v>NN</v>
      </c>
      <c r="H44" s="2005">
        <f>IFERROR(__xludf.DUMMYFUNCTION("""COMPUTED_VALUE"""),7.99)</f>
        <v>7.99</v>
      </c>
      <c r="I44" s="2005">
        <f>IFERROR(__xludf.DUMMYFUNCTION("""COMPUTED_VALUE"""),7.99)</f>
        <v>7.99</v>
      </c>
      <c r="BD44" s="2006"/>
      <c r="LL44" s="2008"/>
      <c r="LM44" s="2007"/>
      <c r="MX44" s="2008"/>
      <c r="ND44" s="2008"/>
    </row>
    <row r="45">
      <c r="A45" s="2005">
        <f>IFERROR(__xludf.DUMMYFUNCTION("""COMPUTED_VALUE"""),140720.0)</f>
        <v>140720</v>
      </c>
      <c r="B45" s="2005">
        <f>IFERROR(__xludf.DUMMYFUNCTION("""COMPUTED_VALUE"""),2403005.0)</f>
        <v>2403005</v>
      </c>
      <c r="C45" s="2005" t="str">
        <f>IFERROR(__xludf.DUMMYFUNCTION("""COMPUTED_VALUE"""),"Cartouche")</f>
        <v>Cartouche</v>
      </c>
      <c r="D45" s="2005" t="str">
        <f>IFERROR(__xludf.DUMMYFUNCTION("""COMPUTED_VALUE"""),"H364 Jaune Série Pomme")</f>
        <v>H364 Jaune Série Pomme</v>
      </c>
      <c r="E45" s="2005" t="str">
        <f>IFERROR(__xludf.DUMMYFUNCTION("""COMPUTED_VALUE"""),"ESSENTIELB")</f>
        <v>ESSENTIELB</v>
      </c>
      <c r="F45" s="2005" t="str">
        <f>IFERROR(__xludf.DUMMYFUNCTION("""COMPUTED_VALUE"""),"B")</f>
        <v>B</v>
      </c>
      <c r="G45" s="2005" t="str">
        <f>IFERROR(__xludf.DUMMYFUNCTION("""COMPUTED_VALUE"""),"NN")</f>
        <v>NN</v>
      </c>
      <c r="H45" s="2005">
        <f>IFERROR(__xludf.DUMMYFUNCTION("""COMPUTED_VALUE"""),7.99)</f>
        <v>7.99</v>
      </c>
      <c r="I45" s="2005">
        <f>IFERROR(__xludf.DUMMYFUNCTION("""COMPUTED_VALUE"""),7.99)</f>
        <v>7.99</v>
      </c>
      <c r="BD45" s="2006"/>
      <c r="LM45" s="2007"/>
    </row>
    <row r="46">
      <c r="A46" s="2005">
        <f>IFERROR(__xludf.DUMMYFUNCTION("""COMPUTED_VALUE"""),140721.0)</f>
        <v>140721</v>
      </c>
      <c r="B46" s="2005">
        <f>IFERROR(__xludf.DUMMYFUNCTION("""COMPUTED_VALUE"""),2403005.0)</f>
        <v>2403005</v>
      </c>
      <c r="C46" s="2005" t="str">
        <f>IFERROR(__xludf.DUMMYFUNCTION("""COMPUTED_VALUE"""),"Cartouche")</f>
        <v>Cartouche</v>
      </c>
      <c r="D46" s="2005" t="str">
        <f>IFERROR(__xludf.DUMMYFUNCTION("""COMPUTED_VALUE"""),"H364 Noir Photo Série Pomme")</f>
        <v>H364 Noir Photo Série Pomme</v>
      </c>
      <c r="E46" s="2005" t="str">
        <f>IFERROR(__xludf.DUMMYFUNCTION("""COMPUTED_VALUE"""),"ESSENTIELB")</f>
        <v>ESSENTIELB</v>
      </c>
      <c r="F46" s="2005" t="str">
        <f>IFERROR(__xludf.DUMMYFUNCTION("""COMPUTED_VALUE"""),"B")</f>
        <v>B</v>
      </c>
      <c r="G46" s="2005" t="str">
        <f>IFERROR(__xludf.DUMMYFUNCTION("""COMPUTED_VALUE"""),"NN")</f>
        <v>NN</v>
      </c>
      <c r="H46" s="2005">
        <f>IFERROR(__xludf.DUMMYFUNCTION("""COMPUTED_VALUE"""),8.99)</f>
        <v>8.99</v>
      </c>
      <c r="I46" s="2005">
        <f>IFERROR(__xludf.DUMMYFUNCTION("""COMPUTED_VALUE"""),8.99)</f>
        <v>8.99</v>
      </c>
      <c r="BD46" s="2006"/>
      <c r="LL46" s="2008"/>
      <c r="LM46" s="2007"/>
      <c r="MX46" s="2007"/>
      <c r="ND46" s="2008"/>
    </row>
    <row r="47">
      <c r="A47" s="2005">
        <f>IFERROR(__xludf.DUMMYFUNCTION("""COMPUTED_VALUE"""),140882.0)</f>
        <v>140882</v>
      </c>
      <c r="B47" s="2005">
        <f>IFERROR(__xludf.DUMMYFUNCTION("""COMPUTED_VALUE"""),2403005.0)</f>
        <v>2403005</v>
      </c>
      <c r="C47" s="2005" t="str">
        <f>IFERROR(__xludf.DUMMYFUNCTION("""COMPUTED_VALUE"""),"MultiPack")</f>
        <v>MultiPack</v>
      </c>
      <c r="D47" s="2005" t="str">
        <f>IFERROR(__xludf.DUMMYFUNCTION("""COMPUTED_VALUE"""),"H364  Noir + couleurs Série Pomme")</f>
        <v>H364  Noir + couleurs Série Pomme</v>
      </c>
      <c r="E47" s="2005" t="str">
        <f>IFERROR(__xludf.DUMMYFUNCTION("""COMPUTED_VALUE"""),"ESSENTIELB")</f>
        <v>ESSENTIELB</v>
      </c>
      <c r="F47" s="2005" t="str">
        <f>IFERROR(__xludf.DUMMYFUNCTION("""COMPUTED_VALUE"""),"A")</f>
        <v>A</v>
      </c>
      <c r="G47" s="2005" t="str">
        <f>IFERROR(__xludf.DUMMYFUNCTION("""COMPUTED_VALUE"""),"NN")</f>
        <v>NN</v>
      </c>
      <c r="H47" s="2005">
        <f>IFERROR(__xludf.DUMMYFUNCTION("""COMPUTED_VALUE"""),29.99)</f>
        <v>29.99</v>
      </c>
      <c r="I47" s="2005">
        <f>IFERROR(__xludf.DUMMYFUNCTION("""COMPUTED_VALUE"""),29.99)</f>
        <v>29.99</v>
      </c>
      <c r="BD47" s="2006"/>
      <c r="LL47" s="2007"/>
      <c r="LM47" s="2007"/>
      <c r="MX47" s="2007"/>
      <c r="ND47" s="2007"/>
    </row>
    <row r="48">
      <c r="A48" s="2005">
        <f>IFERROR(__xludf.DUMMYFUNCTION("""COMPUTED_VALUE"""),140884.0)</f>
        <v>140884</v>
      </c>
      <c r="B48" s="2005">
        <f>IFERROR(__xludf.DUMMYFUNCTION("""COMPUTED_VALUE"""),2403005.0)</f>
        <v>2403005</v>
      </c>
      <c r="C48" s="2005" t="str">
        <f>IFERROR(__xludf.DUMMYFUNCTION("""COMPUTED_VALUE"""),"Cartouche")</f>
        <v>Cartouche</v>
      </c>
      <c r="D48" s="2005" t="str">
        <f>IFERROR(__xludf.DUMMYFUNCTION("""COMPUTED_VALUE"""),"H364XL Cyan Série Pomme")</f>
        <v>H364XL Cyan Série Pomme</v>
      </c>
      <c r="E48" s="2005" t="str">
        <f>IFERROR(__xludf.DUMMYFUNCTION("""COMPUTED_VALUE"""),"ESSENTIELB")</f>
        <v>ESSENTIELB</v>
      </c>
      <c r="F48" s="2005" t="str">
        <f>IFERROR(__xludf.DUMMYFUNCTION("""COMPUTED_VALUE"""),"B")</f>
        <v>B</v>
      </c>
      <c r="G48" s="2005" t="str">
        <f>IFERROR(__xludf.DUMMYFUNCTION("""COMPUTED_VALUE"""),"NN")</f>
        <v>NN</v>
      </c>
      <c r="H48" s="2005">
        <f>IFERROR(__xludf.DUMMYFUNCTION("""COMPUTED_VALUE"""),12.99)</f>
        <v>12.99</v>
      </c>
      <c r="I48" s="2005">
        <f>IFERROR(__xludf.DUMMYFUNCTION("""COMPUTED_VALUE"""),12.99)</f>
        <v>12.99</v>
      </c>
      <c r="BD48" s="2006"/>
      <c r="LL48" s="2008"/>
      <c r="LM48" s="2007"/>
      <c r="MX48" s="2007"/>
      <c r="ND48" s="2007"/>
    </row>
    <row r="49">
      <c r="A49" s="2005">
        <f>IFERROR(__xludf.DUMMYFUNCTION("""COMPUTED_VALUE"""),140885.0)</f>
        <v>140885</v>
      </c>
      <c r="B49" s="2005">
        <f>IFERROR(__xludf.DUMMYFUNCTION("""COMPUTED_VALUE"""),2403005.0)</f>
        <v>2403005</v>
      </c>
      <c r="C49" s="2005" t="str">
        <f>IFERROR(__xludf.DUMMYFUNCTION("""COMPUTED_VALUE"""),"Cartouche")</f>
        <v>Cartouche</v>
      </c>
      <c r="D49" s="2005" t="str">
        <f>IFERROR(__xludf.DUMMYFUNCTION("""COMPUTED_VALUE"""),"H364XL Magenta Série Pomme")</f>
        <v>H364XL Magenta Série Pomme</v>
      </c>
      <c r="E49" s="2005" t="str">
        <f>IFERROR(__xludf.DUMMYFUNCTION("""COMPUTED_VALUE"""),"ESSENTIELB")</f>
        <v>ESSENTIELB</v>
      </c>
      <c r="F49" s="2005" t="str">
        <f>IFERROR(__xludf.DUMMYFUNCTION("""COMPUTED_VALUE"""),"B")</f>
        <v>B</v>
      </c>
      <c r="G49" s="2005" t="str">
        <f>IFERROR(__xludf.DUMMYFUNCTION("""COMPUTED_VALUE"""),"NN")</f>
        <v>NN</v>
      </c>
      <c r="H49" s="2005">
        <f>IFERROR(__xludf.DUMMYFUNCTION("""COMPUTED_VALUE"""),12.99)</f>
        <v>12.99</v>
      </c>
      <c r="I49" s="2005">
        <f>IFERROR(__xludf.DUMMYFUNCTION("""COMPUTED_VALUE"""),12.99)</f>
        <v>12.99</v>
      </c>
      <c r="BD49" s="2006"/>
      <c r="LL49" s="2008"/>
      <c r="LM49" s="2007"/>
      <c r="MX49" s="2007"/>
      <c r="ND49" s="2007"/>
    </row>
    <row r="50">
      <c r="A50" s="2005">
        <f>IFERROR(__xludf.DUMMYFUNCTION("""COMPUTED_VALUE"""),140886.0)</f>
        <v>140886</v>
      </c>
      <c r="B50" s="2005">
        <f>IFERROR(__xludf.DUMMYFUNCTION("""COMPUTED_VALUE"""),2403005.0)</f>
        <v>2403005</v>
      </c>
      <c r="C50" s="2005" t="str">
        <f>IFERROR(__xludf.DUMMYFUNCTION("""COMPUTED_VALUE"""),"Cartouche")</f>
        <v>Cartouche</v>
      </c>
      <c r="D50" s="2005" t="str">
        <f>IFERROR(__xludf.DUMMYFUNCTION("""COMPUTED_VALUE"""),"H364XL Jaune Série Pomme")</f>
        <v>H364XL Jaune Série Pomme</v>
      </c>
      <c r="E50" s="2005" t="str">
        <f>IFERROR(__xludf.DUMMYFUNCTION("""COMPUTED_VALUE"""),"ESSENTIELB")</f>
        <v>ESSENTIELB</v>
      </c>
      <c r="F50" s="2005" t="str">
        <f>IFERROR(__xludf.DUMMYFUNCTION("""COMPUTED_VALUE"""),"B")</f>
        <v>B</v>
      </c>
      <c r="G50" s="2005" t="str">
        <f>IFERROR(__xludf.DUMMYFUNCTION("""COMPUTED_VALUE"""),"NN")</f>
        <v>NN</v>
      </c>
      <c r="H50" s="2005">
        <f>IFERROR(__xludf.DUMMYFUNCTION("""COMPUTED_VALUE"""),12.99)</f>
        <v>12.99</v>
      </c>
      <c r="I50" s="2005">
        <f>IFERROR(__xludf.DUMMYFUNCTION("""COMPUTED_VALUE"""),12.99)</f>
        <v>12.99</v>
      </c>
      <c r="BD50" s="2006"/>
      <c r="LL50" s="2007"/>
      <c r="LM50" s="2007"/>
      <c r="MX50" s="2007"/>
      <c r="ND50" s="2007"/>
    </row>
    <row r="51">
      <c r="A51" s="2005">
        <f>IFERROR(__xludf.DUMMYFUNCTION("""COMPUTED_VALUE"""),141074.0)</f>
        <v>141074</v>
      </c>
      <c r="B51" s="2005">
        <f>IFERROR(__xludf.DUMMYFUNCTION("""COMPUTED_VALUE"""),2403005.0)</f>
        <v>2403005</v>
      </c>
      <c r="C51" s="2005" t="str">
        <f>IFERROR(__xludf.DUMMYFUNCTION("""COMPUTED_VALUE"""),"Cartouche")</f>
        <v>Cartouche</v>
      </c>
      <c r="D51" s="2005" t="str">
        <f>IFERROR(__xludf.DUMMYFUNCTION("""COMPUTED_VALUE"""),"T2421 Noire Série Eléphant")</f>
        <v>T2421 Noire Série Eléphant</v>
      </c>
      <c r="E51" s="2005" t="str">
        <f>IFERROR(__xludf.DUMMYFUNCTION("""COMPUTED_VALUE"""),"EPSON")</f>
        <v>EPSON</v>
      </c>
      <c r="F51" s="2005" t="str">
        <f>IFERROR(__xludf.DUMMYFUNCTION("""COMPUTED_VALUE"""),"D")</f>
        <v>D</v>
      </c>
      <c r="G51" s="2005" t="str">
        <f>IFERROR(__xludf.DUMMYFUNCTION("""COMPUTED_VALUE"""),"AC")</f>
        <v>AC</v>
      </c>
      <c r="H51" s="2005">
        <f>IFERROR(__xludf.DUMMYFUNCTION("""COMPUTED_VALUE"""),13.99)</f>
        <v>13.99</v>
      </c>
      <c r="I51" s="2005">
        <f>IFERROR(__xludf.DUMMYFUNCTION("""COMPUTED_VALUE"""),13.99)</f>
        <v>13.99</v>
      </c>
      <c r="BD51" s="2006"/>
      <c r="LL51" s="2007"/>
      <c r="LM51" s="2007"/>
      <c r="MX51" s="2007"/>
      <c r="ND51" s="2007"/>
    </row>
    <row r="52">
      <c r="A52" s="2005">
        <f>IFERROR(__xludf.DUMMYFUNCTION("""COMPUTED_VALUE"""),141320.0)</f>
        <v>141320</v>
      </c>
      <c r="B52" s="2005">
        <f>IFERROR(__xludf.DUMMYFUNCTION("""COMPUTED_VALUE"""),2703040.0)</f>
        <v>2703040</v>
      </c>
      <c r="C52" s="2005" t="str">
        <f>IFERROR(__xludf.DUMMYFUNCTION("""COMPUTED_VALUE"""),"Etiquette")</f>
        <v>Etiquette</v>
      </c>
      <c r="D52" s="2005" t="str">
        <f>IFERROR(__xludf.DUMMYFUNCTION("""COMPUTED_VALUE"""),"TZe241 Noir/Blanc")</f>
        <v>TZe241 Noir/Blanc</v>
      </c>
      <c r="E52" s="2005" t="str">
        <f>IFERROR(__xludf.DUMMYFUNCTION("""COMPUTED_VALUE"""),"BROTHER")</f>
        <v>BROTHER</v>
      </c>
      <c r="F52" s="2005" t="str">
        <f>IFERROR(__xludf.DUMMYFUNCTION("""COMPUTED_VALUE"""),"H")</f>
        <v>H</v>
      </c>
      <c r="G52" s="2005" t="str">
        <f>IFERROR(__xludf.DUMMYFUNCTION("""COMPUTED_VALUE"""),"NN")</f>
        <v>NN</v>
      </c>
      <c r="H52" s="2005">
        <f>IFERROR(__xludf.DUMMYFUNCTION("""COMPUTED_VALUE"""),14.99)</f>
        <v>14.99</v>
      </c>
      <c r="I52" s="2005">
        <f>IFERROR(__xludf.DUMMYFUNCTION("""COMPUTED_VALUE"""),14.99)</f>
        <v>14.99</v>
      </c>
      <c r="BD52" s="2006"/>
      <c r="LM52" s="2007"/>
    </row>
    <row r="53">
      <c r="A53" s="2005">
        <f>IFERROR(__xludf.DUMMYFUNCTION("""COMPUTED_VALUE"""),141321.0)</f>
        <v>141321</v>
      </c>
      <c r="B53" s="2005">
        <f>IFERROR(__xludf.DUMMYFUNCTION("""COMPUTED_VALUE"""),2703040.0)</f>
        <v>2703040</v>
      </c>
      <c r="C53" s="2005" t="str">
        <f>IFERROR(__xludf.DUMMYFUNCTION("""COMPUTED_VALUE"""),"Etiquette")</f>
        <v>Etiquette</v>
      </c>
      <c r="D53" s="2005" t="str">
        <f>IFERROR(__xludf.DUMMYFUNCTION("""COMPUTED_VALUE"""),"TZeFX231 12mm Noir/Blanc")</f>
        <v>TZeFX231 12mm Noir/Blanc</v>
      </c>
      <c r="E53" s="2005" t="str">
        <f>IFERROR(__xludf.DUMMYFUNCTION("""COMPUTED_VALUE"""),"BROTHER")</f>
        <v>BROTHER</v>
      </c>
      <c r="F53" s="2005" t="str">
        <f>IFERROR(__xludf.DUMMYFUNCTION("""COMPUTED_VALUE"""),"H")</f>
        <v>H</v>
      </c>
      <c r="G53" s="2005" t="str">
        <f>IFERROR(__xludf.DUMMYFUNCTION("""COMPUTED_VALUE"""),"NN")</f>
        <v>NN</v>
      </c>
      <c r="H53" s="2005">
        <f>IFERROR(__xludf.DUMMYFUNCTION("""COMPUTED_VALUE"""),20.99)</f>
        <v>20.99</v>
      </c>
      <c r="I53" s="2005">
        <f>IFERROR(__xludf.DUMMYFUNCTION("""COMPUTED_VALUE"""),20.99)</f>
        <v>20.99</v>
      </c>
      <c r="BD53" s="2006"/>
      <c r="LM53" s="2007"/>
    </row>
    <row r="54">
      <c r="A54" s="2005">
        <f>IFERROR(__xludf.DUMMYFUNCTION("""COMPUTED_VALUE"""),141509.0)</f>
        <v>141509</v>
      </c>
      <c r="B54" s="2005">
        <f>IFERROR(__xludf.DUMMYFUNCTION("""COMPUTED_VALUE"""),2703040.0)</f>
        <v>2703040</v>
      </c>
      <c r="C54" s="2005" t="str">
        <f>IFERROR(__xludf.DUMMYFUNCTION("""COMPUTED_VALUE"""),"Etiquette")</f>
        <v>Etiquette</v>
      </c>
      <c r="D54" s="2005" t="str">
        <f>IFERROR(__xludf.DUMMYFUNCTION("""COMPUTED_VALUE"""),"TZe335 12mm Blanc/Noir")</f>
        <v>TZe335 12mm Blanc/Noir</v>
      </c>
      <c r="E54" s="2005" t="str">
        <f>IFERROR(__xludf.DUMMYFUNCTION("""COMPUTED_VALUE"""),"BROTHER")</f>
        <v>BROTHER</v>
      </c>
      <c r="F54" s="2005" t="str">
        <f>IFERROR(__xludf.DUMMYFUNCTION("""COMPUTED_VALUE"""),"H")</f>
        <v>H</v>
      </c>
      <c r="G54" s="2005" t="str">
        <f>IFERROR(__xludf.DUMMYFUNCTION("""COMPUTED_VALUE"""),"NN")</f>
        <v>NN</v>
      </c>
      <c r="H54" s="2005">
        <f>IFERROR(__xludf.DUMMYFUNCTION("""COMPUTED_VALUE"""),14.99)</f>
        <v>14.99</v>
      </c>
      <c r="I54" s="2005">
        <f>IFERROR(__xludf.DUMMYFUNCTION("""COMPUTED_VALUE"""),14.99)</f>
        <v>14.99</v>
      </c>
      <c r="BD54" s="2006"/>
      <c r="LM54" s="2007"/>
    </row>
    <row r="55">
      <c r="A55" s="2005">
        <f>IFERROR(__xludf.DUMMYFUNCTION("""COMPUTED_VALUE"""),141576.0)</f>
        <v>141576</v>
      </c>
      <c r="B55" s="2005">
        <f>IFERROR(__xludf.DUMMYFUNCTION("""COMPUTED_VALUE"""),2403005.0)</f>
        <v>2403005</v>
      </c>
      <c r="C55" s="2005" t="str">
        <f>IFERROR(__xludf.DUMMYFUNCTION("""COMPUTED_VALUE"""),"Cartouche")</f>
        <v>Cartouche</v>
      </c>
      <c r="D55" s="2005" t="str">
        <f>IFERROR(__xludf.DUMMYFUNCTION("""COMPUTED_VALUE"""),"T2422 Cyan Série Eléphant")</f>
        <v>T2422 Cyan Série Eléphant</v>
      </c>
      <c r="E55" s="2005" t="str">
        <f>IFERROR(__xludf.DUMMYFUNCTION("""COMPUTED_VALUE"""),"EPSON")</f>
        <v>EPSON</v>
      </c>
      <c r="F55" s="2005" t="str">
        <f>IFERROR(__xludf.DUMMYFUNCTION("""COMPUTED_VALUE"""),"H")</f>
        <v>H</v>
      </c>
      <c r="G55" s="2005" t="str">
        <f>IFERROR(__xludf.DUMMYFUNCTION("""COMPUTED_VALUE"""),"NN")</f>
        <v>NN</v>
      </c>
      <c r="H55" s="2005">
        <f>IFERROR(__xludf.DUMMYFUNCTION("""COMPUTED_VALUE"""),13.99)</f>
        <v>13.99</v>
      </c>
      <c r="I55" s="2005">
        <f>IFERROR(__xludf.DUMMYFUNCTION("""COMPUTED_VALUE"""),13.99)</f>
        <v>13.99</v>
      </c>
      <c r="BD55" s="2006"/>
      <c r="LM55" s="2008"/>
    </row>
    <row r="56">
      <c r="A56" s="2005">
        <f>IFERROR(__xludf.DUMMYFUNCTION("""COMPUTED_VALUE"""),141577.0)</f>
        <v>141577</v>
      </c>
      <c r="B56" s="2005">
        <f>IFERROR(__xludf.DUMMYFUNCTION("""COMPUTED_VALUE"""),2403005.0)</f>
        <v>2403005</v>
      </c>
      <c r="C56" s="2005" t="str">
        <f>IFERROR(__xludf.DUMMYFUNCTION("""COMPUTED_VALUE"""),"Cartouche")</f>
        <v>Cartouche</v>
      </c>
      <c r="D56" s="2005" t="str">
        <f>IFERROR(__xludf.DUMMYFUNCTION("""COMPUTED_VALUE"""),"T2423 Magenta Série Eléphant")</f>
        <v>T2423 Magenta Série Eléphant</v>
      </c>
      <c r="E56" s="2005" t="str">
        <f>IFERROR(__xludf.DUMMYFUNCTION("""COMPUTED_VALUE"""),"EPSON")</f>
        <v>EPSON</v>
      </c>
      <c r="F56" s="2005" t="str">
        <f>IFERROR(__xludf.DUMMYFUNCTION("""COMPUTED_VALUE"""),"H")</f>
        <v>H</v>
      </c>
      <c r="G56" s="2005" t="str">
        <f>IFERROR(__xludf.DUMMYFUNCTION("""COMPUTED_VALUE"""),"AC")</f>
        <v>AC</v>
      </c>
      <c r="H56" s="2005">
        <f>IFERROR(__xludf.DUMMYFUNCTION("""COMPUTED_VALUE"""),13.99)</f>
        <v>13.99</v>
      </c>
      <c r="I56" s="2005">
        <f>IFERROR(__xludf.DUMMYFUNCTION("""COMPUTED_VALUE"""),13.99)</f>
        <v>13.99</v>
      </c>
      <c r="BD56" s="2006"/>
      <c r="LM56" s="2008"/>
      <c r="MX56" s="2007"/>
      <c r="ND56" s="2007"/>
    </row>
    <row r="57">
      <c r="A57" s="2005">
        <f>IFERROR(__xludf.DUMMYFUNCTION("""COMPUTED_VALUE"""),141578.0)</f>
        <v>141578</v>
      </c>
      <c r="B57" s="2005">
        <f>IFERROR(__xludf.DUMMYFUNCTION("""COMPUTED_VALUE"""),2403005.0)</f>
        <v>2403005</v>
      </c>
      <c r="C57" s="2005" t="str">
        <f>IFERROR(__xludf.DUMMYFUNCTION("""COMPUTED_VALUE"""),"Cartouche")</f>
        <v>Cartouche</v>
      </c>
      <c r="D57" s="2005" t="str">
        <f>IFERROR(__xludf.DUMMYFUNCTION("""COMPUTED_VALUE"""),"T2424 Jaune Série Eléphant")</f>
        <v>T2424 Jaune Série Eléphant</v>
      </c>
      <c r="E57" s="2005" t="str">
        <f>IFERROR(__xludf.DUMMYFUNCTION("""COMPUTED_VALUE"""),"EPSON")</f>
        <v>EPSON</v>
      </c>
      <c r="F57" s="2005" t="str">
        <f>IFERROR(__xludf.DUMMYFUNCTION("""COMPUTED_VALUE"""),"H")</f>
        <v>H</v>
      </c>
      <c r="G57" s="2005" t="str">
        <f>IFERROR(__xludf.DUMMYFUNCTION("""COMPUTED_VALUE"""),"NN")</f>
        <v>NN</v>
      </c>
      <c r="H57" s="2005">
        <f>IFERROR(__xludf.DUMMYFUNCTION("""COMPUTED_VALUE"""),13.99)</f>
        <v>13.99</v>
      </c>
      <c r="I57" s="2005">
        <f>IFERROR(__xludf.DUMMYFUNCTION("""COMPUTED_VALUE"""),13.99)</f>
        <v>13.99</v>
      </c>
      <c r="BD57" s="2006"/>
      <c r="LM57" s="2008"/>
      <c r="MX57" s="2007"/>
      <c r="ND57" s="2007"/>
    </row>
    <row r="58">
      <c r="A58" s="2005">
        <f>IFERROR(__xludf.DUMMYFUNCTION("""COMPUTED_VALUE"""),141579.0)</f>
        <v>141579</v>
      </c>
      <c r="B58" s="2005">
        <f>IFERROR(__xludf.DUMMYFUNCTION("""COMPUTED_VALUE"""),2403005.0)</f>
        <v>2403005</v>
      </c>
      <c r="C58" s="2005" t="str">
        <f>IFERROR(__xludf.DUMMYFUNCTION("""COMPUTED_VALUE"""),"Cartouche")</f>
        <v>Cartouche</v>
      </c>
      <c r="D58" s="2005" t="str">
        <f>IFERROR(__xludf.DUMMYFUNCTION("""COMPUTED_VALUE"""),"T2425 Cyan Clair Série Eléphant")</f>
        <v>T2425 Cyan Clair Série Eléphant</v>
      </c>
      <c r="E58" s="2005" t="str">
        <f>IFERROR(__xludf.DUMMYFUNCTION("""COMPUTED_VALUE"""),"EPSON")</f>
        <v>EPSON</v>
      </c>
      <c r="F58" s="2005" t="str">
        <f>IFERROR(__xludf.DUMMYFUNCTION("""COMPUTED_VALUE"""),"H")</f>
        <v>H</v>
      </c>
      <c r="G58" s="2005" t="str">
        <f>IFERROR(__xludf.DUMMYFUNCTION("""COMPUTED_VALUE"""),"AC")</f>
        <v>AC</v>
      </c>
      <c r="H58" s="2005">
        <f>IFERROR(__xludf.DUMMYFUNCTION("""COMPUTED_VALUE"""),13.99)</f>
        <v>13.99</v>
      </c>
      <c r="I58" s="2005">
        <f>IFERROR(__xludf.DUMMYFUNCTION("""COMPUTED_VALUE"""),13.99)</f>
        <v>13.99</v>
      </c>
      <c r="BD58" s="2006"/>
      <c r="LM58" s="2008"/>
      <c r="MX58" s="2007"/>
      <c r="ND58" s="2007"/>
    </row>
    <row r="59">
      <c r="A59" s="2005">
        <f>IFERROR(__xludf.DUMMYFUNCTION("""COMPUTED_VALUE"""),141580.0)</f>
        <v>141580</v>
      </c>
      <c r="B59" s="2005">
        <f>IFERROR(__xludf.DUMMYFUNCTION("""COMPUTED_VALUE"""),2403005.0)</f>
        <v>2403005</v>
      </c>
      <c r="C59" s="2005" t="str">
        <f>IFERROR(__xludf.DUMMYFUNCTION("""COMPUTED_VALUE"""),"Cartouche")</f>
        <v>Cartouche</v>
      </c>
      <c r="D59" s="2005" t="str">
        <f>IFERROR(__xludf.DUMMYFUNCTION("""COMPUTED_VALUE"""),"T2426 Magenta Clair Série Eléphant")</f>
        <v>T2426 Magenta Clair Série Eléphant</v>
      </c>
      <c r="E59" s="2005" t="str">
        <f>IFERROR(__xludf.DUMMYFUNCTION("""COMPUTED_VALUE"""),"EPSON")</f>
        <v>EPSON</v>
      </c>
      <c r="F59" s="2005" t="str">
        <f>IFERROR(__xludf.DUMMYFUNCTION("""COMPUTED_VALUE"""),"H")</f>
        <v>H</v>
      </c>
      <c r="G59" s="2005" t="str">
        <f>IFERROR(__xludf.DUMMYFUNCTION("""COMPUTED_VALUE"""),"FR")</f>
        <v>FR</v>
      </c>
      <c r="H59" s="2005">
        <f>IFERROR(__xludf.DUMMYFUNCTION("""COMPUTED_VALUE"""),13.99)</f>
        <v>13.99</v>
      </c>
      <c r="I59" s="2005">
        <f>IFERROR(__xludf.DUMMYFUNCTION("""COMPUTED_VALUE"""),13.99)</f>
        <v>13.99</v>
      </c>
      <c r="BD59" s="2006"/>
      <c r="LM59" s="2008"/>
      <c r="MX59" s="2007"/>
      <c r="ND59" s="2007"/>
    </row>
    <row r="60">
      <c r="A60" s="2005">
        <f>IFERROR(__xludf.DUMMYFUNCTION("""COMPUTED_VALUE"""),141581.0)</f>
        <v>141581</v>
      </c>
      <c r="B60" s="2005">
        <f>IFERROR(__xludf.DUMMYFUNCTION("""COMPUTED_VALUE"""),2403005.0)</f>
        <v>2403005</v>
      </c>
      <c r="C60" s="2005" t="str">
        <f>IFERROR(__xludf.DUMMYFUNCTION("""COMPUTED_VALUE"""),"Pack")</f>
        <v>Pack</v>
      </c>
      <c r="D60" s="2005" t="str">
        <f>IFERROR(__xludf.DUMMYFUNCTION("""COMPUTED_VALUE"""),"T2428 N/C/M/J/CC/MC Série Eléphant")</f>
        <v>T2428 N/C/M/J/CC/MC Série Eléphant</v>
      </c>
      <c r="E60" s="2005" t="str">
        <f>IFERROR(__xludf.DUMMYFUNCTION("""COMPUTED_VALUE"""),"EPSON")</f>
        <v>EPSON</v>
      </c>
      <c r="F60" s="2005" t="str">
        <f>IFERROR(__xludf.DUMMYFUNCTION("""COMPUTED_VALUE"""),"B")</f>
        <v>B</v>
      </c>
      <c r="G60" s="2005" t="str">
        <f>IFERROR(__xludf.DUMMYFUNCTION("""COMPUTED_VALUE"""),"AC")</f>
        <v>AC</v>
      </c>
      <c r="H60" s="2005">
        <f>IFERROR(__xludf.DUMMYFUNCTION("""COMPUTED_VALUE"""),79.0)</f>
        <v>79</v>
      </c>
      <c r="I60" s="2005">
        <f>IFERROR(__xludf.DUMMYFUNCTION("""COMPUTED_VALUE"""),79.0)</f>
        <v>79</v>
      </c>
      <c r="BD60" s="2006"/>
      <c r="LM60" s="2008"/>
      <c r="MX60" s="2007"/>
      <c r="ND60" s="2007"/>
    </row>
    <row r="61">
      <c r="A61" s="2005">
        <f>IFERROR(__xludf.DUMMYFUNCTION("""COMPUTED_VALUE"""),142784.0)</f>
        <v>142784</v>
      </c>
      <c r="B61" s="2005">
        <f>IFERROR(__xludf.DUMMYFUNCTION("""COMPUTED_VALUE"""),2403005.0)</f>
        <v>2403005</v>
      </c>
      <c r="C61" s="2005" t="str">
        <f>IFERROR(__xludf.DUMMYFUNCTION("""COMPUTED_VALUE"""),"Cartouche")</f>
        <v>Cartouche</v>
      </c>
      <c r="D61" s="2005" t="str">
        <f>IFERROR(__xludf.DUMMYFUNCTION("""COMPUTED_VALUE"""),"PG550 Noire Pigmenté")</f>
        <v>PG550 Noire Pigmenté</v>
      </c>
      <c r="E61" s="2005" t="str">
        <f>IFERROR(__xludf.DUMMYFUNCTION("""COMPUTED_VALUE"""),"CANON")</f>
        <v>CANON</v>
      </c>
      <c r="F61" s="2005" t="str">
        <f>IFERROR(__xludf.DUMMYFUNCTION("""COMPUTED_VALUE"""),"E")</f>
        <v>E</v>
      </c>
      <c r="G61" s="2005" t="str">
        <f>IFERROR(__xludf.DUMMYFUNCTION("""COMPUTED_VALUE"""),"AC")</f>
        <v>AC</v>
      </c>
      <c r="H61" s="2005">
        <f>IFERROR(__xludf.DUMMYFUNCTION("""COMPUTED_VALUE"""),18.5)</f>
        <v>18.5</v>
      </c>
      <c r="I61" s="2005">
        <f>IFERROR(__xludf.DUMMYFUNCTION("""COMPUTED_VALUE"""),18.5)</f>
        <v>18.5</v>
      </c>
      <c r="BD61" s="2006"/>
      <c r="LM61" s="2008"/>
      <c r="MX61" s="2007"/>
      <c r="ND61" s="2007"/>
    </row>
    <row r="62">
      <c r="A62" s="2005">
        <f>IFERROR(__xludf.DUMMYFUNCTION("""COMPUTED_VALUE"""),142788.0)</f>
        <v>142788</v>
      </c>
      <c r="B62" s="2005">
        <f>IFERROR(__xludf.DUMMYFUNCTION("""COMPUTED_VALUE"""),2403005.0)</f>
        <v>2403005</v>
      </c>
      <c r="C62" s="2005" t="str">
        <f>IFERROR(__xludf.DUMMYFUNCTION("""COMPUTED_VALUE"""),"Cartouche")</f>
        <v>Cartouche</v>
      </c>
      <c r="D62" s="2005" t="str">
        <f>IFERROR(__xludf.DUMMYFUNCTION("""COMPUTED_VALUE"""),"PG550 XL Noire Pigmenté")</f>
        <v>PG550 XL Noire Pigmenté</v>
      </c>
      <c r="E62" s="2005" t="str">
        <f>IFERROR(__xludf.DUMMYFUNCTION("""COMPUTED_VALUE"""),"CANON")</f>
        <v>CANON</v>
      </c>
      <c r="F62" s="2005" t="str">
        <f>IFERROR(__xludf.DUMMYFUNCTION("""COMPUTED_VALUE"""),"C")</f>
        <v>C</v>
      </c>
      <c r="G62" s="2005" t="str">
        <f>IFERROR(__xludf.DUMMYFUNCTION("""COMPUTED_VALUE"""),"AC")</f>
        <v>AC</v>
      </c>
      <c r="H62" s="2005">
        <f>IFERROR(__xludf.DUMMYFUNCTION("""COMPUTED_VALUE"""),21.0)</f>
        <v>21</v>
      </c>
      <c r="I62" s="2005">
        <f>IFERROR(__xludf.DUMMYFUNCTION("""COMPUTED_VALUE"""),21.0)</f>
        <v>21</v>
      </c>
      <c r="BD62" s="2006"/>
      <c r="LM62" s="2008"/>
      <c r="MX62" s="2007"/>
      <c r="ND62" s="2007"/>
    </row>
    <row r="63">
      <c r="A63" s="2005">
        <f>IFERROR(__xludf.DUMMYFUNCTION("""COMPUTED_VALUE"""),142791.0)</f>
        <v>142791</v>
      </c>
      <c r="B63" s="2005">
        <f>IFERROR(__xludf.DUMMYFUNCTION("""COMPUTED_VALUE"""),2403005.0)</f>
        <v>2403005</v>
      </c>
      <c r="C63" s="2005" t="str">
        <f>IFERROR(__xludf.DUMMYFUNCTION("""COMPUTED_VALUE"""),"Cartouche")</f>
        <v>Cartouche</v>
      </c>
      <c r="D63" s="2005" t="str">
        <f>IFERROR(__xludf.DUMMYFUNCTION("""COMPUTED_VALUE"""),"CLI551 XL Noire")</f>
        <v>CLI551 XL Noire</v>
      </c>
      <c r="E63" s="2005" t="str">
        <f>IFERROR(__xludf.DUMMYFUNCTION("""COMPUTED_VALUE"""),"CANON")</f>
        <v>CANON</v>
      </c>
      <c r="F63" s="2005" t="str">
        <f>IFERROR(__xludf.DUMMYFUNCTION("""COMPUTED_VALUE"""),"C")</f>
        <v>C</v>
      </c>
      <c r="G63" s="2005" t="str">
        <f>IFERROR(__xludf.DUMMYFUNCTION("""COMPUTED_VALUE"""),"AC")</f>
        <v>AC</v>
      </c>
      <c r="H63" s="2005">
        <f>IFERROR(__xludf.DUMMYFUNCTION("""COMPUTED_VALUE"""),20.5)</f>
        <v>20.5</v>
      </c>
      <c r="I63" s="2005">
        <f>IFERROR(__xludf.DUMMYFUNCTION("""COMPUTED_VALUE"""),20.5)</f>
        <v>20.5</v>
      </c>
      <c r="BD63" s="2006"/>
      <c r="LM63" s="2008"/>
      <c r="MX63" s="2007"/>
      <c r="ND63" s="2007"/>
    </row>
    <row r="64">
      <c r="A64" s="2005">
        <f>IFERROR(__xludf.DUMMYFUNCTION("""COMPUTED_VALUE"""),142796.0)</f>
        <v>142796</v>
      </c>
      <c r="B64" s="2005">
        <f>IFERROR(__xludf.DUMMYFUNCTION("""COMPUTED_VALUE"""),2403005.0)</f>
        <v>2403005</v>
      </c>
      <c r="C64" s="2005" t="str">
        <f>IFERROR(__xludf.DUMMYFUNCTION("""COMPUTED_VALUE"""),"Cartouche")</f>
        <v>Cartouche</v>
      </c>
      <c r="D64" s="2005" t="str">
        <f>IFERROR(__xludf.DUMMYFUNCTION("""COMPUTED_VALUE"""),"CLI551 XL Cyan")</f>
        <v>CLI551 XL Cyan</v>
      </c>
      <c r="E64" s="2005" t="str">
        <f>IFERROR(__xludf.DUMMYFUNCTION("""COMPUTED_VALUE"""),"CANON")</f>
        <v>CANON</v>
      </c>
      <c r="F64" s="2005" t="str">
        <f>IFERROR(__xludf.DUMMYFUNCTION("""COMPUTED_VALUE"""),"C")</f>
        <v>C</v>
      </c>
      <c r="G64" s="2005" t="str">
        <f>IFERROR(__xludf.DUMMYFUNCTION("""COMPUTED_VALUE"""),"AC")</f>
        <v>AC</v>
      </c>
      <c r="H64" s="2005">
        <f>IFERROR(__xludf.DUMMYFUNCTION("""COMPUTED_VALUE"""),20.5)</f>
        <v>20.5</v>
      </c>
      <c r="I64" s="2005">
        <f>IFERROR(__xludf.DUMMYFUNCTION("""COMPUTED_VALUE"""),20.5)</f>
        <v>20.5</v>
      </c>
      <c r="BD64" s="2006"/>
      <c r="LM64" s="2008"/>
      <c r="MX64" s="2007"/>
      <c r="ND64" s="2007"/>
    </row>
    <row r="65">
      <c r="A65" s="2005">
        <f>IFERROR(__xludf.DUMMYFUNCTION("""COMPUTED_VALUE"""),142801.0)</f>
        <v>142801</v>
      </c>
      <c r="B65" s="2005">
        <f>IFERROR(__xludf.DUMMYFUNCTION("""COMPUTED_VALUE"""),2403005.0)</f>
        <v>2403005</v>
      </c>
      <c r="C65" s="2005" t="str">
        <f>IFERROR(__xludf.DUMMYFUNCTION("""COMPUTED_VALUE"""),"Cartouche")</f>
        <v>Cartouche</v>
      </c>
      <c r="D65" s="2005" t="str">
        <f>IFERROR(__xludf.DUMMYFUNCTION("""COMPUTED_VALUE"""),"CLI-551 XL gris")</f>
        <v>CLI-551 XL gris</v>
      </c>
      <c r="E65" s="2005" t="str">
        <f>IFERROR(__xludf.DUMMYFUNCTION("""COMPUTED_VALUE"""),"CANON")</f>
        <v>CANON</v>
      </c>
      <c r="F65" s="2005" t="str">
        <f>IFERROR(__xludf.DUMMYFUNCTION("""COMPUTED_VALUE"""),"C")</f>
        <v>C</v>
      </c>
      <c r="G65" s="2005" t="str">
        <f>IFERROR(__xludf.DUMMYFUNCTION("""COMPUTED_VALUE"""),"AC")</f>
        <v>AC</v>
      </c>
      <c r="H65">
        <f>IFERROR(__xludf.DUMMYFUNCTION("""COMPUTED_VALUE"""),20.5)</f>
        <v>20.5</v>
      </c>
      <c r="I65">
        <f>IFERROR(__xludf.DUMMYFUNCTION("""COMPUTED_VALUE"""),20.5)</f>
        <v>20.5</v>
      </c>
      <c r="BD65" s="2006"/>
      <c r="LM65" s="2008"/>
      <c r="MX65" s="2007"/>
      <c r="ND65" s="2007"/>
    </row>
    <row r="66">
      <c r="A66" s="2005">
        <f>IFERROR(__xludf.DUMMYFUNCTION("""COMPUTED_VALUE"""),142807.0)</f>
        <v>142807</v>
      </c>
      <c r="B66" s="2005">
        <f>IFERROR(__xludf.DUMMYFUNCTION("""COMPUTED_VALUE"""),2403005.0)</f>
        <v>2403005</v>
      </c>
      <c r="C66" s="2005" t="str">
        <f>IFERROR(__xludf.DUMMYFUNCTION("""COMPUTED_VALUE"""),"Cartouche")</f>
        <v>Cartouche</v>
      </c>
      <c r="D66" s="2005" t="str">
        <f>IFERROR(__xludf.DUMMYFUNCTION("""COMPUTED_VALUE"""),"CLI551 XL Magenta")</f>
        <v>CLI551 XL Magenta</v>
      </c>
      <c r="E66" s="2005" t="str">
        <f>IFERROR(__xludf.DUMMYFUNCTION("""COMPUTED_VALUE"""),"CANON")</f>
        <v>CANON</v>
      </c>
      <c r="F66" s="2005" t="str">
        <f>IFERROR(__xludf.DUMMYFUNCTION("""COMPUTED_VALUE"""),"C")</f>
        <v>C</v>
      </c>
      <c r="G66" s="2005" t="str">
        <f>IFERROR(__xludf.DUMMYFUNCTION("""COMPUTED_VALUE"""),"AC")</f>
        <v>AC</v>
      </c>
      <c r="H66" s="2005">
        <f>IFERROR(__xludf.DUMMYFUNCTION("""COMPUTED_VALUE"""),20.5)</f>
        <v>20.5</v>
      </c>
      <c r="I66" s="2005">
        <f>IFERROR(__xludf.DUMMYFUNCTION("""COMPUTED_VALUE"""),20.5)</f>
        <v>20.5</v>
      </c>
      <c r="BD66" s="2006"/>
      <c r="LL66" s="2007"/>
      <c r="LM66" s="2008"/>
      <c r="MX66" s="2007"/>
      <c r="ND66" s="2008"/>
    </row>
    <row r="67">
      <c r="A67" s="2005">
        <f>IFERROR(__xludf.DUMMYFUNCTION("""COMPUTED_VALUE"""),142808.0)</f>
        <v>142808</v>
      </c>
      <c r="B67" s="2005">
        <f>IFERROR(__xludf.DUMMYFUNCTION("""COMPUTED_VALUE"""),2403005.0)</f>
        <v>2403005</v>
      </c>
      <c r="C67" s="2005" t="str">
        <f>IFERROR(__xludf.DUMMYFUNCTION("""COMPUTED_VALUE"""),"Cartouche")</f>
        <v>Cartouche</v>
      </c>
      <c r="D67" s="2005" t="str">
        <f>IFERROR(__xludf.DUMMYFUNCTION("""COMPUTED_VALUE"""),"CLI551 XL Jaune")</f>
        <v>CLI551 XL Jaune</v>
      </c>
      <c r="E67" s="2005" t="str">
        <f>IFERROR(__xludf.DUMMYFUNCTION("""COMPUTED_VALUE"""),"CANON")</f>
        <v>CANON</v>
      </c>
      <c r="F67" s="2005" t="str">
        <f>IFERROR(__xludf.DUMMYFUNCTION("""COMPUTED_VALUE"""),"C")</f>
        <v>C</v>
      </c>
      <c r="G67" s="2005" t="str">
        <f>IFERROR(__xludf.DUMMYFUNCTION("""COMPUTED_VALUE"""),"AC")</f>
        <v>AC</v>
      </c>
      <c r="H67" s="2005">
        <f>IFERROR(__xludf.DUMMYFUNCTION("""COMPUTED_VALUE"""),20.5)</f>
        <v>20.5</v>
      </c>
      <c r="I67" s="2005">
        <f>IFERROR(__xludf.DUMMYFUNCTION("""COMPUTED_VALUE"""),20.5)</f>
        <v>20.5</v>
      </c>
      <c r="BD67" s="2006"/>
      <c r="LL67" s="2008"/>
      <c r="LM67" s="2008"/>
      <c r="MX67" s="2007"/>
      <c r="ND67" s="2008"/>
    </row>
    <row r="68">
      <c r="A68" s="2005">
        <f>IFERROR(__xludf.DUMMYFUNCTION("""COMPUTED_VALUE"""),142822.0)</f>
        <v>142822</v>
      </c>
      <c r="B68" s="2005">
        <f>IFERROR(__xludf.DUMMYFUNCTION("""COMPUTED_VALUE"""),2403005.0)</f>
        <v>2403005</v>
      </c>
      <c r="C68" s="2005" t="str">
        <f>IFERROR(__xludf.DUMMYFUNCTION("""COMPUTED_VALUE"""),"Cartouche")</f>
        <v>Cartouche</v>
      </c>
      <c r="D68" s="2005" t="str">
        <f>IFERROR(__xludf.DUMMYFUNCTION("""COMPUTED_VALUE"""),"N° 728 Noire")</f>
        <v>N° 728 Noire</v>
      </c>
      <c r="E68" s="2005" t="str">
        <f>IFERROR(__xludf.DUMMYFUNCTION("""COMPUTED_VALUE"""),"CANON")</f>
        <v>CANON</v>
      </c>
      <c r="F68" s="2005" t="str">
        <f>IFERROR(__xludf.DUMMYFUNCTION("""COMPUTED_VALUE"""),"H")</f>
        <v>H</v>
      </c>
      <c r="G68" s="2005" t="str">
        <f>IFERROR(__xludf.DUMMYFUNCTION("""COMPUTED_VALUE"""),"NN")</f>
        <v>NN</v>
      </c>
      <c r="H68" s="2005">
        <f>IFERROR(__xludf.DUMMYFUNCTION("""COMPUTED_VALUE"""),66.99)</f>
        <v>66.99</v>
      </c>
      <c r="I68" s="2005">
        <f>IFERROR(__xludf.DUMMYFUNCTION("""COMPUTED_VALUE"""),66.99)</f>
        <v>66.99</v>
      </c>
      <c r="BD68" s="2006"/>
      <c r="LL68" s="2007"/>
      <c r="LM68" s="2008"/>
      <c r="MX68" s="2007"/>
      <c r="ND68" s="2008"/>
    </row>
    <row r="69">
      <c r="A69" s="2005">
        <f>IFERROR(__xludf.DUMMYFUNCTION("""COMPUTED_VALUE"""),143147.0)</f>
        <v>143147</v>
      </c>
      <c r="B69" s="2005">
        <f>IFERROR(__xludf.DUMMYFUNCTION("""COMPUTED_VALUE"""),2502510.0)</f>
        <v>2502510</v>
      </c>
      <c r="C69" s="2005" t="str">
        <f>IFERROR(__xludf.DUMMYFUNCTION("""COMPUTED_VALUE"""),"SUPPORT")</f>
        <v>SUPPORT</v>
      </c>
      <c r="D69" s="2005" t="str">
        <f>IFERROR(__xludf.DUMMYFUNCTION("""COMPUTED_VALUE"""),"UP50 Pack de 2 Modules muraux pour UP100")</f>
        <v>UP50 Pack de 2 Modules muraux pour UP100</v>
      </c>
      <c r="E69" s="2005" t="str">
        <f>IFERROR(__xludf.DUMMYFUNCTION("""COMPUTED_VALUE"""),"EXELIUM")</f>
        <v>EXELIUM</v>
      </c>
      <c r="F69" s="2005" t="str">
        <f>IFERROR(__xludf.DUMMYFUNCTION("""COMPUTED_VALUE"""),"B")</f>
        <v>B</v>
      </c>
      <c r="G69" s="2005" t="str">
        <f>IFERROR(__xludf.DUMMYFUNCTION("""COMPUTED_VALUE"""),"NN")</f>
        <v>NN</v>
      </c>
      <c r="H69" s="2005">
        <f>IFERROR(__xludf.DUMMYFUNCTION("""COMPUTED_VALUE"""),9.99)</f>
        <v>9.99</v>
      </c>
      <c r="I69" s="2005">
        <f>IFERROR(__xludf.DUMMYFUNCTION("""COMPUTED_VALUE"""),9.99)</f>
        <v>9.99</v>
      </c>
      <c r="BD69" s="2006"/>
      <c r="LL69" s="2008"/>
      <c r="LM69" s="2008"/>
      <c r="MX69" s="2007"/>
      <c r="ND69" s="2008"/>
    </row>
    <row r="70">
      <c r="A70" s="2005">
        <f>IFERROR(__xludf.DUMMYFUNCTION("""COMPUTED_VALUE"""),143436.0)</f>
        <v>143436</v>
      </c>
      <c r="B70" s="2005">
        <f>IFERROR(__xludf.DUMMYFUNCTION("""COMPUTED_VALUE"""),2403010.0)</f>
        <v>2403010</v>
      </c>
      <c r="C70" s="2005" t="str">
        <f>IFERROR(__xludf.DUMMYFUNCTION("""COMPUTED_VALUE"""),"Toner")</f>
        <v>Toner</v>
      </c>
      <c r="D70" s="2005" t="str">
        <f>IFERROR(__xludf.DUMMYFUNCTION("""COMPUTED_VALUE"""),"N° 131A Noir")</f>
        <v>N° 131A Noir</v>
      </c>
      <c r="E70" s="2005" t="str">
        <f>IFERROR(__xludf.DUMMYFUNCTION("""COMPUTED_VALUE"""),"HP")</f>
        <v>HP</v>
      </c>
      <c r="F70" s="2005" t="str">
        <f>IFERROR(__xludf.DUMMYFUNCTION("""COMPUTED_VALUE"""),"H")</f>
        <v>H</v>
      </c>
      <c r="G70" s="2005" t="str">
        <f>IFERROR(__xludf.DUMMYFUNCTION("""COMPUTED_VALUE"""),"FR")</f>
        <v>FR</v>
      </c>
      <c r="H70" s="2005">
        <f>IFERROR(__xludf.DUMMYFUNCTION("""COMPUTED_VALUE"""),100.99)</f>
        <v>100.99</v>
      </c>
      <c r="I70" s="2005">
        <f>IFERROR(__xludf.DUMMYFUNCTION("""COMPUTED_VALUE"""),100.99)</f>
        <v>100.99</v>
      </c>
      <c r="BD70" s="2006"/>
      <c r="LL70" s="2007"/>
      <c r="LM70" s="2008"/>
      <c r="MX70" s="2007"/>
      <c r="ND70" s="2008"/>
    </row>
    <row r="71">
      <c r="A71" s="2005">
        <f>IFERROR(__xludf.DUMMYFUNCTION("""COMPUTED_VALUE"""),143437.0)</f>
        <v>143437</v>
      </c>
      <c r="B71" s="2005">
        <f>IFERROR(__xludf.DUMMYFUNCTION("""COMPUTED_VALUE"""),2403010.0)</f>
        <v>2403010</v>
      </c>
      <c r="C71" s="2005" t="str">
        <f>IFERROR(__xludf.DUMMYFUNCTION("""COMPUTED_VALUE"""),"Toner")</f>
        <v>Toner</v>
      </c>
      <c r="D71" s="2005" t="str">
        <f>IFERROR(__xludf.DUMMYFUNCTION("""COMPUTED_VALUE"""),"N°131X Noir XL")</f>
        <v>N°131X Noir XL</v>
      </c>
      <c r="E71" s="2005" t="str">
        <f>IFERROR(__xludf.DUMMYFUNCTION("""COMPUTED_VALUE"""),"HP")</f>
        <v>HP</v>
      </c>
      <c r="F71" s="2005" t="str">
        <f>IFERROR(__xludf.DUMMYFUNCTION("""COMPUTED_VALUE"""),"H")</f>
        <v>H</v>
      </c>
      <c r="G71" s="2005" t="str">
        <f>IFERROR(__xludf.DUMMYFUNCTION("""COMPUTED_VALUE"""),"FR")</f>
        <v>FR</v>
      </c>
      <c r="H71" s="2005">
        <f>IFERROR(__xludf.DUMMYFUNCTION("""COMPUTED_VALUE"""),127.99)</f>
        <v>127.99</v>
      </c>
      <c r="I71" s="2005">
        <f>IFERROR(__xludf.DUMMYFUNCTION("""COMPUTED_VALUE"""),127.99)</f>
        <v>127.99</v>
      </c>
      <c r="BD71" s="2006"/>
      <c r="LL71" s="2007"/>
      <c r="LM71" s="2008"/>
      <c r="MX71" s="2007"/>
      <c r="ND71" s="2008"/>
    </row>
    <row r="72">
      <c r="A72" s="2005">
        <f>IFERROR(__xludf.DUMMYFUNCTION("""COMPUTED_VALUE"""),143438.0)</f>
        <v>143438</v>
      </c>
      <c r="B72" s="2005">
        <f>IFERROR(__xludf.DUMMYFUNCTION("""COMPUTED_VALUE"""),2403010.0)</f>
        <v>2403010</v>
      </c>
      <c r="C72" s="2005" t="str">
        <f>IFERROR(__xludf.DUMMYFUNCTION("""COMPUTED_VALUE"""),"Toner")</f>
        <v>Toner</v>
      </c>
      <c r="D72" s="2005" t="str">
        <f>IFERROR(__xludf.DUMMYFUNCTION("""COMPUTED_VALUE"""),"N° 131A Cyan")</f>
        <v>N° 131A Cyan</v>
      </c>
      <c r="E72" s="2005" t="str">
        <f>IFERROR(__xludf.DUMMYFUNCTION("""COMPUTED_VALUE"""),"HP")</f>
        <v>HP</v>
      </c>
      <c r="F72" s="2005" t="str">
        <f>IFERROR(__xludf.DUMMYFUNCTION("""COMPUTED_VALUE"""),"H")</f>
        <v>H</v>
      </c>
      <c r="G72" s="2005" t="str">
        <f>IFERROR(__xludf.DUMMYFUNCTION("""COMPUTED_VALUE"""),"FR")</f>
        <v>FR</v>
      </c>
      <c r="H72">
        <f>IFERROR(__xludf.DUMMYFUNCTION("""COMPUTED_VALUE"""),125.99)</f>
        <v>125.99</v>
      </c>
      <c r="I72">
        <f>IFERROR(__xludf.DUMMYFUNCTION("""COMPUTED_VALUE"""),125.99)</f>
        <v>125.99</v>
      </c>
      <c r="BD72" s="2006"/>
      <c r="LL72" s="2007"/>
      <c r="LM72" s="2008"/>
      <c r="MX72" s="2007"/>
      <c r="ND72" s="2008"/>
    </row>
    <row r="73">
      <c r="A73" s="2005">
        <f>IFERROR(__xludf.DUMMYFUNCTION("""COMPUTED_VALUE"""),143439.0)</f>
        <v>143439</v>
      </c>
      <c r="B73" s="2005">
        <f>IFERROR(__xludf.DUMMYFUNCTION("""COMPUTED_VALUE"""),2403010.0)</f>
        <v>2403010</v>
      </c>
      <c r="C73" s="2005" t="str">
        <f>IFERROR(__xludf.DUMMYFUNCTION("""COMPUTED_VALUE"""),"Toner")</f>
        <v>Toner</v>
      </c>
      <c r="D73" s="2005" t="str">
        <f>IFERROR(__xludf.DUMMYFUNCTION("""COMPUTED_VALUE"""),"N° 131A Jaune")</f>
        <v>N° 131A Jaune</v>
      </c>
      <c r="E73" s="2005" t="str">
        <f>IFERROR(__xludf.DUMMYFUNCTION("""COMPUTED_VALUE"""),"HP")</f>
        <v>HP</v>
      </c>
      <c r="F73" s="2005" t="str">
        <f>IFERROR(__xludf.DUMMYFUNCTION("""COMPUTED_VALUE"""),"H")</f>
        <v>H</v>
      </c>
      <c r="G73" s="2005" t="str">
        <f>IFERROR(__xludf.DUMMYFUNCTION("""COMPUTED_VALUE"""),"FR")</f>
        <v>FR</v>
      </c>
      <c r="H73" s="2005">
        <f>IFERROR(__xludf.DUMMYFUNCTION("""COMPUTED_VALUE"""),99.99)</f>
        <v>99.99</v>
      </c>
      <c r="I73" s="2005">
        <f>IFERROR(__xludf.DUMMYFUNCTION("""COMPUTED_VALUE"""),99.99)</f>
        <v>99.99</v>
      </c>
      <c r="BD73" s="2006"/>
      <c r="LL73" s="2007"/>
      <c r="LM73" s="2008"/>
      <c r="MX73" s="2007"/>
      <c r="ND73" s="2008"/>
    </row>
    <row r="74">
      <c r="A74" s="2005">
        <f>IFERROR(__xludf.DUMMYFUNCTION("""COMPUTED_VALUE"""),143452.0)</f>
        <v>143452</v>
      </c>
      <c r="B74" s="2005">
        <f>IFERROR(__xludf.DUMMYFUNCTION("""COMPUTED_VALUE"""),2403010.0)</f>
        <v>2403010</v>
      </c>
      <c r="C74" s="2005" t="str">
        <f>IFERROR(__xludf.DUMMYFUNCTION("""COMPUTED_VALUE"""),"Toner")</f>
        <v>Toner</v>
      </c>
      <c r="D74" s="2005" t="str">
        <f>IFERROR(__xludf.DUMMYFUNCTION("""COMPUTED_VALUE"""),"N° 131A Magenta")</f>
        <v>N° 131A Magenta</v>
      </c>
      <c r="E74" s="2005" t="str">
        <f>IFERROR(__xludf.DUMMYFUNCTION("""COMPUTED_VALUE"""),"HP")</f>
        <v>HP</v>
      </c>
      <c r="F74" s="2005" t="str">
        <f>IFERROR(__xludf.DUMMYFUNCTION("""COMPUTED_VALUE"""),"H")</f>
        <v>H</v>
      </c>
      <c r="G74" s="2005" t="str">
        <f>IFERROR(__xludf.DUMMYFUNCTION("""COMPUTED_VALUE"""),"NN")</f>
        <v>NN</v>
      </c>
      <c r="H74">
        <f>IFERROR(__xludf.DUMMYFUNCTION("""COMPUTED_VALUE"""),99.99)</f>
        <v>99.99</v>
      </c>
      <c r="I74">
        <f>IFERROR(__xludf.DUMMYFUNCTION("""COMPUTED_VALUE"""),99.99)</f>
        <v>99.99</v>
      </c>
      <c r="BD74" s="2006"/>
      <c r="LL74" s="2007"/>
      <c r="LM74" s="2008"/>
      <c r="MX74" s="2007"/>
      <c r="ND74" s="2008"/>
    </row>
    <row r="75">
      <c r="A75" s="2005">
        <f>IFERROR(__xludf.DUMMYFUNCTION("""COMPUTED_VALUE"""),143860.0)</f>
        <v>143860</v>
      </c>
      <c r="B75" s="2005">
        <f>IFERROR(__xludf.DUMMYFUNCTION("""COMPUTED_VALUE"""),2502024.0)</f>
        <v>2502024</v>
      </c>
      <c r="C75" s="2005" t="str">
        <f>IFERROR(__xludf.DUMMYFUNCTION("""COMPUTED_VALUE"""),"Stylet")</f>
        <v>Stylet</v>
      </c>
      <c r="D75" s="2005" t="str">
        <f>IFERROR(__xludf.DUMMYFUNCTION("""COMPUTED_VALUE"""),"Svelto Gris")</f>
        <v>Svelto Gris</v>
      </c>
      <c r="E75" s="2005" t="str">
        <f>IFERROR(__xludf.DUMMYFUNCTION("""COMPUTED_VALUE"""),"ESSENTIELB")</f>
        <v>ESSENTIELB</v>
      </c>
      <c r="F75" s="2005" t="str">
        <f>IFERROR(__xludf.DUMMYFUNCTION("""COMPUTED_VALUE"""),"A")</f>
        <v>A</v>
      </c>
      <c r="G75" s="2005" t="str">
        <f>IFERROR(__xludf.DUMMYFUNCTION("""COMPUTED_VALUE"""),"AC")</f>
        <v>AC</v>
      </c>
      <c r="H75" s="2005">
        <f>IFERROR(__xludf.DUMMYFUNCTION("""COMPUTED_VALUE"""),7.99)</f>
        <v>7.99</v>
      </c>
      <c r="I75" s="2005">
        <f>IFERROR(__xludf.DUMMYFUNCTION("""COMPUTED_VALUE"""),7.99)</f>
        <v>7.99</v>
      </c>
      <c r="BD75" s="2006"/>
      <c r="LL75" s="2007"/>
      <c r="LM75" s="2008"/>
      <c r="MX75" s="2007"/>
      <c r="ND75" s="2008"/>
    </row>
    <row r="76">
      <c r="A76" s="2005">
        <f>IFERROR(__xludf.DUMMYFUNCTION("""COMPUTED_VALUE"""),144610.0)</f>
        <v>144610</v>
      </c>
      <c r="B76" s="2005">
        <f>IFERROR(__xludf.DUMMYFUNCTION("""COMPUTED_VALUE"""),2403010.0)</f>
        <v>2403010</v>
      </c>
      <c r="C76" s="2005" t="str">
        <f>IFERROR(__xludf.DUMMYFUNCTION("""COMPUTED_VALUE"""),"Toner")</f>
        <v>Toner</v>
      </c>
      <c r="D76" s="2005" t="str">
        <f>IFERROR(__xludf.DUMMYFUNCTION("""COMPUTED_VALUE"""),"MLT-D117S/ELS")</f>
        <v>MLT-D117S/ELS</v>
      </c>
      <c r="E76" s="2005" t="str">
        <f>IFERROR(__xludf.DUMMYFUNCTION("""COMPUTED_VALUE"""),"SAMSUNG")</f>
        <v>SAMSUNG</v>
      </c>
      <c r="F76" s="2005" t="str">
        <f>IFERROR(__xludf.DUMMYFUNCTION("""COMPUTED_VALUE"""),"H")</f>
        <v>H</v>
      </c>
      <c r="G76" s="2005" t="str">
        <f>IFERROR(__xludf.DUMMYFUNCTION("""COMPUTED_VALUE"""),"FR")</f>
        <v>FR</v>
      </c>
      <c r="H76" s="2005">
        <f>IFERROR(__xludf.DUMMYFUNCTION("""COMPUTED_VALUE"""),70.99)</f>
        <v>70.99</v>
      </c>
      <c r="I76" s="2005">
        <f>IFERROR(__xludf.DUMMYFUNCTION("""COMPUTED_VALUE"""),70.99)</f>
        <v>70.99</v>
      </c>
      <c r="BD76" s="2006"/>
      <c r="LM76" s="2007"/>
    </row>
    <row r="77">
      <c r="A77" s="2005">
        <f>IFERROR(__xludf.DUMMYFUNCTION("""COMPUTED_VALUE"""),146193.0)</f>
        <v>146193</v>
      </c>
      <c r="B77" s="2005">
        <f>IFERROR(__xludf.DUMMYFUNCTION("""COMPUTED_VALUE"""),2502505.0)</f>
        <v>2502505</v>
      </c>
      <c r="C77" s="2005" t="str">
        <f>IFERROR(__xludf.DUMMYFUNCTION("""COMPUTED_VALUE"""),"Tapis")</f>
        <v>Tapis</v>
      </c>
      <c r="D77" s="2005" t="str">
        <f>IFERROR(__xludf.DUMMYFUNCTION("""COMPUTED_VALUE"""),"Chien")</f>
        <v>Chien</v>
      </c>
      <c r="E77" s="2005" t="str">
        <f>IFERROR(__xludf.DUMMYFUNCTION("""COMPUTED_VALUE"""),"ESSENTIELB")</f>
        <v>ESSENTIELB</v>
      </c>
      <c r="F77" s="2005" t="str">
        <f>IFERROR(__xludf.DUMMYFUNCTION("""COMPUTED_VALUE"""),"A")</f>
        <v>A</v>
      </c>
      <c r="G77" s="2005" t="str">
        <f>IFERROR(__xludf.DUMMYFUNCTION("""COMPUTED_VALUE"""),"NN")</f>
        <v>NN</v>
      </c>
      <c r="H77" s="2005">
        <f>IFERROR(__xludf.DUMMYFUNCTION("""COMPUTED_VALUE"""),2.99)</f>
        <v>2.99</v>
      </c>
      <c r="I77" s="2005">
        <f>IFERROR(__xludf.DUMMYFUNCTION("""COMPUTED_VALUE"""),2.99)</f>
        <v>2.99</v>
      </c>
      <c r="BD77" s="2006"/>
      <c r="LL77" s="2007"/>
      <c r="LM77" s="2007"/>
      <c r="MX77" s="2007"/>
      <c r="ND77" s="2008"/>
    </row>
    <row r="78">
      <c r="A78" s="2005">
        <f>IFERROR(__xludf.DUMMYFUNCTION("""COMPUTED_VALUE"""),146443.0)</f>
        <v>146443</v>
      </c>
      <c r="B78" s="2005">
        <f>IFERROR(__xludf.DUMMYFUNCTION("""COMPUTED_VALUE"""),2502510.0)</f>
        <v>2502510</v>
      </c>
      <c r="C78" s="2005" t="str">
        <f>IFERROR(__xludf.DUMMYFUNCTION("""COMPUTED_VALUE"""),"Coque")</f>
        <v>Coque</v>
      </c>
      <c r="D78" s="2005" t="str">
        <f>IFERROR(__xludf.DUMMYFUNCTION("""COMPUTED_VALUE"""),"UP120 rigide blanche+module mural")</f>
        <v>UP120 rigide blanche+module mural</v>
      </c>
      <c r="E78" s="2005" t="str">
        <f>IFERROR(__xludf.DUMMYFUNCTION("""COMPUTED_VALUE"""),"EXELIUM")</f>
        <v>EXELIUM</v>
      </c>
      <c r="F78" s="2005" t="str">
        <f>IFERROR(__xludf.DUMMYFUNCTION("""COMPUTED_VALUE"""),"B")</f>
        <v>B</v>
      </c>
      <c r="G78" s="2005" t="str">
        <f>IFERROR(__xludf.DUMMYFUNCTION("""COMPUTED_VALUE"""),"NN")</f>
        <v>NN</v>
      </c>
      <c r="H78" s="2005">
        <f>IFERROR(__xludf.DUMMYFUNCTION("""COMPUTED_VALUE"""),24.99)</f>
        <v>24.99</v>
      </c>
      <c r="I78" s="2005">
        <f>IFERROR(__xludf.DUMMYFUNCTION("""COMPUTED_VALUE"""),24.99)</f>
        <v>24.99</v>
      </c>
      <c r="BD78" s="2006"/>
      <c r="LL78" s="2007"/>
      <c r="LM78" s="2008"/>
      <c r="MX78" s="2007"/>
      <c r="ND78" s="2007"/>
    </row>
    <row r="79">
      <c r="A79" s="2005">
        <f>IFERROR(__xludf.DUMMYFUNCTION("""COMPUTED_VALUE"""),151465.0)</f>
        <v>151465</v>
      </c>
      <c r="B79" s="2005">
        <f>IFERROR(__xludf.DUMMYFUNCTION("""COMPUTED_VALUE"""),2203010.0)</f>
        <v>2203010</v>
      </c>
      <c r="C79" s="2005" t="str">
        <f>IFERROR(__xludf.DUMMYFUNCTION("""COMPUTED_VALUE"""),"Scanner")</f>
        <v>Scanner</v>
      </c>
      <c r="D79" s="2005" t="str">
        <f>IFERROR(__xludf.DUMMYFUNCTION("""COMPUTED_VALUE"""),"IRIScan Book 3")</f>
        <v>IRIScan Book 3</v>
      </c>
      <c r="E79" s="2005" t="str">
        <f>IFERROR(__xludf.DUMMYFUNCTION("""COMPUTED_VALUE"""),"IRIS")</f>
        <v>IRIS</v>
      </c>
      <c r="F79" s="2005" t="str">
        <f>IFERROR(__xludf.DUMMYFUNCTION("""COMPUTED_VALUE"""),"A")</f>
        <v>A</v>
      </c>
      <c r="G79" s="2005" t="str">
        <f>IFERROR(__xludf.DUMMYFUNCTION("""COMPUTED_VALUE"""),"NN")</f>
        <v>NN</v>
      </c>
      <c r="H79" s="2005">
        <f>IFERROR(__xludf.DUMMYFUNCTION("""COMPUTED_VALUE"""),99.95)</f>
        <v>99.95</v>
      </c>
      <c r="I79" s="2005">
        <f>IFERROR(__xludf.DUMMYFUNCTION("""COMPUTED_VALUE"""),99.95)</f>
        <v>99.95</v>
      </c>
      <c r="BD79" s="2006"/>
      <c r="LL79" s="2007"/>
      <c r="LM79" s="2008"/>
      <c r="MX79" s="2007"/>
      <c r="ND79" s="2007"/>
    </row>
    <row r="80">
      <c r="A80" s="2005">
        <f>IFERROR(__xludf.DUMMYFUNCTION("""COMPUTED_VALUE"""),153528.0)</f>
        <v>153528</v>
      </c>
      <c r="B80" s="2005">
        <f>IFERROR(__xludf.DUMMYFUNCTION("""COMPUTED_VALUE"""),2503005.0)</f>
        <v>2503005</v>
      </c>
      <c r="C80" s="2005" t="str">
        <f>IFERROR(__xludf.DUMMYFUNCTION("""COMPUTED_VALUE"""),"Enceinte")</f>
        <v>Enceinte</v>
      </c>
      <c r="D80" s="2005" t="str">
        <f>IFERROR(__xludf.DUMMYFUNCTION("""COMPUTED_VALUE"""),"Companion 2 III 2.0")</f>
        <v>Companion 2 III 2.0</v>
      </c>
      <c r="E80" s="2005" t="str">
        <f>IFERROR(__xludf.DUMMYFUNCTION("""COMPUTED_VALUE"""),"BOSE")</f>
        <v>BOSE</v>
      </c>
      <c r="F80" s="2005" t="str">
        <f>IFERROR(__xludf.DUMMYFUNCTION("""COMPUTED_VALUE"""),"A")</f>
        <v>A</v>
      </c>
      <c r="G80" s="2005" t="str">
        <f>IFERROR(__xludf.DUMMYFUNCTION("""COMPUTED_VALUE"""),"AC")</f>
        <v>AC</v>
      </c>
      <c r="H80" s="2005">
        <f>IFERROR(__xludf.DUMMYFUNCTION("""COMPUTED_VALUE"""),149.99)</f>
        <v>149.99</v>
      </c>
      <c r="I80" s="2005">
        <f>IFERROR(__xludf.DUMMYFUNCTION("""COMPUTED_VALUE"""),149.99)</f>
        <v>149.99</v>
      </c>
      <c r="BD80" s="2006"/>
      <c r="LL80" s="2007"/>
      <c r="LM80" s="2008"/>
      <c r="MX80" s="2007"/>
      <c r="ND80" s="2007"/>
    </row>
    <row r="81">
      <c r="A81" s="2005">
        <f>IFERROR(__xludf.DUMMYFUNCTION("""COMPUTED_VALUE"""),223889.0)</f>
        <v>223889</v>
      </c>
      <c r="B81" s="2005">
        <f>IFERROR(__xludf.DUMMYFUNCTION("""COMPUTED_VALUE"""),2403010.0)</f>
        <v>2403010</v>
      </c>
      <c r="C81" s="2005" t="str">
        <f>IFERROR(__xludf.DUMMYFUNCTION("""COMPUTED_VALUE"""),"Toner")</f>
        <v>Toner</v>
      </c>
      <c r="D81" s="2005" t="str">
        <f>IFERROR(__xludf.DUMMYFUNCTION("""COMPUTED_VALUE"""),"N°128A Jaune")</f>
        <v>N°128A Jaune</v>
      </c>
      <c r="E81" s="2005" t="str">
        <f>IFERROR(__xludf.DUMMYFUNCTION("""COMPUTED_VALUE"""),"HP")</f>
        <v>HP</v>
      </c>
      <c r="F81" s="2005" t="str">
        <f>IFERROR(__xludf.DUMMYFUNCTION("""COMPUTED_VALUE"""),"D")</f>
        <v>D</v>
      </c>
      <c r="G81" s="2005" t="str">
        <f>IFERROR(__xludf.DUMMYFUNCTION("""COMPUTED_VALUE"""),"NN")</f>
        <v>NN</v>
      </c>
      <c r="H81" s="2005">
        <f>IFERROR(__xludf.DUMMYFUNCTION("""COMPUTED_VALUE"""),74.99)</f>
        <v>74.99</v>
      </c>
      <c r="I81" s="2005">
        <f>IFERROR(__xludf.DUMMYFUNCTION("""COMPUTED_VALUE"""),74.99)</f>
        <v>74.99</v>
      </c>
      <c r="BD81" s="2006"/>
      <c r="LL81" s="2007"/>
      <c r="LM81" s="2008"/>
      <c r="MX81" s="2007"/>
      <c r="ND81" s="2007"/>
    </row>
    <row r="82">
      <c r="A82" s="2005">
        <f>IFERROR(__xludf.DUMMYFUNCTION("""COMPUTED_VALUE"""),223891.0)</f>
        <v>223891</v>
      </c>
      <c r="B82" s="2005">
        <f>IFERROR(__xludf.DUMMYFUNCTION("""COMPUTED_VALUE"""),2403010.0)</f>
        <v>2403010</v>
      </c>
      <c r="C82" s="2005" t="str">
        <f>IFERROR(__xludf.DUMMYFUNCTION("""COMPUTED_VALUE"""),"Toner")</f>
        <v>Toner</v>
      </c>
      <c r="D82" s="2005" t="str">
        <f>IFERROR(__xludf.DUMMYFUNCTION("""COMPUTED_VALUE"""),"N°128A Magenta")</f>
        <v>N°128A Magenta</v>
      </c>
      <c r="E82" s="2005" t="str">
        <f>IFERROR(__xludf.DUMMYFUNCTION("""COMPUTED_VALUE"""),"HP")</f>
        <v>HP</v>
      </c>
      <c r="F82" s="2005" t="str">
        <f>IFERROR(__xludf.DUMMYFUNCTION("""COMPUTED_VALUE"""),"D")</f>
        <v>D</v>
      </c>
      <c r="G82" s="2005" t="str">
        <f>IFERROR(__xludf.DUMMYFUNCTION("""COMPUTED_VALUE"""),"NN")</f>
        <v>NN</v>
      </c>
      <c r="H82" s="2005">
        <f>IFERROR(__xludf.DUMMYFUNCTION("""COMPUTED_VALUE"""),74.99)</f>
        <v>74.99</v>
      </c>
      <c r="I82" s="2005">
        <f>IFERROR(__xludf.DUMMYFUNCTION("""COMPUTED_VALUE"""),74.99)</f>
        <v>74.99</v>
      </c>
      <c r="BD82" s="2006"/>
      <c r="LL82" s="2007"/>
      <c r="LM82" s="2008"/>
      <c r="MX82" s="2007"/>
      <c r="ND82" s="2007"/>
    </row>
    <row r="83">
      <c r="A83" s="2005">
        <f>IFERROR(__xludf.DUMMYFUNCTION("""COMPUTED_VALUE"""),223892.0)</f>
        <v>223892</v>
      </c>
      <c r="B83" s="2005">
        <f>IFERROR(__xludf.DUMMYFUNCTION("""COMPUTED_VALUE"""),2403010.0)</f>
        <v>2403010</v>
      </c>
      <c r="C83" s="2005" t="str">
        <f>IFERROR(__xludf.DUMMYFUNCTION("""COMPUTED_VALUE"""),"Toner")</f>
        <v>Toner</v>
      </c>
      <c r="D83" s="2005" t="str">
        <f>IFERROR(__xludf.DUMMYFUNCTION("""COMPUTED_VALUE"""),"N°128A Cyan")</f>
        <v>N°128A Cyan</v>
      </c>
      <c r="E83" s="2005" t="str">
        <f>IFERROR(__xludf.DUMMYFUNCTION("""COMPUTED_VALUE"""),"HP")</f>
        <v>HP</v>
      </c>
      <c r="F83" s="2005" t="str">
        <f>IFERROR(__xludf.DUMMYFUNCTION("""COMPUTED_VALUE"""),"D")</f>
        <v>D</v>
      </c>
      <c r="G83" s="2005" t="str">
        <f>IFERROR(__xludf.DUMMYFUNCTION("""COMPUTED_VALUE"""),"NN")</f>
        <v>NN</v>
      </c>
      <c r="H83" s="2005">
        <f>IFERROR(__xludf.DUMMYFUNCTION("""COMPUTED_VALUE"""),74.99)</f>
        <v>74.99</v>
      </c>
      <c r="I83" s="2005">
        <f>IFERROR(__xludf.DUMMYFUNCTION("""COMPUTED_VALUE"""),74.99)</f>
        <v>74.99</v>
      </c>
      <c r="BD83" s="2006"/>
      <c r="LL83" s="2007"/>
      <c r="LM83" s="2008"/>
      <c r="MX83" s="2007"/>
      <c r="ND83" s="2007"/>
    </row>
    <row r="84">
      <c r="A84" s="2005">
        <f>IFERROR(__xludf.DUMMYFUNCTION("""COMPUTED_VALUE"""),223905.0)</f>
        <v>223905</v>
      </c>
      <c r="B84" s="2005">
        <f>IFERROR(__xludf.DUMMYFUNCTION("""COMPUTED_VALUE"""),2403010.0)</f>
        <v>2403010</v>
      </c>
      <c r="C84" s="2005" t="str">
        <f>IFERROR(__xludf.DUMMYFUNCTION("""COMPUTED_VALUE"""),"Toner")</f>
        <v>Toner</v>
      </c>
      <c r="D84" s="2005" t="str">
        <f>IFERROR(__xludf.DUMMYFUNCTION("""COMPUTED_VALUE"""),"TN 2010")</f>
        <v>TN 2010</v>
      </c>
      <c r="E84" s="2005" t="str">
        <f>IFERROR(__xludf.DUMMYFUNCTION("""COMPUTED_VALUE"""),"BROTHER")</f>
        <v>BROTHER</v>
      </c>
      <c r="F84" s="2005" t="str">
        <f>IFERROR(__xludf.DUMMYFUNCTION("""COMPUTED_VALUE"""),"C")</f>
        <v>C</v>
      </c>
      <c r="G84" s="2005" t="str">
        <f>IFERROR(__xludf.DUMMYFUNCTION("""COMPUTED_VALUE"""),"FF")</f>
        <v>FF</v>
      </c>
      <c r="H84" s="2005">
        <f>IFERROR(__xludf.DUMMYFUNCTION("""COMPUTED_VALUE"""),50.11)</f>
        <v>50.11</v>
      </c>
      <c r="I84" s="2005">
        <f>IFERROR(__xludf.DUMMYFUNCTION("""COMPUTED_VALUE"""),50.11)</f>
        <v>50.11</v>
      </c>
      <c r="BD84" s="2006"/>
      <c r="LL84" s="2007"/>
      <c r="LM84" s="2008"/>
      <c r="MX84" s="2007"/>
      <c r="ND84" s="2007"/>
    </row>
    <row r="85">
      <c r="A85" s="2005">
        <f>IFERROR(__xludf.DUMMYFUNCTION("""COMPUTED_VALUE"""),245248.0)</f>
        <v>245248</v>
      </c>
      <c r="B85" s="2005">
        <f>IFERROR(__xludf.DUMMYFUNCTION("""COMPUTED_VALUE"""),2402015.0)</f>
        <v>2402015</v>
      </c>
      <c r="C85" s="2005" t="str">
        <f>IFERROR(__xludf.DUMMYFUNCTION("""COMPUTED_VALUE"""),"Papier")</f>
        <v>Papier</v>
      </c>
      <c r="D85" s="2005" t="str">
        <f>IFERROR(__xludf.DUMMYFUNCTION("""COMPUTED_VALUE"""),"100FL Everyday A4 180g Photo Brillant")</f>
        <v>100FL Everyday A4 180g Photo Brillant</v>
      </c>
      <c r="E85" s="2005" t="str">
        <f>IFERROR(__xludf.DUMMYFUNCTION("""COMPUTED_VALUE"""),"CANSON")</f>
        <v>CANSON</v>
      </c>
      <c r="F85" s="2005" t="str">
        <f>IFERROR(__xludf.DUMMYFUNCTION("""COMPUTED_VALUE"""),"B")</f>
        <v>B</v>
      </c>
      <c r="G85" s="2005" t="str">
        <f>IFERROR(__xludf.DUMMYFUNCTION("""COMPUTED_VALUE"""),"NN")</f>
        <v>NN</v>
      </c>
      <c r="H85">
        <f>IFERROR(__xludf.DUMMYFUNCTION("""COMPUTED_VALUE"""),17.99)</f>
        <v>17.99</v>
      </c>
      <c r="I85">
        <f>IFERROR(__xludf.DUMMYFUNCTION("""COMPUTED_VALUE"""),17.99)</f>
        <v>17.99</v>
      </c>
      <c r="BD85" s="2006"/>
      <c r="LL85" s="2007"/>
      <c r="LM85" s="2008"/>
      <c r="MX85" s="2007"/>
      <c r="ND85" s="2007"/>
    </row>
    <row r="86">
      <c r="A86" s="2005">
        <f>IFERROR(__xludf.DUMMYFUNCTION("""COMPUTED_VALUE"""),248487.0)</f>
        <v>248487</v>
      </c>
      <c r="B86" s="2005">
        <f>IFERROR(__xludf.DUMMYFUNCTION("""COMPUTED_VALUE"""),2503005.0)</f>
        <v>2503005</v>
      </c>
      <c r="C86" s="2005" t="str">
        <f>IFERROR(__xludf.DUMMYFUNCTION("""COMPUTED_VALUE"""),"Enceinte")</f>
        <v>Enceinte</v>
      </c>
      <c r="D86" s="2005" t="str">
        <f>IFERROR(__xludf.DUMMYFUNCTION("""COMPUTED_VALUE"""),"Companion 20")</f>
        <v>Companion 20</v>
      </c>
      <c r="E86" s="2005" t="str">
        <f>IFERROR(__xludf.DUMMYFUNCTION("""COMPUTED_VALUE"""),"BOSE")</f>
        <v>BOSE</v>
      </c>
      <c r="F86" s="2005" t="str">
        <f>IFERROR(__xludf.DUMMYFUNCTION("""COMPUTED_VALUE"""),"D")</f>
        <v>D</v>
      </c>
      <c r="G86" s="2005" t="str">
        <f>IFERROR(__xludf.DUMMYFUNCTION("""COMPUTED_VALUE"""),"NN")</f>
        <v>NN</v>
      </c>
      <c r="H86" s="2005">
        <f>IFERROR(__xludf.DUMMYFUNCTION("""COMPUTED_VALUE"""),186.99)</f>
        <v>186.99</v>
      </c>
      <c r="I86" s="2005">
        <f>IFERROR(__xludf.DUMMYFUNCTION("""COMPUTED_VALUE"""),186.99)</f>
        <v>186.99</v>
      </c>
      <c r="BD86" s="2006"/>
      <c r="LL86" s="2007"/>
      <c r="LM86" s="2008"/>
      <c r="MX86" s="2007"/>
      <c r="ND86" s="2008"/>
    </row>
    <row r="87">
      <c r="A87" s="2005">
        <f>IFERROR(__xludf.DUMMYFUNCTION("""COMPUTED_VALUE"""),250097.0)</f>
        <v>250097</v>
      </c>
      <c r="B87" s="2005">
        <f>IFERROR(__xludf.DUMMYFUNCTION("""COMPUTED_VALUE"""),2503005.0)</f>
        <v>2503005</v>
      </c>
      <c r="C87" s="2005" t="str">
        <f>IFERROR(__xludf.DUMMYFUNCTION("""COMPUTED_VALUE"""),"Enceinte")</f>
        <v>Enceinte</v>
      </c>
      <c r="D87" s="2005" t="str">
        <f>IFERROR(__xludf.DUMMYFUNCTION("""COMPUTED_VALUE"""),"Z120")</f>
        <v>Z120</v>
      </c>
      <c r="E87" s="2005" t="str">
        <f>IFERROR(__xludf.DUMMYFUNCTION("""COMPUTED_VALUE"""),"LOGITECH")</f>
        <v>LOGITECH</v>
      </c>
      <c r="F87" s="2005" t="str">
        <f>IFERROR(__xludf.DUMMYFUNCTION("""COMPUTED_VALUE"""),"W")</f>
        <v>W</v>
      </c>
      <c r="G87" s="2005" t="str">
        <f>IFERROR(__xludf.DUMMYFUNCTION("""COMPUTED_VALUE"""),"NN")</f>
        <v>NN</v>
      </c>
      <c r="H87" s="2005">
        <f>IFERROR(__xludf.DUMMYFUNCTION("""COMPUTED_VALUE"""),19.99)</f>
        <v>19.99</v>
      </c>
      <c r="I87" s="2005">
        <f>IFERROR(__xludf.DUMMYFUNCTION("""COMPUTED_VALUE"""),19.99)</f>
        <v>19.99</v>
      </c>
      <c r="BD87" s="2006"/>
      <c r="LL87" s="2007"/>
      <c r="LM87" s="2008"/>
      <c r="MX87" s="2007"/>
      <c r="ND87" s="2008"/>
    </row>
    <row r="88">
      <c r="A88" s="2005">
        <f>IFERROR(__xludf.DUMMYFUNCTION("""COMPUTED_VALUE"""),250102.0)</f>
        <v>250102</v>
      </c>
      <c r="B88" s="2005">
        <f>IFERROR(__xludf.DUMMYFUNCTION("""COMPUTED_VALUE"""),2502015.0)</f>
        <v>2502015</v>
      </c>
      <c r="C88" s="2005" t="str">
        <f>IFERROR(__xludf.DUMMYFUNCTION("""COMPUTED_VALUE"""),"Clavier")</f>
        <v>Clavier</v>
      </c>
      <c r="D88" s="2005" t="str">
        <f>IFERROR(__xludf.DUMMYFUNCTION("""COMPUTED_VALUE"""),"K360")</f>
        <v>K360</v>
      </c>
      <c r="E88" s="2005" t="str">
        <f>IFERROR(__xludf.DUMMYFUNCTION("""COMPUTED_VALUE"""),"LOGITECH")</f>
        <v>LOGITECH</v>
      </c>
      <c r="F88" s="2005" t="str">
        <f>IFERROR(__xludf.DUMMYFUNCTION("""COMPUTED_VALUE"""),"W")</f>
        <v>W</v>
      </c>
      <c r="G88" s="2005" t="str">
        <f>IFERROR(__xludf.DUMMYFUNCTION("""COMPUTED_VALUE"""),"FF")</f>
        <v>FF</v>
      </c>
      <c r="H88">
        <f>IFERROR(__xludf.DUMMYFUNCTION("""COMPUTED_VALUE"""),49.99)</f>
        <v>49.99</v>
      </c>
      <c r="I88">
        <f>IFERROR(__xludf.DUMMYFUNCTION("""COMPUTED_VALUE"""),49.99)</f>
        <v>49.99</v>
      </c>
      <c r="BD88" s="2006"/>
      <c r="LL88" s="2008"/>
      <c r="LM88" s="2008"/>
      <c r="MX88" s="2007"/>
      <c r="ND88" s="2008"/>
    </row>
    <row r="89">
      <c r="A89" s="2005">
        <f>IFERROR(__xludf.DUMMYFUNCTION("""COMPUTED_VALUE"""),250118.0)</f>
        <v>250118</v>
      </c>
      <c r="B89" s="2005">
        <f>IFERROR(__xludf.DUMMYFUNCTION("""COMPUTED_VALUE"""),2502010.0)</f>
        <v>2502010</v>
      </c>
      <c r="C89" s="2005" t="str">
        <f>IFERROR(__xludf.DUMMYFUNCTION("""COMPUTED_VALUE"""),"Souris")</f>
        <v>Souris</v>
      </c>
      <c r="D89" s="2005" t="str">
        <f>IFERROR(__xludf.DUMMYFUNCTION("""COMPUTED_VALUE"""),"M185 Swift Grey")</f>
        <v>M185 Swift Grey</v>
      </c>
      <c r="E89" s="2005" t="str">
        <f>IFERROR(__xludf.DUMMYFUNCTION("""COMPUTED_VALUE"""),"LOGITECH")</f>
        <v>LOGITECH</v>
      </c>
      <c r="F89" s="2005" t="str">
        <f>IFERROR(__xludf.DUMMYFUNCTION("""COMPUTED_VALUE"""),"A")</f>
        <v>A</v>
      </c>
      <c r="G89" s="2005" t="str">
        <f>IFERROR(__xludf.DUMMYFUNCTION("""COMPUTED_VALUE"""),"AC")</f>
        <v>AC</v>
      </c>
      <c r="H89" s="2005">
        <f>IFERROR(__xludf.DUMMYFUNCTION("""COMPUTED_VALUE"""),14.99)</f>
        <v>14.99</v>
      </c>
      <c r="I89" s="2005">
        <f>IFERROR(__xludf.DUMMYFUNCTION("""COMPUTED_VALUE"""),14.99)</f>
        <v>14.99</v>
      </c>
      <c r="BD89" s="2006"/>
      <c r="LL89" s="2007"/>
      <c r="LM89" s="2008"/>
      <c r="MX89" s="2007"/>
      <c r="ND89" s="2008"/>
    </row>
    <row r="90">
      <c r="A90" s="2005">
        <f>IFERROR(__xludf.DUMMYFUNCTION("""COMPUTED_VALUE"""),250615.0)</f>
        <v>250615</v>
      </c>
      <c r="B90" s="2005">
        <f>IFERROR(__xludf.DUMMYFUNCTION("""COMPUTED_VALUE"""),2502010.0)</f>
        <v>2502010</v>
      </c>
      <c r="C90" s="2005" t="str">
        <f>IFERROR(__xludf.DUMMYFUNCTION("""COMPUTED_VALUE"""),"Souris")</f>
        <v>Souris</v>
      </c>
      <c r="D90" s="2005" t="str">
        <f>IFERROR(__xludf.DUMMYFUNCTION("""COMPUTED_VALUE"""),"M185 Blue")</f>
        <v>M185 Blue</v>
      </c>
      <c r="E90" s="2005" t="str">
        <f>IFERROR(__xludf.DUMMYFUNCTION("""COMPUTED_VALUE"""),"LOGITECH")</f>
        <v>LOGITECH</v>
      </c>
      <c r="F90" s="2005" t="str">
        <f>IFERROR(__xludf.DUMMYFUNCTION("""COMPUTED_VALUE"""),"H")</f>
        <v>H</v>
      </c>
      <c r="G90" s="2005" t="str">
        <f>IFERROR(__xludf.DUMMYFUNCTION("""COMPUTED_VALUE"""),"NN")</f>
        <v>NN</v>
      </c>
      <c r="H90" s="2005">
        <f>IFERROR(__xludf.DUMMYFUNCTION("""COMPUTED_VALUE"""),17.99)</f>
        <v>17.99</v>
      </c>
      <c r="I90" s="2005">
        <f>IFERROR(__xludf.DUMMYFUNCTION("""COMPUTED_VALUE"""),17.99)</f>
        <v>17.99</v>
      </c>
      <c r="BD90" s="2006"/>
      <c r="LL90" s="2007"/>
      <c r="LM90" s="2008"/>
      <c r="MX90" s="2007"/>
      <c r="ND90" s="2008"/>
    </row>
    <row r="91">
      <c r="A91" s="2005">
        <f>IFERROR(__xludf.DUMMYFUNCTION("""COMPUTED_VALUE"""),252903.0)</f>
        <v>252903</v>
      </c>
      <c r="B91" s="2005">
        <f>IFERROR(__xludf.DUMMYFUNCTION("""COMPUTED_VALUE"""),1103005.0)</f>
        <v>1103005</v>
      </c>
      <c r="C91" s="2005" t="str">
        <f>IFERROR(__xludf.DUMMYFUNCTION("""COMPUTED_VALUE"""),"Tél.")</f>
        <v>Tél.</v>
      </c>
      <c r="D91" s="2005" t="str">
        <f>IFERROR(__xludf.DUMMYFUNCTION("""COMPUTED_VALUE"""),"SL910")</f>
        <v>SL910</v>
      </c>
      <c r="E91" s="2005" t="str">
        <f>IFERROR(__xludf.DUMMYFUNCTION("""COMPUTED_VALUE"""),"GIGASET")</f>
        <v>GIGASET</v>
      </c>
      <c r="F91" s="2005" t="str">
        <f>IFERROR(__xludf.DUMMYFUNCTION("""COMPUTED_VALUE"""),"D")</f>
        <v>D</v>
      </c>
      <c r="G91" s="2005" t="str">
        <f>IFERROR(__xludf.DUMMYFUNCTION("""COMPUTED_VALUE"""),"NN")</f>
        <v>NN</v>
      </c>
      <c r="H91" s="2005">
        <f>IFERROR(__xludf.DUMMYFUNCTION("""COMPUTED_VALUE"""),75.99)</f>
        <v>75.99</v>
      </c>
      <c r="I91" s="2005">
        <f>IFERROR(__xludf.DUMMYFUNCTION("""COMPUTED_VALUE"""),75.99)</f>
        <v>75.99</v>
      </c>
      <c r="BD91" s="2006"/>
      <c r="LL91" s="2007"/>
      <c r="LM91" s="2008"/>
      <c r="MX91" s="2007"/>
      <c r="ND91" s="2008"/>
    </row>
    <row r="92">
      <c r="A92" s="2005">
        <f>IFERROR(__xludf.DUMMYFUNCTION("""COMPUTED_VALUE"""),252904.0)</f>
        <v>252904</v>
      </c>
      <c r="B92" s="2005">
        <f>IFERROR(__xludf.DUMMYFUNCTION("""COMPUTED_VALUE"""),1103015.0)</f>
        <v>1103015</v>
      </c>
      <c r="C92" s="2005" t="str">
        <f>IFERROR(__xludf.DUMMYFUNCTION("""COMPUTED_VALUE"""),"Tél.")</f>
        <v>Tél.</v>
      </c>
      <c r="D92" s="2005" t="str">
        <f>IFERROR(__xludf.DUMMYFUNCTION("""COMPUTED_VALUE"""),"SL910H")</f>
        <v>SL910H</v>
      </c>
      <c r="E92" s="2005" t="str">
        <f>IFERROR(__xludf.DUMMYFUNCTION("""COMPUTED_VALUE"""),"GIGASET")</f>
        <v>GIGASET</v>
      </c>
      <c r="F92" s="2005" t="str">
        <f>IFERROR(__xludf.DUMMYFUNCTION("""COMPUTED_VALUE"""),"E")</f>
        <v>E</v>
      </c>
      <c r="G92" s="2005" t="str">
        <f>IFERROR(__xludf.DUMMYFUNCTION("""COMPUTED_VALUE"""),"NN")</f>
        <v>NN</v>
      </c>
      <c r="H92" s="2005">
        <f>IFERROR(__xludf.DUMMYFUNCTION("""COMPUTED_VALUE"""),75.99)</f>
        <v>75.99</v>
      </c>
      <c r="I92" s="2005">
        <f>IFERROR(__xludf.DUMMYFUNCTION("""COMPUTED_VALUE"""),75.99)</f>
        <v>75.99</v>
      </c>
      <c r="BD92" s="2006"/>
      <c r="LM92" s="2007"/>
      <c r="MX92" s="2007"/>
      <c r="ND92" s="2007"/>
    </row>
    <row r="93">
      <c r="A93" s="2005">
        <f>IFERROR(__xludf.DUMMYFUNCTION("""COMPUTED_VALUE"""),253401.0)</f>
        <v>253401</v>
      </c>
      <c r="B93" s="2005">
        <f>IFERROR(__xludf.DUMMYFUNCTION("""COMPUTED_VALUE"""),2403010.0)</f>
        <v>2403010</v>
      </c>
      <c r="C93" s="2005" t="str">
        <f>IFERROR(__xludf.DUMMYFUNCTION("""COMPUTED_VALUE"""),"Pack")</f>
        <v>Pack</v>
      </c>
      <c r="D93" s="2005" t="str">
        <f>IFERROR(__xludf.DUMMYFUNCTION("""COMPUTED_VALUE"""),"CLT4072P N/C/M/J")</f>
        <v>CLT4072P N/C/M/J</v>
      </c>
      <c r="E93" s="2005" t="str">
        <f>IFERROR(__xludf.DUMMYFUNCTION("""COMPUTED_VALUE"""),"SAMSUNG")</f>
        <v>SAMSUNG</v>
      </c>
      <c r="F93" s="2005" t="str">
        <f>IFERROR(__xludf.DUMMYFUNCTION("""COMPUTED_VALUE"""),"H")</f>
        <v>H</v>
      </c>
      <c r="G93" s="2005" t="str">
        <f>IFERROR(__xludf.DUMMYFUNCTION("""COMPUTED_VALUE"""),"NN")</f>
        <v>NN</v>
      </c>
      <c r="H93" s="2005">
        <f>IFERROR(__xludf.DUMMYFUNCTION("""COMPUTED_VALUE"""),146.99)</f>
        <v>146.99</v>
      </c>
      <c r="I93" s="2005">
        <f>IFERROR(__xludf.DUMMYFUNCTION("""COMPUTED_VALUE"""),146.99)</f>
        <v>146.99</v>
      </c>
      <c r="BD93" s="2006"/>
      <c r="LL93" s="2007"/>
      <c r="LM93" s="2008"/>
      <c r="MX93" s="2007"/>
      <c r="ND93" s="2007"/>
    </row>
    <row r="94">
      <c r="A94" s="2005">
        <f>IFERROR(__xludf.DUMMYFUNCTION("""COMPUTED_VALUE"""),263088.0)</f>
        <v>263088</v>
      </c>
      <c r="B94" s="2005">
        <f>IFERROR(__xludf.DUMMYFUNCTION("""COMPUTED_VALUE"""),2402015.0)</f>
        <v>2402015</v>
      </c>
      <c r="C94" s="2005" t="str">
        <f>IFERROR(__xludf.DUMMYFUNCTION("""COMPUTED_VALUE"""),"Papier")</f>
        <v>Papier</v>
      </c>
      <c r="D94" s="2005" t="str">
        <f>IFERROR(__xludf.DUMMYFUNCTION("""COMPUTED_VALUE"""),"CR676A Brillant 13x18 20f")</f>
        <v>CR676A Brillant 13x18 20f</v>
      </c>
      <c r="E94" s="2005" t="str">
        <f>IFERROR(__xludf.DUMMYFUNCTION("""COMPUTED_VALUE"""),"HP")</f>
        <v>HP</v>
      </c>
      <c r="F94" s="2005" t="str">
        <f>IFERROR(__xludf.DUMMYFUNCTION("""COMPUTED_VALUE"""),"A")</f>
        <v>A</v>
      </c>
      <c r="G94" s="2005" t="str">
        <f>IFERROR(__xludf.DUMMYFUNCTION("""COMPUTED_VALUE"""),"NN")</f>
        <v>NN</v>
      </c>
      <c r="H94" s="2005">
        <f>IFERROR(__xludf.DUMMYFUNCTION("""COMPUTED_VALUE"""),9.99)</f>
        <v>9.99</v>
      </c>
      <c r="I94" s="2005">
        <f>IFERROR(__xludf.DUMMYFUNCTION("""COMPUTED_VALUE"""),9.99)</f>
        <v>9.99</v>
      </c>
      <c r="BD94" s="2006"/>
      <c r="LM94" s="2008"/>
    </row>
    <row r="95">
      <c r="A95" s="2005">
        <f>IFERROR(__xludf.DUMMYFUNCTION("""COMPUTED_VALUE"""),263089.0)</f>
        <v>263089</v>
      </c>
      <c r="B95" s="2005">
        <f>IFERROR(__xludf.DUMMYFUNCTION("""COMPUTED_VALUE"""),2402015.0)</f>
        <v>2402015</v>
      </c>
      <c r="C95" s="2005" t="str">
        <f>IFERROR(__xludf.DUMMYFUNCTION("""COMPUTED_VALUE"""),"Papier")</f>
        <v>Papier</v>
      </c>
      <c r="D95" s="2005" t="str">
        <f>IFERROR(__xludf.DUMMYFUNCTION("""COMPUTED_VALUE"""),"CR672A Premium A4 Brillant 300g 20f")</f>
        <v>CR672A Premium A4 Brillant 300g 20f</v>
      </c>
      <c r="E95" s="2005" t="str">
        <f>IFERROR(__xludf.DUMMYFUNCTION("""COMPUTED_VALUE"""),"HP")</f>
        <v>HP</v>
      </c>
      <c r="F95" s="2005" t="str">
        <f>IFERROR(__xludf.DUMMYFUNCTION("""COMPUTED_VALUE"""),"C")</f>
        <v>C</v>
      </c>
      <c r="G95" s="2005" t="str">
        <f>IFERROR(__xludf.DUMMYFUNCTION("""COMPUTED_VALUE"""),"AC")</f>
        <v>AC</v>
      </c>
      <c r="H95" s="2005">
        <f>IFERROR(__xludf.DUMMYFUNCTION("""COMPUTED_VALUE"""),19.9)</f>
        <v>19.9</v>
      </c>
      <c r="I95" s="2005">
        <f>IFERROR(__xludf.DUMMYFUNCTION("""COMPUTED_VALUE"""),19.9)</f>
        <v>19.9</v>
      </c>
      <c r="BD95" s="2006"/>
      <c r="LM95" s="2007"/>
    </row>
    <row r="96">
      <c r="A96" s="2005">
        <f>IFERROR(__xludf.DUMMYFUNCTION("""COMPUTED_VALUE"""),263091.0)</f>
        <v>263091</v>
      </c>
      <c r="B96" s="2005">
        <f>IFERROR(__xludf.DUMMYFUNCTION("""COMPUTED_VALUE"""),2403010.0)</f>
        <v>2403010</v>
      </c>
      <c r="C96" s="2005" t="str">
        <f>IFERROR(__xludf.DUMMYFUNCTION("""COMPUTED_VALUE"""),"Toner")</f>
        <v>Toner</v>
      </c>
      <c r="D96" s="2005" t="str">
        <f>IFERROR(__xludf.DUMMYFUNCTION("""COMPUTED_VALUE"""),"MLTD101S 1500 pages")</f>
        <v>MLTD101S 1500 pages</v>
      </c>
      <c r="E96" s="2005" t="str">
        <f>IFERROR(__xludf.DUMMYFUNCTION("""COMPUTED_VALUE"""),"SAMSUNG")</f>
        <v>SAMSUNG</v>
      </c>
      <c r="F96" s="2005" t="str">
        <f>IFERROR(__xludf.DUMMYFUNCTION("""COMPUTED_VALUE"""),"H")</f>
        <v>H</v>
      </c>
      <c r="G96" s="2005" t="str">
        <f>IFERROR(__xludf.DUMMYFUNCTION("""COMPUTED_VALUE"""),"FF")</f>
        <v>FF</v>
      </c>
      <c r="H96" s="2005">
        <f>IFERROR(__xludf.DUMMYFUNCTION("""COMPUTED_VALUE"""),105.99)</f>
        <v>105.99</v>
      </c>
      <c r="I96" s="2005">
        <f>IFERROR(__xludf.DUMMYFUNCTION("""COMPUTED_VALUE"""),105.99)</f>
        <v>105.99</v>
      </c>
      <c r="BD96" s="2006"/>
      <c r="LM96" s="2007"/>
      <c r="MX96" s="2007"/>
      <c r="ND96" s="2007"/>
    </row>
    <row r="97">
      <c r="A97" s="2005">
        <f>IFERROR(__xludf.DUMMYFUNCTION("""COMPUTED_VALUE"""),266739.0)</f>
        <v>266739</v>
      </c>
      <c r="B97" s="2005">
        <f>IFERROR(__xludf.DUMMYFUNCTION("""COMPUTED_VALUE"""),2503010.0)</f>
        <v>2503010</v>
      </c>
      <c r="C97" s="2005" t="str">
        <f>IFERROR(__xludf.DUMMYFUNCTION("""COMPUTED_VALUE"""),"Casque micro")</f>
        <v>Casque micro</v>
      </c>
      <c r="D97" s="2005" t="str">
        <f>IFERROR(__xludf.DUMMYFUNCTION("""COMPUTED_VALUE"""),"H390 USB stéréo")</f>
        <v>H390 USB stéréo</v>
      </c>
      <c r="E97" s="2005" t="str">
        <f>IFERROR(__xludf.DUMMYFUNCTION("""COMPUTED_VALUE"""),"LOGITECH")</f>
        <v>LOGITECH</v>
      </c>
      <c r="F97" s="2005" t="str">
        <f>IFERROR(__xludf.DUMMYFUNCTION("""COMPUTED_VALUE"""),"A")</f>
        <v>A</v>
      </c>
      <c r="G97" s="2005" t="str">
        <f>IFERROR(__xludf.DUMMYFUNCTION("""COMPUTED_VALUE"""),"AC")</f>
        <v>AC</v>
      </c>
      <c r="H97" s="2005">
        <f>IFERROR(__xludf.DUMMYFUNCTION("""COMPUTED_VALUE"""),49.99)</f>
        <v>49.99</v>
      </c>
      <c r="I97" s="2005">
        <f>IFERROR(__xludf.DUMMYFUNCTION("""COMPUTED_VALUE"""),49.99)</f>
        <v>49.99</v>
      </c>
      <c r="BD97" s="2006"/>
      <c r="LL97" s="2007"/>
      <c r="LM97" s="2007"/>
      <c r="MX97" s="2007"/>
      <c r="ND97" s="2007"/>
    </row>
    <row r="98">
      <c r="A98" s="2005">
        <f>IFERROR(__xludf.DUMMYFUNCTION("""COMPUTED_VALUE"""),269865.0)</f>
        <v>269865</v>
      </c>
      <c r="B98" s="2005">
        <f>IFERROR(__xludf.DUMMYFUNCTION("""COMPUTED_VALUE"""),2403005.0)</f>
        <v>2403005</v>
      </c>
      <c r="C98" s="2005" t="str">
        <f>IFERROR(__xludf.DUMMYFUNCTION("""COMPUTED_VALUE"""),"Pack")</f>
        <v>Pack</v>
      </c>
      <c r="D98" s="2005" t="str">
        <f>IFERROR(__xludf.DUMMYFUNCTION("""COMPUTED_VALUE"""),"N°150 (C/M/J)")</f>
        <v>N°150 (C/M/J)</v>
      </c>
      <c r="E98" s="2005" t="str">
        <f>IFERROR(__xludf.DUMMYFUNCTION("""COMPUTED_VALUE"""),"LEXMARK")</f>
        <v>LEXMARK</v>
      </c>
      <c r="F98" s="2005" t="str">
        <f>IFERROR(__xludf.DUMMYFUNCTION("""COMPUTED_VALUE"""),"H")</f>
        <v>H</v>
      </c>
      <c r="G98" s="2005" t="str">
        <f>IFERROR(__xludf.DUMMYFUNCTION("""COMPUTED_VALUE"""),"NN")</f>
        <v>NN</v>
      </c>
      <c r="H98" s="2005">
        <f>IFERROR(__xludf.DUMMYFUNCTION("""COMPUTED_VALUE"""),36.99)</f>
        <v>36.99</v>
      </c>
      <c r="I98" s="2005">
        <f>IFERROR(__xludf.DUMMYFUNCTION("""COMPUTED_VALUE"""),36.99)</f>
        <v>36.99</v>
      </c>
      <c r="BD98" s="2006"/>
      <c r="LM98" s="2007"/>
    </row>
    <row r="99">
      <c r="A99">
        <f>IFERROR(__xludf.DUMMYFUNCTION("""COMPUTED_VALUE"""),269866.0)</f>
        <v>269866</v>
      </c>
      <c r="B99">
        <f>IFERROR(__xludf.DUMMYFUNCTION("""COMPUTED_VALUE"""),2403005.0)</f>
        <v>2403005</v>
      </c>
      <c r="C99" t="str">
        <f>IFERROR(__xludf.DUMMYFUNCTION("""COMPUTED_VALUE"""),"Cartouche")</f>
        <v>Cartouche</v>
      </c>
      <c r="D99" t="str">
        <f>IFERROR(__xludf.DUMMYFUNCTION("""COMPUTED_VALUE"""),"N°155 Noire")</f>
        <v>N°155 Noire</v>
      </c>
      <c r="E99" t="str">
        <f>IFERROR(__xludf.DUMMYFUNCTION("""COMPUTED_VALUE"""),"LEXMARK")</f>
        <v>LEXMARK</v>
      </c>
      <c r="F99" t="str">
        <f>IFERROR(__xludf.DUMMYFUNCTION("""COMPUTED_VALUE"""),"C")</f>
        <v>C</v>
      </c>
      <c r="G99" t="str">
        <f>IFERROR(__xludf.DUMMYFUNCTION("""COMPUTED_VALUE"""),"NN")</f>
        <v>NN</v>
      </c>
      <c r="H99">
        <f>IFERROR(__xludf.DUMMYFUNCTION("""COMPUTED_VALUE"""),17.99)</f>
        <v>17.99</v>
      </c>
      <c r="I99">
        <f>IFERROR(__xludf.DUMMYFUNCTION("""COMPUTED_VALUE"""),17.99)</f>
        <v>17.99</v>
      </c>
      <c r="BD99" s="2006"/>
      <c r="LM99" s="2007"/>
    </row>
    <row r="100">
      <c r="A100" s="2005">
        <f>IFERROR(__xludf.DUMMYFUNCTION("""COMPUTED_VALUE"""),269867.0)</f>
        <v>269867</v>
      </c>
      <c r="B100" s="2005">
        <f>IFERROR(__xludf.DUMMYFUNCTION("""COMPUTED_VALUE"""),2403005.0)</f>
        <v>2403005</v>
      </c>
      <c r="C100" s="2005" t="str">
        <f>IFERROR(__xludf.DUMMYFUNCTION("""COMPUTED_VALUE"""),"Cartouche")</f>
        <v>Cartouche</v>
      </c>
      <c r="D100" s="2005" t="str">
        <f>IFERROR(__xludf.DUMMYFUNCTION("""COMPUTED_VALUE"""),"PG-540 noire")</f>
        <v>PG-540 noire</v>
      </c>
      <c r="E100" s="2005" t="str">
        <f>IFERROR(__xludf.DUMMYFUNCTION("""COMPUTED_VALUE"""),"CANON")</f>
        <v>CANON</v>
      </c>
      <c r="F100" s="2005" t="str">
        <f>IFERROR(__xludf.DUMMYFUNCTION("""COMPUTED_VALUE"""),"A")</f>
        <v>A</v>
      </c>
      <c r="G100" s="2005" t="str">
        <f>IFERROR(__xludf.DUMMYFUNCTION("""COMPUTED_VALUE"""),"AC")</f>
        <v>AC</v>
      </c>
      <c r="H100" s="2005">
        <f>IFERROR(__xludf.DUMMYFUNCTION("""COMPUTED_VALUE"""),22.49)</f>
        <v>22.49</v>
      </c>
      <c r="I100" s="2005">
        <f>IFERROR(__xludf.DUMMYFUNCTION("""COMPUTED_VALUE"""),22.49)</f>
        <v>22.49</v>
      </c>
      <c r="BD100" s="2006"/>
      <c r="LL100" s="2007"/>
      <c r="LM100" s="2007"/>
      <c r="MX100" s="2007"/>
      <c r="ND100" s="2007"/>
    </row>
    <row r="101">
      <c r="A101" s="2005">
        <f>IFERROR(__xludf.DUMMYFUNCTION("""COMPUTED_VALUE"""),269868.0)</f>
        <v>269868</v>
      </c>
      <c r="B101" s="2005">
        <f>IFERROR(__xludf.DUMMYFUNCTION("""COMPUTED_VALUE"""),2403005.0)</f>
        <v>2403005</v>
      </c>
      <c r="C101" s="2005" t="str">
        <f>IFERROR(__xludf.DUMMYFUNCTION("""COMPUTED_VALUE"""),"Cartouche")</f>
        <v>Cartouche</v>
      </c>
      <c r="D101" s="2005" t="str">
        <f>IFERROR(__xludf.DUMMYFUNCTION("""COMPUTED_VALUE"""),"541 Couleurs")</f>
        <v>541 Couleurs</v>
      </c>
      <c r="E101" s="2005" t="str">
        <f>IFERROR(__xludf.DUMMYFUNCTION("""COMPUTED_VALUE"""),"CANON")</f>
        <v>CANON</v>
      </c>
      <c r="F101" s="2005" t="str">
        <f>IFERROR(__xludf.DUMMYFUNCTION("""COMPUTED_VALUE"""),"B")</f>
        <v>B</v>
      </c>
      <c r="G101" s="2005" t="str">
        <f>IFERROR(__xludf.DUMMYFUNCTION("""COMPUTED_VALUE"""),"AC")</f>
        <v>AC</v>
      </c>
      <c r="H101">
        <f>IFERROR(__xludf.DUMMYFUNCTION("""COMPUTED_VALUE"""),27.5)</f>
        <v>27.5</v>
      </c>
      <c r="I101">
        <f>IFERROR(__xludf.DUMMYFUNCTION("""COMPUTED_VALUE"""),27.5)</f>
        <v>27.5</v>
      </c>
      <c r="BD101" s="2006"/>
      <c r="LM101" s="2007"/>
      <c r="MX101" s="2007"/>
      <c r="ND101" s="2007"/>
    </row>
    <row r="102">
      <c r="A102" s="2005">
        <f>IFERROR(__xludf.DUMMYFUNCTION("""COMPUTED_VALUE"""),269869.0)</f>
        <v>269869</v>
      </c>
      <c r="B102" s="2005">
        <f>IFERROR(__xludf.DUMMYFUNCTION("""COMPUTED_VALUE"""),2403005.0)</f>
        <v>2403005</v>
      </c>
      <c r="C102" s="2005" t="str">
        <f>IFERROR(__xludf.DUMMYFUNCTION("""COMPUTED_VALUE"""),"Cartouche")</f>
        <v>Cartouche</v>
      </c>
      <c r="D102" s="2005" t="str">
        <f>IFERROR(__xludf.DUMMYFUNCTION("""COMPUTED_VALUE"""),"PG-540 XL noire")</f>
        <v>PG-540 XL noire</v>
      </c>
      <c r="E102" s="2005" t="str">
        <f>IFERROR(__xludf.DUMMYFUNCTION("""COMPUTED_VALUE"""),"CANON")</f>
        <v>CANON</v>
      </c>
      <c r="F102" s="2005" t="str">
        <f>IFERROR(__xludf.DUMMYFUNCTION("""COMPUTED_VALUE"""),"A")</f>
        <v>A</v>
      </c>
      <c r="G102" s="2005" t="str">
        <f>IFERROR(__xludf.DUMMYFUNCTION("""COMPUTED_VALUE"""),"NN")</f>
        <v>NN</v>
      </c>
      <c r="H102" s="2005">
        <f>IFERROR(__xludf.DUMMYFUNCTION("""COMPUTED_VALUE"""),30.99)</f>
        <v>30.99</v>
      </c>
      <c r="I102" s="2005">
        <f>IFERROR(__xludf.DUMMYFUNCTION("""COMPUTED_VALUE"""),30.99)</f>
        <v>30.99</v>
      </c>
      <c r="LL102" s="2007"/>
      <c r="LM102" s="2007"/>
      <c r="MX102" s="2007"/>
      <c r="ND102" s="2007"/>
    </row>
    <row r="103">
      <c r="A103" s="2005">
        <f>IFERROR(__xludf.DUMMYFUNCTION("""COMPUTED_VALUE"""),269870.0)</f>
        <v>269870</v>
      </c>
      <c r="B103" s="2005">
        <f>IFERROR(__xludf.DUMMYFUNCTION("""COMPUTED_VALUE"""),2403005.0)</f>
        <v>2403005</v>
      </c>
      <c r="C103" s="2005" t="str">
        <f>IFERROR(__xludf.DUMMYFUNCTION("""COMPUTED_VALUE"""),"Cartouche")</f>
        <v>Cartouche</v>
      </c>
      <c r="D103" s="2005" t="str">
        <f>IFERROR(__xludf.DUMMYFUNCTION("""COMPUTED_VALUE"""),"CL-541 XL couleurs")</f>
        <v>CL-541 XL couleurs</v>
      </c>
      <c r="E103" s="2005" t="str">
        <f>IFERROR(__xludf.DUMMYFUNCTION("""COMPUTED_VALUE"""),"CANON")</f>
        <v>CANON</v>
      </c>
      <c r="F103" s="2005" t="str">
        <f>IFERROR(__xludf.DUMMYFUNCTION("""COMPUTED_VALUE"""),"B")</f>
        <v>B</v>
      </c>
      <c r="G103" s="2005" t="str">
        <f>IFERROR(__xludf.DUMMYFUNCTION("""COMPUTED_VALUE"""),"AC")</f>
        <v>AC</v>
      </c>
      <c r="H103" s="2005">
        <f>IFERROR(__xludf.DUMMYFUNCTION("""COMPUTED_VALUE"""),32.51)</f>
        <v>32.51</v>
      </c>
      <c r="I103" s="2005">
        <f>IFERROR(__xludf.DUMMYFUNCTION("""COMPUTED_VALUE"""),32.51)</f>
        <v>32.51</v>
      </c>
      <c r="BD103" s="2006"/>
      <c r="LL103" s="2007"/>
      <c r="LM103" s="2007"/>
      <c r="MX103" s="2007"/>
      <c r="ND103" s="2007"/>
    </row>
    <row r="104">
      <c r="A104" s="2005">
        <f>IFERROR(__xludf.DUMMYFUNCTION("""COMPUTED_VALUE"""),269871.0)</f>
        <v>269871</v>
      </c>
      <c r="B104" s="2005">
        <f>IFERROR(__xludf.DUMMYFUNCTION("""COMPUTED_VALUE"""),2403005.0)</f>
        <v>2403005</v>
      </c>
      <c r="C104" s="2005" t="str">
        <f>IFERROR(__xludf.DUMMYFUNCTION("""COMPUTED_VALUE"""),"Pack")</f>
        <v>Pack</v>
      </c>
      <c r="D104" s="2005" t="str">
        <f>IFERROR(__xludf.DUMMYFUNCTION("""COMPUTED_VALUE"""),"PG-540 noire CL-541 3 couleurs")</f>
        <v>PG-540 noire CL-541 3 couleurs</v>
      </c>
      <c r="E104" s="2005" t="str">
        <f>IFERROR(__xludf.DUMMYFUNCTION("""COMPUTED_VALUE"""),"CANON")</f>
        <v>CANON</v>
      </c>
      <c r="F104" s="2005" t="str">
        <f>IFERROR(__xludf.DUMMYFUNCTION("""COMPUTED_VALUE"""),"A")</f>
        <v>A</v>
      </c>
      <c r="G104" s="2005" t="str">
        <f>IFERROR(__xludf.DUMMYFUNCTION("""COMPUTED_VALUE"""),"AC")</f>
        <v>AC</v>
      </c>
      <c r="H104" s="2005">
        <f>IFERROR(__xludf.DUMMYFUNCTION("""COMPUTED_VALUE"""),44.99)</f>
        <v>44.99</v>
      </c>
      <c r="I104" s="2005">
        <f>IFERROR(__xludf.DUMMYFUNCTION("""COMPUTED_VALUE"""),44.99)</f>
        <v>44.99</v>
      </c>
      <c r="BD104" s="2006"/>
      <c r="LL104" s="2007"/>
      <c r="LM104" s="2007"/>
      <c r="MX104" s="2008"/>
      <c r="ND104" s="2007"/>
    </row>
    <row r="105">
      <c r="A105" s="2005">
        <f>IFERROR(__xludf.DUMMYFUNCTION("""COMPUTED_VALUE"""),270348.0)</f>
        <v>270348</v>
      </c>
      <c r="B105" s="2005">
        <f>IFERROR(__xludf.DUMMYFUNCTION("""COMPUTED_VALUE"""),2403005.0)</f>
        <v>2403005</v>
      </c>
      <c r="C105" s="2005" t="str">
        <f>IFERROR(__xludf.DUMMYFUNCTION("""COMPUTED_VALUE"""),"Cartouche")</f>
        <v>Cartouche</v>
      </c>
      <c r="D105" s="2005" t="str">
        <f>IFERROR(__xludf.DUMMYFUNCTION("""COMPUTED_VALUE"""),"C510 Noire Série Scooter")</f>
        <v>C510 Noire Série Scooter</v>
      </c>
      <c r="E105" s="2005" t="str">
        <f>IFERROR(__xludf.DUMMYFUNCTION("""COMPUTED_VALUE"""),"ESSENTIELB")</f>
        <v>ESSENTIELB</v>
      </c>
      <c r="F105" s="2005" t="str">
        <f>IFERROR(__xludf.DUMMYFUNCTION("""COMPUTED_VALUE"""),"B")</f>
        <v>B</v>
      </c>
      <c r="G105" s="2005" t="str">
        <f>IFERROR(__xludf.DUMMYFUNCTION("""COMPUTED_VALUE"""),"NN")</f>
        <v>NN</v>
      </c>
      <c r="H105" s="2005">
        <f>IFERROR(__xludf.DUMMYFUNCTION("""COMPUTED_VALUE"""),14.99)</f>
        <v>14.99</v>
      </c>
      <c r="I105" s="2005">
        <f>IFERROR(__xludf.DUMMYFUNCTION("""COMPUTED_VALUE"""),14.99)</f>
        <v>14.99</v>
      </c>
      <c r="BD105" s="2006"/>
      <c r="LL105" s="2007"/>
      <c r="LM105" s="2007"/>
      <c r="MX105" s="2008"/>
      <c r="ND105" s="2007"/>
    </row>
    <row r="106">
      <c r="A106" s="2005">
        <f>IFERROR(__xludf.DUMMYFUNCTION("""COMPUTED_VALUE"""),270349.0)</f>
        <v>270349</v>
      </c>
      <c r="B106" s="2005">
        <f>IFERROR(__xludf.DUMMYFUNCTION("""COMPUTED_VALUE"""),2403005.0)</f>
        <v>2403005</v>
      </c>
      <c r="C106" s="2005" t="str">
        <f>IFERROR(__xludf.DUMMYFUNCTION("""COMPUTED_VALUE"""),"Cartouche")</f>
        <v>Cartouche</v>
      </c>
      <c r="D106" s="2005" t="str">
        <f>IFERROR(__xludf.DUMMYFUNCTION("""COMPUTED_VALUE"""),"C520 Noire Série Camion")</f>
        <v>C520 Noire Série Camion</v>
      </c>
      <c r="E106" s="2005" t="str">
        <f>IFERROR(__xludf.DUMMYFUNCTION("""COMPUTED_VALUE"""),"ESSENTIELB")</f>
        <v>ESSENTIELB</v>
      </c>
      <c r="F106" s="2005" t="str">
        <f>IFERROR(__xludf.DUMMYFUNCTION("""COMPUTED_VALUE"""),"B")</f>
        <v>B</v>
      </c>
      <c r="G106" s="2005" t="str">
        <f>IFERROR(__xludf.DUMMYFUNCTION("""COMPUTED_VALUE"""),"NN")</f>
        <v>NN</v>
      </c>
      <c r="H106">
        <f>IFERROR(__xludf.DUMMYFUNCTION("""COMPUTED_VALUE"""),10.99)</f>
        <v>10.99</v>
      </c>
      <c r="I106">
        <f>IFERROR(__xludf.DUMMYFUNCTION("""COMPUTED_VALUE"""),10.99)</f>
        <v>10.99</v>
      </c>
      <c r="BD106" s="2006"/>
      <c r="LL106" s="2007"/>
      <c r="LM106" s="2007"/>
      <c r="MX106" s="2008"/>
      <c r="ND106" s="2007"/>
    </row>
    <row r="107">
      <c r="A107" s="2005">
        <f>IFERROR(__xludf.DUMMYFUNCTION("""COMPUTED_VALUE"""),270350.0)</f>
        <v>270350</v>
      </c>
      <c r="B107" s="2005">
        <f>IFERROR(__xludf.DUMMYFUNCTION("""COMPUTED_VALUE"""),2403005.0)</f>
        <v>2403005</v>
      </c>
      <c r="C107" s="2005" t="str">
        <f>IFERROR(__xludf.DUMMYFUNCTION("""COMPUTED_VALUE"""),"Cartouche")</f>
        <v>Cartouche</v>
      </c>
      <c r="D107" s="2005" t="str">
        <f>IFERROR(__xludf.DUMMYFUNCTION("""COMPUTED_VALUE"""),"C521 Noir photo Série Camion")</f>
        <v>C521 Noir photo Série Camion</v>
      </c>
      <c r="E107" s="2005" t="str">
        <f>IFERROR(__xludf.DUMMYFUNCTION("""COMPUTED_VALUE"""),"ESSENTIELB")</f>
        <v>ESSENTIELB</v>
      </c>
      <c r="F107" s="2005" t="str">
        <f>IFERROR(__xludf.DUMMYFUNCTION("""COMPUTED_VALUE"""),"B")</f>
        <v>B</v>
      </c>
      <c r="G107" s="2005" t="str">
        <f>IFERROR(__xludf.DUMMYFUNCTION("""COMPUTED_VALUE"""),"NN")</f>
        <v>NN</v>
      </c>
      <c r="H107">
        <f>IFERROR(__xludf.DUMMYFUNCTION("""COMPUTED_VALUE"""),9.99)</f>
        <v>9.99</v>
      </c>
      <c r="I107">
        <f>IFERROR(__xludf.DUMMYFUNCTION("""COMPUTED_VALUE"""),9.99)</f>
        <v>9.99</v>
      </c>
      <c r="BD107" s="2006"/>
      <c r="LL107" s="2007"/>
      <c r="LM107" s="2007"/>
      <c r="MX107" s="2007"/>
      <c r="ND107" s="2008"/>
    </row>
    <row r="108">
      <c r="A108" s="2005">
        <f>IFERROR(__xludf.DUMMYFUNCTION("""COMPUTED_VALUE"""),270351.0)</f>
        <v>270351</v>
      </c>
      <c r="B108" s="2005">
        <f>IFERROR(__xludf.DUMMYFUNCTION("""COMPUTED_VALUE"""),2403005.0)</f>
        <v>2403005</v>
      </c>
      <c r="C108" s="2005" t="str">
        <f>IFERROR(__xludf.DUMMYFUNCTION("""COMPUTED_VALUE"""),"Cartouche")</f>
        <v>Cartouche</v>
      </c>
      <c r="D108" s="2005" t="str">
        <f>IFERROR(__xludf.DUMMYFUNCTION("""COMPUTED_VALUE"""),"C525 Noire Série Fraise")</f>
        <v>C525 Noire Série Fraise</v>
      </c>
      <c r="E108" s="2005" t="str">
        <f>IFERROR(__xludf.DUMMYFUNCTION("""COMPUTED_VALUE"""),"ESSENTIELB")</f>
        <v>ESSENTIELB</v>
      </c>
      <c r="F108" s="2005" t="str">
        <f>IFERROR(__xludf.DUMMYFUNCTION("""COMPUTED_VALUE"""),"B")</f>
        <v>B</v>
      </c>
      <c r="G108" s="2005" t="str">
        <f>IFERROR(__xludf.DUMMYFUNCTION("""COMPUTED_VALUE"""),"NN")</f>
        <v>NN</v>
      </c>
      <c r="H108">
        <f>IFERROR(__xludf.DUMMYFUNCTION("""COMPUTED_VALUE"""),10.99)</f>
        <v>10.99</v>
      </c>
      <c r="I108">
        <f>IFERROR(__xludf.DUMMYFUNCTION("""COMPUTED_VALUE"""),10.99)</f>
        <v>10.99</v>
      </c>
      <c r="BD108" s="2006"/>
      <c r="LL108" s="2007"/>
      <c r="LM108" s="2007"/>
      <c r="MX108" s="2007"/>
      <c r="ND108" s="2007"/>
    </row>
    <row r="109">
      <c r="A109" s="2005">
        <f>IFERROR(__xludf.DUMMYFUNCTION("""COMPUTED_VALUE"""),270352.0)</f>
        <v>270352</v>
      </c>
      <c r="B109" s="2005">
        <f>IFERROR(__xludf.DUMMYFUNCTION("""COMPUTED_VALUE"""),2403005.0)</f>
        <v>2403005</v>
      </c>
      <c r="C109" s="2005" t="str">
        <f>IFERROR(__xludf.DUMMYFUNCTION("""COMPUTED_VALUE"""),"Cartouche")</f>
        <v>Cartouche</v>
      </c>
      <c r="D109" s="2005" t="str">
        <f>IFERROR(__xludf.DUMMYFUNCTION("""COMPUTED_VALUE"""),"C526 Noir photo Série Fraise")</f>
        <v>C526 Noir photo Série Fraise</v>
      </c>
      <c r="E109" s="2005" t="str">
        <f>IFERROR(__xludf.DUMMYFUNCTION("""COMPUTED_VALUE"""),"ESSENTIELB")</f>
        <v>ESSENTIELB</v>
      </c>
      <c r="F109" s="2005" t="str">
        <f>IFERROR(__xludf.DUMMYFUNCTION("""COMPUTED_VALUE"""),"B")</f>
        <v>B</v>
      </c>
      <c r="G109" s="2005" t="str">
        <f>IFERROR(__xludf.DUMMYFUNCTION("""COMPUTED_VALUE"""),"NN")</f>
        <v>NN</v>
      </c>
      <c r="H109" s="2005">
        <f>IFERROR(__xludf.DUMMYFUNCTION("""COMPUTED_VALUE"""),9.99)</f>
        <v>9.99</v>
      </c>
      <c r="I109" s="2005">
        <f>IFERROR(__xludf.DUMMYFUNCTION("""COMPUTED_VALUE"""),9.99)</f>
        <v>9.99</v>
      </c>
      <c r="BD109" s="2006"/>
      <c r="LL109" s="2007"/>
      <c r="LM109" s="2007"/>
      <c r="MX109" s="2007"/>
      <c r="ND109" s="2007"/>
    </row>
    <row r="110">
      <c r="A110" s="2005">
        <f>IFERROR(__xludf.DUMMYFUNCTION("""COMPUTED_VALUE"""),270353.0)</f>
        <v>270353</v>
      </c>
      <c r="B110" s="2005">
        <f>IFERROR(__xludf.DUMMYFUNCTION("""COMPUTED_VALUE"""),2403005.0)</f>
        <v>2403005</v>
      </c>
      <c r="C110" s="2005" t="str">
        <f>IFERROR(__xludf.DUMMYFUNCTION("""COMPUTED_VALUE"""),"Pack")</f>
        <v>Pack</v>
      </c>
      <c r="D110" s="2005" t="str">
        <f>IFERROR(__xludf.DUMMYFUNCTION("""COMPUTED_VALUE"""),"C521 C/M/J Série Camion")</f>
        <v>C521 C/M/J Série Camion</v>
      </c>
      <c r="E110" s="2005" t="str">
        <f>IFERROR(__xludf.DUMMYFUNCTION("""COMPUTED_VALUE"""),"ESSENTIELB")</f>
        <v>ESSENTIELB</v>
      </c>
      <c r="F110" s="2005" t="str">
        <f>IFERROR(__xludf.DUMMYFUNCTION("""COMPUTED_VALUE"""),"B")</f>
        <v>B</v>
      </c>
      <c r="G110" s="2005" t="str">
        <f>IFERROR(__xludf.DUMMYFUNCTION("""COMPUTED_VALUE"""),"NN")</f>
        <v>NN</v>
      </c>
      <c r="H110" s="2005">
        <f>IFERROR(__xludf.DUMMYFUNCTION("""COMPUTED_VALUE"""),28.99)</f>
        <v>28.99</v>
      </c>
      <c r="I110" s="2005">
        <f>IFERROR(__xludf.DUMMYFUNCTION("""COMPUTED_VALUE"""),28.99)</f>
        <v>28.99</v>
      </c>
      <c r="BD110" s="2006"/>
      <c r="LM110" s="2007"/>
    </row>
    <row r="111">
      <c r="A111" s="2005">
        <f>IFERROR(__xludf.DUMMYFUNCTION("""COMPUTED_VALUE"""),270354.0)</f>
        <v>270354</v>
      </c>
      <c r="B111" s="2005">
        <f>IFERROR(__xludf.DUMMYFUNCTION("""COMPUTED_VALUE"""),2403005.0)</f>
        <v>2403005</v>
      </c>
      <c r="C111" s="2005" t="str">
        <f>IFERROR(__xludf.DUMMYFUNCTION("""COMPUTED_VALUE"""),"Cartouche")</f>
        <v>Cartouche</v>
      </c>
      <c r="D111" s="2005" t="str">
        <f>IFERROR(__xludf.DUMMYFUNCTION("""COMPUTED_VALUE"""),"C511 C/M/J Série Scooter")</f>
        <v>C511 C/M/J Série Scooter</v>
      </c>
      <c r="E111" s="2005" t="str">
        <f>IFERROR(__xludf.DUMMYFUNCTION("""COMPUTED_VALUE"""),"ESSENTIELB")</f>
        <v>ESSENTIELB</v>
      </c>
      <c r="F111" s="2005" t="str">
        <f>IFERROR(__xludf.DUMMYFUNCTION("""COMPUTED_VALUE"""),"B")</f>
        <v>B</v>
      </c>
      <c r="G111" s="2005" t="str">
        <f>IFERROR(__xludf.DUMMYFUNCTION("""COMPUTED_VALUE"""),"NN")</f>
        <v>NN</v>
      </c>
      <c r="H111" s="2005">
        <f>IFERROR(__xludf.DUMMYFUNCTION("""COMPUTED_VALUE"""),18.99)</f>
        <v>18.99</v>
      </c>
      <c r="I111" s="2005">
        <f>IFERROR(__xludf.DUMMYFUNCTION("""COMPUTED_VALUE"""),18.99)</f>
        <v>18.99</v>
      </c>
      <c r="LL111" s="2007"/>
      <c r="LM111" s="2007"/>
      <c r="MX111" s="2007"/>
      <c r="ND111" s="2008"/>
    </row>
    <row r="112">
      <c r="A112" s="2005">
        <f>IFERROR(__xludf.DUMMYFUNCTION("""COMPUTED_VALUE"""),270358.0)</f>
        <v>270358</v>
      </c>
      <c r="B112" s="2005">
        <f>IFERROR(__xludf.DUMMYFUNCTION("""COMPUTED_VALUE"""),2403005.0)</f>
        <v>2403005</v>
      </c>
      <c r="C112" s="2005" t="str">
        <f>IFERROR(__xludf.DUMMYFUNCTION("""COMPUTED_VALUE"""),"MultiPack")</f>
        <v>MultiPack</v>
      </c>
      <c r="D112" s="2005" t="str">
        <f>IFERROR(__xludf.DUMMYFUNCTION("""COMPUTED_VALUE"""),"C526 C/M/J Série Fraise")</f>
        <v>C526 C/M/J Série Fraise</v>
      </c>
      <c r="E112" s="2005" t="str">
        <f>IFERROR(__xludf.DUMMYFUNCTION("""COMPUTED_VALUE"""),"ESSENTIELB")</f>
        <v>ESSENTIELB</v>
      </c>
      <c r="F112" s="2005" t="str">
        <f>IFERROR(__xludf.DUMMYFUNCTION("""COMPUTED_VALUE"""),"B")</f>
        <v>B</v>
      </c>
      <c r="G112" s="2005" t="str">
        <f>IFERROR(__xludf.DUMMYFUNCTION("""COMPUTED_VALUE"""),"NN")</f>
        <v>NN</v>
      </c>
      <c r="H112" s="2005">
        <f>IFERROR(__xludf.DUMMYFUNCTION("""COMPUTED_VALUE"""),28.99)</f>
        <v>28.99</v>
      </c>
      <c r="I112" s="2005">
        <f>IFERROR(__xludf.DUMMYFUNCTION("""COMPUTED_VALUE"""),28.99)</f>
        <v>28.99</v>
      </c>
      <c r="BD112" s="2006"/>
      <c r="LL112" s="2007"/>
      <c r="LM112" s="2007"/>
      <c r="MX112" s="2007"/>
      <c r="ND112" s="2008"/>
    </row>
    <row r="113">
      <c r="A113" s="2005">
        <f>IFERROR(__xludf.DUMMYFUNCTION("""COMPUTED_VALUE"""),270359.0)</f>
        <v>270359</v>
      </c>
      <c r="B113" s="2005">
        <f>IFERROR(__xludf.DUMMYFUNCTION("""COMPUTED_VALUE"""),2403005.0)</f>
        <v>2403005</v>
      </c>
      <c r="C113" s="2005" t="str">
        <f>IFERROR(__xludf.DUMMYFUNCTION("""COMPUTED_VALUE"""),"Cartouche")</f>
        <v>Cartouche</v>
      </c>
      <c r="D113" s="2005" t="str">
        <f>IFERROR(__xludf.DUMMYFUNCTION("""COMPUTED_VALUE"""),"E71/89 Noire Série Canapé")</f>
        <v>E71/89 Noire Série Canapé</v>
      </c>
      <c r="E113" s="2005" t="str">
        <f>IFERROR(__xludf.DUMMYFUNCTION("""COMPUTED_VALUE"""),"ESSENTIELB")</f>
        <v>ESSENTIELB</v>
      </c>
      <c r="F113" s="2005" t="str">
        <f>IFERROR(__xludf.DUMMYFUNCTION("""COMPUTED_VALUE"""),"B")</f>
        <v>B</v>
      </c>
      <c r="G113" s="2005" t="str">
        <f>IFERROR(__xludf.DUMMYFUNCTION("""COMPUTED_VALUE"""),"NN")</f>
        <v>NN</v>
      </c>
      <c r="H113" s="2005">
        <f>IFERROR(__xludf.DUMMYFUNCTION("""COMPUTED_VALUE"""),3.99)</f>
        <v>3.99</v>
      </c>
      <c r="I113" s="2005">
        <f>IFERROR(__xludf.DUMMYFUNCTION("""COMPUTED_VALUE"""),3.99)</f>
        <v>3.99</v>
      </c>
      <c r="BD113" s="2006"/>
      <c r="LL113" s="2008"/>
      <c r="LM113" s="2007"/>
      <c r="MX113" s="2007"/>
      <c r="ND113" s="2008"/>
    </row>
    <row r="114">
      <c r="A114" s="2005">
        <f>IFERROR(__xludf.DUMMYFUNCTION("""COMPUTED_VALUE"""),270360.0)</f>
        <v>270360</v>
      </c>
      <c r="B114" s="2005">
        <f>IFERROR(__xludf.DUMMYFUNCTION("""COMPUTED_VALUE"""),2403005.0)</f>
        <v>2403005</v>
      </c>
      <c r="C114" s="2005" t="str">
        <f>IFERROR(__xludf.DUMMYFUNCTION("""COMPUTED_VALUE"""),"Cartouche")</f>
        <v>Cartouche</v>
      </c>
      <c r="D114" s="2005" t="str">
        <f>IFERROR(__xludf.DUMMYFUNCTION("""COMPUTED_VALUE"""),"E128 Noire Série Masque")</f>
        <v>E128 Noire Série Masque</v>
      </c>
      <c r="E114" s="2005" t="str">
        <f>IFERROR(__xludf.DUMMYFUNCTION("""COMPUTED_VALUE"""),"ESSENTIELB")</f>
        <v>ESSENTIELB</v>
      </c>
      <c r="F114" s="2005" t="str">
        <f>IFERROR(__xludf.DUMMYFUNCTION("""COMPUTED_VALUE"""),"B")</f>
        <v>B</v>
      </c>
      <c r="G114" s="2005" t="str">
        <f>IFERROR(__xludf.DUMMYFUNCTION("""COMPUTED_VALUE"""),"NN")</f>
        <v>NN</v>
      </c>
      <c r="H114" s="2005">
        <f>IFERROR(__xludf.DUMMYFUNCTION("""COMPUTED_VALUE"""),7.99)</f>
        <v>7.99</v>
      </c>
      <c r="I114" s="2005">
        <f>IFERROR(__xludf.DUMMYFUNCTION("""COMPUTED_VALUE"""),7.99)</f>
        <v>7.99</v>
      </c>
      <c r="BD114" s="2006"/>
      <c r="LL114" s="2007"/>
      <c r="LM114" s="2007"/>
      <c r="MX114" s="2007"/>
      <c r="ND114" s="2007"/>
    </row>
    <row r="115">
      <c r="A115" s="2005">
        <f>IFERROR(__xludf.DUMMYFUNCTION("""COMPUTED_VALUE"""),270361.0)</f>
        <v>270361</v>
      </c>
      <c r="B115" s="2005">
        <f>IFERROR(__xludf.DUMMYFUNCTION("""COMPUTED_VALUE"""),2403005.0)</f>
        <v>2403005</v>
      </c>
      <c r="C115" s="2005" t="str">
        <f>IFERROR(__xludf.DUMMYFUNCTION("""COMPUTED_VALUE"""),"Cartouche")</f>
        <v>Cartouche</v>
      </c>
      <c r="D115" s="2005" t="str">
        <f>IFERROR(__xludf.DUMMYFUNCTION("""COMPUTED_VALUE"""),"E129 Noire Série Fleur")</f>
        <v>E129 Noire Série Fleur</v>
      </c>
      <c r="E115" s="2005" t="str">
        <f>IFERROR(__xludf.DUMMYFUNCTION("""COMPUTED_VALUE"""),"ESSENTIELB")</f>
        <v>ESSENTIELB</v>
      </c>
      <c r="F115" s="2005" t="str">
        <f>IFERROR(__xludf.DUMMYFUNCTION("""COMPUTED_VALUE"""),"B")</f>
        <v>B</v>
      </c>
      <c r="G115" s="2005" t="str">
        <f>IFERROR(__xludf.DUMMYFUNCTION("""COMPUTED_VALUE"""),"NN")</f>
        <v>NN</v>
      </c>
      <c r="H115" s="2005">
        <f>IFERROR(__xludf.DUMMYFUNCTION("""COMPUTED_VALUE"""),9.99)</f>
        <v>9.99</v>
      </c>
      <c r="I115" s="2005">
        <f>IFERROR(__xludf.DUMMYFUNCTION("""COMPUTED_VALUE"""),9.99)</f>
        <v>9.99</v>
      </c>
      <c r="BD115" s="2006"/>
      <c r="LL115" s="2008"/>
      <c r="LM115" s="2007"/>
      <c r="MX115" s="2007"/>
      <c r="ND115" s="2007"/>
    </row>
    <row r="116">
      <c r="A116" s="2005">
        <f>IFERROR(__xludf.DUMMYFUNCTION("""COMPUTED_VALUE"""),270364.0)</f>
        <v>270364</v>
      </c>
      <c r="B116" s="2005">
        <f>IFERROR(__xludf.DUMMYFUNCTION("""COMPUTED_VALUE"""),2403005.0)</f>
        <v>2403005</v>
      </c>
      <c r="C116" s="2005" t="str">
        <f>IFERROR(__xludf.DUMMYFUNCTION("""COMPUTED_VALUE"""),"MultiPack")</f>
        <v>MultiPack</v>
      </c>
      <c r="D116" s="2005" t="str">
        <f>IFERROR(__xludf.DUMMYFUNCTION("""COMPUTED_VALUE"""),"E71/89 C/M/J Série Canapé")</f>
        <v>E71/89 C/M/J Série Canapé</v>
      </c>
      <c r="E116" s="2005" t="str">
        <f>IFERROR(__xludf.DUMMYFUNCTION("""COMPUTED_VALUE"""),"ESSENTIELB")</f>
        <v>ESSENTIELB</v>
      </c>
      <c r="F116" s="2005" t="str">
        <f>IFERROR(__xludf.DUMMYFUNCTION("""COMPUTED_VALUE"""),"H")</f>
        <v>H</v>
      </c>
      <c r="G116" s="2005" t="str">
        <f>IFERROR(__xludf.DUMMYFUNCTION("""COMPUTED_VALUE"""),"NN")</f>
        <v>NN</v>
      </c>
      <c r="H116" s="2005">
        <f>IFERROR(__xludf.DUMMYFUNCTION("""COMPUTED_VALUE"""),24.99)</f>
        <v>24.99</v>
      </c>
      <c r="I116" s="2005">
        <f>IFERROR(__xludf.DUMMYFUNCTION("""COMPUTED_VALUE"""),24.99)</f>
        <v>24.99</v>
      </c>
      <c r="BD116" s="2006"/>
      <c r="LL116" s="2008"/>
      <c r="LM116" s="2007"/>
      <c r="MX116" s="2007"/>
      <c r="ND116" s="2008"/>
    </row>
    <row r="117">
      <c r="A117" s="2005">
        <f>IFERROR(__xludf.DUMMYFUNCTION("""COMPUTED_VALUE"""),270365.0)</f>
        <v>270365</v>
      </c>
      <c r="B117" s="2005">
        <f>IFERROR(__xludf.DUMMYFUNCTION("""COMPUTED_VALUE"""),2403005.0)</f>
        <v>2403005</v>
      </c>
      <c r="C117" s="2005" t="str">
        <f>IFERROR(__xludf.DUMMYFUNCTION("""COMPUTED_VALUE"""),"MultiPack")</f>
        <v>MultiPack</v>
      </c>
      <c r="D117" s="2005" t="str">
        <f>IFERROR(__xludf.DUMMYFUNCTION("""COMPUTED_VALUE"""),"E128 C/M/J Série Masque")</f>
        <v>E128 C/M/J Série Masque</v>
      </c>
      <c r="E117" s="2005" t="str">
        <f>IFERROR(__xludf.DUMMYFUNCTION("""COMPUTED_VALUE"""),"ESSENTIELB")</f>
        <v>ESSENTIELB</v>
      </c>
      <c r="F117" s="2005" t="str">
        <f>IFERROR(__xludf.DUMMYFUNCTION("""COMPUTED_VALUE"""),"B")</f>
        <v>B</v>
      </c>
      <c r="G117" s="2005" t="str">
        <f>IFERROR(__xludf.DUMMYFUNCTION("""COMPUTED_VALUE"""),"NN")</f>
        <v>NN</v>
      </c>
      <c r="H117">
        <f>IFERROR(__xludf.DUMMYFUNCTION("""COMPUTED_VALUE"""),11.99)</f>
        <v>11.99</v>
      </c>
      <c r="I117">
        <f>IFERROR(__xludf.DUMMYFUNCTION("""COMPUTED_VALUE"""),11.99)</f>
        <v>11.99</v>
      </c>
      <c r="BD117" s="2006"/>
      <c r="LL117" s="2008"/>
      <c r="LM117" s="2007"/>
      <c r="MX117" s="2007"/>
      <c r="ND117" s="2008"/>
    </row>
    <row r="118">
      <c r="A118" s="2005">
        <f>IFERROR(__xludf.DUMMYFUNCTION("""COMPUTED_VALUE"""),270366.0)</f>
        <v>270366</v>
      </c>
      <c r="B118" s="2005">
        <f>IFERROR(__xludf.DUMMYFUNCTION("""COMPUTED_VALUE"""),2403005.0)</f>
        <v>2403005</v>
      </c>
      <c r="C118" s="2005" t="str">
        <f>IFERROR(__xludf.DUMMYFUNCTION("""COMPUTED_VALUE"""),"MultiPack")</f>
        <v>MultiPack</v>
      </c>
      <c r="D118" s="2005" t="str">
        <f>IFERROR(__xludf.DUMMYFUNCTION("""COMPUTED_VALUE"""),"E129 C/M/J Série Fleur")</f>
        <v>E129 C/M/J Série Fleur</v>
      </c>
      <c r="E118" s="2005" t="str">
        <f>IFERROR(__xludf.DUMMYFUNCTION("""COMPUTED_VALUE"""),"ESSENTIELB")</f>
        <v>ESSENTIELB</v>
      </c>
      <c r="F118" s="2005" t="str">
        <f>IFERROR(__xludf.DUMMYFUNCTION("""COMPUTED_VALUE"""),"B")</f>
        <v>B</v>
      </c>
      <c r="G118" s="2005" t="str">
        <f>IFERROR(__xludf.DUMMYFUNCTION("""COMPUTED_VALUE"""),"NN")</f>
        <v>NN</v>
      </c>
      <c r="H118" s="2005">
        <f>IFERROR(__xludf.DUMMYFUNCTION("""COMPUTED_VALUE"""),19.99)</f>
        <v>19.99</v>
      </c>
      <c r="I118" s="2005">
        <f>IFERROR(__xludf.DUMMYFUNCTION("""COMPUTED_VALUE"""),19.99)</f>
        <v>19.99</v>
      </c>
      <c r="BD118" s="2006"/>
      <c r="LL118" s="2007"/>
      <c r="LM118" s="2007"/>
      <c r="MX118" s="2007"/>
      <c r="ND118" s="2008"/>
    </row>
    <row r="119">
      <c r="A119" s="2005">
        <f>IFERROR(__xludf.DUMMYFUNCTION("""COMPUTED_VALUE"""),270369.0)</f>
        <v>270369</v>
      </c>
      <c r="B119" s="2005">
        <f>IFERROR(__xludf.DUMMYFUNCTION("""COMPUTED_VALUE"""),2403005.0)</f>
        <v>2403005</v>
      </c>
      <c r="C119" s="2005" t="str">
        <f>IFERROR(__xludf.DUMMYFUNCTION("""COMPUTED_VALUE"""),"Cartouche")</f>
        <v>Cartouche</v>
      </c>
      <c r="D119" s="2005" t="str">
        <f>IFERROR(__xludf.DUMMYFUNCTION("""COMPUTED_VALUE"""),"H301XL Noire Série Chat")</f>
        <v>H301XL Noire Série Chat</v>
      </c>
      <c r="E119" s="2005" t="str">
        <f>IFERROR(__xludf.DUMMYFUNCTION("""COMPUTED_VALUE"""),"ESSENTIELB")</f>
        <v>ESSENTIELB</v>
      </c>
      <c r="F119" s="2005" t="str">
        <f>IFERROR(__xludf.DUMMYFUNCTION("""COMPUTED_VALUE"""),"A")</f>
        <v>A</v>
      </c>
      <c r="G119" s="2005" t="str">
        <f>IFERROR(__xludf.DUMMYFUNCTION("""COMPUTED_VALUE"""),"NN")</f>
        <v>NN</v>
      </c>
      <c r="H119" s="2005">
        <f>IFERROR(__xludf.DUMMYFUNCTION("""COMPUTED_VALUE"""),21.99)</f>
        <v>21.99</v>
      </c>
      <c r="I119" s="2005">
        <f>IFERROR(__xludf.DUMMYFUNCTION("""COMPUTED_VALUE"""),21.99)</f>
        <v>21.99</v>
      </c>
      <c r="BD119" s="2006"/>
      <c r="LM119" s="2007"/>
    </row>
    <row r="120">
      <c r="A120" s="2005">
        <f>IFERROR(__xludf.DUMMYFUNCTION("""COMPUTED_VALUE"""),270370.0)</f>
        <v>270370</v>
      </c>
      <c r="B120" s="2005">
        <f>IFERROR(__xludf.DUMMYFUNCTION("""COMPUTED_VALUE"""),2403005.0)</f>
        <v>2403005</v>
      </c>
      <c r="C120" s="2005" t="str">
        <f>IFERROR(__xludf.DUMMYFUNCTION("""COMPUTED_VALUE"""),"Cartouche")</f>
        <v>Cartouche</v>
      </c>
      <c r="D120" s="2005" t="str">
        <f>IFERROR(__xludf.DUMMYFUNCTION("""COMPUTED_VALUE"""),"H338 Noire Série Mug")</f>
        <v>H338 Noire Série Mug</v>
      </c>
      <c r="E120" s="2005" t="str">
        <f>IFERROR(__xludf.DUMMYFUNCTION("""COMPUTED_VALUE"""),"ESSENTIELB")</f>
        <v>ESSENTIELB</v>
      </c>
      <c r="F120" s="2005" t="str">
        <f>IFERROR(__xludf.DUMMYFUNCTION("""COMPUTED_VALUE"""),"B")</f>
        <v>B</v>
      </c>
      <c r="G120" s="2005" t="str">
        <f>IFERROR(__xludf.DUMMYFUNCTION("""COMPUTED_VALUE"""),"NN")</f>
        <v>NN</v>
      </c>
      <c r="H120">
        <f>IFERROR(__xludf.DUMMYFUNCTION("""COMPUTED_VALUE"""),21.99)</f>
        <v>21.99</v>
      </c>
      <c r="I120">
        <f>IFERROR(__xludf.DUMMYFUNCTION("""COMPUTED_VALUE"""),21.99)</f>
        <v>21.99</v>
      </c>
      <c r="BD120" s="2006"/>
      <c r="LM120" s="2007"/>
    </row>
    <row r="121">
      <c r="A121" s="2005">
        <f>IFERROR(__xludf.DUMMYFUNCTION("""COMPUTED_VALUE"""),270395.0)</f>
        <v>270395</v>
      </c>
      <c r="B121" s="2005">
        <f>IFERROR(__xludf.DUMMYFUNCTION("""COMPUTED_VALUE"""),2403005.0)</f>
        <v>2403005</v>
      </c>
      <c r="C121" s="2005" t="str">
        <f>IFERROR(__xludf.DUMMYFUNCTION("""COMPUTED_VALUE"""),"Pack")</f>
        <v>Pack</v>
      </c>
      <c r="D121" s="2005" t="str">
        <f>IFERROR(__xludf.DUMMYFUNCTION("""COMPUTED_VALUE"""),"H301XL C/M/J Série Chat")</f>
        <v>H301XL C/M/J Série Chat</v>
      </c>
      <c r="E121" s="2005" t="str">
        <f>IFERROR(__xludf.DUMMYFUNCTION("""COMPUTED_VALUE"""),"ESSENTIELB")</f>
        <v>ESSENTIELB</v>
      </c>
      <c r="F121" s="2005" t="str">
        <f>IFERROR(__xludf.DUMMYFUNCTION("""COMPUTED_VALUE"""),"B")</f>
        <v>B</v>
      </c>
      <c r="G121" s="2005" t="str">
        <f>IFERROR(__xludf.DUMMYFUNCTION("""COMPUTED_VALUE"""),"NN")</f>
        <v>NN</v>
      </c>
      <c r="H121" s="2005">
        <f>IFERROR(__xludf.DUMMYFUNCTION("""COMPUTED_VALUE"""),21.99)</f>
        <v>21.99</v>
      </c>
      <c r="I121" s="2005">
        <f>IFERROR(__xludf.DUMMYFUNCTION("""COMPUTED_VALUE"""),21.99)</f>
        <v>21.99</v>
      </c>
      <c r="BD121" s="2006"/>
      <c r="LL121" s="2007"/>
      <c r="LM121" s="2008"/>
      <c r="MX121" s="2007"/>
      <c r="ND121" s="2008"/>
    </row>
    <row r="122">
      <c r="A122" s="2005">
        <f>IFERROR(__xludf.DUMMYFUNCTION("""COMPUTED_VALUE"""),270396.0)</f>
        <v>270396</v>
      </c>
      <c r="B122" s="2005">
        <f>IFERROR(__xludf.DUMMYFUNCTION("""COMPUTED_VALUE"""),2403005.0)</f>
        <v>2403005</v>
      </c>
      <c r="C122" s="2005" t="str">
        <f>IFERROR(__xludf.DUMMYFUNCTION("""COMPUTED_VALUE"""),"MultiPack")</f>
        <v>MultiPack</v>
      </c>
      <c r="D122" s="2005" t="str">
        <f>IFERROR(__xludf.DUMMYFUNCTION("""COMPUTED_VALUE"""),"H343 C/M/J Série Arbre")</f>
        <v>H343 C/M/J Série Arbre</v>
      </c>
      <c r="E122" s="2005" t="str">
        <f>IFERROR(__xludf.DUMMYFUNCTION("""COMPUTED_VALUE"""),"ESSENTIELB")</f>
        <v>ESSENTIELB</v>
      </c>
      <c r="F122" s="2005" t="str">
        <f>IFERROR(__xludf.DUMMYFUNCTION("""COMPUTED_VALUE"""),"B")</f>
        <v>B</v>
      </c>
      <c r="G122" s="2005" t="str">
        <f>IFERROR(__xludf.DUMMYFUNCTION("""COMPUTED_VALUE"""),"NN")</f>
        <v>NN</v>
      </c>
      <c r="H122" s="2005">
        <f>IFERROR(__xludf.DUMMYFUNCTION("""COMPUTED_VALUE"""),23.99)</f>
        <v>23.99</v>
      </c>
      <c r="I122" s="2005">
        <f>IFERROR(__xludf.DUMMYFUNCTION("""COMPUTED_VALUE"""),23.99)</f>
        <v>23.99</v>
      </c>
      <c r="BD122" s="2006"/>
      <c r="LL122" s="2007"/>
      <c r="LM122" s="2008"/>
      <c r="MX122" s="2007"/>
      <c r="ND122" s="2008"/>
    </row>
    <row r="123">
      <c r="A123" s="2005">
        <f>IFERROR(__xludf.DUMMYFUNCTION("""COMPUTED_VALUE"""),270398.0)</f>
        <v>270398</v>
      </c>
      <c r="B123" s="2005">
        <f>IFERROR(__xludf.DUMMYFUNCTION("""COMPUTED_VALUE"""),2403005.0)</f>
        <v>2403005</v>
      </c>
      <c r="C123" s="2005" t="str">
        <f>IFERROR(__xludf.DUMMYFUNCTION("""COMPUTED_VALUE"""),"MultiPack")</f>
        <v>MultiPack</v>
      </c>
      <c r="D123" s="2005" t="str">
        <f>IFERROR(__xludf.DUMMYFUNCTION("""COMPUTED_VALUE"""),"H363XL  N/C/M/J Série Raisin")</f>
        <v>H363XL  N/C/M/J Série Raisin</v>
      </c>
      <c r="E123" s="2005" t="str">
        <f>IFERROR(__xludf.DUMMYFUNCTION("""COMPUTED_VALUE"""),"ESSENTIELB")</f>
        <v>ESSENTIELB</v>
      </c>
      <c r="F123" s="2005" t="str">
        <f>IFERROR(__xludf.DUMMYFUNCTION("""COMPUTED_VALUE"""),"B")</f>
        <v>B</v>
      </c>
      <c r="G123" s="2005" t="str">
        <f>IFERROR(__xludf.DUMMYFUNCTION("""COMPUTED_VALUE"""),"NN")</f>
        <v>NN</v>
      </c>
      <c r="H123" s="2005">
        <f>IFERROR(__xludf.DUMMYFUNCTION("""COMPUTED_VALUE"""),19.99)</f>
        <v>19.99</v>
      </c>
      <c r="I123" s="2005">
        <f>IFERROR(__xludf.DUMMYFUNCTION("""COMPUTED_VALUE"""),19.99)</f>
        <v>19.99</v>
      </c>
      <c r="BD123" s="2006"/>
      <c r="LL123" s="2007"/>
      <c r="LM123" s="2008"/>
      <c r="MX123" s="2007"/>
      <c r="ND123" s="2008"/>
    </row>
    <row r="124">
      <c r="A124" s="2005">
        <f>IFERROR(__xludf.DUMMYFUNCTION("""COMPUTED_VALUE"""),270521.0)</f>
        <v>270521</v>
      </c>
      <c r="B124" s="2005">
        <f>IFERROR(__xludf.DUMMYFUNCTION("""COMPUTED_VALUE"""),2402015.0)</f>
        <v>2402015</v>
      </c>
      <c r="C124" s="2005" t="str">
        <f>IFERROR(__xludf.DUMMYFUNCTION("""COMPUTED_VALUE"""),"Papier")</f>
        <v>Papier</v>
      </c>
      <c r="D124" s="2005" t="str">
        <f>IFERROR(__xludf.DUMMYFUNCTION("""COMPUTED_VALUE"""),"Premium Plus 10x15 25f 300g")</f>
        <v>Premium Plus 10x15 25f 300g</v>
      </c>
      <c r="E124" s="2005" t="str">
        <f>IFERROR(__xludf.DUMMYFUNCTION("""COMPUTED_VALUE"""),"HP")</f>
        <v>HP</v>
      </c>
      <c r="F124" s="2005" t="str">
        <f>IFERROR(__xludf.DUMMYFUNCTION("""COMPUTED_VALUE"""),"A")</f>
        <v>A</v>
      </c>
      <c r="G124" s="2005" t="str">
        <f>IFERROR(__xludf.DUMMYFUNCTION("""COMPUTED_VALUE"""),"NN")</f>
        <v>NN</v>
      </c>
      <c r="H124" s="2005">
        <f>IFERROR(__xludf.DUMMYFUNCTION("""COMPUTED_VALUE"""),9.99)</f>
        <v>9.99</v>
      </c>
      <c r="I124" s="2005">
        <f>IFERROR(__xludf.DUMMYFUNCTION("""COMPUTED_VALUE"""),9.99)</f>
        <v>9.99</v>
      </c>
      <c r="BD124" s="2006"/>
      <c r="LM124" s="2008"/>
    </row>
    <row r="125">
      <c r="A125" s="2005">
        <f>IFERROR(__xludf.DUMMYFUNCTION("""COMPUTED_VALUE"""),272462.0)</f>
        <v>272462</v>
      </c>
      <c r="B125" s="2005">
        <f>IFERROR(__xludf.DUMMYFUNCTION("""COMPUTED_VALUE"""),2403515.0)</f>
        <v>2403515</v>
      </c>
      <c r="C125" s="2005" t="str">
        <f>IFERROR(__xludf.DUMMYFUNCTION("""COMPUTED_VALUE"""),"Conso Plastif")</f>
        <v>Conso Plastif</v>
      </c>
      <c r="D125" s="2005" t="str">
        <f>IFERROR(__xludf.DUMMYFUNCTION("""COMPUTED_VALUE"""),"Pochettes 80 UDT A3 boite de 25")</f>
        <v>Pochettes 80 UDT A3 boite de 25</v>
      </c>
      <c r="E125" s="2005" t="str">
        <f>IFERROR(__xludf.DUMMYFUNCTION("""COMPUTED_VALUE"""),"LEITZ")</f>
        <v>LEITZ</v>
      </c>
      <c r="F125" s="2005" t="str">
        <f>IFERROR(__xludf.DUMMYFUNCTION("""COMPUTED_VALUE"""),"A")</f>
        <v>A</v>
      </c>
      <c r="G125" s="2005" t="str">
        <f>IFERROR(__xludf.DUMMYFUNCTION("""COMPUTED_VALUE"""),"FI")</f>
        <v>FI</v>
      </c>
      <c r="H125" s="2005">
        <f>IFERROR(__xludf.DUMMYFUNCTION("""COMPUTED_VALUE"""),9.59)</f>
        <v>9.59</v>
      </c>
      <c r="I125" s="2005">
        <f>IFERROR(__xludf.DUMMYFUNCTION("""COMPUTED_VALUE"""),9.59)</f>
        <v>9.59</v>
      </c>
      <c r="BD125" s="2006"/>
      <c r="LM125" s="2008"/>
    </row>
    <row r="126">
      <c r="A126" s="2005">
        <f>IFERROR(__xludf.DUMMYFUNCTION("""COMPUTED_VALUE"""),272676.0)</f>
        <v>272676</v>
      </c>
      <c r="B126" s="2005">
        <f>IFERROR(__xludf.DUMMYFUNCTION("""COMPUTED_VALUE"""),2403005.0)</f>
        <v>2403005</v>
      </c>
      <c r="C126" s="2005" t="str">
        <f>IFERROR(__xludf.DUMMYFUNCTION("""COMPUTED_VALUE"""),"Cartouche")</f>
        <v>Cartouche</v>
      </c>
      <c r="D126" s="2005" t="str">
        <f>IFERROR(__xludf.DUMMYFUNCTION("""COMPUTED_VALUE"""),"H364XL Magenta Série Pomme")</f>
        <v>H364XL Magenta Série Pomme</v>
      </c>
      <c r="E126" s="2005" t="str">
        <f>IFERROR(__xludf.DUMMYFUNCTION("""COMPUTED_VALUE"""),"ESSENTIELB")</f>
        <v>ESSENTIELB</v>
      </c>
      <c r="F126" s="2005" t="str">
        <f>IFERROR(__xludf.DUMMYFUNCTION("""COMPUTED_VALUE"""),"B")</f>
        <v>B</v>
      </c>
      <c r="G126" s="2005" t="str">
        <f>IFERROR(__xludf.DUMMYFUNCTION("""COMPUTED_VALUE"""),"NN")</f>
        <v>NN</v>
      </c>
      <c r="H126">
        <f>IFERROR(__xludf.DUMMYFUNCTION("""COMPUTED_VALUE"""),6.99)</f>
        <v>6.99</v>
      </c>
      <c r="I126">
        <f>IFERROR(__xludf.DUMMYFUNCTION("""COMPUTED_VALUE"""),6.99)</f>
        <v>6.99</v>
      </c>
      <c r="BD126" s="2006"/>
      <c r="LM126" s="2008"/>
    </row>
    <row r="127">
      <c r="A127" s="2005">
        <f>IFERROR(__xludf.DUMMYFUNCTION("""COMPUTED_VALUE"""),273105.0)</f>
        <v>273105</v>
      </c>
      <c r="B127" s="2005">
        <f>IFERROR(__xludf.DUMMYFUNCTION("""COMPUTED_VALUE"""),2403515.0)</f>
        <v>2403515</v>
      </c>
      <c r="C127" s="2005" t="str">
        <f>IFERROR(__xludf.DUMMYFUNCTION("""COMPUTED_VALUE"""),"Conso Plastif")</f>
        <v>Conso Plastif</v>
      </c>
      <c r="D127" s="2005" t="str">
        <f>IFERROR(__xludf.DUMMYFUNCTION("""COMPUTED_VALUE"""),"Pochettes 250 UDT A4 boite de 100")</f>
        <v>Pochettes 250 UDT A4 boite de 100</v>
      </c>
      <c r="E127" s="2005" t="str">
        <f>IFERROR(__xludf.DUMMYFUNCTION("""COMPUTED_VALUE"""),"LEITZ")</f>
        <v>LEITZ</v>
      </c>
      <c r="F127" s="2005" t="str">
        <f>IFERROR(__xludf.DUMMYFUNCTION("""COMPUTED_VALUE"""),"C")</f>
        <v>C</v>
      </c>
      <c r="G127" s="2005" t="str">
        <f>IFERROR(__xludf.DUMMYFUNCTION("""COMPUTED_VALUE"""),"NN")</f>
        <v>NN</v>
      </c>
      <c r="H127">
        <f>IFERROR(__xludf.DUMMYFUNCTION("""COMPUTED_VALUE"""),39.9)</f>
        <v>39.9</v>
      </c>
      <c r="I127">
        <f>IFERROR(__xludf.DUMMYFUNCTION("""COMPUTED_VALUE"""),39.9)</f>
        <v>39.9</v>
      </c>
      <c r="BD127" s="2006"/>
      <c r="LM127" s="2008"/>
    </row>
    <row r="128">
      <c r="A128" s="2005">
        <f>IFERROR(__xludf.DUMMYFUNCTION("""COMPUTED_VALUE"""),273106.0)</f>
        <v>273106</v>
      </c>
      <c r="B128" s="2005">
        <f>IFERROR(__xludf.DUMMYFUNCTION("""COMPUTED_VALUE"""),2403515.0)</f>
        <v>2403515</v>
      </c>
      <c r="C128" s="2005" t="str">
        <f>IFERROR(__xludf.DUMMYFUNCTION("""COMPUTED_VALUE"""),"Conso Plastif")</f>
        <v>Conso Plastif</v>
      </c>
      <c r="D128" s="2005" t="str">
        <f>IFERROR(__xludf.DUMMYFUNCTION("""COMPUTED_VALUE"""),"Pochettes 125 UDT A4 boite de 100")</f>
        <v>Pochettes 125 UDT A4 boite de 100</v>
      </c>
      <c r="E128" s="2005" t="str">
        <f>IFERROR(__xludf.DUMMYFUNCTION("""COMPUTED_VALUE"""),"LEITZ")</f>
        <v>LEITZ</v>
      </c>
      <c r="F128" s="2005" t="str">
        <f>IFERROR(__xludf.DUMMYFUNCTION("""COMPUTED_VALUE"""),"H")</f>
        <v>H</v>
      </c>
      <c r="G128" s="2005" t="str">
        <f>IFERROR(__xludf.DUMMYFUNCTION("""COMPUTED_VALUE"""),"AC")</f>
        <v>AC</v>
      </c>
      <c r="H128">
        <f>IFERROR(__xludf.DUMMYFUNCTION("""COMPUTED_VALUE"""),24.99)</f>
        <v>24.99</v>
      </c>
      <c r="I128">
        <f>IFERROR(__xludf.DUMMYFUNCTION("""COMPUTED_VALUE"""),24.99)</f>
        <v>24.99</v>
      </c>
      <c r="BD128" s="2006"/>
      <c r="LM128" s="2008"/>
    </row>
    <row r="129">
      <c r="A129" s="2005">
        <f>IFERROR(__xludf.DUMMYFUNCTION("""COMPUTED_VALUE"""),273107.0)</f>
        <v>273107</v>
      </c>
      <c r="B129" s="2005">
        <f>IFERROR(__xludf.DUMMYFUNCTION("""COMPUTED_VALUE"""),2403515.0)</f>
        <v>2403515</v>
      </c>
      <c r="C129" s="2005" t="str">
        <f>IFERROR(__xludf.DUMMYFUNCTION("""COMPUTED_VALUE"""),"Conso Plastif")</f>
        <v>Conso Plastif</v>
      </c>
      <c r="D129" s="2005" t="str">
        <f>IFERROR(__xludf.DUMMYFUNCTION("""COMPUTED_VALUE"""),"Pochettes 80 UDT A4 boite de 100")</f>
        <v>Pochettes 80 UDT A4 boite de 100</v>
      </c>
      <c r="E129" s="2005" t="str">
        <f>IFERROR(__xludf.DUMMYFUNCTION("""COMPUTED_VALUE"""),"LEITZ")</f>
        <v>LEITZ</v>
      </c>
      <c r="F129" s="2005" t="str">
        <f>IFERROR(__xludf.DUMMYFUNCTION("""COMPUTED_VALUE"""),"C")</f>
        <v>C</v>
      </c>
      <c r="G129" s="2005" t="str">
        <f>IFERROR(__xludf.DUMMYFUNCTION("""COMPUTED_VALUE"""),"NN")</f>
        <v>NN</v>
      </c>
      <c r="H129" s="2005">
        <f>IFERROR(__xludf.DUMMYFUNCTION("""COMPUTED_VALUE"""),12.9)</f>
        <v>12.9</v>
      </c>
      <c r="I129" s="2005">
        <f>IFERROR(__xludf.DUMMYFUNCTION("""COMPUTED_VALUE"""),12.9)</f>
        <v>12.9</v>
      </c>
      <c r="BD129" s="2006"/>
      <c r="LL129" s="2007"/>
      <c r="LM129" s="2007"/>
      <c r="MX129" s="2007"/>
      <c r="ND129" s="2008"/>
    </row>
    <row r="130">
      <c r="A130" s="2005">
        <f>IFERROR(__xludf.DUMMYFUNCTION("""COMPUTED_VALUE"""),273108.0)</f>
        <v>273108</v>
      </c>
      <c r="B130" s="2005">
        <f>IFERROR(__xludf.DUMMYFUNCTION("""COMPUTED_VALUE"""),2403515.0)</f>
        <v>2403515</v>
      </c>
      <c r="C130" s="2005" t="str">
        <f>IFERROR(__xludf.DUMMYFUNCTION("""COMPUTED_VALUE"""),"Conso Plastif")</f>
        <v>Conso Plastif</v>
      </c>
      <c r="D130" s="2005" t="str">
        <f>IFERROR(__xludf.DUMMYFUNCTION("""COMPUTED_VALUE"""),"Pochettes 80 UDT A4 boite de 25")</f>
        <v>Pochettes 80 UDT A4 boite de 25</v>
      </c>
      <c r="E130" s="2005" t="str">
        <f>IFERROR(__xludf.DUMMYFUNCTION("""COMPUTED_VALUE"""),"LEITZ")</f>
        <v>LEITZ</v>
      </c>
      <c r="F130" s="2005" t="str">
        <f>IFERROR(__xludf.DUMMYFUNCTION("""COMPUTED_VALUE"""),"E")</f>
        <v>E</v>
      </c>
      <c r="G130" s="2005" t="str">
        <f>IFERROR(__xludf.DUMMYFUNCTION("""COMPUTED_VALUE"""),"AC")</f>
        <v>AC</v>
      </c>
      <c r="H130">
        <f>IFERROR(__xludf.DUMMYFUNCTION("""COMPUTED_VALUE"""),4.99)</f>
        <v>4.99</v>
      </c>
      <c r="I130">
        <f>IFERROR(__xludf.DUMMYFUNCTION("""COMPUTED_VALUE"""),4.99)</f>
        <v>4.99</v>
      </c>
      <c r="BD130" s="2006"/>
      <c r="LM130" s="2007"/>
    </row>
    <row r="131">
      <c r="A131" s="2005">
        <f>IFERROR(__xludf.DUMMYFUNCTION("""COMPUTED_VALUE"""),273112.0)</f>
        <v>273112</v>
      </c>
      <c r="B131" s="2005">
        <f>IFERROR(__xludf.DUMMYFUNCTION("""COMPUTED_VALUE"""),2403515.0)</f>
        <v>2403515</v>
      </c>
      <c r="C131" s="2005" t="str">
        <f>IFERROR(__xludf.DUMMYFUNCTION("""COMPUTED_VALUE"""),"Conso Plastif")</f>
        <v>Conso Plastif</v>
      </c>
      <c r="D131" s="2005" t="str">
        <f>IFERROR(__xludf.DUMMYFUNCTION("""COMPUTED_VALUE"""),"Pochettes 80 A4 boîte de 100")</f>
        <v>Pochettes 80 A4 boîte de 100</v>
      </c>
      <c r="E131" s="2005" t="str">
        <f>IFERROR(__xludf.DUMMYFUNCTION("""COMPUTED_VALUE"""),"CENTRA")</f>
        <v>CENTRA</v>
      </c>
      <c r="F131" s="2005" t="str">
        <f>IFERROR(__xludf.DUMMYFUNCTION("""COMPUTED_VALUE"""),"A")</f>
        <v>A</v>
      </c>
      <c r="G131" s="2005" t="str">
        <f>IFERROR(__xludf.DUMMYFUNCTION("""COMPUTED_VALUE"""),"NN")</f>
        <v>NN</v>
      </c>
      <c r="H131" s="2005">
        <f>IFERROR(__xludf.DUMMYFUNCTION("""COMPUTED_VALUE"""),9.9)</f>
        <v>9.9</v>
      </c>
      <c r="I131" s="2005">
        <f>IFERROR(__xludf.DUMMYFUNCTION("""COMPUTED_VALUE"""),9.9)</f>
        <v>9.9</v>
      </c>
      <c r="BD131" s="2006"/>
      <c r="LM131" s="2008"/>
    </row>
    <row r="132">
      <c r="A132" s="2005">
        <f>IFERROR(__xludf.DUMMYFUNCTION("""COMPUTED_VALUE"""),273119.0)</f>
        <v>273119</v>
      </c>
      <c r="B132" s="2005">
        <f>IFERROR(__xludf.DUMMYFUNCTION("""COMPUTED_VALUE"""),2403515.0)</f>
        <v>2403515</v>
      </c>
      <c r="C132" s="2005" t="str">
        <f>IFERROR(__xludf.DUMMYFUNCTION("""COMPUTED_VALUE"""),"Conso Plastif")</f>
        <v>Conso Plastif</v>
      </c>
      <c r="D132" s="2005" t="str">
        <f>IFERROR(__xludf.DUMMYFUNCTION("""COMPUTED_VALUE"""),"Pochettes 125 UDT A3 boite de 100")</f>
        <v>Pochettes 125 UDT A3 boite de 100</v>
      </c>
      <c r="E132" s="2005" t="str">
        <f>IFERROR(__xludf.DUMMYFUNCTION("""COMPUTED_VALUE"""),"LEITZ")</f>
        <v>LEITZ</v>
      </c>
      <c r="F132" s="2005" t="str">
        <f>IFERROR(__xludf.DUMMYFUNCTION("""COMPUTED_VALUE"""),"C")</f>
        <v>C</v>
      </c>
      <c r="G132" s="2005" t="str">
        <f>IFERROR(__xludf.DUMMYFUNCTION("""COMPUTED_VALUE"""),"NN")</f>
        <v>NN</v>
      </c>
      <c r="H132" s="2005">
        <f>IFERROR(__xludf.DUMMYFUNCTION("""COMPUTED_VALUE"""),56.36)</f>
        <v>56.36</v>
      </c>
      <c r="I132" s="2005">
        <f>IFERROR(__xludf.DUMMYFUNCTION("""COMPUTED_VALUE"""),56.36)</f>
        <v>56.36</v>
      </c>
      <c r="BD132" s="2006"/>
      <c r="LM132" s="2008"/>
    </row>
    <row r="133">
      <c r="A133" s="2005">
        <f>IFERROR(__xludf.DUMMYFUNCTION("""COMPUTED_VALUE"""),273120.0)</f>
        <v>273120</v>
      </c>
      <c r="B133" s="2005">
        <f>IFERROR(__xludf.DUMMYFUNCTION("""COMPUTED_VALUE"""),2403515.0)</f>
        <v>2403515</v>
      </c>
      <c r="C133" s="2005" t="str">
        <f>IFERROR(__xludf.DUMMYFUNCTION("""COMPUTED_VALUE"""),"Conso Plastif")</f>
        <v>Conso Plastif</v>
      </c>
      <c r="D133" s="2005" t="str">
        <f>IFERROR(__xludf.DUMMYFUNCTION("""COMPUTED_VALUE"""),"Pochettes 125 UDT A4 boite de 25")</f>
        <v>Pochettes 125 UDT A4 boite de 25</v>
      </c>
      <c r="E133" s="2005" t="str">
        <f>IFERROR(__xludf.DUMMYFUNCTION("""COMPUTED_VALUE"""),"LEITZ")</f>
        <v>LEITZ</v>
      </c>
      <c r="F133" s="2005" t="str">
        <f>IFERROR(__xludf.DUMMYFUNCTION("""COMPUTED_VALUE"""),"H")</f>
        <v>H</v>
      </c>
      <c r="G133" s="2005" t="str">
        <f>IFERROR(__xludf.DUMMYFUNCTION("""COMPUTED_VALUE"""),"AC")</f>
        <v>AC</v>
      </c>
      <c r="H133" s="2005">
        <f>IFERROR(__xludf.DUMMYFUNCTION("""COMPUTED_VALUE"""),8.84)</f>
        <v>8.84</v>
      </c>
      <c r="I133" s="2005">
        <f>IFERROR(__xludf.DUMMYFUNCTION("""COMPUTED_VALUE"""),8.84)</f>
        <v>8.84</v>
      </c>
      <c r="BD133" s="2006"/>
      <c r="LL133" s="2007"/>
      <c r="LM133" s="2007"/>
      <c r="MX133" s="2007"/>
      <c r="ND133" s="2008"/>
    </row>
    <row r="134">
      <c r="A134" s="2005">
        <f>IFERROR(__xludf.DUMMYFUNCTION("""COMPUTED_VALUE"""),273438.0)</f>
        <v>273438</v>
      </c>
      <c r="B134" s="2005">
        <f>IFERROR(__xludf.DUMMYFUNCTION("""COMPUTED_VALUE"""),2403005.0)</f>
        <v>2403005</v>
      </c>
      <c r="C134" s="2005" t="str">
        <f>IFERROR(__xludf.DUMMYFUNCTION("""COMPUTED_VALUE"""),"Cartouche")</f>
        <v>Cartouche</v>
      </c>
      <c r="D134" s="2005" t="str">
        <f>IFERROR(__xludf.DUMMYFUNCTION("""COMPUTED_VALUE"""),"N°950 XL Noire")</f>
        <v>N°950 XL Noire</v>
      </c>
      <c r="E134" s="2005" t="str">
        <f>IFERROR(__xludf.DUMMYFUNCTION("""COMPUTED_VALUE"""),"HP")</f>
        <v>HP</v>
      </c>
      <c r="F134" s="2005" t="str">
        <f>IFERROR(__xludf.DUMMYFUNCTION("""COMPUTED_VALUE"""),"B")</f>
        <v>B</v>
      </c>
      <c r="G134" s="2005" t="str">
        <f>IFERROR(__xludf.DUMMYFUNCTION("""COMPUTED_VALUE"""),"AC")</f>
        <v>AC</v>
      </c>
      <c r="H134">
        <f>IFERROR(__xludf.DUMMYFUNCTION("""COMPUTED_VALUE"""),59.99)</f>
        <v>59.99</v>
      </c>
      <c r="I134">
        <f>IFERROR(__xludf.DUMMYFUNCTION("""COMPUTED_VALUE"""),59.99)</f>
        <v>59.99</v>
      </c>
      <c r="BD134" s="2006"/>
      <c r="LL134" s="2008"/>
      <c r="LM134" s="2007"/>
      <c r="MX134" s="2007"/>
      <c r="ND134" s="2008"/>
    </row>
    <row r="135">
      <c r="A135" s="2005">
        <f>IFERROR(__xludf.DUMMYFUNCTION("""COMPUTED_VALUE"""),273439.0)</f>
        <v>273439</v>
      </c>
      <c r="B135" s="2005">
        <f>IFERROR(__xludf.DUMMYFUNCTION("""COMPUTED_VALUE"""),2403005.0)</f>
        <v>2403005</v>
      </c>
      <c r="C135" s="2005" t="str">
        <f>IFERROR(__xludf.DUMMYFUNCTION("""COMPUTED_VALUE"""),"Cartouche")</f>
        <v>Cartouche</v>
      </c>
      <c r="D135" s="2005" t="str">
        <f>IFERROR(__xludf.DUMMYFUNCTION("""COMPUTED_VALUE"""),"N°951XL Cyan")</f>
        <v>N°951XL Cyan</v>
      </c>
      <c r="E135" s="2005" t="str">
        <f>IFERROR(__xludf.DUMMYFUNCTION("""COMPUTED_VALUE"""),"HP")</f>
        <v>HP</v>
      </c>
      <c r="F135" s="2005" t="str">
        <f>IFERROR(__xludf.DUMMYFUNCTION("""COMPUTED_VALUE"""),"B")</f>
        <v>B</v>
      </c>
      <c r="G135" s="2005" t="str">
        <f>IFERROR(__xludf.DUMMYFUNCTION("""COMPUTED_VALUE"""),"AC")</f>
        <v>AC</v>
      </c>
      <c r="H135" s="2005">
        <f>IFERROR(__xludf.DUMMYFUNCTION("""COMPUTED_VALUE"""),44.99)</f>
        <v>44.99</v>
      </c>
      <c r="I135" s="2005">
        <f>IFERROR(__xludf.DUMMYFUNCTION("""COMPUTED_VALUE"""),44.99)</f>
        <v>44.99</v>
      </c>
      <c r="BD135" s="2006"/>
      <c r="LL135" s="2008"/>
      <c r="LM135" s="2007"/>
      <c r="MX135" s="2007"/>
      <c r="ND135" s="2008"/>
    </row>
    <row r="136">
      <c r="A136" s="2005">
        <f>IFERROR(__xludf.DUMMYFUNCTION("""COMPUTED_VALUE"""),273440.0)</f>
        <v>273440</v>
      </c>
      <c r="B136" s="2005">
        <f>IFERROR(__xludf.DUMMYFUNCTION("""COMPUTED_VALUE"""),2403005.0)</f>
        <v>2403005</v>
      </c>
      <c r="C136" s="2005" t="str">
        <f>IFERROR(__xludf.DUMMYFUNCTION("""COMPUTED_VALUE"""),"Cartouche")</f>
        <v>Cartouche</v>
      </c>
      <c r="D136" s="2005" t="str">
        <f>IFERROR(__xludf.DUMMYFUNCTION("""COMPUTED_VALUE"""),"N°951XL magenta")</f>
        <v>N°951XL magenta</v>
      </c>
      <c r="E136" s="2005" t="str">
        <f>IFERROR(__xludf.DUMMYFUNCTION("""COMPUTED_VALUE"""),"HP")</f>
        <v>HP</v>
      </c>
      <c r="F136" s="2005" t="str">
        <f>IFERROR(__xludf.DUMMYFUNCTION("""COMPUTED_VALUE"""),"B")</f>
        <v>B</v>
      </c>
      <c r="G136" s="2005" t="str">
        <f>IFERROR(__xludf.DUMMYFUNCTION("""COMPUTED_VALUE"""),"AC")</f>
        <v>AC</v>
      </c>
      <c r="H136" s="2005">
        <f>IFERROR(__xludf.DUMMYFUNCTION("""COMPUTED_VALUE"""),44.99)</f>
        <v>44.99</v>
      </c>
      <c r="I136" s="2005">
        <f>IFERROR(__xludf.DUMMYFUNCTION("""COMPUTED_VALUE"""),44.99)</f>
        <v>44.99</v>
      </c>
      <c r="BD136" s="2006"/>
      <c r="LL136" s="2007"/>
      <c r="LM136" s="2007"/>
      <c r="MX136" s="2007"/>
      <c r="ND136" s="2008"/>
    </row>
    <row r="137">
      <c r="A137" s="2005">
        <f>IFERROR(__xludf.DUMMYFUNCTION("""COMPUTED_VALUE"""),273441.0)</f>
        <v>273441</v>
      </c>
      <c r="B137" s="2005">
        <f>IFERROR(__xludf.DUMMYFUNCTION("""COMPUTED_VALUE"""),2403005.0)</f>
        <v>2403005</v>
      </c>
      <c r="C137" s="2005" t="str">
        <f>IFERROR(__xludf.DUMMYFUNCTION("""COMPUTED_VALUE"""),"Cartouche")</f>
        <v>Cartouche</v>
      </c>
      <c r="D137" s="2005" t="str">
        <f>IFERROR(__xludf.DUMMYFUNCTION("""COMPUTED_VALUE"""),"N°951XL Jaune")</f>
        <v>N°951XL Jaune</v>
      </c>
      <c r="E137" s="2005" t="str">
        <f>IFERROR(__xludf.DUMMYFUNCTION("""COMPUTED_VALUE"""),"HP")</f>
        <v>HP</v>
      </c>
      <c r="F137" s="2005" t="str">
        <f>IFERROR(__xludf.DUMMYFUNCTION("""COMPUTED_VALUE"""),"B")</f>
        <v>B</v>
      </c>
      <c r="G137" s="2005" t="str">
        <f>IFERROR(__xludf.DUMMYFUNCTION("""COMPUTED_VALUE"""),"AC")</f>
        <v>AC</v>
      </c>
      <c r="H137">
        <f>IFERROR(__xludf.DUMMYFUNCTION("""COMPUTED_VALUE"""),44.99)</f>
        <v>44.99</v>
      </c>
      <c r="I137">
        <f>IFERROR(__xludf.DUMMYFUNCTION("""COMPUTED_VALUE"""),44.99)</f>
        <v>44.99</v>
      </c>
      <c r="BD137" s="2006"/>
      <c r="LL137" s="2007"/>
      <c r="LM137" s="2007"/>
      <c r="MX137" s="2007"/>
      <c r="ND137" s="2007"/>
    </row>
    <row r="138">
      <c r="A138" s="2005">
        <f>IFERROR(__xludf.DUMMYFUNCTION("""COMPUTED_VALUE"""),273606.0)</f>
        <v>273606</v>
      </c>
      <c r="B138" s="2005">
        <f>IFERROR(__xludf.DUMMYFUNCTION("""COMPUTED_VALUE"""),2403005.0)</f>
        <v>2403005</v>
      </c>
      <c r="C138" s="2005" t="str">
        <f>IFERROR(__xludf.DUMMYFUNCTION("""COMPUTED_VALUE"""),"Cartouche")</f>
        <v>Cartouche</v>
      </c>
      <c r="D138" s="2005" t="str">
        <f>IFERROR(__xludf.DUMMYFUNCTION("""COMPUTED_VALUE"""),"N°932 XL noire")</f>
        <v>N°932 XL noire</v>
      </c>
      <c r="E138" s="2005" t="str">
        <f>IFERROR(__xludf.DUMMYFUNCTION("""COMPUTED_VALUE"""),"HP")</f>
        <v>HP</v>
      </c>
      <c r="F138" s="2005" t="str">
        <f>IFERROR(__xludf.DUMMYFUNCTION("""COMPUTED_VALUE"""),"E")</f>
        <v>E</v>
      </c>
      <c r="G138" s="2005" t="str">
        <f>IFERROR(__xludf.DUMMYFUNCTION("""COMPUTED_VALUE"""),"AC")</f>
        <v>AC</v>
      </c>
      <c r="H138">
        <f>IFERROR(__xludf.DUMMYFUNCTION("""COMPUTED_VALUE"""),49.99)</f>
        <v>49.99</v>
      </c>
      <c r="I138">
        <f>IFERROR(__xludf.DUMMYFUNCTION("""COMPUTED_VALUE"""),49.99)</f>
        <v>49.99</v>
      </c>
      <c r="BD138" s="2006"/>
      <c r="LL138" s="2007"/>
      <c r="LM138" s="2007"/>
      <c r="MX138" s="2007"/>
      <c r="ND138" s="2007"/>
    </row>
    <row r="139">
      <c r="A139" s="2005">
        <f>IFERROR(__xludf.DUMMYFUNCTION("""COMPUTED_VALUE"""),273607.0)</f>
        <v>273607</v>
      </c>
      <c r="B139" s="2005">
        <f>IFERROR(__xludf.DUMMYFUNCTION("""COMPUTED_VALUE"""),2403005.0)</f>
        <v>2403005</v>
      </c>
      <c r="C139" s="2005" t="str">
        <f>IFERROR(__xludf.DUMMYFUNCTION("""COMPUTED_VALUE"""),"Cartouche")</f>
        <v>Cartouche</v>
      </c>
      <c r="D139" s="2005" t="str">
        <f>IFERROR(__xludf.DUMMYFUNCTION("""COMPUTED_VALUE"""),"N°933 XL cyan")</f>
        <v>N°933 XL cyan</v>
      </c>
      <c r="E139" s="2005" t="str">
        <f>IFERROR(__xludf.DUMMYFUNCTION("""COMPUTED_VALUE"""),"HP")</f>
        <v>HP</v>
      </c>
      <c r="F139" s="2005" t="str">
        <f>IFERROR(__xludf.DUMMYFUNCTION("""COMPUTED_VALUE"""),"C")</f>
        <v>C</v>
      </c>
      <c r="G139" s="2005" t="str">
        <f>IFERROR(__xludf.DUMMYFUNCTION("""COMPUTED_VALUE"""),"FR")</f>
        <v>FR</v>
      </c>
      <c r="H139" s="2005">
        <f>IFERROR(__xludf.DUMMYFUNCTION("""COMPUTED_VALUE"""),25.99)</f>
        <v>25.99</v>
      </c>
      <c r="I139">
        <f>IFERROR(__xludf.DUMMYFUNCTION("""COMPUTED_VALUE"""),25.99)</f>
        <v>25.99</v>
      </c>
      <c r="BD139" s="2006"/>
      <c r="LL139" s="2007"/>
      <c r="LM139" s="2007"/>
      <c r="MX139" s="2007"/>
      <c r="ND139" s="2007"/>
    </row>
    <row r="140">
      <c r="A140" s="2005">
        <f>IFERROR(__xludf.DUMMYFUNCTION("""COMPUTED_VALUE"""),273608.0)</f>
        <v>273608</v>
      </c>
      <c r="B140" s="2005">
        <f>IFERROR(__xludf.DUMMYFUNCTION("""COMPUTED_VALUE"""),2403005.0)</f>
        <v>2403005</v>
      </c>
      <c r="C140" s="2005" t="str">
        <f>IFERROR(__xludf.DUMMYFUNCTION("""COMPUTED_VALUE"""),"Cartouche")</f>
        <v>Cartouche</v>
      </c>
      <c r="D140" s="2005" t="str">
        <f>IFERROR(__xludf.DUMMYFUNCTION("""COMPUTED_VALUE"""),"N°933 XL magenta")</f>
        <v>N°933 XL magenta</v>
      </c>
      <c r="E140" s="2005" t="str">
        <f>IFERROR(__xludf.DUMMYFUNCTION("""COMPUTED_VALUE"""),"HP")</f>
        <v>HP</v>
      </c>
      <c r="F140" s="2005" t="str">
        <f>IFERROR(__xludf.DUMMYFUNCTION("""COMPUTED_VALUE"""),"C")</f>
        <v>C</v>
      </c>
      <c r="G140" s="2005" t="str">
        <f>IFERROR(__xludf.DUMMYFUNCTION("""COMPUTED_VALUE"""),"FF")</f>
        <v>FF</v>
      </c>
      <c r="H140">
        <f>IFERROR(__xludf.DUMMYFUNCTION("""COMPUTED_VALUE"""),25.99)</f>
        <v>25.99</v>
      </c>
      <c r="I140">
        <f>IFERROR(__xludf.DUMMYFUNCTION("""COMPUTED_VALUE"""),25.99)</f>
        <v>25.99</v>
      </c>
      <c r="BD140" s="2006"/>
      <c r="LM140" s="2008"/>
      <c r="MX140" s="2007"/>
      <c r="ND140" s="2007"/>
    </row>
    <row r="141">
      <c r="A141" s="2005">
        <f>IFERROR(__xludf.DUMMYFUNCTION("""COMPUTED_VALUE"""),273609.0)</f>
        <v>273609</v>
      </c>
      <c r="B141" s="2005">
        <f>IFERROR(__xludf.DUMMYFUNCTION("""COMPUTED_VALUE"""),2403005.0)</f>
        <v>2403005</v>
      </c>
      <c r="C141" s="2005" t="str">
        <f>IFERROR(__xludf.DUMMYFUNCTION("""COMPUTED_VALUE"""),"Cartouche")</f>
        <v>Cartouche</v>
      </c>
      <c r="D141" s="2005" t="str">
        <f>IFERROR(__xludf.DUMMYFUNCTION("""COMPUTED_VALUE"""),"N°933XL jaune")</f>
        <v>N°933XL jaune</v>
      </c>
      <c r="E141" s="2005" t="str">
        <f>IFERROR(__xludf.DUMMYFUNCTION("""COMPUTED_VALUE"""),"HP")</f>
        <v>HP</v>
      </c>
      <c r="F141" s="2005" t="str">
        <f>IFERROR(__xludf.DUMMYFUNCTION("""COMPUTED_VALUE"""),"E")</f>
        <v>E</v>
      </c>
      <c r="G141" s="2005" t="str">
        <f>IFERROR(__xludf.DUMMYFUNCTION("""COMPUTED_VALUE"""),"AC")</f>
        <v>AC</v>
      </c>
      <c r="H141">
        <f>IFERROR(__xludf.DUMMYFUNCTION("""COMPUTED_VALUE"""),25.99)</f>
        <v>25.99</v>
      </c>
      <c r="I141">
        <f>IFERROR(__xludf.DUMMYFUNCTION("""COMPUTED_VALUE"""),25.99)</f>
        <v>25.99</v>
      </c>
      <c r="BD141" s="2006"/>
      <c r="LM141" s="2008"/>
      <c r="MX141" s="2007"/>
      <c r="ND141" s="2007"/>
    </row>
    <row r="142">
      <c r="A142" s="2005">
        <f>IFERROR(__xludf.DUMMYFUNCTION("""COMPUTED_VALUE"""),273610.0)</f>
        <v>273610</v>
      </c>
      <c r="B142" s="2005">
        <f>IFERROR(__xludf.DUMMYFUNCTION("""COMPUTED_VALUE"""),2403010.0)</f>
        <v>2403010</v>
      </c>
      <c r="C142" s="2005" t="str">
        <f>IFERROR(__xludf.DUMMYFUNCTION("""COMPUTED_VALUE"""),"Toner")</f>
        <v>Toner</v>
      </c>
      <c r="D142" s="2005" t="str">
        <f>IFERROR(__xludf.DUMMYFUNCTION("""COMPUTED_VALUE"""),"N° 126 A Noire")</f>
        <v>N° 126 A Noire</v>
      </c>
      <c r="E142" s="2005" t="str">
        <f>IFERROR(__xludf.DUMMYFUNCTION("""COMPUTED_VALUE"""),"HP")</f>
        <v>HP</v>
      </c>
      <c r="F142" s="2005" t="str">
        <f>IFERROR(__xludf.DUMMYFUNCTION("""COMPUTED_VALUE"""),"W")</f>
        <v>W</v>
      </c>
      <c r="G142" s="2005" t="str">
        <f>IFERROR(__xludf.DUMMYFUNCTION("""COMPUTED_VALUE"""),"NN")</f>
        <v>NN</v>
      </c>
      <c r="H142" s="2005">
        <f>IFERROR(__xludf.DUMMYFUNCTION("""COMPUTED_VALUE"""),53.99)</f>
        <v>53.99</v>
      </c>
      <c r="I142" s="2005">
        <f>IFERROR(__xludf.DUMMYFUNCTION("""COMPUTED_VALUE"""),53.99)</f>
        <v>53.99</v>
      </c>
      <c r="BD142" s="2006"/>
      <c r="LM142" s="2008"/>
      <c r="MX142" s="2007"/>
      <c r="ND142" s="2007"/>
    </row>
    <row r="143">
      <c r="A143" s="2005">
        <f>IFERROR(__xludf.DUMMYFUNCTION("""COMPUTED_VALUE"""),273625.0)</f>
        <v>273625</v>
      </c>
      <c r="B143" s="2005">
        <f>IFERROR(__xludf.DUMMYFUNCTION("""COMPUTED_VALUE"""),2403010.0)</f>
        <v>2403010</v>
      </c>
      <c r="C143" s="2005" t="str">
        <f>IFERROR(__xludf.DUMMYFUNCTION("""COMPUTED_VALUE"""),"Tambour")</f>
        <v>Tambour</v>
      </c>
      <c r="D143" s="2005" t="str">
        <f>IFERROR(__xludf.DUMMYFUNCTION("""COMPUTED_VALUE"""),"126 pour CP1025")</f>
        <v>126 pour CP1025</v>
      </c>
      <c r="E143" s="2005" t="str">
        <f>IFERROR(__xludf.DUMMYFUNCTION("""COMPUTED_VALUE"""),"HP")</f>
        <v>HP</v>
      </c>
      <c r="F143" s="2005" t="str">
        <f>IFERROR(__xludf.DUMMYFUNCTION("""COMPUTED_VALUE"""),"W")</f>
        <v>W</v>
      </c>
      <c r="G143" s="2005" t="str">
        <f>IFERROR(__xludf.DUMMYFUNCTION("""COMPUTED_VALUE"""),"NN")</f>
        <v>NN</v>
      </c>
      <c r="H143">
        <f>IFERROR(__xludf.DUMMYFUNCTION("""COMPUTED_VALUE"""),86.99)</f>
        <v>86.99</v>
      </c>
      <c r="I143">
        <f>IFERROR(__xludf.DUMMYFUNCTION("""COMPUTED_VALUE"""),86.99)</f>
        <v>86.99</v>
      </c>
      <c r="BD143" s="2006"/>
      <c r="LM143" s="2008"/>
      <c r="MX143" s="2007"/>
      <c r="ND143" s="2007"/>
    </row>
    <row r="144">
      <c r="A144" s="2005">
        <f>IFERROR(__xludf.DUMMYFUNCTION("""COMPUTED_VALUE"""),273910.0)</f>
        <v>273910</v>
      </c>
      <c r="B144" s="2005">
        <f>IFERROR(__xludf.DUMMYFUNCTION("""COMPUTED_VALUE"""),2403010.0)</f>
        <v>2403010</v>
      </c>
      <c r="C144" s="2005" t="str">
        <f>IFERROR(__xludf.DUMMYFUNCTION("""COMPUTED_VALUE"""),"Toner")</f>
        <v>Toner</v>
      </c>
      <c r="D144" s="2005" t="str">
        <f>IFERROR(__xludf.DUMMYFUNCTION("""COMPUTED_VALUE"""),"MLTD103S Modèle Standard")</f>
        <v>MLTD103S Modèle Standard</v>
      </c>
      <c r="E144" s="2005" t="str">
        <f>IFERROR(__xludf.DUMMYFUNCTION("""COMPUTED_VALUE"""),"SAMSUNG")</f>
        <v>SAMSUNG</v>
      </c>
      <c r="F144" s="2005" t="str">
        <f>IFERROR(__xludf.DUMMYFUNCTION("""COMPUTED_VALUE"""),"H")</f>
        <v>H</v>
      </c>
      <c r="G144" s="2005" t="str">
        <f>IFERROR(__xludf.DUMMYFUNCTION("""COMPUTED_VALUE"""),"NN")</f>
        <v>NN</v>
      </c>
      <c r="H144" s="2005">
        <f>IFERROR(__xludf.DUMMYFUNCTION("""COMPUTED_VALUE"""),56.99)</f>
        <v>56.99</v>
      </c>
      <c r="I144" s="2005">
        <f>IFERROR(__xludf.DUMMYFUNCTION("""COMPUTED_VALUE"""),56.99)</f>
        <v>56.99</v>
      </c>
      <c r="BD144" s="2006"/>
      <c r="LM144" s="2008"/>
      <c r="MX144" s="2007"/>
      <c r="ND144" s="2007"/>
    </row>
    <row r="145">
      <c r="A145" s="2005">
        <f>IFERROR(__xludf.DUMMYFUNCTION("""COMPUTED_VALUE"""),273911.0)</f>
        <v>273911</v>
      </c>
      <c r="B145" s="2005">
        <f>IFERROR(__xludf.DUMMYFUNCTION("""COMPUTED_VALUE"""),2403010.0)</f>
        <v>2403010</v>
      </c>
      <c r="C145" s="2005" t="str">
        <f>IFERROR(__xludf.DUMMYFUNCTION("""COMPUTED_VALUE"""),"Toner")</f>
        <v>Toner</v>
      </c>
      <c r="D145" s="2005" t="str">
        <f>IFERROR(__xludf.DUMMYFUNCTION("""COMPUTED_VALUE"""),"MLT103 Haute Capacité")</f>
        <v>MLT103 Haute Capacité</v>
      </c>
      <c r="E145" s="2005" t="str">
        <f>IFERROR(__xludf.DUMMYFUNCTION("""COMPUTED_VALUE"""),"SAMSUNG")</f>
        <v>SAMSUNG</v>
      </c>
      <c r="F145" s="2005" t="str">
        <f>IFERROR(__xludf.DUMMYFUNCTION("""COMPUTED_VALUE"""),"H")</f>
        <v>H</v>
      </c>
      <c r="G145" s="2005" t="str">
        <f>IFERROR(__xludf.DUMMYFUNCTION("""COMPUTED_VALUE"""),"NN")</f>
        <v>NN</v>
      </c>
      <c r="H145" s="2005">
        <f>IFERROR(__xludf.DUMMYFUNCTION("""COMPUTED_VALUE"""),68.99)</f>
        <v>68.99</v>
      </c>
      <c r="I145" s="2005">
        <f>IFERROR(__xludf.DUMMYFUNCTION("""COMPUTED_VALUE"""),68.99)</f>
        <v>68.99</v>
      </c>
      <c r="BD145" s="2006"/>
      <c r="LM145" s="2008"/>
      <c r="MX145" s="2007"/>
      <c r="ND145" s="2007"/>
    </row>
    <row r="146">
      <c r="A146" s="2005">
        <f>IFERROR(__xludf.DUMMYFUNCTION("""COMPUTED_VALUE"""),274784.0)</f>
        <v>274784</v>
      </c>
      <c r="B146" s="2005">
        <f>IFERROR(__xludf.DUMMYFUNCTION("""COMPUTED_VALUE"""),2403020.0)</f>
        <v>2403020</v>
      </c>
      <c r="C146" s="2005" t="str">
        <f>IFERROR(__xludf.DUMMYFUNCTION("""COMPUTED_VALUE"""),"Cartouche")</f>
        <v>Cartouche</v>
      </c>
      <c r="D146" s="2005" t="str">
        <f>IFERROR(__xludf.DUMMYFUNCTION("""COMPUTED_VALUE"""),"PFA 831")</f>
        <v>PFA 831</v>
      </c>
      <c r="E146" s="2005" t="str">
        <f>IFERROR(__xludf.DUMMYFUNCTION("""COMPUTED_VALUE"""),"PHILIPS")</f>
        <v>PHILIPS</v>
      </c>
      <c r="F146" s="2005" t="str">
        <f>IFERROR(__xludf.DUMMYFUNCTION("""COMPUTED_VALUE"""),"H")</f>
        <v>H</v>
      </c>
      <c r="G146" s="2005" t="str">
        <f>IFERROR(__xludf.DUMMYFUNCTION("""COMPUTED_VALUE"""),"NN")</f>
        <v>NN</v>
      </c>
      <c r="H146">
        <f>IFERROR(__xludf.DUMMYFUNCTION("""COMPUTED_VALUE"""),59.99)</f>
        <v>59.99</v>
      </c>
      <c r="I146">
        <f>IFERROR(__xludf.DUMMYFUNCTION("""COMPUTED_VALUE"""),59.99)</f>
        <v>59.99</v>
      </c>
      <c r="BD146" s="2006"/>
      <c r="LM146" s="2008"/>
      <c r="MX146" s="2007"/>
      <c r="ND146" s="2007"/>
    </row>
    <row r="147">
      <c r="A147" s="2005">
        <f>IFERROR(__xludf.DUMMYFUNCTION("""COMPUTED_VALUE"""),274905.0)</f>
        <v>274905</v>
      </c>
      <c r="B147" s="2005">
        <f>IFERROR(__xludf.DUMMYFUNCTION("""COMPUTED_VALUE"""),2502020.0)</f>
        <v>2502020</v>
      </c>
      <c r="C147" s="2005" t="str">
        <f>IFERROR(__xludf.DUMMYFUNCTION("""COMPUTED_VALUE"""),"Webcam")</f>
        <v>Webcam</v>
      </c>
      <c r="D147" s="2005" t="str">
        <f>IFERROR(__xludf.DUMMYFUNCTION("""COMPUTED_VALUE"""),"HD'Cam 720p")</f>
        <v>HD'Cam 720p</v>
      </c>
      <c r="E147" s="2005" t="str">
        <f>IFERROR(__xludf.DUMMYFUNCTION("""COMPUTED_VALUE"""),"ESSENTIELB")</f>
        <v>ESSENTIELB</v>
      </c>
      <c r="F147" s="2005" t="str">
        <f>IFERROR(__xludf.DUMMYFUNCTION("""COMPUTED_VALUE"""),"H")</f>
        <v>H</v>
      </c>
      <c r="G147" s="2005" t="str">
        <f>IFERROR(__xludf.DUMMYFUNCTION("""COMPUTED_VALUE"""),"NN")</f>
        <v>NN</v>
      </c>
      <c r="H147" s="2005">
        <f>IFERROR(__xludf.DUMMYFUNCTION("""COMPUTED_VALUE"""),14.99)</f>
        <v>14.99</v>
      </c>
      <c r="I147" s="2005">
        <f>IFERROR(__xludf.DUMMYFUNCTION("""COMPUTED_VALUE"""),14.99)</f>
        <v>14.99</v>
      </c>
      <c r="BD147" s="2006"/>
      <c r="LM147" s="2008"/>
      <c r="MX147" s="2007"/>
      <c r="ND147" s="2007"/>
    </row>
    <row r="148">
      <c r="A148" s="2005">
        <f>IFERROR(__xludf.DUMMYFUNCTION("""COMPUTED_VALUE"""),275631.0)</f>
        <v>275631</v>
      </c>
      <c r="B148" s="2005">
        <f>IFERROR(__xludf.DUMMYFUNCTION("""COMPUTED_VALUE"""),2403005.0)</f>
        <v>2403005</v>
      </c>
      <c r="C148" s="2005" t="str">
        <f>IFERROR(__xludf.DUMMYFUNCTION("""COMPUTED_VALUE"""),"Pack")</f>
        <v>Pack</v>
      </c>
      <c r="D148" s="2005" t="str">
        <f>IFERROR(__xludf.DUMMYFUNCTION("""COMPUTED_VALUE"""),"T0895 (N C M J) série Singe")</f>
        <v>T0895 (N C M J) série Singe</v>
      </c>
      <c r="E148" s="2005" t="str">
        <f>IFERROR(__xludf.DUMMYFUNCTION("""COMPUTED_VALUE"""),"EPSON")</f>
        <v>EPSON</v>
      </c>
      <c r="F148" s="2005" t="str">
        <f>IFERROR(__xludf.DUMMYFUNCTION("""COMPUTED_VALUE"""),"H")</f>
        <v>H</v>
      </c>
      <c r="G148" s="2005" t="str">
        <f>IFERROR(__xludf.DUMMYFUNCTION("""COMPUTED_VALUE"""),"AC")</f>
        <v>AC</v>
      </c>
      <c r="H148">
        <f>IFERROR(__xludf.DUMMYFUNCTION("""COMPUTED_VALUE"""),37.99)</f>
        <v>37.99</v>
      </c>
      <c r="I148">
        <f>IFERROR(__xludf.DUMMYFUNCTION("""COMPUTED_VALUE"""),37.99)</f>
        <v>37.99</v>
      </c>
      <c r="BD148" s="2006"/>
      <c r="LM148" s="2008"/>
      <c r="MX148" s="2008"/>
      <c r="ND148" s="2007"/>
    </row>
    <row r="149">
      <c r="A149" s="2005">
        <f>IFERROR(__xludf.DUMMYFUNCTION("""COMPUTED_VALUE"""),276198.0)</f>
        <v>276198</v>
      </c>
      <c r="B149" s="2005">
        <f>IFERROR(__xludf.DUMMYFUNCTION("""COMPUTED_VALUE"""),1103006.0)</f>
        <v>1103006</v>
      </c>
      <c r="C149" s="2005" t="str">
        <f>IFERROR(__xludf.DUMMYFUNCTION("""COMPUTED_VALUE"""),"Tél.")</f>
        <v>Tél.</v>
      </c>
      <c r="D149" s="2005" t="str">
        <f>IFERROR(__xludf.DUMMYFUNCTION("""COMPUTED_VALUE"""),"DA210")</f>
        <v>DA210</v>
      </c>
      <c r="E149" s="2005" t="str">
        <f>IFERROR(__xludf.DUMMYFUNCTION("""COMPUTED_VALUE"""),"GIGASET")</f>
        <v>GIGASET</v>
      </c>
      <c r="F149" s="2005" t="str">
        <f>IFERROR(__xludf.DUMMYFUNCTION("""COMPUTED_VALUE"""),"H")</f>
        <v>H</v>
      </c>
      <c r="G149" s="2005" t="str">
        <f>IFERROR(__xludf.DUMMYFUNCTION("""COMPUTED_VALUE"""),"NN")</f>
        <v>NN</v>
      </c>
      <c r="H149" s="2005">
        <f>IFERROR(__xludf.DUMMYFUNCTION("""COMPUTED_VALUE"""),20.99)</f>
        <v>20.99</v>
      </c>
      <c r="I149" s="2005">
        <f>IFERROR(__xludf.DUMMYFUNCTION("""COMPUTED_VALUE"""),20.99)</f>
        <v>20.99</v>
      </c>
      <c r="BD149" s="2006"/>
      <c r="LL149" s="2007"/>
      <c r="LM149" s="2008"/>
      <c r="MX149" s="2007"/>
      <c r="ND149" s="2007"/>
    </row>
    <row r="150">
      <c r="A150" s="2005">
        <f>IFERROR(__xludf.DUMMYFUNCTION("""COMPUTED_VALUE"""),277909.0)</f>
        <v>277909</v>
      </c>
      <c r="B150" s="2005">
        <f>IFERROR(__xludf.DUMMYFUNCTION("""COMPUTED_VALUE"""),2502510.0)</f>
        <v>2502510</v>
      </c>
      <c r="C150" s="2005" t="str">
        <f>IFERROR(__xludf.DUMMYFUNCTION("""COMPUTED_VALUE"""),"Support")</f>
        <v>Support</v>
      </c>
      <c r="D150" s="2005" t="str">
        <f>IFERROR(__xludf.DUMMYFUNCTION("""COMPUTED_VALUE"""),"XL Cool'In 17''")</f>
        <v>XL Cool'In 17''</v>
      </c>
      <c r="E150" s="2005" t="str">
        <f>IFERROR(__xludf.DUMMYFUNCTION("""COMPUTED_VALUE"""),"ESSENTIELB")</f>
        <v>ESSENTIELB</v>
      </c>
      <c r="F150" s="2005" t="str">
        <f>IFERROR(__xludf.DUMMYFUNCTION("""COMPUTED_VALUE"""),"A")</f>
        <v>A</v>
      </c>
      <c r="G150" s="2005" t="str">
        <f>IFERROR(__xludf.DUMMYFUNCTION("""COMPUTED_VALUE"""),"NN")</f>
        <v>NN</v>
      </c>
      <c r="H150">
        <f>IFERROR(__xludf.DUMMYFUNCTION("""COMPUTED_VALUE"""),35.99)</f>
        <v>35.99</v>
      </c>
      <c r="I150">
        <f>IFERROR(__xludf.DUMMYFUNCTION("""COMPUTED_VALUE"""),35.99)</f>
        <v>35.99</v>
      </c>
      <c r="BD150" s="2006"/>
      <c r="LM150" s="2008"/>
      <c r="MX150" s="2007"/>
      <c r="ND150" s="2007"/>
    </row>
    <row r="151">
      <c r="A151" s="2005">
        <f>IFERROR(__xludf.DUMMYFUNCTION("""COMPUTED_VALUE"""),278658.0)</f>
        <v>278658</v>
      </c>
      <c r="B151" s="2005">
        <f>IFERROR(__xludf.DUMMYFUNCTION("""COMPUTED_VALUE"""),2401025.0)</f>
        <v>2401025</v>
      </c>
      <c r="C151" s="2005" t="str">
        <f>IFERROR(__xludf.DUMMYFUNCTION("""COMPUTED_VALUE"""),"BD-R")</f>
        <v>BD-R</v>
      </c>
      <c r="D151" s="2005" t="str">
        <f>IFERROR(__xludf.DUMMYFUNCTION("""COMPUTED_VALUE"""),"BD-R Pack Jewel case 6x25GB")</f>
        <v>BD-R Pack Jewel case 6x25GB</v>
      </c>
      <c r="E151" s="2005" t="str">
        <f>IFERROR(__xludf.DUMMYFUNCTION("""COMPUTED_VALUE"""),"VERBATIM")</f>
        <v>VERBATIM</v>
      </c>
      <c r="F151" s="2005" t="str">
        <f>IFERROR(__xludf.DUMMYFUNCTION("""COMPUTED_VALUE"""),"H")</f>
        <v>H</v>
      </c>
      <c r="G151" s="2005" t="str">
        <f>IFERROR(__xludf.DUMMYFUNCTION("""COMPUTED_VALUE"""),"AC")</f>
        <v>AC</v>
      </c>
      <c r="H151" s="2005">
        <f>IFERROR(__xludf.DUMMYFUNCTION("""COMPUTED_VALUE"""),16.99)</f>
        <v>16.99</v>
      </c>
      <c r="I151" s="2005">
        <f>IFERROR(__xludf.DUMMYFUNCTION("""COMPUTED_VALUE"""),16.99)</f>
        <v>16.99</v>
      </c>
      <c r="BD151" s="2006"/>
      <c r="LM151" s="2008"/>
      <c r="MX151" s="2007"/>
      <c r="ND151" s="2007"/>
    </row>
    <row r="152">
      <c r="A152" s="2005">
        <f>IFERROR(__xludf.DUMMYFUNCTION("""COMPUTED_VALUE"""),278785.0)</f>
        <v>278785</v>
      </c>
      <c r="B152" s="2005">
        <f>IFERROR(__xludf.DUMMYFUNCTION("""COMPUTED_VALUE"""),2401025.0)</f>
        <v>2401025</v>
      </c>
      <c r="C152" s="2005" t="str">
        <f>IFERROR(__xludf.DUMMYFUNCTION("""COMPUTED_VALUE"""),"BD-R")</f>
        <v>BD-R</v>
      </c>
      <c r="D152" s="2005" t="str">
        <f>IFERROR(__xludf.DUMMYFUNCTION("""COMPUTED_VALUE"""),"BD-R Pack Jewel Case 6x50GB")</f>
        <v>BD-R Pack Jewel Case 6x50GB</v>
      </c>
      <c r="E152" s="2005" t="str">
        <f>IFERROR(__xludf.DUMMYFUNCTION("""COMPUTED_VALUE"""),"VERBATIM")</f>
        <v>VERBATIM</v>
      </c>
      <c r="F152" s="2005" t="str">
        <f>IFERROR(__xludf.DUMMYFUNCTION("""COMPUTED_VALUE"""),"H")</f>
        <v>H</v>
      </c>
      <c r="G152" s="2005" t="str">
        <f>IFERROR(__xludf.DUMMYFUNCTION("""COMPUTED_VALUE"""),"AC")</f>
        <v>AC</v>
      </c>
      <c r="H152" s="2005">
        <f>IFERROR(__xludf.DUMMYFUNCTION("""COMPUTED_VALUE"""),29.99)</f>
        <v>29.99</v>
      </c>
      <c r="I152" s="2005">
        <f>IFERROR(__xludf.DUMMYFUNCTION("""COMPUTED_VALUE"""),29.99)</f>
        <v>29.99</v>
      </c>
      <c r="BD152" s="2006"/>
      <c r="LM152" s="2008"/>
      <c r="MX152" s="2007"/>
      <c r="ND152" s="2007"/>
    </row>
    <row r="153">
      <c r="A153" s="2005">
        <f>IFERROR(__xludf.DUMMYFUNCTION("""COMPUTED_VALUE"""),282321.0)</f>
        <v>282321</v>
      </c>
      <c r="B153" s="2005">
        <f>IFERROR(__xludf.DUMMYFUNCTION("""COMPUTED_VALUE"""),2502010.0)</f>
        <v>2502010</v>
      </c>
      <c r="C153" s="2005" t="str">
        <f>IFERROR(__xludf.DUMMYFUNCTION("""COMPUTED_VALUE"""),"Souris")</f>
        <v>Souris</v>
      </c>
      <c r="D153" s="2005" t="str">
        <f>IFERROR(__xludf.DUMMYFUNCTION("""COMPUTED_VALUE"""),"MicroMulo Marron rétractable")</f>
        <v>MicroMulo Marron rétractable</v>
      </c>
      <c r="E153" s="2005" t="str">
        <f>IFERROR(__xludf.DUMMYFUNCTION("""COMPUTED_VALUE"""),"ESSENTIELB")</f>
        <v>ESSENTIELB</v>
      </c>
      <c r="F153" s="2005" t="str">
        <f>IFERROR(__xludf.DUMMYFUNCTION("""COMPUTED_VALUE"""),"A")</f>
        <v>A</v>
      </c>
      <c r="G153" s="2005" t="str">
        <f>IFERROR(__xludf.DUMMYFUNCTION("""COMPUTED_VALUE"""),"NN")</f>
        <v>NN</v>
      </c>
      <c r="H153" s="2005">
        <f>IFERROR(__xludf.DUMMYFUNCTION("""COMPUTED_VALUE"""),8.99)</f>
        <v>8.99</v>
      </c>
      <c r="I153" s="2005">
        <f>IFERROR(__xludf.DUMMYFUNCTION("""COMPUTED_VALUE"""),8.99)</f>
        <v>8.99</v>
      </c>
      <c r="BD153" s="2006"/>
      <c r="LM153" s="2008"/>
      <c r="MX153" s="2007"/>
      <c r="ND153" s="2007"/>
    </row>
    <row r="154">
      <c r="A154" s="2005">
        <f>IFERROR(__xludf.DUMMYFUNCTION("""COMPUTED_VALUE"""),282510.0)</f>
        <v>282510</v>
      </c>
      <c r="B154" s="2005">
        <f>IFERROR(__xludf.DUMMYFUNCTION("""COMPUTED_VALUE"""),2403010.0)</f>
        <v>2403010</v>
      </c>
      <c r="C154" s="2005" t="str">
        <f>IFERROR(__xludf.DUMMYFUNCTION("""COMPUTED_VALUE"""),"Toner")</f>
        <v>Toner</v>
      </c>
      <c r="D154" s="2005" t="str">
        <f>IFERROR(__xludf.DUMMYFUNCTION("""COMPUTED_VALUE"""),"CLT406 Noir")</f>
        <v>CLT406 Noir</v>
      </c>
      <c r="E154" s="2005" t="str">
        <f>IFERROR(__xludf.DUMMYFUNCTION("""COMPUTED_VALUE"""),"SAMSUNG")</f>
        <v>SAMSUNG</v>
      </c>
      <c r="F154" s="2005" t="str">
        <f>IFERROR(__xludf.DUMMYFUNCTION("""COMPUTED_VALUE"""),"H")</f>
        <v>H</v>
      </c>
      <c r="G154" s="2005" t="str">
        <f>IFERROR(__xludf.DUMMYFUNCTION("""COMPUTED_VALUE"""),"FF")</f>
        <v>FF</v>
      </c>
      <c r="H154" s="2005">
        <f>IFERROR(__xludf.DUMMYFUNCTION("""COMPUTED_VALUE"""),69.99)</f>
        <v>69.99</v>
      </c>
      <c r="I154" s="2005">
        <f>IFERROR(__xludf.DUMMYFUNCTION("""COMPUTED_VALUE"""),69.99)</f>
        <v>69.99</v>
      </c>
      <c r="BD154" s="2006"/>
      <c r="LM154" s="2008"/>
      <c r="MX154" s="2007"/>
      <c r="ND154" s="2007"/>
    </row>
    <row r="155">
      <c r="A155" s="2005">
        <f>IFERROR(__xludf.DUMMYFUNCTION("""COMPUTED_VALUE"""),282664.0)</f>
        <v>282664</v>
      </c>
      <c r="B155" s="2005">
        <f>IFERROR(__xludf.DUMMYFUNCTION("""COMPUTED_VALUE"""),2403005.0)</f>
        <v>2403005</v>
      </c>
      <c r="C155" s="2005" t="str">
        <f>IFERROR(__xludf.DUMMYFUNCTION("""COMPUTED_VALUE"""),"Pack")</f>
        <v>Pack</v>
      </c>
      <c r="D155" s="2005" t="str">
        <f>IFERROR(__xludf.DUMMYFUNCTION("""COMPUTED_VALUE"""),"T261 (N/C/M/J) Série Ours Polaire")</f>
        <v>T261 (N/C/M/J) Série Ours Polaire</v>
      </c>
      <c r="E155" s="2005" t="str">
        <f>IFERROR(__xludf.DUMMYFUNCTION("""COMPUTED_VALUE"""),"EPSON")</f>
        <v>EPSON</v>
      </c>
      <c r="F155" s="2005" t="str">
        <f>IFERROR(__xludf.DUMMYFUNCTION("""COMPUTED_VALUE"""),"C")</f>
        <v>C</v>
      </c>
      <c r="G155" s="2005" t="str">
        <f>IFERROR(__xludf.DUMMYFUNCTION("""COMPUTED_VALUE"""),"AC")</f>
        <v>AC</v>
      </c>
      <c r="H155">
        <f>IFERROR(__xludf.DUMMYFUNCTION("""COMPUTED_VALUE"""),64.0)</f>
        <v>64</v>
      </c>
      <c r="I155">
        <f>IFERROR(__xludf.DUMMYFUNCTION("""COMPUTED_VALUE"""),64.0)</f>
        <v>64</v>
      </c>
      <c r="BD155" s="2006"/>
      <c r="LM155" s="2008"/>
      <c r="MX155" s="2007"/>
      <c r="ND155" s="2007"/>
    </row>
    <row r="156">
      <c r="A156" s="2005">
        <f>IFERROR(__xludf.DUMMYFUNCTION("""COMPUTED_VALUE"""),282685.0)</f>
        <v>282685</v>
      </c>
      <c r="B156" s="2005">
        <f>IFERROR(__xludf.DUMMYFUNCTION("""COMPUTED_VALUE"""),2403010.0)</f>
        <v>2403010</v>
      </c>
      <c r="C156" s="2005" t="str">
        <f>IFERROR(__xludf.DUMMYFUNCTION("""COMPUTED_VALUE"""),"Toner")</f>
        <v>Toner</v>
      </c>
      <c r="D156" s="2005" t="str">
        <f>IFERROR(__xludf.DUMMYFUNCTION("""COMPUTED_VALUE"""),"CLT406 Cyan")</f>
        <v>CLT406 Cyan</v>
      </c>
      <c r="E156" s="2005" t="str">
        <f>IFERROR(__xludf.DUMMYFUNCTION("""COMPUTED_VALUE"""),"SAMSUNG")</f>
        <v>SAMSUNG</v>
      </c>
      <c r="F156" s="2005" t="str">
        <f>IFERROR(__xludf.DUMMYFUNCTION("""COMPUTED_VALUE"""),"H")</f>
        <v>H</v>
      </c>
      <c r="G156" s="2005" t="str">
        <f>IFERROR(__xludf.DUMMYFUNCTION("""COMPUTED_VALUE"""),"FR")</f>
        <v>FR</v>
      </c>
      <c r="H156">
        <f>IFERROR(__xludf.DUMMYFUNCTION("""COMPUTED_VALUE"""),59.99)</f>
        <v>59.99</v>
      </c>
      <c r="I156">
        <f>IFERROR(__xludf.DUMMYFUNCTION("""COMPUTED_VALUE"""),59.99)</f>
        <v>59.99</v>
      </c>
      <c r="BD156" s="2006"/>
      <c r="LM156" s="2008"/>
      <c r="MX156" s="2007"/>
      <c r="ND156" s="2007"/>
    </row>
    <row r="157">
      <c r="A157" s="2005">
        <f>IFERROR(__xludf.DUMMYFUNCTION("""COMPUTED_VALUE"""),282686.0)</f>
        <v>282686</v>
      </c>
      <c r="B157" s="2005">
        <f>IFERROR(__xludf.DUMMYFUNCTION("""COMPUTED_VALUE"""),2403010.0)</f>
        <v>2403010</v>
      </c>
      <c r="C157" s="2005" t="str">
        <f>IFERROR(__xludf.DUMMYFUNCTION("""COMPUTED_VALUE"""),"Toner")</f>
        <v>Toner</v>
      </c>
      <c r="D157" s="2005" t="str">
        <f>IFERROR(__xludf.DUMMYFUNCTION("""COMPUTED_VALUE"""),"CLT406 Magenta")</f>
        <v>CLT406 Magenta</v>
      </c>
      <c r="E157" s="2005" t="str">
        <f>IFERROR(__xludf.DUMMYFUNCTION("""COMPUTED_VALUE"""),"SAMSUNG")</f>
        <v>SAMSUNG</v>
      </c>
      <c r="F157" s="2005" t="str">
        <f>IFERROR(__xludf.DUMMYFUNCTION("""COMPUTED_VALUE"""),"H")</f>
        <v>H</v>
      </c>
      <c r="G157" s="2005" t="str">
        <f>IFERROR(__xludf.DUMMYFUNCTION("""COMPUTED_VALUE"""),"FR")</f>
        <v>FR</v>
      </c>
      <c r="H157" s="2005">
        <f>IFERROR(__xludf.DUMMYFUNCTION("""COMPUTED_VALUE"""),59.99)</f>
        <v>59.99</v>
      </c>
      <c r="I157" s="2005">
        <f>IFERROR(__xludf.DUMMYFUNCTION("""COMPUTED_VALUE"""),59.99)</f>
        <v>59.99</v>
      </c>
      <c r="BD157" s="2006"/>
      <c r="LM157" s="2008"/>
      <c r="MX157" s="2007"/>
      <c r="ND157" s="2007"/>
    </row>
    <row r="158">
      <c r="A158" s="2005">
        <f>IFERROR(__xludf.DUMMYFUNCTION("""COMPUTED_VALUE"""),282687.0)</f>
        <v>282687</v>
      </c>
      <c r="B158" s="2005">
        <f>IFERROR(__xludf.DUMMYFUNCTION("""COMPUTED_VALUE"""),2403010.0)</f>
        <v>2403010</v>
      </c>
      <c r="C158" s="2005" t="str">
        <f>IFERROR(__xludf.DUMMYFUNCTION("""COMPUTED_VALUE"""),"Toner")</f>
        <v>Toner</v>
      </c>
      <c r="D158" s="2005" t="str">
        <f>IFERROR(__xludf.DUMMYFUNCTION("""COMPUTED_VALUE"""),"CLT406 Jaune")</f>
        <v>CLT406 Jaune</v>
      </c>
      <c r="E158" s="2005" t="str">
        <f>IFERROR(__xludf.DUMMYFUNCTION("""COMPUTED_VALUE"""),"SAMSUNG")</f>
        <v>SAMSUNG</v>
      </c>
      <c r="F158" s="2005" t="str">
        <f>IFERROR(__xludf.DUMMYFUNCTION("""COMPUTED_VALUE"""),"B")</f>
        <v>B</v>
      </c>
      <c r="G158" s="2005" t="str">
        <f>IFERROR(__xludf.DUMMYFUNCTION("""COMPUTED_VALUE"""),"FF")</f>
        <v>FF</v>
      </c>
      <c r="H158" s="2005">
        <f>IFERROR(__xludf.DUMMYFUNCTION("""COMPUTED_VALUE"""),59.99)</f>
        <v>59.99</v>
      </c>
      <c r="I158" s="2005">
        <f>IFERROR(__xludf.DUMMYFUNCTION("""COMPUTED_VALUE"""),59.99)</f>
        <v>59.99</v>
      </c>
      <c r="BD158" s="2006"/>
      <c r="LM158" s="2008"/>
      <c r="MX158" s="2007"/>
      <c r="ND158" s="2007"/>
    </row>
    <row r="159">
      <c r="A159" s="2005">
        <f>IFERROR(__xludf.DUMMYFUNCTION("""COMPUTED_VALUE"""),579493.0)</f>
        <v>579493</v>
      </c>
      <c r="B159" s="2005">
        <f>IFERROR(__xludf.DUMMYFUNCTION("""COMPUTED_VALUE"""),2402015.0)</f>
        <v>2402015</v>
      </c>
      <c r="C159" s="2005" t="str">
        <f>IFERROR(__xludf.DUMMYFUNCTION("""COMPUTED_VALUE"""),"Papier")</f>
        <v>Papier</v>
      </c>
      <c r="D159" s="2005" t="str">
        <f>IFERROR(__xludf.DUMMYFUNCTION("""COMPUTED_VALUE"""),"S041061 100F A4 100g/m2")</f>
        <v>S041061 100F A4 100g/m2</v>
      </c>
      <c r="E159" s="2005" t="str">
        <f>IFERROR(__xludf.DUMMYFUNCTION("""COMPUTED_VALUE"""),"EPSON")</f>
        <v>EPSON</v>
      </c>
      <c r="F159" s="2005" t="str">
        <f>IFERROR(__xludf.DUMMYFUNCTION("""COMPUTED_VALUE"""),"C")</f>
        <v>C</v>
      </c>
      <c r="G159" s="2005" t="str">
        <f>IFERROR(__xludf.DUMMYFUNCTION("""COMPUTED_VALUE"""),"AC")</f>
        <v>AC</v>
      </c>
      <c r="H159" s="2005">
        <f>IFERROR(__xludf.DUMMYFUNCTION("""COMPUTED_VALUE"""),17.98)</f>
        <v>17.98</v>
      </c>
      <c r="I159" s="2005">
        <f>IFERROR(__xludf.DUMMYFUNCTION("""COMPUTED_VALUE"""),17.98)</f>
        <v>17.98</v>
      </c>
      <c r="BD159" s="2006"/>
      <c r="LM159" s="2008"/>
      <c r="MX159" s="2007"/>
      <c r="ND159" s="2007"/>
    </row>
    <row r="160">
      <c r="A160" s="2005">
        <f>IFERROR(__xludf.DUMMYFUNCTION("""COMPUTED_VALUE"""),598616.0)</f>
        <v>598616</v>
      </c>
      <c r="B160" s="2005">
        <f>IFERROR(__xludf.DUMMYFUNCTION("""COMPUTED_VALUE"""),2704515.0)</f>
        <v>2704515</v>
      </c>
      <c r="C160" s="2005" t="str">
        <f>IFERROR(__xludf.DUMMYFUNCTION("""COMPUTED_VALUE"""),"Calc-Scient")</f>
        <v>Calc-Scient</v>
      </c>
      <c r="D160" s="2005" t="str">
        <f>IFERROR(__xludf.DUMMYFUNCTION("""COMPUTED_VALUE"""),"TI-89 Titanium")</f>
        <v>TI-89 Titanium</v>
      </c>
      <c r="E160" s="2005" t="str">
        <f>IFERROR(__xludf.DUMMYFUNCTION("""COMPUTED_VALUE"""),"TEXAS INSTRUMENTS")</f>
        <v>TEXAS INSTRUMENTS</v>
      </c>
      <c r="F160" s="2005" t="str">
        <f>IFERROR(__xludf.DUMMYFUNCTION("""COMPUTED_VALUE"""),"W")</f>
        <v>W</v>
      </c>
      <c r="G160" s="2005" t="str">
        <f>IFERROR(__xludf.DUMMYFUNCTION("""COMPUTED_VALUE"""),"FR")</f>
        <v>FR</v>
      </c>
      <c r="H160" s="2005">
        <f>IFERROR(__xludf.DUMMYFUNCTION("""COMPUTED_VALUE"""),154.99)</f>
        <v>154.99</v>
      </c>
      <c r="I160" s="2005">
        <f>IFERROR(__xludf.DUMMYFUNCTION("""COMPUTED_VALUE"""),154.99)</f>
        <v>154.99</v>
      </c>
      <c r="BD160" s="2006"/>
      <c r="LM160" s="2008"/>
      <c r="MX160" s="2007"/>
      <c r="ND160" s="2007"/>
    </row>
    <row r="161">
      <c r="A161" s="2005">
        <f>IFERROR(__xludf.DUMMYFUNCTION("""COMPUTED_VALUE"""),600806.0)</f>
        <v>600806</v>
      </c>
      <c r="B161" s="2005">
        <f>IFERROR(__xludf.DUMMYFUNCTION("""COMPUTED_VALUE"""),2403010.0)</f>
        <v>2403010</v>
      </c>
      <c r="C161" s="2005" t="str">
        <f>IFERROR(__xludf.DUMMYFUNCTION("""COMPUTED_VALUE"""),"Toner")</f>
        <v>Toner</v>
      </c>
      <c r="D161" s="2005" t="str">
        <f>IFERROR(__xludf.DUMMYFUNCTION("""COMPUTED_VALUE"""),"C4092a Noir")</f>
        <v>C4092a Noir</v>
      </c>
      <c r="E161" s="2005" t="str">
        <f>IFERROR(__xludf.DUMMYFUNCTION("""COMPUTED_VALUE"""),"HP")</f>
        <v>HP</v>
      </c>
      <c r="F161" s="2005" t="str">
        <f>IFERROR(__xludf.DUMMYFUNCTION("""COMPUTED_VALUE"""),"H")</f>
        <v>H</v>
      </c>
      <c r="G161" s="2005" t="str">
        <f>IFERROR(__xludf.DUMMYFUNCTION("""COMPUTED_VALUE"""),"NN")</f>
        <v>NN</v>
      </c>
      <c r="H161" s="2005">
        <f>IFERROR(__xludf.DUMMYFUNCTION("""COMPUTED_VALUE"""),94.99)</f>
        <v>94.99</v>
      </c>
      <c r="I161" s="2005">
        <f>IFERROR(__xludf.DUMMYFUNCTION("""COMPUTED_VALUE"""),94.99)</f>
        <v>94.99</v>
      </c>
      <c r="BD161" s="2006"/>
      <c r="LL161" s="2007"/>
      <c r="LM161" s="2008"/>
      <c r="MX161" s="2007"/>
      <c r="ND161" s="2007"/>
    </row>
    <row r="162">
      <c r="A162" s="2005">
        <f>IFERROR(__xludf.DUMMYFUNCTION("""COMPUTED_VALUE"""),603450.0)</f>
        <v>603450</v>
      </c>
      <c r="B162" s="2005">
        <f>IFERROR(__xludf.DUMMYFUNCTION("""COMPUTED_VALUE"""),2402045.0)</f>
        <v>2402045</v>
      </c>
      <c r="C162" s="2005" t="str">
        <f>IFERROR(__xludf.DUMMYFUNCTION("""COMPUTED_VALUE"""),"Papier")</f>
        <v>Papier</v>
      </c>
      <c r="D162" s="2005" t="str">
        <f>IFERROR(__xludf.DUMMYFUNCTION("""COMPUTED_VALUE"""),"PFA130A HFC21 à 171")</f>
        <v>PFA130A HFC21 à 171</v>
      </c>
      <c r="E162" s="2005" t="str">
        <f>IFERROR(__xludf.DUMMYFUNCTION("""COMPUTED_VALUE"""),"PHILIPS")</f>
        <v>PHILIPS</v>
      </c>
      <c r="F162" s="2005" t="str">
        <f>IFERROR(__xludf.DUMMYFUNCTION("""COMPUTED_VALUE"""),"D")</f>
        <v>D</v>
      </c>
      <c r="G162" s="2005" t="str">
        <f>IFERROR(__xludf.DUMMYFUNCTION("""COMPUTED_VALUE"""),"NN")</f>
        <v>NN</v>
      </c>
      <c r="H162" s="2005">
        <f>IFERROR(__xludf.DUMMYFUNCTION("""COMPUTED_VALUE"""),3.99)</f>
        <v>3.99</v>
      </c>
      <c r="I162" s="2005">
        <f>IFERROR(__xludf.DUMMYFUNCTION("""COMPUTED_VALUE"""),3.99)</f>
        <v>3.99</v>
      </c>
      <c r="BD162" s="2006"/>
      <c r="LM162" s="2007"/>
    </row>
    <row r="163">
      <c r="A163" s="2005">
        <f>IFERROR(__xludf.DUMMYFUNCTION("""COMPUTED_VALUE"""),605693.0)</f>
        <v>605693</v>
      </c>
      <c r="B163" s="2005">
        <f>IFERROR(__xludf.DUMMYFUNCTION("""COMPUTED_VALUE"""),2704515.0)</f>
        <v>2704515</v>
      </c>
      <c r="C163" s="2005" t="str">
        <f>IFERROR(__xludf.DUMMYFUNCTION("""COMPUTED_VALUE"""),"Calc.")</f>
        <v>Calc.</v>
      </c>
      <c r="D163" s="2005" t="str">
        <f>IFERROR(__xludf.DUMMYFUNCTION("""COMPUTED_VALUE"""),"FX JUNIOR PLUS")</f>
        <v>FX JUNIOR PLUS</v>
      </c>
      <c r="E163" s="2005" t="str">
        <f>IFERROR(__xludf.DUMMYFUNCTION("""COMPUTED_VALUE"""),"CASIO")</f>
        <v>CASIO</v>
      </c>
      <c r="F163" s="2005" t="str">
        <f>IFERROR(__xludf.DUMMYFUNCTION("""COMPUTED_VALUE"""),"A")</f>
        <v>A</v>
      </c>
      <c r="G163" s="2005" t="str">
        <f>IFERROR(__xludf.DUMMYFUNCTION("""COMPUTED_VALUE"""),"NN")</f>
        <v>NN</v>
      </c>
      <c r="H163">
        <f>IFERROR(__xludf.DUMMYFUNCTION("""COMPUTED_VALUE"""),11.99)</f>
        <v>11.99</v>
      </c>
      <c r="I163">
        <f>IFERROR(__xludf.DUMMYFUNCTION("""COMPUTED_VALUE"""),11.99)</f>
        <v>11.99</v>
      </c>
      <c r="BD163" s="2006"/>
      <c r="LM163" s="2007"/>
    </row>
    <row r="164">
      <c r="A164" s="2005">
        <f>IFERROR(__xludf.DUMMYFUNCTION("""COMPUTED_VALUE"""),606497.0)</f>
        <v>606497</v>
      </c>
      <c r="B164" s="2005">
        <f>IFERROR(__xludf.DUMMYFUNCTION("""COMPUTED_VALUE"""),2403015.0)</f>
        <v>2403015</v>
      </c>
      <c r="C164" s="2005" t="str">
        <f>IFERROR(__xludf.DUMMYFUNCTION("""COMPUTED_VALUE"""),"Cartouche")</f>
        <v>Cartouche</v>
      </c>
      <c r="D164" s="2005" t="str">
        <f>IFERROR(__xludf.DUMMYFUNCTION("""COMPUTED_VALUE"""),"PC302RF (lot de 2)")</f>
        <v>PC302RF (lot de 2)</v>
      </c>
      <c r="E164" s="2005" t="str">
        <f>IFERROR(__xludf.DUMMYFUNCTION("""COMPUTED_VALUE"""),"BROTHER")</f>
        <v>BROTHER</v>
      </c>
      <c r="F164" s="2005" t="str">
        <f>IFERROR(__xludf.DUMMYFUNCTION("""COMPUTED_VALUE"""),"H")</f>
        <v>H</v>
      </c>
      <c r="G164" s="2005" t="str">
        <f>IFERROR(__xludf.DUMMYFUNCTION("""COMPUTED_VALUE"""),"NN")</f>
        <v>NN</v>
      </c>
      <c r="H164" s="2005">
        <f>IFERROR(__xludf.DUMMYFUNCTION("""COMPUTED_VALUE"""),32.99)</f>
        <v>32.99</v>
      </c>
      <c r="I164" s="2005">
        <f>IFERROR(__xludf.DUMMYFUNCTION("""COMPUTED_VALUE"""),32.99)</f>
        <v>32.99</v>
      </c>
      <c r="BD164" s="2006"/>
      <c r="LM164" s="2007"/>
    </row>
    <row r="165">
      <c r="A165" s="2005">
        <f>IFERROR(__xludf.DUMMYFUNCTION("""COMPUTED_VALUE"""),609669.0)</f>
        <v>609669</v>
      </c>
      <c r="B165" s="2005">
        <f>IFERROR(__xludf.DUMMYFUNCTION("""COMPUTED_VALUE"""),2402020.0)</f>
        <v>2402020</v>
      </c>
      <c r="C165" s="2005" t="str">
        <f>IFERROR(__xludf.DUMMYFUNCTION("""COMPUTED_VALUE"""),"Papier")</f>
        <v>Papier</v>
      </c>
      <c r="D165" s="2005" t="str">
        <f>IFERROR(__xludf.DUMMYFUNCTION("""COMPUTED_VALUE"""),"300 cartes visite hte qualité")</f>
        <v>300 cartes visite hte qualité</v>
      </c>
      <c r="E165" s="2005" t="str">
        <f>IFERROR(__xludf.DUMMYFUNCTION("""COMPUTED_VALUE"""),"MICRO APPLICATION")</f>
        <v>MICRO APPLICATION</v>
      </c>
      <c r="F165" s="2005" t="str">
        <f>IFERROR(__xludf.DUMMYFUNCTION("""COMPUTED_VALUE"""),"A")</f>
        <v>A</v>
      </c>
      <c r="G165" s="2005" t="str">
        <f>IFERROR(__xludf.DUMMYFUNCTION("""COMPUTED_VALUE"""),"NN")</f>
        <v>NN</v>
      </c>
      <c r="H165" s="2005">
        <f>IFERROR(__xludf.DUMMYFUNCTION("""COMPUTED_VALUE"""),9.99)</f>
        <v>9.99</v>
      </c>
      <c r="I165" s="2005">
        <f>IFERROR(__xludf.DUMMYFUNCTION("""COMPUTED_VALUE"""),9.99)</f>
        <v>9.99</v>
      </c>
      <c r="BD165" s="2006"/>
      <c r="LM165" s="2007"/>
    </row>
    <row r="166">
      <c r="A166" s="2005">
        <f>IFERROR(__xludf.DUMMYFUNCTION("""COMPUTED_VALUE"""),610445.0)</f>
        <v>610445</v>
      </c>
      <c r="B166" s="2005">
        <f>IFERROR(__xludf.DUMMYFUNCTION("""COMPUTED_VALUE"""),2403010.0)</f>
        <v>2403010</v>
      </c>
      <c r="C166" s="2005" t="str">
        <f>IFERROR(__xludf.DUMMYFUNCTION("""COMPUTED_VALUE"""),"Toner")</f>
        <v>Toner</v>
      </c>
      <c r="D166" s="2005" t="str">
        <f>IFERROR(__xludf.DUMMYFUNCTION("""COMPUTED_VALUE"""),"EP22")</f>
        <v>EP22</v>
      </c>
      <c r="E166" s="2005" t="str">
        <f>IFERROR(__xludf.DUMMYFUNCTION("""COMPUTED_VALUE"""),"CANON")</f>
        <v>CANON</v>
      </c>
      <c r="F166" s="2005" t="str">
        <f>IFERROR(__xludf.DUMMYFUNCTION("""COMPUTED_VALUE"""),"H")</f>
        <v>H</v>
      </c>
      <c r="G166" s="2005" t="str">
        <f>IFERROR(__xludf.DUMMYFUNCTION("""COMPUTED_VALUE"""),"NN")</f>
        <v>NN</v>
      </c>
      <c r="H166">
        <f>IFERROR(__xludf.DUMMYFUNCTION("""COMPUTED_VALUE"""),53.99)</f>
        <v>53.99</v>
      </c>
      <c r="I166">
        <f>IFERROR(__xludf.DUMMYFUNCTION("""COMPUTED_VALUE"""),53.99)</f>
        <v>53.99</v>
      </c>
      <c r="BD166" s="2006"/>
      <c r="LL166" s="2007"/>
      <c r="LM166" s="2007"/>
      <c r="MX166" s="2007"/>
      <c r="ND166" s="2007"/>
    </row>
    <row r="167">
      <c r="A167">
        <f>IFERROR(__xludf.DUMMYFUNCTION("""COMPUTED_VALUE"""),610877.0)</f>
        <v>610877</v>
      </c>
      <c r="B167">
        <f>IFERROR(__xludf.DUMMYFUNCTION("""COMPUTED_VALUE"""),2402020.0)</f>
        <v>2402020</v>
      </c>
      <c r="C167" t="str">
        <f>IFERROR(__xludf.DUMMYFUNCTION("""COMPUTED_VALUE"""),"Papier")</f>
        <v>Papier</v>
      </c>
      <c r="D167" t="str">
        <f>IFERROR(__xludf.DUMMYFUNCTION("""COMPUTED_VALUE"""),"100 étiquettes CD")</f>
        <v>100 étiquettes CD</v>
      </c>
      <c r="E167" t="str">
        <f>IFERROR(__xludf.DUMMYFUNCTION("""COMPUTED_VALUE"""),"MICRO APPLICATION")</f>
        <v>MICRO APPLICATION</v>
      </c>
      <c r="F167" t="str">
        <f>IFERROR(__xludf.DUMMYFUNCTION("""COMPUTED_VALUE"""),"H")</f>
        <v>H</v>
      </c>
      <c r="G167" t="str">
        <f>IFERROR(__xludf.DUMMYFUNCTION("""COMPUTED_VALUE"""),"NN")</f>
        <v>NN</v>
      </c>
      <c r="H167">
        <f>IFERROR(__xludf.DUMMYFUNCTION("""COMPUTED_VALUE"""),9.99)</f>
        <v>9.99</v>
      </c>
      <c r="I167">
        <f>IFERROR(__xludf.DUMMYFUNCTION("""COMPUTED_VALUE"""),9.99)</f>
        <v>9.99</v>
      </c>
      <c r="BD167" s="2006"/>
      <c r="LL167" s="2007"/>
      <c r="LM167" s="2007"/>
      <c r="MX167" s="2007"/>
      <c r="ND167" s="2007"/>
    </row>
    <row r="168">
      <c r="A168" s="2005">
        <f>IFERROR(__xludf.DUMMYFUNCTION("""COMPUTED_VALUE"""),610957.0)</f>
        <v>610957</v>
      </c>
      <c r="B168" s="2005">
        <f>IFERROR(__xludf.DUMMYFUNCTION("""COMPUTED_VALUE"""),2402030.0)</f>
        <v>2402030</v>
      </c>
      <c r="C168" s="2005" t="str">
        <f>IFERROR(__xludf.DUMMYFUNCTION("""COMPUTED_VALUE"""),"Etiquette")</f>
        <v>Etiquette</v>
      </c>
      <c r="D168" s="2005" t="str">
        <f>IFERROR(__xludf.DUMMYFUNCTION("""COMPUTED_VALUE"""),"Etiquettes adressage 63.5x38.1mm")</f>
        <v>Etiquettes adressage 63.5x38.1mm</v>
      </c>
      <c r="E168" s="2005" t="str">
        <f>IFERROR(__xludf.DUMMYFUNCTION("""COMPUTED_VALUE"""),"AVERY")</f>
        <v>AVERY</v>
      </c>
      <c r="F168" s="2005" t="str">
        <f>IFERROR(__xludf.DUMMYFUNCTION("""COMPUTED_VALUE"""),"H")</f>
        <v>H</v>
      </c>
      <c r="G168" s="2005" t="str">
        <f>IFERROR(__xludf.DUMMYFUNCTION("""COMPUTED_VALUE"""),"AC")</f>
        <v>AC</v>
      </c>
      <c r="H168" s="2005">
        <f>IFERROR(__xludf.DUMMYFUNCTION("""COMPUTED_VALUE"""),11.99)</f>
        <v>11.99</v>
      </c>
      <c r="I168" s="2005">
        <f>IFERROR(__xludf.DUMMYFUNCTION("""COMPUTED_VALUE"""),11.99)</f>
        <v>11.99</v>
      </c>
      <c r="BD168" s="2006"/>
      <c r="LM168" s="2007"/>
      <c r="MX168" s="2007"/>
      <c r="ND168" s="2007"/>
    </row>
    <row r="169">
      <c r="A169" s="2005">
        <f>IFERROR(__xludf.DUMMYFUNCTION("""COMPUTED_VALUE"""),617567.0)</f>
        <v>617567</v>
      </c>
      <c r="B169" s="2005">
        <f>IFERROR(__xludf.DUMMYFUNCTION("""COMPUTED_VALUE"""),2403020.0)</f>
        <v>2403020</v>
      </c>
      <c r="C169" s="2005" t="str">
        <f>IFERROR(__xludf.DUMMYFUNCTION("""COMPUTED_VALUE"""),"Cartouche")</f>
        <v>Cartouche</v>
      </c>
      <c r="D169" s="2005" t="str">
        <f>IFERROR(__xludf.DUMMYFUNCTION("""COMPUTED_VALUE"""),"PC71RF Recharge 140 pages")</f>
        <v>PC71RF Recharge 140 pages</v>
      </c>
      <c r="E169" s="2005" t="str">
        <f>IFERROR(__xludf.DUMMYFUNCTION("""COMPUTED_VALUE"""),"BROTHER")</f>
        <v>BROTHER</v>
      </c>
      <c r="F169" s="2005" t="str">
        <f>IFERROR(__xludf.DUMMYFUNCTION("""COMPUTED_VALUE"""),"H")</f>
        <v>H</v>
      </c>
      <c r="G169" s="2005" t="str">
        <f>IFERROR(__xludf.DUMMYFUNCTION("""COMPUTED_VALUE"""),"NN")</f>
        <v>NN</v>
      </c>
      <c r="H169">
        <f>IFERROR(__xludf.DUMMYFUNCTION("""COMPUTED_VALUE"""),15.99)</f>
        <v>15.99</v>
      </c>
      <c r="I169">
        <f>IFERROR(__xludf.DUMMYFUNCTION("""COMPUTED_VALUE"""),15.99)</f>
        <v>15.99</v>
      </c>
      <c r="BD169" s="2006"/>
      <c r="LL169" s="2007"/>
      <c r="LM169" s="2007"/>
      <c r="MX169" s="2008"/>
      <c r="ND169" s="2007"/>
    </row>
    <row r="170">
      <c r="A170" s="2005">
        <f>IFERROR(__xludf.DUMMYFUNCTION("""COMPUTED_VALUE"""),619715.0)</f>
        <v>619715</v>
      </c>
      <c r="B170" s="2005">
        <f>IFERROR(__xludf.DUMMYFUNCTION("""COMPUTED_VALUE"""),2403005.0)</f>
        <v>2403005</v>
      </c>
      <c r="C170" s="2005" t="str">
        <f>IFERROR(__xludf.DUMMYFUNCTION("""COMPUTED_VALUE"""),"Cartouche")</f>
        <v>Cartouche</v>
      </c>
      <c r="D170" s="2005" t="str">
        <f>IFERROR(__xludf.DUMMYFUNCTION("""COMPUTED_VALUE"""),"BCI3E Noire")</f>
        <v>BCI3E Noire</v>
      </c>
      <c r="E170" s="2005" t="str">
        <f>IFERROR(__xludf.DUMMYFUNCTION("""COMPUTED_VALUE"""),"CANON")</f>
        <v>CANON</v>
      </c>
      <c r="F170" s="2005" t="str">
        <f>IFERROR(__xludf.DUMMYFUNCTION("""COMPUTED_VALUE"""),"C")</f>
        <v>C</v>
      </c>
      <c r="G170" s="2005" t="str">
        <f>IFERROR(__xludf.DUMMYFUNCTION("""COMPUTED_VALUE"""),"NN")</f>
        <v>NN</v>
      </c>
      <c r="H170" s="2005">
        <f>IFERROR(__xludf.DUMMYFUNCTION("""COMPUTED_VALUE"""),11.99)</f>
        <v>11.99</v>
      </c>
      <c r="I170" s="2005">
        <f>IFERROR(__xludf.DUMMYFUNCTION("""COMPUTED_VALUE"""),11.99)</f>
        <v>11.99</v>
      </c>
      <c r="BD170" s="2006"/>
      <c r="LL170" s="2007"/>
      <c r="LM170" s="2007"/>
      <c r="MX170" s="2007"/>
      <c r="ND170" s="2007"/>
    </row>
    <row r="171">
      <c r="A171" s="2005">
        <f>IFERROR(__xludf.DUMMYFUNCTION("""COMPUTED_VALUE"""),621975.0)</f>
        <v>621975</v>
      </c>
      <c r="B171" s="2005">
        <f>IFERROR(__xludf.DUMMYFUNCTION("""COMPUTED_VALUE"""),2402015.0)</f>
        <v>2402015</v>
      </c>
      <c r="C171" s="2005" t="str">
        <f>IFERROR(__xludf.DUMMYFUNCTION("""COMPUTED_VALUE"""),"Papier")</f>
        <v>Papier</v>
      </c>
      <c r="D171" s="2005" t="str">
        <f>IFERROR(__xludf.DUMMYFUNCTION("""COMPUTED_VALUE"""),"S041315 A3 -20f-255g/m²")</f>
        <v>S041315 A3 -20f-255g/m²</v>
      </c>
      <c r="E171" s="2005" t="str">
        <f>IFERROR(__xludf.DUMMYFUNCTION("""COMPUTED_VALUE"""),"EPSON")</f>
        <v>EPSON</v>
      </c>
      <c r="F171" s="2005" t="str">
        <f>IFERROR(__xludf.DUMMYFUNCTION("""COMPUTED_VALUE"""),"D")</f>
        <v>D</v>
      </c>
      <c r="G171" s="2005" t="str">
        <f>IFERROR(__xludf.DUMMYFUNCTION("""COMPUTED_VALUE"""),"FR")</f>
        <v>FR</v>
      </c>
      <c r="H171" s="2005">
        <f>IFERROR(__xludf.DUMMYFUNCTION("""COMPUTED_VALUE"""),34.99)</f>
        <v>34.99</v>
      </c>
      <c r="I171" s="2005">
        <f>IFERROR(__xludf.DUMMYFUNCTION("""COMPUTED_VALUE"""),34.99)</f>
        <v>34.99</v>
      </c>
      <c r="BD171" s="2006"/>
      <c r="LL171" s="2007"/>
      <c r="LM171" s="2007"/>
      <c r="MX171" s="2007"/>
      <c r="ND171" s="2007"/>
    </row>
    <row r="172">
      <c r="A172" s="2005">
        <f>IFERROR(__xludf.DUMMYFUNCTION("""COMPUTED_VALUE"""),621994.0)</f>
        <v>621994</v>
      </c>
      <c r="B172" s="2005">
        <f>IFERROR(__xludf.DUMMYFUNCTION("""COMPUTED_VALUE"""),2403005.0)</f>
        <v>2403005</v>
      </c>
      <c r="C172" s="2005" t="str">
        <f>IFERROR(__xludf.DUMMYFUNCTION("""COMPUTED_VALUE"""),"Cartouche")</f>
        <v>Cartouche</v>
      </c>
      <c r="D172" s="2005" t="str">
        <f>IFERROR(__xludf.DUMMYFUNCTION("""COMPUTED_VALUE"""),"BCI6 Noire")</f>
        <v>BCI6 Noire</v>
      </c>
      <c r="E172" s="2005" t="str">
        <f>IFERROR(__xludf.DUMMYFUNCTION("""COMPUTED_VALUE"""),"CANON")</f>
        <v>CANON</v>
      </c>
      <c r="F172" s="2005" t="str">
        <f>IFERROR(__xludf.DUMMYFUNCTION("""COMPUTED_VALUE"""),"C")</f>
        <v>C</v>
      </c>
      <c r="G172" s="2005" t="str">
        <f>IFERROR(__xludf.DUMMYFUNCTION("""COMPUTED_VALUE"""),"NN")</f>
        <v>NN</v>
      </c>
      <c r="H172" s="2005">
        <f>IFERROR(__xludf.DUMMYFUNCTION("""COMPUTED_VALUE"""),12.99)</f>
        <v>12.99</v>
      </c>
      <c r="I172" s="2005">
        <f>IFERROR(__xludf.DUMMYFUNCTION("""COMPUTED_VALUE"""),12.99)</f>
        <v>12.99</v>
      </c>
      <c r="BD172" s="2006"/>
      <c r="LL172" s="2007"/>
      <c r="LM172" s="2007"/>
      <c r="MX172" s="2007"/>
      <c r="ND172" s="2007"/>
    </row>
    <row r="173">
      <c r="A173" s="2005">
        <f>IFERROR(__xludf.DUMMYFUNCTION("""COMPUTED_VALUE"""),657892.0)</f>
        <v>657892</v>
      </c>
      <c r="B173" s="2005">
        <f>IFERROR(__xludf.DUMMYFUNCTION("""COMPUTED_VALUE"""),1101005.0)</f>
        <v>1101005</v>
      </c>
      <c r="C173" s="2005" t="str">
        <f>IFERROR(__xludf.DUMMYFUNCTION("""COMPUTED_VALUE"""),"Tél.")</f>
        <v>Tél.</v>
      </c>
      <c r="D173" s="2005" t="str">
        <f>IFERROR(__xludf.DUMMYFUNCTION("""COMPUTED_VALUE"""),"Phone Easy 311C Blanc")</f>
        <v>Phone Easy 311C Blanc</v>
      </c>
      <c r="E173" s="2005" t="str">
        <f>IFERROR(__xludf.DUMMYFUNCTION("""COMPUTED_VALUE"""),"DORO")</f>
        <v>DORO</v>
      </c>
      <c r="F173" s="2005" t="str">
        <f>IFERROR(__xludf.DUMMYFUNCTION("""COMPUTED_VALUE"""),"H")</f>
        <v>H</v>
      </c>
      <c r="G173" s="2005" t="str">
        <f>IFERROR(__xludf.DUMMYFUNCTION("""COMPUTED_VALUE"""),"NN")</f>
        <v>NN</v>
      </c>
      <c r="H173" s="2005">
        <f>IFERROR(__xludf.DUMMYFUNCTION("""COMPUTED_VALUE"""),29.99)</f>
        <v>29.99</v>
      </c>
      <c r="I173" s="2005">
        <f>IFERROR(__xludf.DUMMYFUNCTION("""COMPUTED_VALUE"""),29.99)</f>
        <v>29.99</v>
      </c>
      <c r="BD173" s="2006"/>
      <c r="LL173" s="2007"/>
      <c r="LM173" s="2007"/>
      <c r="MX173" s="2008"/>
      <c r="ND173" s="2007"/>
    </row>
    <row r="174">
      <c r="A174" s="2005">
        <f>IFERROR(__xludf.DUMMYFUNCTION("""COMPUTED_VALUE"""),659643.0)</f>
        <v>659643</v>
      </c>
      <c r="B174" s="2005">
        <f>IFERROR(__xludf.DUMMYFUNCTION("""COMPUTED_VALUE"""),2402030.0)</f>
        <v>2402030</v>
      </c>
      <c r="C174" s="2005" t="str">
        <f>IFERROR(__xludf.DUMMYFUNCTION("""COMPUTED_VALUE"""),"Etiquette")</f>
        <v>Etiquette</v>
      </c>
      <c r="D174" s="2005" t="str">
        <f>IFERROR(__xludf.DUMMYFUNCTION("""COMPUTED_VALUE"""),"30 Etiquettes CD")</f>
        <v>30 Etiquettes CD</v>
      </c>
      <c r="E174" s="2005" t="str">
        <f>IFERROR(__xludf.DUMMYFUNCTION("""COMPUTED_VALUE"""),"AVERY")</f>
        <v>AVERY</v>
      </c>
      <c r="F174" s="2005" t="str">
        <f>IFERROR(__xludf.DUMMYFUNCTION("""COMPUTED_VALUE"""),"C")</f>
        <v>C</v>
      </c>
      <c r="G174" s="2005" t="str">
        <f>IFERROR(__xludf.DUMMYFUNCTION("""COMPUTED_VALUE"""),"NN")</f>
        <v>NN</v>
      </c>
      <c r="H174" s="2005">
        <f>IFERROR(__xludf.DUMMYFUNCTION("""COMPUTED_VALUE"""),11.99)</f>
        <v>11.99</v>
      </c>
      <c r="I174" s="2005">
        <f>IFERROR(__xludf.DUMMYFUNCTION("""COMPUTED_VALUE"""),11.99)</f>
        <v>11.99</v>
      </c>
      <c r="BD174" s="2006"/>
      <c r="LL174" s="2007"/>
      <c r="LM174" s="2007"/>
      <c r="MX174" s="2007"/>
      <c r="ND174" s="2007"/>
    </row>
    <row r="175">
      <c r="A175" s="2005">
        <f>IFERROR(__xludf.DUMMYFUNCTION("""COMPUTED_VALUE"""),665393.0)</f>
        <v>665393</v>
      </c>
      <c r="B175" s="2005">
        <f>IFERROR(__xludf.DUMMYFUNCTION("""COMPUTED_VALUE"""),2402020.0)</f>
        <v>2402020</v>
      </c>
      <c r="C175" s="2005" t="str">
        <f>IFERROR(__xludf.DUMMYFUNCTION("""COMPUTED_VALUE"""),"Papier")</f>
        <v>Papier</v>
      </c>
      <c r="D175" s="2005" t="str">
        <f>IFERROR(__xludf.DUMMYFUNCTION("""COMPUTED_VALUE"""),"100 CARTES DE VISITES PRO")</f>
        <v>100 CARTES DE VISITES PRO</v>
      </c>
      <c r="E175" s="2005" t="str">
        <f>IFERROR(__xludf.DUMMYFUNCTION("""COMPUTED_VALUE"""),"MICRO APPLICATION")</f>
        <v>MICRO APPLICATION</v>
      </c>
      <c r="F175" s="2005" t="str">
        <f>IFERROR(__xludf.DUMMYFUNCTION("""COMPUTED_VALUE"""),"H")</f>
        <v>H</v>
      </c>
      <c r="G175" s="2005" t="str">
        <f>IFERROR(__xludf.DUMMYFUNCTION("""COMPUTED_VALUE"""),"NN")</f>
        <v>NN</v>
      </c>
      <c r="H175" s="2005">
        <f>IFERROR(__xludf.DUMMYFUNCTION("""COMPUTED_VALUE"""),9.99)</f>
        <v>9.99</v>
      </c>
      <c r="I175" s="2005">
        <f>IFERROR(__xludf.DUMMYFUNCTION("""COMPUTED_VALUE"""),9.99)</f>
        <v>9.99</v>
      </c>
      <c r="BD175" s="2006"/>
      <c r="LL175" s="2007"/>
      <c r="LM175" s="2007"/>
      <c r="MX175" s="2007"/>
      <c r="ND175" s="2007"/>
    </row>
    <row r="176">
      <c r="A176" s="2005">
        <f>IFERROR(__xludf.DUMMYFUNCTION("""COMPUTED_VALUE"""),665415.0)</f>
        <v>665415</v>
      </c>
      <c r="B176" s="2005">
        <f>IFERROR(__xludf.DUMMYFUNCTION("""COMPUTED_VALUE"""),2402020.0)</f>
        <v>2402020</v>
      </c>
      <c r="C176" s="2005" t="str">
        <f>IFERROR(__xludf.DUMMYFUNCTION("""COMPUTED_VALUE"""),"Papier")</f>
        <v>Papier</v>
      </c>
      <c r="D176" s="2005" t="str">
        <f>IFERROR(__xludf.DUMMYFUNCTION("""COMPUTED_VALUE"""),"Transfert pour textiles clairs 10f")</f>
        <v>Transfert pour textiles clairs 10f</v>
      </c>
      <c r="E176" s="2005" t="str">
        <f>IFERROR(__xludf.DUMMYFUNCTION("""COMPUTED_VALUE"""),"MICRO APPLICATION")</f>
        <v>MICRO APPLICATION</v>
      </c>
      <c r="F176" s="2005" t="str">
        <f>IFERROR(__xludf.DUMMYFUNCTION("""COMPUTED_VALUE"""),"H")</f>
        <v>H</v>
      </c>
      <c r="G176" s="2005" t="str">
        <f>IFERROR(__xludf.DUMMYFUNCTION("""COMPUTED_VALUE"""),"NN")</f>
        <v>NN</v>
      </c>
      <c r="H176" s="2005">
        <f>IFERROR(__xludf.DUMMYFUNCTION("""COMPUTED_VALUE"""),11.99)</f>
        <v>11.99</v>
      </c>
      <c r="I176" s="2005">
        <f>IFERROR(__xludf.DUMMYFUNCTION("""COMPUTED_VALUE"""),11.99)</f>
        <v>11.99</v>
      </c>
      <c r="BD176" s="2006"/>
      <c r="LL176" s="2007"/>
      <c r="LM176" s="2007"/>
      <c r="MX176" s="2007"/>
      <c r="ND176" s="2007"/>
    </row>
    <row r="177">
      <c r="A177" s="2005">
        <f>IFERROR(__xludf.DUMMYFUNCTION("""COMPUTED_VALUE"""),665948.0)</f>
        <v>665948</v>
      </c>
      <c r="B177" s="2005">
        <f>IFERROR(__xludf.DUMMYFUNCTION("""COMPUTED_VALUE"""),2403005.0)</f>
        <v>2403005</v>
      </c>
      <c r="C177" s="2005" t="str">
        <f>IFERROR(__xludf.DUMMYFUNCTION("""COMPUTED_VALUE"""),"Cartouche")</f>
        <v>Cartouche</v>
      </c>
      <c r="D177" s="2005" t="str">
        <f>IFERROR(__xludf.DUMMYFUNCTION("""COMPUTED_VALUE"""),"N°56a noire")</f>
        <v>N°56a noire</v>
      </c>
      <c r="E177" s="2005" t="str">
        <f>IFERROR(__xludf.DUMMYFUNCTION("""COMPUTED_VALUE"""),"HP")</f>
        <v>HP</v>
      </c>
      <c r="F177" s="2005" t="str">
        <f>IFERROR(__xludf.DUMMYFUNCTION("""COMPUTED_VALUE"""),"C")</f>
        <v>C</v>
      </c>
      <c r="G177" s="2005" t="str">
        <f>IFERROR(__xludf.DUMMYFUNCTION("""COMPUTED_VALUE"""),"NN")</f>
        <v>NN</v>
      </c>
      <c r="H177" s="2005">
        <f>IFERROR(__xludf.DUMMYFUNCTION("""COMPUTED_VALUE"""),34.99)</f>
        <v>34.99</v>
      </c>
      <c r="I177">
        <f>IFERROR(__xludf.DUMMYFUNCTION("""COMPUTED_VALUE"""),34.99)</f>
        <v>34.99</v>
      </c>
      <c r="BD177" s="2006"/>
      <c r="LL177" s="2007"/>
      <c r="LM177" s="2007"/>
      <c r="MX177" s="2007"/>
      <c r="ND177" s="2007"/>
    </row>
    <row r="178">
      <c r="A178" s="2005">
        <f>IFERROR(__xludf.DUMMYFUNCTION("""COMPUTED_VALUE"""),668023.0)</f>
        <v>668023</v>
      </c>
      <c r="B178" s="2005">
        <f>IFERROR(__xludf.DUMMYFUNCTION("""COMPUTED_VALUE"""),2403099.0)</f>
        <v>2403099</v>
      </c>
      <c r="C178" s="2005" t="str">
        <f>IFERROR(__xludf.DUMMYFUNCTION("""COMPUTED_VALUE"""),"Pack")</f>
        <v>Pack</v>
      </c>
      <c r="D178" s="2005" t="str">
        <f>IFERROR(__xludf.DUMMYFUNCTION("""COMPUTED_VALUE"""),"KP-36IP Selphy 36 feuilles 10x15")</f>
        <v>KP-36IP Selphy 36 feuilles 10x15</v>
      </c>
      <c r="E178" s="2005" t="str">
        <f>IFERROR(__xludf.DUMMYFUNCTION("""COMPUTED_VALUE"""),"CANON")</f>
        <v>CANON</v>
      </c>
      <c r="F178" s="2005" t="str">
        <f>IFERROR(__xludf.DUMMYFUNCTION("""COMPUTED_VALUE"""),"A")</f>
        <v>A</v>
      </c>
      <c r="G178" s="2005" t="str">
        <f>IFERROR(__xludf.DUMMYFUNCTION("""COMPUTED_VALUE"""),"AC")</f>
        <v>AC</v>
      </c>
      <c r="H178">
        <f>IFERROR(__xludf.DUMMYFUNCTION("""COMPUTED_VALUE"""),14.99)</f>
        <v>14.99</v>
      </c>
      <c r="I178">
        <f>IFERROR(__xludf.DUMMYFUNCTION("""COMPUTED_VALUE"""),14.99)</f>
        <v>14.99</v>
      </c>
      <c r="BD178" s="2006"/>
      <c r="LL178" s="2007"/>
      <c r="LM178" s="2007"/>
      <c r="MX178" s="2007"/>
      <c r="ND178" s="2007"/>
    </row>
    <row r="179">
      <c r="A179" s="2005">
        <f>IFERROR(__xludf.DUMMYFUNCTION("""COMPUTED_VALUE"""),669298.0)</f>
        <v>669298</v>
      </c>
      <c r="B179" s="2005">
        <f>IFERROR(__xludf.DUMMYFUNCTION("""COMPUTED_VALUE"""),2401010.0)</f>
        <v>2401010</v>
      </c>
      <c r="C179" s="2005" t="str">
        <f>IFERROR(__xludf.DUMMYFUNCTION("""COMPUTED_VALUE"""),"CD-R")</f>
        <v>CD-R</v>
      </c>
      <c r="D179" s="2005" t="str">
        <f>IFERROR(__xludf.DUMMYFUNCTION("""COMPUTED_VALUE"""),"P10 80Min 52X JC")</f>
        <v>P10 80Min 52X JC</v>
      </c>
      <c r="E179" s="2005" t="str">
        <f>IFERROR(__xludf.DUMMYFUNCTION("""COMPUTED_VALUE"""),"VERBATIM")</f>
        <v>VERBATIM</v>
      </c>
      <c r="F179" s="2005" t="str">
        <f>IFERROR(__xludf.DUMMYFUNCTION("""COMPUTED_VALUE"""),"B")</f>
        <v>B</v>
      </c>
      <c r="G179" s="2005" t="str">
        <f>IFERROR(__xludf.DUMMYFUNCTION("""COMPUTED_VALUE"""),"AC")</f>
        <v>AC</v>
      </c>
      <c r="H179" s="2005">
        <f>IFERROR(__xludf.DUMMYFUNCTION("""COMPUTED_VALUE"""),15.99)</f>
        <v>15.99</v>
      </c>
      <c r="I179" s="2005">
        <f>IFERROR(__xludf.DUMMYFUNCTION("""COMPUTED_VALUE"""),15.99)</f>
        <v>15.99</v>
      </c>
      <c r="BD179" s="2006"/>
      <c r="LL179" s="2007"/>
      <c r="LM179" s="2007"/>
      <c r="MX179" s="2007"/>
      <c r="ND179" s="2007"/>
    </row>
    <row r="180">
      <c r="A180" s="2005">
        <f>IFERROR(__xludf.DUMMYFUNCTION("""COMPUTED_VALUE"""),669528.0)</f>
        <v>669528</v>
      </c>
      <c r="B180" s="2005">
        <f>IFERROR(__xludf.DUMMYFUNCTION("""COMPUTED_VALUE"""),2707005.0)</f>
        <v>2707005</v>
      </c>
      <c r="C180" s="2005" t="str">
        <f>IFERROR(__xludf.DUMMYFUNCTION("""COMPUTED_VALUE"""),"Calc.")</f>
        <v>Calc.</v>
      </c>
      <c r="D180" s="2005" t="str">
        <f>IFERROR(__xludf.DUMMYFUNCTION("""COMPUTED_VALUE"""),"Le dictionnaire de Francais D600F")</f>
        <v>Le dictionnaire de Francais D600F</v>
      </c>
      <c r="E180" s="2005" t="str">
        <f>IFERROR(__xludf.DUMMYFUNCTION("""COMPUTED_VALUE"""),"LEXIBOOK")</f>
        <v>LEXIBOOK</v>
      </c>
      <c r="F180" s="2005" t="str">
        <f>IFERROR(__xludf.DUMMYFUNCTION("""COMPUTED_VALUE"""),"H")</f>
        <v>H</v>
      </c>
      <c r="G180" s="2005" t="str">
        <f>IFERROR(__xludf.DUMMYFUNCTION("""COMPUTED_VALUE"""),"NN")</f>
        <v>NN</v>
      </c>
      <c r="H180" s="2005">
        <f>IFERROR(__xludf.DUMMYFUNCTION("""COMPUTED_VALUE"""),39.99)</f>
        <v>39.99</v>
      </c>
      <c r="I180" s="2005">
        <f>IFERROR(__xludf.DUMMYFUNCTION("""COMPUTED_VALUE"""),39.99)</f>
        <v>39.99</v>
      </c>
      <c r="BD180" s="2006"/>
      <c r="LL180" s="2007"/>
      <c r="LM180" s="2007"/>
      <c r="MX180" s="2007"/>
      <c r="ND180" s="2007"/>
    </row>
    <row r="181">
      <c r="A181" s="2005">
        <f>IFERROR(__xludf.DUMMYFUNCTION("""COMPUTED_VALUE"""),669741.0)</f>
        <v>669741</v>
      </c>
      <c r="B181" s="2005">
        <f>IFERROR(__xludf.DUMMYFUNCTION("""COMPUTED_VALUE"""),2402020.0)</f>
        <v>2402020</v>
      </c>
      <c r="C181" s="2005" t="str">
        <f>IFERROR(__xludf.DUMMYFUNCTION("""COMPUTED_VALUE"""),"Carte")</f>
        <v>Carte</v>
      </c>
      <c r="D181" s="2005" t="str">
        <f>IFERROR(__xludf.DUMMYFUNCTION("""COMPUTED_VALUE"""),"80 Cartes de visite 85x54mm mates 260g")</f>
        <v>80 Cartes de visite 85x54mm mates 260g</v>
      </c>
      <c r="E181" s="2005" t="str">
        <f>IFERROR(__xludf.DUMMYFUNCTION("""COMPUTED_VALUE"""),"AVERY")</f>
        <v>AVERY</v>
      </c>
      <c r="F181" s="2005" t="str">
        <f>IFERROR(__xludf.DUMMYFUNCTION("""COMPUTED_VALUE"""),"D")</f>
        <v>D</v>
      </c>
      <c r="G181" s="2005" t="str">
        <f>IFERROR(__xludf.DUMMYFUNCTION("""COMPUTED_VALUE"""),"AC")</f>
        <v>AC</v>
      </c>
      <c r="H181" s="2005">
        <f>IFERROR(__xludf.DUMMYFUNCTION("""COMPUTED_VALUE"""),11.99)</f>
        <v>11.99</v>
      </c>
      <c r="I181" s="2005">
        <f>IFERROR(__xludf.DUMMYFUNCTION("""COMPUTED_VALUE"""),11.99)</f>
        <v>11.99</v>
      </c>
      <c r="BD181" s="2006"/>
      <c r="LL181" s="2007"/>
      <c r="LM181" s="2007"/>
      <c r="MX181" s="2007"/>
      <c r="ND181" s="2007"/>
    </row>
    <row r="182">
      <c r="A182" s="2005">
        <f>IFERROR(__xludf.DUMMYFUNCTION("""COMPUTED_VALUE"""),670829.0)</f>
        <v>670829</v>
      </c>
      <c r="B182" s="2005">
        <f>IFERROR(__xludf.DUMMYFUNCTION("""COMPUTED_VALUE"""),2209520.0)</f>
        <v>2209520</v>
      </c>
      <c r="D182" s="2005" t="str">
        <f>IFERROR(__xludf.DUMMYFUNCTION("""COMPUTED_VALUE"""),"Ext.3ans éch s/site MPC400/600")</f>
        <v>Ext.3ans éch s/site MPC400/600</v>
      </c>
      <c r="E182" s="2005" t="str">
        <f>IFERROR(__xludf.DUMMYFUNCTION("""COMPUTED_VALUE"""),"CANON")</f>
        <v>CANON</v>
      </c>
      <c r="F182" s="2005" t="str">
        <f>IFERROR(__xludf.DUMMYFUNCTION("""COMPUTED_VALUE"""),"H")</f>
        <v>H</v>
      </c>
      <c r="G182" s="2005" t="str">
        <f>IFERROR(__xludf.DUMMYFUNCTION("""COMPUTED_VALUE"""),"AC")</f>
        <v>AC</v>
      </c>
      <c r="H182" s="2005">
        <f>IFERROR(__xludf.DUMMYFUNCTION("""COMPUTED_VALUE"""),95.68)</f>
        <v>95.68</v>
      </c>
      <c r="I182" s="2005">
        <f>IFERROR(__xludf.DUMMYFUNCTION("""COMPUTED_VALUE"""),95.68)</f>
        <v>95.68</v>
      </c>
      <c r="BD182" s="2006"/>
      <c r="LL182" s="2008"/>
      <c r="LM182" s="2007"/>
      <c r="MX182" s="2007"/>
      <c r="ND182" s="2007"/>
    </row>
    <row r="183">
      <c r="A183" s="2005">
        <f>IFERROR(__xludf.DUMMYFUNCTION("""COMPUTED_VALUE"""),674394.0)</f>
        <v>674394</v>
      </c>
      <c r="B183" s="2005">
        <f>IFERROR(__xludf.DUMMYFUNCTION("""COMPUTED_VALUE"""),2209520.0)</f>
        <v>2209520</v>
      </c>
      <c r="C183" s="2005" t="str">
        <f>IFERROR(__xludf.DUMMYFUNCTION("""COMPUTED_VALUE"""),"Garantie")</f>
        <v>Garantie</v>
      </c>
      <c r="D183" s="2005" t="str">
        <f>IFERROR(__xludf.DUMMYFUNCTION("""COMPUTED_VALUE"""),"#ERROR!")</f>
        <v>#ERROR!</v>
      </c>
      <c r="E183" s="2005" t="str">
        <f>IFERROR(__xludf.DUMMYFUNCTION("""COMPUTED_VALUE"""),"BOULANGER")</f>
        <v>BOULANGER</v>
      </c>
      <c r="F183" s="2005" t="str">
        <f>IFERROR(__xludf.DUMMYFUNCTION("""COMPUTED_VALUE"""),"B")</f>
        <v>B</v>
      </c>
      <c r="G183" s="2005" t="str">
        <f>IFERROR(__xludf.DUMMYFUNCTION("""COMPUTED_VALUE"""),"AC")</f>
        <v>AC</v>
      </c>
      <c r="H183" s="2005">
        <f>IFERROR(__xludf.DUMMYFUNCTION("""COMPUTED_VALUE"""),59.0)</f>
        <v>59</v>
      </c>
      <c r="I183" s="2005">
        <f>IFERROR(__xludf.DUMMYFUNCTION("""COMPUTED_VALUE"""),59.0)</f>
        <v>59</v>
      </c>
      <c r="BD183" s="2006"/>
      <c r="LL183" s="2008"/>
      <c r="LM183" s="2007"/>
      <c r="MX183" s="2007"/>
      <c r="ND183" s="2007"/>
    </row>
    <row r="184">
      <c r="A184" s="2005">
        <f>IFERROR(__xludf.DUMMYFUNCTION("""COMPUTED_VALUE"""),675218.0)</f>
        <v>675218</v>
      </c>
      <c r="B184" s="2005">
        <f>IFERROR(__xludf.DUMMYFUNCTION("""COMPUTED_VALUE"""),2401010.0)</f>
        <v>2401010</v>
      </c>
      <c r="C184" s="2005" t="str">
        <f>IFERROR(__xludf.DUMMYFUNCTION("""COMPUTED_VALUE"""),"CD-R")</f>
        <v>CD-R</v>
      </c>
      <c r="D184" s="2005" t="str">
        <f>IFERROR(__xludf.DUMMYFUNCTION("""COMPUTED_VALUE"""),"CD-R 700MB 50PK Spindle 52x")</f>
        <v>CD-R 700MB 50PK Spindle 52x</v>
      </c>
      <c r="E184" s="2005" t="str">
        <f>IFERROR(__xludf.DUMMYFUNCTION("""COMPUTED_VALUE"""),"VERBATIM")</f>
        <v>VERBATIM</v>
      </c>
      <c r="F184" s="2005" t="str">
        <f>IFERROR(__xludf.DUMMYFUNCTION("""COMPUTED_VALUE"""),"H")</f>
        <v>H</v>
      </c>
      <c r="G184" s="2005" t="str">
        <f>IFERROR(__xludf.DUMMYFUNCTION("""COMPUTED_VALUE"""),"NN")</f>
        <v>NN</v>
      </c>
      <c r="H184" s="2005">
        <f>IFERROR(__xludf.DUMMYFUNCTION("""COMPUTED_VALUE"""),39.99)</f>
        <v>39.99</v>
      </c>
      <c r="I184">
        <f>IFERROR(__xludf.DUMMYFUNCTION("""COMPUTED_VALUE"""),39.99)</f>
        <v>39.99</v>
      </c>
      <c r="BD184" s="2006"/>
      <c r="LL184" s="2007"/>
      <c r="LM184" s="2007"/>
      <c r="MX184" s="2007"/>
      <c r="ND184" s="2007"/>
    </row>
    <row r="185">
      <c r="A185" s="2005">
        <f>IFERROR(__xludf.DUMMYFUNCTION("""COMPUTED_VALUE"""),677603.0)</f>
        <v>677603</v>
      </c>
      <c r="B185" s="2005">
        <f>IFERROR(__xludf.DUMMYFUNCTION("""COMPUTED_VALUE"""),2502505.0)</f>
        <v>2502505</v>
      </c>
      <c r="C185" s="2005" t="str">
        <f>IFERROR(__xludf.DUMMYFUNCTION("""COMPUTED_VALUE"""),"Tapis")</f>
        <v>Tapis</v>
      </c>
      <c r="D185" s="2005" t="str">
        <f>IFERROR(__xludf.DUMMYFUNCTION("""COMPUTED_VALUE"""),"repose poignet gel cristal bleu")</f>
        <v>repose poignet gel cristal bleu</v>
      </c>
      <c r="E185" s="2005" t="str">
        <f>IFERROR(__xludf.DUMMYFUNCTION("""COMPUTED_VALUE"""),"FELLOWES")</f>
        <v>FELLOWES</v>
      </c>
      <c r="F185" s="2005" t="str">
        <f>IFERROR(__xludf.DUMMYFUNCTION("""COMPUTED_VALUE"""),"H")</f>
        <v>H</v>
      </c>
      <c r="G185" s="2005" t="str">
        <f>IFERROR(__xludf.DUMMYFUNCTION("""COMPUTED_VALUE"""),"FR")</f>
        <v>FR</v>
      </c>
      <c r="H185" s="2005">
        <f>IFERROR(__xludf.DUMMYFUNCTION("""COMPUTED_VALUE"""),17.99)</f>
        <v>17.99</v>
      </c>
      <c r="I185" s="2005">
        <f>IFERROR(__xludf.DUMMYFUNCTION("""COMPUTED_VALUE"""),17.99)</f>
        <v>17.99</v>
      </c>
      <c r="BD185" s="2006"/>
      <c r="LL185" s="2007"/>
      <c r="LM185" s="2007"/>
      <c r="MX185" s="2007"/>
      <c r="ND185" s="2007"/>
    </row>
    <row r="186">
      <c r="A186" s="2005">
        <f>IFERROR(__xludf.DUMMYFUNCTION("""COMPUTED_VALUE"""),680726.0)</f>
        <v>680726</v>
      </c>
      <c r="B186" s="2005">
        <f>IFERROR(__xludf.DUMMYFUNCTION("""COMPUTED_VALUE"""),2704515.0)</f>
        <v>2704515</v>
      </c>
      <c r="C186" s="2005" t="str">
        <f>IFERROR(__xludf.DUMMYFUNCTION("""COMPUTED_VALUE"""),"Calc.")</f>
        <v>Calc.</v>
      </c>
      <c r="D186" s="2005" t="str">
        <f>IFERROR(__xludf.DUMMYFUNCTION("""COMPUTED_VALUE"""),"GRAPH 25+ E II")</f>
        <v>GRAPH 25+ E II</v>
      </c>
      <c r="E186" s="2005" t="str">
        <f>IFERROR(__xludf.DUMMYFUNCTION("""COMPUTED_VALUE"""),"CASIO")</f>
        <v>CASIO</v>
      </c>
      <c r="F186" s="2005" t="str">
        <f>IFERROR(__xludf.DUMMYFUNCTION("""COMPUTED_VALUE"""),"H")</f>
        <v>H</v>
      </c>
      <c r="G186" s="2005" t="str">
        <f>IFERROR(__xludf.DUMMYFUNCTION("""COMPUTED_VALUE"""),"FR")</f>
        <v>FR</v>
      </c>
      <c r="H186" s="2005">
        <f>IFERROR(__xludf.DUMMYFUNCTION("""COMPUTED_VALUE"""),52.99)</f>
        <v>52.99</v>
      </c>
      <c r="I186" s="2005">
        <f>IFERROR(__xludf.DUMMYFUNCTION("""COMPUTED_VALUE"""),52.99)</f>
        <v>52.99</v>
      </c>
      <c r="BD186" s="2006"/>
      <c r="LL186" s="2007"/>
      <c r="LM186" s="2007"/>
      <c r="MX186" s="2007"/>
      <c r="ND186" s="2007"/>
    </row>
    <row r="187">
      <c r="A187" s="2005">
        <f>IFERROR(__xludf.DUMMYFUNCTION("""COMPUTED_VALUE"""),681611.0)</f>
        <v>681611</v>
      </c>
      <c r="B187" s="2005">
        <f>IFERROR(__xludf.DUMMYFUNCTION("""COMPUTED_VALUE"""),2403015.0)</f>
        <v>2403015</v>
      </c>
      <c r="C187" s="2005" t="str">
        <f>IFERROR(__xludf.DUMMYFUNCTION("""COMPUTED_VALUE"""),"Ruban")</f>
        <v>Ruban</v>
      </c>
      <c r="D187" s="2005" t="str">
        <f>IFERROR(__xludf.DUMMYFUNCTION("""COMPUTED_VALUE"""),"PFA331 MAGIC 3")</f>
        <v>PFA331 MAGIC 3</v>
      </c>
      <c r="E187" s="2005" t="str">
        <f>IFERROR(__xludf.DUMMYFUNCTION("""COMPUTED_VALUE"""),"PHILIPS")</f>
        <v>PHILIPS</v>
      </c>
      <c r="F187" s="2005" t="str">
        <f>IFERROR(__xludf.DUMMYFUNCTION("""COMPUTED_VALUE"""),"H")</f>
        <v>H</v>
      </c>
      <c r="G187" s="2005" t="str">
        <f>IFERROR(__xludf.DUMMYFUNCTION("""COMPUTED_VALUE"""),"NN")</f>
        <v>NN</v>
      </c>
      <c r="H187" s="2005">
        <f>IFERROR(__xludf.DUMMYFUNCTION("""COMPUTED_VALUE"""),31.99)</f>
        <v>31.99</v>
      </c>
      <c r="I187" s="2005">
        <f>IFERROR(__xludf.DUMMYFUNCTION("""COMPUTED_VALUE"""),31.99)</f>
        <v>31.99</v>
      </c>
      <c r="BD187" s="2006"/>
      <c r="LL187" s="2007"/>
      <c r="LM187" s="2007"/>
      <c r="MX187" s="2007"/>
      <c r="ND187" s="2007"/>
    </row>
    <row r="188">
      <c r="A188" s="2005">
        <f>IFERROR(__xludf.DUMMYFUNCTION("""COMPUTED_VALUE"""),691236.0)</f>
        <v>691236</v>
      </c>
      <c r="B188" s="2005">
        <f>IFERROR(__xludf.DUMMYFUNCTION("""COMPUTED_VALUE"""),2403515.0)</f>
        <v>2403515</v>
      </c>
      <c r="C188" s="2005" t="str">
        <f>IFERROR(__xludf.DUMMYFUNCTION("""COMPUTED_VALUE"""),"Plastifieuse")</f>
        <v>Plastifieuse</v>
      </c>
      <c r="D188" s="2005" t="str">
        <f>IFERROR(__xludf.DUMMYFUNCTION("""COMPUTED_VALUE"""),"A4 80 Micr")</f>
        <v>A4 80 Micr</v>
      </c>
      <c r="E188" s="2005" t="str">
        <f>IFERROR(__xludf.DUMMYFUNCTION("""COMPUTED_VALUE"""),"FELLOWES")</f>
        <v>FELLOWES</v>
      </c>
      <c r="F188" s="2005" t="str">
        <f>IFERROR(__xludf.DUMMYFUNCTION("""COMPUTED_VALUE"""),"D")</f>
        <v>D</v>
      </c>
      <c r="G188" s="2005" t="str">
        <f>IFERROR(__xludf.DUMMYFUNCTION("""COMPUTED_VALUE"""),"AC")</f>
        <v>AC</v>
      </c>
      <c r="H188" s="2005">
        <f>IFERROR(__xludf.DUMMYFUNCTION("""COMPUTED_VALUE"""),9.49)</f>
        <v>9.49</v>
      </c>
      <c r="I188" s="2005">
        <f>IFERROR(__xludf.DUMMYFUNCTION("""COMPUTED_VALUE"""),9.49)</f>
        <v>9.49</v>
      </c>
      <c r="BD188" s="2006"/>
      <c r="LL188" s="2008"/>
      <c r="LM188" s="2007"/>
      <c r="MX188" s="2007"/>
      <c r="ND188" s="2007"/>
    </row>
    <row r="189">
      <c r="A189" s="2005">
        <f>IFERROR(__xludf.DUMMYFUNCTION("""COMPUTED_VALUE"""),692036.0)</f>
        <v>692036</v>
      </c>
      <c r="B189" s="2005">
        <f>IFERROR(__xludf.DUMMYFUNCTION("""COMPUTED_VALUE"""),2401015.0)</f>
        <v>2401015</v>
      </c>
      <c r="C189" s="2005" t="str">
        <f>IFERROR(__xludf.DUMMYFUNCTION("""COMPUTED_VALUE"""),"DVD")</f>
        <v>DVD</v>
      </c>
      <c r="D189" s="2005" t="str">
        <f>IFERROR(__xludf.DUMMYFUNCTION("""COMPUTED_VALUE"""),"DVD+RW 4.7GB 5PK P5 Jewel case 4x")</f>
        <v>DVD+RW 4.7GB 5PK P5 Jewel case 4x</v>
      </c>
      <c r="E189" s="2005" t="str">
        <f>IFERROR(__xludf.DUMMYFUNCTION("""COMPUTED_VALUE"""),"VERBATIM")</f>
        <v>VERBATIM</v>
      </c>
      <c r="F189" s="2005" t="str">
        <f>IFERROR(__xludf.DUMMYFUNCTION("""COMPUTED_VALUE"""),"B")</f>
        <v>B</v>
      </c>
      <c r="G189" s="2005" t="str">
        <f>IFERROR(__xludf.DUMMYFUNCTION("""COMPUTED_VALUE"""),"AC")</f>
        <v>AC</v>
      </c>
      <c r="H189" s="2005">
        <f>IFERROR(__xludf.DUMMYFUNCTION("""COMPUTED_VALUE"""),16.99)</f>
        <v>16.99</v>
      </c>
      <c r="I189" s="2005">
        <f>IFERROR(__xludf.DUMMYFUNCTION("""COMPUTED_VALUE"""),16.99)</f>
        <v>16.99</v>
      </c>
      <c r="BD189" s="2006"/>
      <c r="LL189" s="2007"/>
      <c r="LM189" s="2007"/>
      <c r="MX189" s="2008"/>
      <c r="ND189" s="2007"/>
    </row>
    <row r="190">
      <c r="A190" s="2005">
        <f>IFERROR(__xludf.DUMMYFUNCTION("""COMPUTED_VALUE"""),699672.0)</f>
        <v>699672</v>
      </c>
      <c r="B190" s="2005">
        <f>IFERROR(__xludf.DUMMYFUNCTION("""COMPUTED_VALUE"""),2403099.0)</f>
        <v>2403099</v>
      </c>
      <c r="C190" s="2005" t="str">
        <f>IFERROR(__xludf.DUMMYFUNCTION("""COMPUTED_VALUE"""),"Cartouche")</f>
        <v>Cartouche</v>
      </c>
      <c r="D190" s="2005" t="str">
        <f>IFERROR(__xludf.DUMMYFUNCTION("""COMPUTED_VALUE"""),"KC36IP 36 feuilles 10x15 + encre")</f>
        <v>KC36IP 36 feuilles 10x15 + encre</v>
      </c>
      <c r="E190" s="2005" t="str">
        <f>IFERROR(__xludf.DUMMYFUNCTION("""COMPUTED_VALUE"""),"CANON")</f>
        <v>CANON</v>
      </c>
      <c r="F190" s="2005" t="str">
        <f>IFERROR(__xludf.DUMMYFUNCTION("""COMPUTED_VALUE"""),"H")</f>
        <v>H</v>
      </c>
      <c r="G190" s="2005" t="str">
        <f>IFERROR(__xludf.DUMMYFUNCTION("""COMPUTED_VALUE"""),"NN")</f>
        <v>NN</v>
      </c>
      <c r="H190" s="2005">
        <f>IFERROR(__xludf.DUMMYFUNCTION("""COMPUTED_VALUE"""),24.99)</f>
        <v>24.99</v>
      </c>
      <c r="I190" s="2005">
        <f>IFERROR(__xludf.DUMMYFUNCTION("""COMPUTED_VALUE"""),24.99)</f>
        <v>24.99</v>
      </c>
      <c r="BD190" s="2006"/>
      <c r="LL190" s="2007"/>
      <c r="LM190" s="2007"/>
      <c r="MX190" s="2007"/>
      <c r="ND190" s="2007"/>
    </row>
    <row r="191">
      <c r="A191" s="2005">
        <f>IFERROR(__xludf.DUMMYFUNCTION("""COMPUTED_VALUE"""),701370.0)</f>
        <v>701370</v>
      </c>
      <c r="B191" s="2005">
        <f>IFERROR(__xludf.DUMMYFUNCTION("""COMPUTED_VALUE"""),2402015.0)</f>
        <v>2402015</v>
      </c>
      <c r="C191" s="2005" t="str">
        <f>IFERROR(__xludf.DUMMYFUNCTION("""COMPUTED_VALUE"""),"Papier")</f>
        <v>Papier</v>
      </c>
      <c r="D191" s="2005" t="str">
        <f>IFERROR(__xludf.DUMMYFUNCTION("""COMPUTED_VALUE"""),"Q5451A - A4-25f-200g/m²")</f>
        <v>Q5451A - A4-25f-200g/m²</v>
      </c>
      <c r="E191" s="2005" t="str">
        <f>IFERROR(__xludf.DUMMYFUNCTION("""COMPUTED_VALUE"""),"HP")</f>
        <v>HP</v>
      </c>
      <c r="F191" s="2005" t="str">
        <f>IFERROR(__xludf.DUMMYFUNCTION("""COMPUTED_VALUE"""),"C")</f>
        <v>C</v>
      </c>
      <c r="G191" s="2005" t="str">
        <f>IFERROR(__xludf.DUMMYFUNCTION("""COMPUTED_VALUE"""),"AC")</f>
        <v>AC</v>
      </c>
      <c r="H191" s="2005">
        <f>IFERROR(__xludf.DUMMYFUNCTION("""COMPUTED_VALUE"""),7.99)</f>
        <v>7.99</v>
      </c>
      <c r="I191" s="2005">
        <f>IFERROR(__xludf.DUMMYFUNCTION("""COMPUTED_VALUE"""),7.99)</f>
        <v>7.99</v>
      </c>
      <c r="BD191" s="2006"/>
      <c r="LM191" s="2007"/>
      <c r="MX191" s="2008"/>
      <c r="ND191" s="2007"/>
    </row>
    <row r="192">
      <c r="A192" s="2005">
        <f>IFERROR(__xludf.DUMMYFUNCTION("""COMPUTED_VALUE"""),703285.0)</f>
        <v>703285</v>
      </c>
      <c r="B192" s="2005">
        <f>IFERROR(__xludf.DUMMYFUNCTION("""COMPUTED_VALUE"""),2403005.0)</f>
        <v>2403005</v>
      </c>
      <c r="C192" s="2005" t="str">
        <f>IFERROR(__xludf.DUMMYFUNCTION("""COMPUTED_VALUE"""),"Cartouche")</f>
        <v>Cartouche</v>
      </c>
      <c r="D192" s="2005" t="str">
        <f>IFERROR(__xludf.DUMMYFUNCTION("""COMPUTED_VALUE"""),"N°344 3 couleurs")</f>
        <v>N°344 3 couleurs</v>
      </c>
      <c r="E192" s="2005" t="str">
        <f>IFERROR(__xludf.DUMMYFUNCTION("""COMPUTED_VALUE"""),"HP")</f>
        <v>HP</v>
      </c>
      <c r="F192" s="2005" t="str">
        <f>IFERROR(__xludf.DUMMYFUNCTION("""COMPUTED_VALUE"""),"C")</f>
        <v>C</v>
      </c>
      <c r="G192" s="2005" t="str">
        <f>IFERROR(__xludf.DUMMYFUNCTION("""COMPUTED_VALUE"""),"NN")</f>
        <v>NN</v>
      </c>
      <c r="H192" s="2005">
        <f>IFERROR(__xludf.DUMMYFUNCTION("""COMPUTED_VALUE"""),82.99)</f>
        <v>82.99</v>
      </c>
      <c r="I192" s="2005">
        <f>IFERROR(__xludf.DUMMYFUNCTION("""COMPUTED_VALUE"""),82.99)</f>
        <v>82.99</v>
      </c>
      <c r="BD192" s="2006"/>
      <c r="LM192" s="2007"/>
      <c r="MX192" s="2007"/>
      <c r="ND192" s="2007"/>
    </row>
    <row r="193">
      <c r="A193" s="2005">
        <f>IFERROR(__xludf.DUMMYFUNCTION("""COMPUTED_VALUE"""),703302.0)</f>
        <v>703302</v>
      </c>
      <c r="B193" s="2005">
        <f>IFERROR(__xludf.DUMMYFUNCTION("""COMPUTED_VALUE"""),2403005.0)</f>
        <v>2403005</v>
      </c>
      <c r="C193" s="2005" t="str">
        <f>IFERROR(__xludf.DUMMYFUNCTION("""COMPUTED_VALUE"""),"Cartouche")</f>
        <v>Cartouche</v>
      </c>
      <c r="D193" s="2005" t="str">
        <f>IFERROR(__xludf.DUMMYFUNCTION("""COMPUTED_VALUE"""),"N°343 3 couleurs")</f>
        <v>N°343 3 couleurs</v>
      </c>
      <c r="E193" s="2005" t="str">
        <f>IFERROR(__xludf.DUMMYFUNCTION("""COMPUTED_VALUE"""),"HP")</f>
        <v>HP</v>
      </c>
      <c r="F193" s="2005" t="str">
        <f>IFERROR(__xludf.DUMMYFUNCTION("""COMPUTED_VALUE"""),"A")</f>
        <v>A</v>
      </c>
      <c r="G193" s="2005" t="str">
        <f>IFERROR(__xludf.DUMMYFUNCTION("""COMPUTED_VALUE"""),"NN")</f>
        <v>NN</v>
      </c>
      <c r="H193" s="2005">
        <f>IFERROR(__xludf.DUMMYFUNCTION("""COMPUTED_VALUE"""),61.99)</f>
        <v>61.99</v>
      </c>
      <c r="I193" s="2005">
        <f>IFERROR(__xludf.DUMMYFUNCTION("""COMPUTED_VALUE"""),61.99)</f>
        <v>61.99</v>
      </c>
      <c r="BD193" s="2006"/>
      <c r="LL193" s="2007"/>
      <c r="LM193" s="2007"/>
      <c r="MX193" s="2007"/>
      <c r="ND193" s="2007"/>
    </row>
    <row r="194">
      <c r="A194" s="2005">
        <f>IFERROR(__xludf.DUMMYFUNCTION("""COMPUTED_VALUE"""),703306.0)</f>
        <v>703306</v>
      </c>
      <c r="B194" s="2005">
        <f>IFERROR(__xludf.DUMMYFUNCTION("""COMPUTED_VALUE"""),2403005.0)</f>
        <v>2403005</v>
      </c>
      <c r="C194" s="2005" t="str">
        <f>IFERROR(__xludf.DUMMYFUNCTION("""COMPUTED_VALUE"""),"Cartouche")</f>
        <v>Cartouche</v>
      </c>
      <c r="D194" s="2005" t="str">
        <f>IFERROR(__xludf.DUMMYFUNCTION("""COMPUTED_VALUE"""),"N°339 noire hte capacité")</f>
        <v>N°339 noire hte capacité</v>
      </c>
      <c r="E194" s="2005" t="str">
        <f>IFERROR(__xludf.DUMMYFUNCTION("""COMPUTED_VALUE"""),"HP")</f>
        <v>HP</v>
      </c>
      <c r="F194" s="2005" t="str">
        <f>IFERROR(__xludf.DUMMYFUNCTION("""COMPUTED_VALUE"""),"C")</f>
        <v>C</v>
      </c>
      <c r="G194" s="2005" t="str">
        <f>IFERROR(__xludf.DUMMYFUNCTION("""COMPUTED_VALUE"""),"NN")</f>
        <v>NN</v>
      </c>
      <c r="H194" s="2005">
        <f>IFERROR(__xludf.DUMMYFUNCTION("""COMPUTED_VALUE"""),51.99)</f>
        <v>51.99</v>
      </c>
      <c r="I194" s="2005">
        <f>IFERROR(__xludf.DUMMYFUNCTION("""COMPUTED_VALUE"""),51.99)</f>
        <v>51.99</v>
      </c>
      <c r="BD194" s="2006"/>
      <c r="LL194" s="2007"/>
      <c r="LM194" s="2007"/>
      <c r="MX194" s="2007"/>
      <c r="ND194" s="2007"/>
    </row>
    <row r="195">
      <c r="A195" s="2005">
        <f>IFERROR(__xludf.DUMMYFUNCTION("""COMPUTED_VALUE"""),703308.0)</f>
        <v>703308</v>
      </c>
      <c r="B195" s="2005">
        <f>IFERROR(__xludf.DUMMYFUNCTION("""COMPUTED_VALUE"""),2403005.0)</f>
        <v>2403005</v>
      </c>
      <c r="C195" s="2005" t="str">
        <f>IFERROR(__xludf.DUMMYFUNCTION("""COMPUTED_VALUE"""),"Cartouche")</f>
        <v>Cartouche</v>
      </c>
      <c r="D195" s="2005" t="str">
        <f>IFERROR(__xludf.DUMMYFUNCTION("""COMPUTED_VALUE"""),"N°338 noire")</f>
        <v>N°338 noire</v>
      </c>
      <c r="E195" s="2005" t="str">
        <f>IFERROR(__xludf.DUMMYFUNCTION("""COMPUTED_VALUE"""),"HP")</f>
        <v>HP</v>
      </c>
      <c r="F195" s="2005" t="str">
        <f>IFERROR(__xludf.DUMMYFUNCTION("""COMPUTED_VALUE"""),"A")</f>
        <v>A</v>
      </c>
      <c r="G195" s="2005" t="str">
        <f>IFERROR(__xludf.DUMMYFUNCTION("""COMPUTED_VALUE"""),"NN")</f>
        <v>NN</v>
      </c>
      <c r="H195" s="2005">
        <f>IFERROR(__xludf.DUMMYFUNCTION("""COMPUTED_VALUE"""),51.99)</f>
        <v>51.99</v>
      </c>
      <c r="I195" s="2005">
        <f>IFERROR(__xludf.DUMMYFUNCTION("""COMPUTED_VALUE"""),51.99)</f>
        <v>51.99</v>
      </c>
      <c r="BD195" s="2006"/>
      <c r="LL195" s="2007"/>
      <c r="LM195" s="2007"/>
      <c r="MX195" s="2007"/>
      <c r="ND195" s="2007"/>
    </row>
    <row r="196">
      <c r="A196" s="2005">
        <f>IFERROR(__xludf.DUMMYFUNCTION("""COMPUTED_VALUE"""),703540.0)</f>
        <v>703540</v>
      </c>
      <c r="B196" s="2005">
        <f>IFERROR(__xludf.DUMMYFUNCTION("""COMPUTED_VALUE"""),2401015.0)</f>
        <v>2401015</v>
      </c>
      <c r="C196" s="2005" t="str">
        <f>IFERROR(__xludf.DUMMYFUNCTION("""COMPUTED_VALUE"""),"DVD")</f>
        <v>DVD</v>
      </c>
      <c r="D196" s="2005" t="str">
        <f>IFERROR(__xludf.DUMMYFUNCTION("""COMPUTED_VALUE"""),"DVD-RW 4.7GB 5PK P5 Jewel case x4")</f>
        <v>DVD-RW 4.7GB 5PK P5 Jewel case x4</v>
      </c>
      <c r="E196" s="2005" t="str">
        <f>IFERROR(__xludf.DUMMYFUNCTION("""COMPUTED_VALUE"""),"VERBATIM")</f>
        <v>VERBATIM</v>
      </c>
      <c r="F196" s="2005" t="str">
        <f>IFERROR(__xludf.DUMMYFUNCTION("""COMPUTED_VALUE"""),"H")</f>
        <v>H</v>
      </c>
      <c r="G196" s="2005" t="str">
        <f>IFERROR(__xludf.DUMMYFUNCTION("""COMPUTED_VALUE"""),"AC")</f>
        <v>AC</v>
      </c>
      <c r="H196" s="2005">
        <f>IFERROR(__xludf.DUMMYFUNCTION("""COMPUTED_VALUE"""),17.99)</f>
        <v>17.99</v>
      </c>
      <c r="I196" s="2005">
        <f>IFERROR(__xludf.DUMMYFUNCTION("""COMPUTED_VALUE"""),17.99)</f>
        <v>17.99</v>
      </c>
      <c r="BD196" s="2006"/>
      <c r="LM196" s="2007"/>
      <c r="MX196" s="2007"/>
      <c r="ND196" s="2007"/>
    </row>
    <row r="197">
      <c r="A197" s="2005">
        <f>IFERROR(__xludf.DUMMYFUNCTION("""COMPUTED_VALUE"""),707000.0)</f>
        <v>707000</v>
      </c>
      <c r="B197" s="2005">
        <f>IFERROR(__xludf.DUMMYFUNCTION("""COMPUTED_VALUE"""),2403010.0)</f>
        <v>2403010</v>
      </c>
      <c r="C197" s="2005" t="str">
        <f>IFERROR(__xludf.DUMMYFUNCTION("""COMPUTED_VALUE"""),"Toner")</f>
        <v>Toner</v>
      </c>
      <c r="D197" s="2005" t="str">
        <f>IFERROR(__xludf.DUMMYFUNCTION("""COMPUTED_VALUE"""),"Q3962A Jaune")</f>
        <v>Q3962A Jaune</v>
      </c>
      <c r="E197" s="2005" t="str">
        <f>IFERROR(__xludf.DUMMYFUNCTION("""COMPUTED_VALUE"""),"HP")</f>
        <v>HP</v>
      </c>
      <c r="F197" s="2005" t="str">
        <f>IFERROR(__xludf.DUMMYFUNCTION("""COMPUTED_VALUE"""),"H")</f>
        <v>H</v>
      </c>
      <c r="G197" s="2005" t="str">
        <f>IFERROR(__xludf.DUMMYFUNCTION("""COMPUTED_VALUE"""),"NN")</f>
        <v>NN</v>
      </c>
      <c r="H197" s="2005">
        <f>IFERROR(__xludf.DUMMYFUNCTION("""COMPUTED_VALUE"""),138.99)</f>
        <v>138.99</v>
      </c>
      <c r="I197" s="2005">
        <f>IFERROR(__xludf.DUMMYFUNCTION("""COMPUTED_VALUE"""),138.99)</f>
        <v>138.99</v>
      </c>
      <c r="LL197" s="2007"/>
      <c r="LM197" s="2007"/>
      <c r="MX197" s="2007"/>
      <c r="ND197" s="2007"/>
    </row>
    <row r="198">
      <c r="A198" s="2005">
        <f>IFERROR(__xludf.DUMMYFUNCTION("""COMPUTED_VALUE"""),707002.0)</f>
        <v>707002</v>
      </c>
      <c r="B198" s="2005">
        <f>IFERROR(__xludf.DUMMYFUNCTION("""COMPUTED_VALUE"""),2403010.0)</f>
        <v>2403010</v>
      </c>
      <c r="C198" s="2005" t="str">
        <f>IFERROR(__xludf.DUMMYFUNCTION("""COMPUTED_VALUE"""),"Toner")</f>
        <v>Toner</v>
      </c>
      <c r="D198" s="2005" t="str">
        <f>IFERROR(__xludf.DUMMYFUNCTION("""COMPUTED_VALUE"""),"Q2612A Noir")</f>
        <v>Q2612A Noir</v>
      </c>
      <c r="E198" s="2005" t="str">
        <f>IFERROR(__xludf.DUMMYFUNCTION("""COMPUTED_VALUE"""),"HP")</f>
        <v>HP</v>
      </c>
      <c r="F198" s="2005" t="str">
        <f>IFERROR(__xludf.DUMMYFUNCTION("""COMPUTED_VALUE"""),"H")</f>
        <v>H</v>
      </c>
      <c r="G198" s="2005" t="str">
        <f>IFERROR(__xludf.DUMMYFUNCTION("""COMPUTED_VALUE"""),"FR")</f>
        <v>FR</v>
      </c>
      <c r="H198" s="2005">
        <f>IFERROR(__xludf.DUMMYFUNCTION("""COMPUTED_VALUE"""),76.99)</f>
        <v>76.99</v>
      </c>
      <c r="I198" s="2005">
        <f>IFERROR(__xludf.DUMMYFUNCTION("""COMPUTED_VALUE"""),76.99)</f>
        <v>76.99</v>
      </c>
      <c r="LL198" s="2007"/>
      <c r="LM198" s="2007"/>
      <c r="MX198" s="2007"/>
      <c r="ND198" s="2007"/>
    </row>
    <row r="199">
      <c r="A199" s="2005">
        <f>IFERROR(__xludf.DUMMYFUNCTION("""COMPUTED_VALUE"""),717399.0)</f>
        <v>717399</v>
      </c>
      <c r="B199" s="2005">
        <f>IFERROR(__xludf.DUMMYFUNCTION("""COMPUTED_VALUE"""),2403005.0)</f>
        <v>2403005</v>
      </c>
      <c r="C199" s="2005" t="str">
        <f>IFERROR(__xludf.DUMMYFUNCTION("""COMPUTED_VALUE"""),"MultiPack")</f>
        <v>MultiPack</v>
      </c>
      <c r="D199" s="2005" t="str">
        <f>IFERROR(__xludf.DUMMYFUNCTION("""COMPUTED_VALUE"""),"T0487 série Hippocampe N/C/M/J/MC/CC")</f>
        <v>T0487 série Hippocampe N/C/M/J/MC/CC</v>
      </c>
      <c r="E199" s="2005" t="str">
        <f>IFERROR(__xludf.DUMMYFUNCTION("""COMPUTED_VALUE"""),"EPSON")</f>
        <v>EPSON</v>
      </c>
      <c r="F199" s="2005" t="str">
        <f>IFERROR(__xludf.DUMMYFUNCTION("""COMPUTED_VALUE"""),"H")</f>
        <v>H</v>
      </c>
      <c r="G199" s="2005" t="str">
        <f>IFERROR(__xludf.DUMMYFUNCTION("""COMPUTED_VALUE"""),"NN")</f>
        <v>NN</v>
      </c>
      <c r="H199" s="2005">
        <f>IFERROR(__xludf.DUMMYFUNCTION("""COMPUTED_VALUE"""),99.99)</f>
        <v>99.99</v>
      </c>
      <c r="I199" s="2005">
        <f>IFERROR(__xludf.DUMMYFUNCTION("""COMPUTED_VALUE"""),99.99)</f>
        <v>99.99</v>
      </c>
      <c r="BD199" s="2006"/>
      <c r="LM199" s="2007"/>
    </row>
    <row r="200">
      <c r="A200" s="2005">
        <f>IFERROR(__xludf.DUMMYFUNCTION("""COMPUTED_VALUE"""),719094.0)</f>
        <v>719094</v>
      </c>
      <c r="B200" s="2005">
        <f>IFERROR(__xludf.DUMMYFUNCTION("""COMPUTED_VALUE"""),2403010.0)</f>
        <v>2403010</v>
      </c>
      <c r="C200" s="2005" t="str">
        <f>IFERROR(__xludf.DUMMYFUNCTION("""COMPUTED_VALUE"""),"Toner")</f>
        <v>Toner</v>
      </c>
      <c r="D200" s="2005" t="str">
        <f>IFERROR(__xludf.DUMMYFUNCTION("""COMPUTED_VALUE"""),"TN2000")</f>
        <v>TN2000</v>
      </c>
      <c r="E200" s="2005" t="str">
        <f>IFERROR(__xludf.DUMMYFUNCTION("""COMPUTED_VALUE"""),"BROTHER")</f>
        <v>BROTHER</v>
      </c>
      <c r="F200" s="2005" t="str">
        <f>IFERROR(__xludf.DUMMYFUNCTION("""COMPUTED_VALUE"""),"H")</f>
        <v>H</v>
      </c>
      <c r="G200" s="2005" t="str">
        <f>IFERROR(__xludf.DUMMYFUNCTION("""COMPUTED_VALUE"""),"NN")</f>
        <v>NN</v>
      </c>
      <c r="H200" s="2005">
        <f>IFERROR(__xludf.DUMMYFUNCTION("""COMPUTED_VALUE"""),79.99)</f>
        <v>79.99</v>
      </c>
      <c r="I200" s="2005">
        <f>IFERROR(__xludf.DUMMYFUNCTION("""COMPUTED_VALUE"""),79.99)</f>
        <v>79.99</v>
      </c>
      <c r="BD200" s="2006"/>
      <c r="LM200" s="2007"/>
    </row>
    <row r="201">
      <c r="A201" s="2005">
        <f>IFERROR(__xludf.DUMMYFUNCTION("""COMPUTED_VALUE"""),719246.0)</f>
        <v>719246</v>
      </c>
      <c r="B201" s="2005">
        <f>IFERROR(__xludf.DUMMYFUNCTION("""COMPUTED_VALUE"""),2403020.0)</f>
        <v>2403020</v>
      </c>
      <c r="C201" s="2005" t="str">
        <f>IFERROR(__xludf.DUMMYFUNCTION("""COMPUTED_VALUE"""),"Cartouche")</f>
        <v>Cartouche</v>
      </c>
      <c r="D201" s="2005" t="str">
        <f>IFERROR(__xludf.DUMMYFUNCTION("""COMPUTED_VALUE"""),"PC75 Kit cartouche 140pages")</f>
        <v>PC75 Kit cartouche 140pages</v>
      </c>
      <c r="E201" s="2005" t="str">
        <f>IFERROR(__xludf.DUMMYFUNCTION("""COMPUTED_VALUE"""),"BROTHER")</f>
        <v>BROTHER</v>
      </c>
      <c r="F201" s="2005" t="str">
        <f>IFERROR(__xludf.DUMMYFUNCTION("""COMPUTED_VALUE"""),"H")</f>
        <v>H</v>
      </c>
      <c r="G201" s="2005" t="str">
        <f>IFERROR(__xludf.DUMMYFUNCTION("""COMPUTED_VALUE"""),"NN")</f>
        <v>NN</v>
      </c>
      <c r="H201" s="2005">
        <f>IFERROR(__xludf.DUMMYFUNCTION("""COMPUTED_VALUE"""),22.99)</f>
        <v>22.99</v>
      </c>
      <c r="I201" s="2005">
        <f>IFERROR(__xludf.DUMMYFUNCTION("""COMPUTED_VALUE"""),22.99)</f>
        <v>22.99</v>
      </c>
      <c r="BD201" s="2006"/>
      <c r="LM201" s="2007"/>
    </row>
    <row r="202">
      <c r="A202" s="2005">
        <f>IFERROR(__xludf.DUMMYFUNCTION("""COMPUTED_VALUE"""),719317.0)</f>
        <v>719317</v>
      </c>
      <c r="B202" s="2005">
        <f>IFERROR(__xludf.DUMMYFUNCTION("""COMPUTED_VALUE"""),2704515.0)</f>
        <v>2704515</v>
      </c>
      <c r="C202" s="2005" t="str">
        <f>IFERROR(__xludf.DUMMYFUNCTION("""COMPUTED_VALUE"""),"Calc.")</f>
        <v>Calc.</v>
      </c>
      <c r="D202" s="2005" t="str">
        <f>IFERROR(__xludf.DUMMYFUNCTION("""COMPUTED_VALUE"""),"FX92+ Spéciale collège")</f>
        <v>FX92+ Spéciale collège</v>
      </c>
      <c r="E202" s="2005" t="str">
        <f>IFERROR(__xludf.DUMMYFUNCTION("""COMPUTED_VALUE"""),"CASIO")</f>
        <v>CASIO</v>
      </c>
      <c r="F202" s="2005" t="str">
        <f>IFERROR(__xludf.DUMMYFUNCTION("""COMPUTED_VALUE"""),"A")</f>
        <v>A</v>
      </c>
      <c r="G202" s="2005" t="str">
        <f>IFERROR(__xludf.DUMMYFUNCTION("""COMPUTED_VALUE"""),"NN")</f>
        <v>NN</v>
      </c>
      <c r="H202" s="2005">
        <f>IFERROR(__xludf.DUMMYFUNCTION("""COMPUTED_VALUE"""),29.99)</f>
        <v>29.99</v>
      </c>
      <c r="I202" s="2005">
        <f>IFERROR(__xludf.DUMMYFUNCTION("""COMPUTED_VALUE"""),29.99)</f>
        <v>29.99</v>
      </c>
      <c r="BD202" s="2006"/>
      <c r="LM202" s="2007"/>
    </row>
    <row r="203">
      <c r="A203" s="2005">
        <f>IFERROR(__xludf.DUMMYFUNCTION("""COMPUTED_VALUE"""),722063.0)</f>
        <v>722063</v>
      </c>
      <c r="B203" s="2005">
        <f>IFERROR(__xludf.DUMMYFUNCTION("""COMPUTED_VALUE"""),2403005.0)</f>
        <v>2403005</v>
      </c>
      <c r="C203" s="2005" t="str">
        <f>IFERROR(__xludf.DUMMYFUNCTION("""COMPUTED_VALUE"""),"Cartouche")</f>
        <v>Cartouche</v>
      </c>
      <c r="D203" s="2005" t="str">
        <f>IFERROR(__xludf.DUMMYFUNCTION("""COMPUTED_VALUE"""),"n°34 Noir haute capacité")</f>
        <v>n°34 Noir haute capacité</v>
      </c>
      <c r="E203" s="2005" t="str">
        <f>IFERROR(__xludf.DUMMYFUNCTION("""COMPUTED_VALUE"""),"LEXMARK")</f>
        <v>LEXMARK</v>
      </c>
      <c r="F203" s="2005" t="str">
        <f>IFERROR(__xludf.DUMMYFUNCTION("""COMPUTED_VALUE"""),"H")</f>
        <v>H</v>
      </c>
      <c r="G203" s="2005" t="str">
        <f>IFERROR(__xludf.DUMMYFUNCTION("""COMPUTED_VALUE"""),"NN")</f>
        <v>NN</v>
      </c>
      <c r="H203" s="2005">
        <f>IFERROR(__xludf.DUMMYFUNCTION("""COMPUTED_VALUE"""),42.99)</f>
        <v>42.99</v>
      </c>
      <c r="I203" s="2005">
        <f>IFERROR(__xludf.DUMMYFUNCTION("""COMPUTED_VALUE"""),42.99)</f>
        <v>42.99</v>
      </c>
      <c r="BD203" s="2006"/>
      <c r="LM203" s="2007"/>
    </row>
    <row r="204">
      <c r="A204" s="2005">
        <f>IFERROR(__xludf.DUMMYFUNCTION("""COMPUTED_VALUE"""),722066.0)</f>
        <v>722066</v>
      </c>
      <c r="B204" s="2005">
        <f>IFERROR(__xludf.DUMMYFUNCTION("""COMPUTED_VALUE"""),2403005.0)</f>
        <v>2403005</v>
      </c>
      <c r="C204" s="2005" t="str">
        <f>IFERROR(__xludf.DUMMYFUNCTION("""COMPUTED_VALUE"""),"Cartouche")</f>
        <v>Cartouche</v>
      </c>
      <c r="D204" s="2005" t="str">
        <f>IFERROR(__xludf.DUMMYFUNCTION("""COMPUTED_VALUE"""),"n°35 couleur haute capacité")</f>
        <v>n°35 couleur haute capacité</v>
      </c>
      <c r="E204" s="2005" t="str">
        <f>IFERROR(__xludf.DUMMYFUNCTION("""COMPUTED_VALUE"""),"LEXMARK")</f>
        <v>LEXMARK</v>
      </c>
      <c r="F204" s="2005" t="str">
        <f>IFERROR(__xludf.DUMMYFUNCTION("""COMPUTED_VALUE"""),"H")</f>
        <v>H</v>
      </c>
      <c r="G204" s="2005" t="str">
        <f>IFERROR(__xludf.DUMMYFUNCTION("""COMPUTED_VALUE"""),"NN")</f>
        <v>NN</v>
      </c>
      <c r="H204" s="2005">
        <f>IFERROR(__xludf.DUMMYFUNCTION("""COMPUTED_VALUE"""),9.99)</f>
        <v>9.99</v>
      </c>
      <c r="I204" s="2005">
        <f>IFERROR(__xludf.DUMMYFUNCTION("""COMPUTED_VALUE"""),9.99)</f>
        <v>9.99</v>
      </c>
      <c r="BD204" s="2006"/>
      <c r="LM204" s="2007"/>
    </row>
    <row r="205">
      <c r="A205" s="2005">
        <f>IFERROR(__xludf.DUMMYFUNCTION("""COMPUTED_VALUE"""),722783.0)</f>
        <v>722783</v>
      </c>
      <c r="B205" s="2005">
        <f>IFERROR(__xludf.DUMMYFUNCTION("""COMPUTED_VALUE"""),2403010.0)</f>
        <v>2403010</v>
      </c>
      <c r="C205" s="2005" t="str">
        <f>IFERROR(__xludf.DUMMYFUNCTION("""COMPUTED_VALUE"""),"Toner")</f>
        <v>Toner</v>
      </c>
      <c r="D205" s="2005" t="str">
        <f>IFERROR(__xludf.DUMMYFUNCTION("""COMPUTED_VALUE"""),"Q6000A Noir")</f>
        <v>Q6000A Noir</v>
      </c>
      <c r="E205" s="2005" t="str">
        <f>IFERROR(__xludf.DUMMYFUNCTION("""COMPUTED_VALUE"""),"HP")</f>
        <v>HP</v>
      </c>
      <c r="F205" s="2005" t="str">
        <f>IFERROR(__xludf.DUMMYFUNCTION("""COMPUTED_VALUE"""),"H")</f>
        <v>H</v>
      </c>
      <c r="G205" s="2005" t="str">
        <f>IFERROR(__xludf.DUMMYFUNCTION("""COMPUTED_VALUE"""),"NN")</f>
        <v>NN</v>
      </c>
      <c r="H205" s="2005">
        <f>IFERROR(__xludf.DUMMYFUNCTION("""COMPUTED_VALUE"""),99.99)</f>
        <v>99.99</v>
      </c>
      <c r="I205" s="2005">
        <f>IFERROR(__xludf.DUMMYFUNCTION("""COMPUTED_VALUE"""),99.99)</f>
        <v>99.99</v>
      </c>
      <c r="BD205" s="2006"/>
      <c r="LM205" s="2007"/>
    </row>
    <row r="206">
      <c r="A206" s="2005">
        <f>IFERROR(__xludf.DUMMYFUNCTION("""COMPUTED_VALUE"""),722785.0)</f>
        <v>722785</v>
      </c>
      <c r="B206" s="2005">
        <f>IFERROR(__xludf.DUMMYFUNCTION("""COMPUTED_VALUE"""),2403010.0)</f>
        <v>2403010</v>
      </c>
      <c r="C206" s="2005" t="str">
        <f>IFERROR(__xludf.DUMMYFUNCTION("""COMPUTED_VALUE"""),"Toner")</f>
        <v>Toner</v>
      </c>
      <c r="D206" s="2005" t="str">
        <f>IFERROR(__xludf.DUMMYFUNCTION("""COMPUTED_VALUE"""),"Q6001A Cyan")</f>
        <v>Q6001A Cyan</v>
      </c>
      <c r="E206" s="2005" t="str">
        <f>IFERROR(__xludf.DUMMYFUNCTION("""COMPUTED_VALUE"""),"HP")</f>
        <v>HP</v>
      </c>
      <c r="F206" s="2005" t="str">
        <f>IFERROR(__xludf.DUMMYFUNCTION("""COMPUTED_VALUE"""),"H")</f>
        <v>H</v>
      </c>
      <c r="G206" s="2005" t="str">
        <f>IFERROR(__xludf.DUMMYFUNCTION("""COMPUTED_VALUE"""),"NN")</f>
        <v>NN</v>
      </c>
      <c r="H206" s="2005">
        <f>IFERROR(__xludf.DUMMYFUNCTION("""COMPUTED_VALUE"""),109.0)</f>
        <v>109</v>
      </c>
      <c r="I206" s="2005">
        <f>IFERROR(__xludf.DUMMYFUNCTION("""COMPUTED_VALUE"""),109.0)</f>
        <v>109</v>
      </c>
      <c r="BD206" s="2006"/>
      <c r="LM206" s="2007"/>
    </row>
    <row r="207">
      <c r="A207" s="2005">
        <f>IFERROR(__xludf.DUMMYFUNCTION("""COMPUTED_VALUE"""),722786.0)</f>
        <v>722786</v>
      </c>
      <c r="B207" s="2005">
        <f>IFERROR(__xludf.DUMMYFUNCTION("""COMPUTED_VALUE"""),2403010.0)</f>
        <v>2403010</v>
      </c>
      <c r="C207" s="2005" t="str">
        <f>IFERROR(__xludf.DUMMYFUNCTION("""COMPUTED_VALUE"""),"Toner")</f>
        <v>Toner</v>
      </c>
      <c r="D207" s="2005" t="str">
        <f>IFERROR(__xludf.DUMMYFUNCTION("""COMPUTED_VALUE"""),"Q6002A Jaune")</f>
        <v>Q6002A Jaune</v>
      </c>
      <c r="E207" s="2005" t="str">
        <f>IFERROR(__xludf.DUMMYFUNCTION("""COMPUTED_VALUE"""),"HP")</f>
        <v>HP</v>
      </c>
      <c r="F207" s="2005" t="str">
        <f>IFERROR(__xludf.DUMMYFUNCTION("""COMPUTED_VALUE"""),"H")</f>
        <v>H</v>
      </c>
      <c r="G207" s="2005" t="str">
        <f>IFERROR(__xludf.DUMMYFUNCTION("""COMPUTED_VALUE"""),"NN")</f>
        <v>NN</v>
      </c>
      <c r="H207" s="2005">
        <f>IFERROR(__xludf.DUMMYFUNCTION("""COMPUTED_VALUE"""),99.99)</f>
        <v>99.99</v>
      </c>
      <c r="I207" s="2005">
        <f>IFERROR(__xludf.DUMMYFUNCTION("""COMPUTED_VALUE"""),99.99)</f>
        <v>99.99</v>
      </c>
      <c r="BD207" s="2006"/>
      <c r="LM207" s="2007"/>
    </row>
    <row r="208">
      <c r="A208" s="2005">
        <f>IFERROR(__xludf.DUMMYFUNCTION("""COMPUTED_VALUE"""),722787.0)</f>
        <v>722787</v>
      </c>
      <c r="B208" s="2005">
        <f>IFERROR(__xludf.DUMMYFUNCTION("""COMPUTED_VALUE"""),2403010.0)</f>
        <v>2403010</v>
      </c>
      <c r="C208" s="2005" t="str">
        <f>IFERROR(__xludf.DUMMYFUNCTION("""COMPUTED_VALUE"""),"Toner")</f>
        <v>Toner</v>
      </c>
      <c r="D208" s="2005" t="str">
        <f>IFERROR(__xludf.DUMMYFUNCTION("""COMPUTED_VALUE"""),"Q6003A Magenta")</f>
        <v>Q6003A Magenta</v>
      </c>
      <c r="E208" s="2005" t="str">
        <f>IFERROR(__xludf.DUMMYFUNCTION("""COMPUTED_VALUE"""),"HP")</f>
        <v>HP</v>
      </c>
      <c r="F208" s="2005" t="str">
        <f>IFERROR(__xludf.DUMMYFUNCTION("""COMPUTED_VALUE"""),"H")</f>
        <v>H</v>
      </c>
      <c r="G208" s="2005" t="str">
        <f>IFERROR(__xludf.DUMMYFUNCTION("""COMPUTED_VALUE"""),"NN")</f>
        <v>NN</v>
      </c>
      <c r="H208" s="2005">
        <f>IFERROR(__xludf.DUMMYFUNCTION("""COMPUTED_VALUE"""),109.0)</f>
        <v>109</v>
      </c>
      <c r="I208" s="2005">
        <f>IFERROR(__xludf.DUMMYFUNCTION("""COMPUTED_VALUE"""),109.0)</f>
        <v>109</v>
      </c>
      <c r="BD208" s="2006"/>
      <c r="LM208" s="2007"/>
    </row>
    <row r="209">
      <c r="A209" s="2005">
        <f>IFERROR(__xludf.DUMMYFUNCTION("""COMPUTED_VALUE"""),723184.0)</f>
        <v>723184</v>
      </c>
      <c r="B209" s="2005">
        <f>IFERROR(__xludf.DUMMYFUNCTION("""COMPUTED_VALUE"""),2403005.0)</f>
        <v>2403005</v>
      </c>
      <c r="C209" s="2005" t="str">
        <f>IFERROR(__xludf.DUMMYFUNCTION("""COMPUTED_VALUE"""),"Cartouche")</f>
        <v>Cartouche</v>
      </c>
      <c r="D209" s="2005" t="str">
        <f>IFERROR(__xludf.DUMMYFUNCTION("""COMPUTED_VALUE"""),"N°21 noire")</f>
        <v>N°21 noire</v>
      </c>
      <c r="E209" s="2005" t="str">
        <f>IFERROR(__xludf.DUMMYFUNCTION("""COMPUTED_VALUE"""),"HP")</f>
        <v>HP</v>
      </c>
      <c r="F209" s="2005" t="str">
        <f>IFERROR(__xludf.DUMMYFUNCTION("""COMPUTED_VALUE"""),"A")</f>
        <v>A</v>
      </c>
      <c r="G209" s="2005" t="str">
        <f>IFERROR(__xludf.DUMMYFUNCTION("""COMPUTED_VALUE"""),"NN")</f>
        <v>NN</v>
      </c>
      <c r="H209" s="2005">
        <f>IFERROR(__xludf.DUMMYFUNCTION("""COMPUTED_VALUE"""),30.99)</f>
        <v>30.99</v>
      </c>
      <c r="I209" s="2005">
        <f>IFERROR(__xludf.DUMMYFUNCTION("""COMPUTED_VALUE"""),30.99)</f>
        <v>30.99</v>
      </c>
      <c r="BD209" s="2006"/>
      <c r="LM209" s="2007"/>
    </row>
    <row r="210">
      <c r="A210" s="2005">
        <f>IFERROR(__xludf.DUMMYFUNCTION("""COMPUTED_VALUE"""),733894.0)</f>
        <v>733894</v>
      </c>
      <c r="B210" s="2005">
        <f>IFERROR(__xludf.DUMMYFUNCTION("""COMPUTED_VALUE"""),2403005.0)</f>
        <v>2403005</v>
      </c>
      <c r="C210" s="2005" t="str">
        <f>IFERROR(__xludf.DUMMYFUNCTION("""COMPUTED_VALUE"""),"Cartouche")</f>
        <v>Cartouche</v>
      </c>
      <c r="D210" s="2005" t="str">
        <f>IFERROR(__xludf.DUMMYFUNCTION("""COMPUTED_VALUE"""),"PG40 Noire")</f>
        <v>PG40 Noire</v>
      </c>
      <c r="E210" s="2005" t="str">
        <f>IFERROR(__xludf.DUMMYFUNCTION("""COMPUTED_VALUE"""),"CANON")</f>
        <v>CANON</v>
      </c>
      <c r="F210" s="2005" t="str">
        <f>IFERROR(__xludf.DUMMYFUNCTION("""COMPUTED_VALUE"""),"H")</f>
        <v>H</v>
      </c>
      <c r="G210" s="2005" t="str">
        <f>IFERROR(__xludf.DUMMYFUNCTION("""COMPUTED_VALUE"""),"NN")</f>
        <v>NN</v>
      </c>
      <c r="H210" s="2005">
        <f>IFERROR(__xludf.DUMMYFUNCTION("""COMPUTED_VALUE"""),22.99)</f>
        <v>22.99</v>
      </c>
      <c r="I210" s="2005">
        <f>IFERROR(__xludf.DUMMYFUNCTION("""COMPUTED_VALUE"""),22.99)</f>
        <v>22.99</v>
      </c>
      <c r="BD210" s="2006"/>
      <c r="LM210" s="2007"/>
    </row>
    <row r="211">
      <c r="A211" s="2005">
        <f>IFERROR(__xludf.DUMMYFUNCTION("""COMPUTED_VALUE"""),733895.0)</f>
        <v>733895</v>
      </c>
      <c r="B211" s="2005">
        <f>IFERROR(__xludf.DUMMYFUNCTION("""COMPUTED_VALUE"""),2403005.0)</f>
        <v>2403005</v>
      </c>
      <c r="C211" s="2005" t="str">
        <f>IFERROR(__xludf.DUMMYFUNCTION("""COMPUTED_VALUE"""),"Cartouche")</f>
        <v>Cartouche</v>
      </c>
      <c r="D211" s="2005" t="str">
        <f>IFERROR(__xludf.DUMMYFUNCTION("""COMPUTED_VALUE"""),"CL41 couleurs")</f>
        <v>CL41 couleurs</v>
      </c>
      <c r="E211" s="2005" t="str">
        <f>IFERROR(__xludf.DUMMYFUNCTION("""COMPUTED_VALUE"""),"CANON")</f>
        <v>CANON</v>
      </c>
      <c r="F211" s="2005" t="str">
        <f>IFERROR(__xludf.DUMMYFUNCTION("""COMPUTED_VALUE"""),"H")</f>
        <v>H</v>
      </c>
      <c r="G211" s="2005" t="str">
        <f>IFERROR(__xludf.DUMMYFUNCTION("""COMPUTED_VALUE"""),"FR")</f>
        <v>FR</v>
      </c>
      <c r="H211" s="2005">
        <f>IFERROR(__xludf.DUMMYFUNCTION("""COMPUTED_VALUE"""),26.99)</f>
        <v>26.99</v>
      </c>
      <c r="I211" s="2005">
        <f>IFERROR(__xludf.DUMMYFUNCTION("""COMPUTED_VALUE"""),26.99)</f>
        <v>26.99</v>
      </c>
      <c r="BD211" s="2006"/>
      <c r="LM211" s="2007"/>
    </row>
    <row r="212">
      <c r="A212" s="2005">
        <f>IFERROR(__xludf.DUMMYFUNCTION("""COMPUTED_VALUE"""),733897.0)</f>
        <v>733897</v>
      </c>
      <c r="B212" s="2005">
        <f>IFERROR(__xludf.DUMMYFUNCTION("""COMPUTED_VALUE"""),2403005.0)</f>
        <v>2403005</v>
      </c>
      <c r="C212" s="2005" t="str">
        <f>IFERROR(__xludf.DUMMYFUNCTION("""COMPUTED_VALUE"""),"Cartouche")</f>
        <v>Cartouche</v>
      </c>
      <c r="D212" s="2005" t="str">
        <f>IFERROR(__xludf.DUMMYFUNCTION("""COMPUTED_VALUE"""),"CL51 3 couleurs")</f>
        <v>CL51 3 couleurs</v>
      </c>
      <c r="E212" s="2005" t="str">
        <f>IFERROR(__xludf.DUMMYFUNCTION("""COMPUTED_VALUE"""),"CANON")</f>
        <v>CANON</v>
      </c>
      <c r="F212" s="2005" t="str">
        <f>IFERROR(__xludf.DUMMYFUNCTION("""COMPUTED_VALUE"""),"H")</f>
        <v>H</v>
      </c>
      <c r="G212" s="2005" t="str">
        <f>IFERROR(__xludf.DUMMYFUNCTION("""COMPUTED_VALUE"""),"NN")</f>
        <v>NN</v>
      </c>
      <c r="H212" s="2005">
        <f>IFERROR(__xludf.DUMMYFUNCTION("""COMPUTED_VALUE"""),29.99)</f>
        <v>29.99</v>
      </c>
      <c r="I212" s="2005">
        <f>IFERROR(__xludf.DUMMYFUNCTION("""COMPUTED_VALUE"""),29.99)</f>
        <v>29.99</v>
      </c>
      <c r="BD212" s="2006"/>
      <c r="LM212" s="2007"/>
    </row>
    <row r="213">
      <c r="A213" s="2005">
        <f>IFERROR(__xludf.DUMMYFUNCTION("""COMPUTED_VALUE"""),733949.0)</f>
        <v>733949</v>
      </c>
      <c r="B213" s="2005">
        <f>IFERROR(__xludf.DUMMYFUNCTION("""COMPUTED_VALUE"""),2403005.0)</f>
        <v>2403005</v>
      </c>
      <c r="C213" s="2005" t="str">
        <f>IFERROR(__xludf.DUMMYFUNCTION("""COMPUTED_VALUE"""),"Cartouche")</f>
        <v>Cartouche</v>
      </c>
      <c r="D213" s="2005" t="str">
        <f>IFERROR(__xludf.DUMMYFUNCTION("""COMPUTED_VALUE"""),"PGI5 Noire")</f>
        <v>PGI5 Noire</v>
      </c>
      <c r="E213" s="2005" t="str">
        <f>IFERROR(__xludf.DUMMYFUNCTION("""COMPUTED_VALUE"""),"CANON")</f>
        <v>CANON</v>
      </c>
      <c r="F213" s="2005" t="str">
        <f>IFERROR(__xludf.DUMMYFUNCTION("""COMPUTED_VALUE"""),"H")</f>
        <v>H</v>
      </c>
      <c r="G213" s="2005" t="str">
        <f>IFERROR(__xludf.DUMMYFUNCTION("""COMPUTED_VALUE"""),"FR")</f>
        <v>FR</v>
      </c>
      <c r="H213" s="2005">
        <f>IFERROR(__xludf.DUMMYFUNCTION("""COMPUTED_VALUE"""),19.99)</f>
        <v>19.99</v>
      </c>
      <c r="I213" s="2005">
        <f>IFERROR(__xludf.DUMMYFUNCTION("""COMPUTED_VALUE"""),19.99)</f>
        <v>19.99</v>
      </c>
      <c r="BD213" s="2006"/>
      <c r="LM213" s="2007"/>
    </row>
    <row r="214">
      <c r="A214" s="2005">
        <f>IFERROR(__xludf.DUMMYFUNCTION("""COMPUTED_VALUE"""),733950.0)</f>
        <v>733950</v>
      </c>
      <c r="B214" s="2005">
        <f>IFERROR(__xludf.DUMMYFUNCTION("""COMPUTED_VALUE"""),2403005.0)</f>
        <v>2403005</v>
      </c>
      <c r="C214" s="2005" t="str">
        <f>IFERROR(__xludf.DUMMYFUNCTION("""COMPUTED_VALUE"""),"Cartouche")</f>
        <v>Cartouche</v>
      </c>
      <c r="D214" s="2005" t="str">
        <f>IFERROR(__xludf.DUMMYFUNCTION("""COMPUTED_VALUE"""),"CLI8 Jaune")</f>
        <v>CLI8 Jaune</v>
      </c>
      <c r="E214" s="2005" t="str">
        <f>IFERROR(__xludf.DUMMYFUNCTION("""COMPUTED_VALUE"""),"CANON")</f>
        <v>CANON</v>
      </c>
      <c r="F214" s="2005" t="str">
        <f>IFERROR(__xludf.DUMMYFUNCTION("""COMPUTED_VALUE"""),"C")</f>
        <v>C</v>
      </c>
      <c r="G214" s="2005" t="str">
        <f>IFERROR(__xludf.DUMMYFUNCTION("""COMPUTED_VALUE"""),"NN")</f>
        <v>NN</v>
      </c>
      <c r="H214" s="2005">
        <f>IFERROR(__xludf.DUMMYFUNCTION("""COMPUTED_VALUE"""),15.99)</f>
        <v>15.99</v>
      </c>
      <c r="I214" s="2005">
        <f>IFERROR(__xludf.DUMMYFUNCTION("""COMPUTED_VALUE"""),15.99)</f>
        <v>15.99</v>
      </c>
      <c r="BD214" s="2006"/>
      <c r="LM214" s="2007"/>
    </row>
    <row r="215">
      <c r="A215" s="2005">
        <f>IFERROR(__xludf.DUMMYFUNCTION("""COMPUTED_VALUE"""),733952.0)</f>
        <v>733952</v>
      </c>
      <c r="B215" s="2005">
        <f>IFERROR(__xludf.DUMMYFUNCTION("""COMPUTED_VALUE"""),2403005.0)</f>
        <v>2403005</v>
      </c>
      <c r="C215" s="2005" t="str">
        <f>IFERROR(__xludf.DUMMYFUNCTION("""COMPUTED_VALUE"""),"Cartouche")</f>
        <v>Cartouche</v>
      </c>
      <c r="D215" s="2005" t="str">
        <f>IFERROR(__xludf.DUMMYFUNCTION("""COMPUTED_VALUE"""),"CLI8 Magenta")</f>
        <v>CLI8 Magenta</v>
      </c>
      <c r="E215" s="2005" t="str">
        <f>IFERROR(__xludf.DUMMYFUNCTION("""COMPUTED_VALUE"""),"CANON")</f>
        <v>CANON</v>
      </c>
      <c r="F215" s="2005" t="str">
        <f>IFERROR(__xludf.DUMMYFUNCTION("""COMPUTED_VALUE"""),"C")</f>
        <v>C</v>
      </c>
      <c r="G215" s="2005" t="str">
        <f>IFERROR(__xludf.DUMMYFUNCTION("""COMPUTED_VALUE"""),"NN")</f>
        <v>NN</v>
      </c>
      <c r="H215" s="2005">
        <f>IFERROR(__xludf.DUMMYFUNCTION("""COMPUTED_VALUE"""),15.99)</f>
        <v>15.99</v>
      </c>
      <c r="I215" s="2005">
        <f>IFERROR(__xludf.DUMMYFUNCTION("""COMPUTED_VALUE"""),15.99)</f>
        <v>15.99</v>
      </c>
      <c r="BD215" s="2006"/>
      <c r="LM215" s="2007"/>
    </row>
    <row r="216">
      <c r="A216" s="2005">
        <f>IFERROR(__xludf.DUMMYFUNCTION("""COMPUTED_VALUE"""),733953.0)</f>
        <v>733953</v>
      </c>
      <c r="B216" s="2005">
        <f>IFERROR(__xludf.DUMMYFUNCTION("""COMPUTED_VALUE"""),2403005.0)</f>
        <v>2403005</v>
      </c>
      <c r="C216" s="2005" t="str">
        <f>IFERROR(__xludf.DUMMYFUNCTION("""COMPUTED_VALUE"""),"Cartouche")</f>
        <v>Cartouche</v>
      </c>
      <c r="D216" s="2005" t="str">
        <f>IFERROR(__xludf.DUMMYFUNCTION("""COMPUTED_VALUE"""),"CLI8 Cyan")</f>
        <v>CLI8 Cyan</v>
      </c>
      <c r="E216" s="2005" t="str">
        <f>IFERROR(__xludf.DUMMYFUNCTION("""COMPUTED_VALUE"""),"CANON")</f>
        <v>CANON</v>
      </c>
      <c r="F216" s="2005" t="str">
        <f>IFERROR(__xludf.DUMMYFUNCTION("""COMPUTED_VALUE"""),"C")</f>
        <v>C</v>
      </c>
      <c r="G216" s="2005" t="str">
        <f>IFERROR(__xludf.DUMMYFUNCTION("""COMPUTED_VALUE"""),"NN")</f>
        <v>NN</v>
      </c>
      <c r="H216" s="2005">
        <f>IFERROR(__xludf.DUMMYFUNCTION("""COMPUTED_VALUE"""),15.99)</f>
        <v>15.99</v>
      </c>
      <c r="I216" s="2005">
        <f>IFERROR(__xludf.DUMMYFUNCTION("""COMPUTED_VALUE"""),15.99)</f>
        <v>15.99</v>
      </c>
      <c r="BD216" s="2006"/>
      <c r="LM216" s="2007"/>
    </row>
    <row r="217">
      <c r="A217" s="2005">
        <f>IFERROR(__xludf.DUMMYFUNCTION("""COMPUTED_VALUE"""),733955.0)</f>
        <v>733955</v>
      </c>
      <c r="B217" s="2005">
        <f>IFERROR(__xludf.DUMMYFUNCTION("""COMPUTED_VALUE"""),2403005.0)</f>
        <v>2403005</v>
      </c>
      <c r="C217" s="2005" t="str">
        <f>IFERROR(__xludf.DUMMYFUNCTION("""COMPUTED_VALUE"""),"Cartouche")</f>
        <v>Cartouche</v>
      </c>
      <c r="D217" s="2005" t="str">
        <f>IFERROR(__xludf.DUMMYFUNCTION("""COMPUTED_VALUE"""),"CLI8 Noire photo")</f>
        <v>CLI8 Noire photo</v>
      </c>
      <c r="E217" s="2005" t="str">
        <f>IFERROR(__xludf.DUMMYFUNCTION("""COMPUTED_VALUE"""),"CANON")</f>
        <v>CANON</v>
      </c>
      <c r="F217" s="2005" t="str">
        <f>IFERROR(__xludf.DUMMYFUNCTION("""COMPUTED_VALUE"""),"C")</f>
        <v>C</v>
      </c>
      <c r="G217" s="2005" t="str">
        <f>IFERROR(__xludf.DUMMYFUNCTION("""COMPUTED_VALUE"""),"NN")</f>
        <v>NN</v>
      </c>
      <c r="H217" s="2005">
        <f>IFERROR(__xludf.DUMMYFUNCTION("""COMPUTED_VALUE"""),15.99)</f>
        <v>15.99</v>
      </c>
      <c r="I217" s="2005">
        <f>IFERROR(__xludf.DUMMYFUNCTION("""COMPUTED_VALUE"""),15.99)</f>
        <v>15.99</v>
      </c>
      <c r="BD217" s="2006"/>
      <c r="LM217" s="2007"/>
    </row>
    <row r="218">
      <c r="A218" s="2005">
        <f>IFERROR(__xludf.DUMMYFUNCTION("""COMPUTED_VALUE"""),733980.0)</f>
        <v>733980</v>
      </c>
      <c r="B218" s="2005">
        <f>IFERROR(__xludf.DUMMYFUNCTION("""COMPUTED_VALUE"""),2403005.0)</f>
        <v>2403005</v>
      </c>
      <c r="C218" s="2005" t="str">
        <f>IFERROR(__xludf.DUMMYFUNCTION("""COMPUTED_VALUE"""),"Cartouche")</f>
        <v>Cartouche</v>
      </c>
      <c r="D218" s="2005" t="str">
        <f>IFERROR(__xludf.DUMMYFUNCTION("""COMPUTED_VALUE"""),"336 noire")</f>
        <v>336 noire</v>
      </c>
      <c r="E218" s="2005" t="str">
        <f>IFERROR(__xludf.DUMMYFUNCTION("""COMPUTED_VALUE"""),"HP")</f>
        <v>HP</v>
      </c>
      <c r="F218" s="2005" t="str">
        <f>IFERROR(__xludf.DUMMYFUNCTION("""COMPUTED_VALUE"""),"B")</f>
        <v>B</v>
      </c>
      <c r="G218" s="2005" t="str">
        <f>IFERROR(__xludf.DUMMYFUNCTION("""COMPUTED_VALUE"""),"NN")</f>
        <v>NN</v>
      </c>
      <c r="H218" s="2005">
        <f>IFERROR(__xludf.DUMMYFUNCTION("""COMPUTED_VALUE"""),33.99)</f>
        <v>33.99</v>
      </c>
      <c r="I218" s="2005">
        <f>IFERROR(__xludf.DUMMYFUNCTION("""COMPUTED_VALUE"""),33.99)</f>
        <v>33.99</v>
      </c>
      <c r="BD218" s="2006"/>
      <c r="LM218" s="2007"/>
    </row>
    <row r="219">
      <c r="A219" s="2005">
        <f>IFERROR(__xludf.DUMMYFUNCTION("""COMPUTED_VALUE"""),733982.0)</f>
        <v>733982</v>
      </c>
      <c r="B219" s="2005">
        <f>IFERROR(__xludf.DUMMYFUNCTION("""COMPUTED_VALUE"""),2403005.0)</f>
        <v>2403005</v>
      </c>
      <c r="C219" s="2005" t="str">
        <f>IFERROR(__xludf.DUMMYFUNCTION("""COMPUTED_VALUE"""),"Cartouche")</f>
        <v>Cartouche</v>
      </c>
      <c r="D219" s="2005" t="str">
        <f>IFERROR(__xludf.DUMMYFUNCTION("""COMPUTED_VALUE"""),"N°337 noire")</f>
        <v>N°337 noire</v>
      </c>
      <c r="E219" s="2005" t="str">
        <f>IFERROR(__xludf.DUMMYFUNCTION("""COMPUTED_VALUE"""),"HP")</f>
        <v>HP</v>
      </c>
      <c r="F219" s="2005" t="str">
        <f>IFERROR(__xludf.DUMMYFUNCTION("""COMPUTED_VALUE"""),"A")</f>
        <v>A</v>
      </c>
      <c r="G219" s="2005" t="str">
        <f>IFERROR(__xludf.DUMMYFUNCTION("""COMPUTED_VALUE"""),"NN")</f>
        <v>NN</v>
      </c>
      <c r="H219" s="2005">
        <f>IFERROR(__xludf.DUMMYFUNCTION("""COMPUTED_VALUE"""),49.99)</f>
        <v>49.99</v>
      </c>
      <c r="I219" s="2005">
        <f>IFERROR(__xludf.DUMMYFUNCTION("""COMPUTED_VALUE"""),49.99)</f>
        <v>49.99</v>
      </c>
      <c r="BD219" s="2006"/>
      <c r="LM219" s="2007"/>
    </row>
    <row r="220">
      <c r="A220" s="2005">
        <f>IFERROR(__xludf.DUMMYFUNCTION("""COMPUTED_VALUE"""),733983.0)</f>
        <v>733983</v>
      </c>
      <c r="B220" s="2005">
        <f>IFERROR(__xludf.DUMMYFUNCTION("""COMPUTED_VALUE"""),2403005.0)</f>
        <v>2403005</v>
      </c>
      <c r="C220" s="2005" t="str">
        <f>IFERROR(__xludf.DUMMYFUNCTION("""COMPUTED_VALUE"""),"Cartouche")</f>
        <v>Cartouche</v>
      </c>
      <c r="D220" s="2005" t="str">
        <f>IFERROR(__xludf.DUMMYFUNCTION("""COMPUTED_VALUE"""),"N°342 (3 couleurs)")</f>
        <v>N°342 (3 couleurs)</v>
      </c>
      <c r="E220" s="2005" t="str">
        <f>IFERROR(__xludf.DUMMYFUNCTION("""COMPUTED_VALUE"""),"HP")</f>
        <v>HP</v>
      </c>
      <c r="F220" s="2005" t="str">
        <f>IFERROR(__xludf.DUMMYFUNCTION("""COMPUTED_VALUE"""),"B")</f>
        <v>B</v>
      </c>
      <c r="G220" s="2005" t="str">
        <f>IFERROR(__xludf.DUMMYFUNCTION("""COMPUTED_VALUE"""),"NN")</f>
        <v>NN</v>
      </c>
      <c r="H220" s="2005">
        <f>IFERROR(__xludf.DUMMYFUNCTION("""COMPUTED_VALUE"""),46.99)</f>
        <v>46.99</v>
      </c>
      <c r="I220" s="2005">
        <f>IFERROR(__xludf.DUMMYFUNCTION("""COMPUTED_VALUE"""),46.99)</f>
        <v>46.99</v>
      </c>
      <c r="BD220" s="2006"/>
      <c r="LM220" s="2007"/>
    </row>
    <row r="221">
      <c r="A221" s="2005">
        <f>IFERROR(__xludf.DUMMYFUNCTION("""COMPUTED_VALUE"""),733996.0)</f>
        <v>733996</v>
      </c>
      <c r="B221" s="2005">
        <f>IFERROR(__xludf.DUMMYFUNCTION("""COMPUTED_VALUE"""),2403005.0)</f>
        <v>2403005</v>
      </c>
      <c r="C221" s="2005" t="str">
        <f>IFERROR(__xludf.DUMMYFUNCTION("""COMPUTED_VALUE"""),"Cartouche")</f>
        <v>Cartouche</v>
      </c>
      <c r="D221" s="2005" t="str">
        <f>IFERROR(__xludf.DUMMYFUNCTION("""COMPUTED_VALUE"""),"N°363 noire")</f>
        <v>N°363 noire</v>
      </c>
      <c r="E221" s="2005" t="str">
        <f>IFERROR(__xludf.DUMMYFUNCTION("""COMPUTED_VALUE"""),"HP")</f>
        <v>HP</v>
      </c>
      <c r="F221" s="2005" t="str">
        <f>IFERROR(__xludf.DUMMYFUNCTION("""COMPUTED_VALUE"""),"A")</f>
        <v>A</v>
      </c>
      <c r="G221" s="2005" t="str">
        <f>IFERROR(__xludf.DUMMYFUNCTION("""COMPUTED_VALUE"""),"NN")</f>
        <v>NN</v>
      </c>
      <c r="H221" s="2005">
        <f>IFERROR(__xludf.DUMMYFUNCTION("""COMPUTED_VALUE"""),33.99)</f>
        <v>33.99</v>
      </c>
      <c r="I221" s="2005">
        <f>IFERROR(__xludf.DUMMYFUNCTION("""COMPUTED_VALUE"""),33.99)</f>
        <v>33.99</v>
      </c>
      <c r="BD221" s="2006"/>
      <c r="LM221" s="2007"/>
      <c r="MX221" s="2007"/>
      <c r="ND221" s="2007"/>
    </row>
    <row r="222">
      <c r="A222" s="2005">
        <f>IFERROR(__xludf.DUMMYFUNCTION("""COMPUTED_VALUE"""),733997.0)</f>
        <v>733997</v>
      </c>
      <c r="B222" s="2005">
        <f>IFERROR(__xludf.DUMMYFUNCTION("""COMPUTED_VALUE"""),2403005.0)</f>
        <v>2403005</v>
      </c>
      <c r="C222" s="2005" t="str">
        <f>IFERROR(__xludf.DUMMYFUNCTION("""COMPUTED_VALUE"""),"Cartouche")</f>
        <v>Cartouche</v>
      </c>
      <c r="D222" s="2005" t="str">
        <f>IFERROR(__xludf.DUMMYFUNCTION("""COMPUTED_VALUE"""),"N°363 cyan")</f>
        <v>N°363 cyan</v>
      </c>
      <c r="E222" s="2005" t="str">
        <f>IFERROR(__xludf.DUMMYFUNCTION("""COMPUTED_VALUE"""),"HP")</f>
        <v>HP</v>
      </c>
      <c r="F222" s="2005" t="str">
        <f>IFERROR(__xludf.DUMMYFUNCTION("""COMPUTED_VALUE"""),"B")</f>
        <v>B</v>
      </c>
      <c r="G222" s="2005" t="str">
        <f>IFERROR(__xludf.DUMMYFUNCTION("""COMPUTED_VALUE"""),"NN")</f>
        <v>NN</v>
      </c>
      <c r="H222" s="2005">
        <f>IFERROR(__xludf.DUMMYFUNCTION("""COMPUTED_VALUE"""),16.99)</f>
        <v>16.99</v>
      </c>
      <c r="I222" s="2005">
        <f>IFERROR(__xludf.DUMMYFUNCTION("""COMPUTED_VALUE"""),16.99)</f>
        <v>16.99</v>
      </c>
      <c r="BD222" s="2006"/>
      <c r="LL222" s="2007"/>
      <c r="LM222" s="2007"/>
      <c r="MX222" s="2007"/>
      <c r="ND222" s="2007"/>
    </row>
    <row r="223">
      <c r="A223" s="2005">
        <f>IFERROR(__xludf.DUMMYFUNCTION("""COMPUTED_VALUE"""),734008.0)</f>
        <v>734008</v>
      </c>
      <c r="B223" s="2005">
        <f>IFERROR(__xludf.DUMMYFUNCTION("""COMPUTED_VALUE"""),2403005.0)</f>
        <v>2403005</v>
      </c>
      <c r="C223" s="2005" t="str">
        <f>IFERROR(__xludf.DUMMYFUNCTION("""COMPUTED_VALUE"""),"Cartouche")</f>
        <v>Cartouche</v>
      </c>
      <c r="D223" s="2005" t="str">
        <f>IFERROR(__xludf.DUMMYFUNCTION("""COMPUTED_VALUE"""),"N°363 magenta")</f>
        <v>N°363 magenta</v>
      </c>
      <c r="E223" s="2005" t="str">
        <f>IFERROR(__xludf.DUMMYFUNCTION("""COMPUTED_VALUE"""),"HP")</f>
        <v>HP</v>
      </c>
      <c r="F223" s="2005" t="str">
        <f>IFERROR(__xludf.DUMMYFUNCTION("""COMPUTED_VALUE"""),"B")</f>
        <v>B</v>
      </c>
      <c r="G223" s="2005" t="str">
        <f>IFERROR(__xludf.DUMMYFUNCTION("""COMPUTED_VALUE"""),"NN")</f>
        <v>NN</v>
      </c>
      <c r="H223" s="2005">
        <f>IFERROR(__xludf.DUMMYFUNCTION("""COMPUTED_VALUE"""),19.99)</f>
        <v>19.99</v>
      </c>
      <c r="I223" s="2005">
        <f>IFERROR(__xludf.DUMMYFUNCTION("""COMPUTED_VALUE"""),19.99)</f>
        <v>19.99</v>
      </c>
      <c r="BD223" s="2006"/>
      <c r="LM223" s="2007"/>
    </row>
    <row r="224">
      <c r="A224" s="2005">
        <f>IFERROR(__xludf.DUMMYFUNCTION("""COMPUTED_VALUE"""),734009.0)</f>
        <v>734009</v>
      </c>
      <c r="B224" s="2005">
        <f>IFERROR(__xludf.DUMMYFUNCTION("""COMPUTED_VALUE"""),2403005.0)</f>
        <v>2403005</v>
      </c>
      <c r="C224" s="2005" t="str">
        <f>IFERROR(__xludf.DUMMYFUNCTION("""COMPUTED_VALUE"""),"Cartouche")</f>
        <v>Cartouche</v>
      </c>
      <c r="D224" s="2005" t="str">
        <f>IFERROR(__xludf.DUMMYFUNCTION("""COMPUTED_VALUE"""),"N°363 Jaune")</f>
        <v>N°363 Jaune</v>
      </c>
      <c r="E224" s="2005" t="str">
        <f>IFERROR(__xludf.DUMMYFUNCTION("""COMPUTED_VALUE"""),"HP")</f>
        <v>HP</v>
      </c>
      <c r="F224" s="2005" t="str">
        <f>IFERROR(__xludf.DUMMYFUNCTION("""COMPUTED_VALUE"""),"B")</f>
        <v>B</v>
      </c>
      <c r="G224" s="2005" t="str">
        <f>IFERROR(__xludf.DUMMYFUNCTION("""COMPUTED_VALUE"""),"NN")</f>
        <v>NN</v>
      </c>
      <c r="H224" s="2005">
        <f>IFERROR(__xludf.DUMMYFUNCTION("""COMPUTED_VALUE"""),16.99)</f>
        <v>16.99</v>
      </c>
      <c r="I224" s="2005">
        <f>IFERROR(__xludf.DUMMYFUNCTION("""COMPUTED_VALUE"""),16.99)</f>
        <v>16.99</v>
      </c>
      <c r="BD224" s="2006"/>
      <c r="LL224" s="2007"/>
      <c r="LM224" s="2007"/>
      <c r="MX224" s="2007"/>
      <c r="ND224" s="2007"/>
    </row>
    <row r="225">
      <c r="A225" s="2005">
        <f>IFERROR(__xludf.DUMMYFUNCTION("""COMPUTED_VALUE"""),734011.0)</f>
        <v>734011</v>
      </c>
      <c r="B225" s="2005">
        <f>IFERROR(__xludf.DUMMYFUNCTION("""COMPUTED_VALUE"""),2403005.0)</f>
        <v>2403005</v>
      </c>
      <c r="C225" s="2005" t="str">
        <f>IFERROR(__xludf.DUMMYFUNCTION("""COMPUTED_VALUE"""),"Cartouche")</f>
        <v>Cartouche</v>
      </c>
      <c r="D225" s="2005" t="str">
        <f>IFERROR(__xludf.DUMMYFUNCTION("""COMPUTED_VALUE"""),"N°363 Cyan Clair")</f>
        <v>N°363 Cyan Clair</v>
      </c>
      <c r="E225" s="2005" t="str">
        <f>IFERROR(__xludf.DUMMYFUNCTION("""COMPUTED_VALUE"""),"HP")</f>
        <v>HP</v>
      </c>
      <c r="F225" s="2005" t="str">
        <f>IFERROR(__xludf.DUMMYFUNCTION("""COMPUTED_VALUE"""),"B")</f>
        <v>B</v>
      </c>
      <c r="G225" s="2005" t="str">
        <f>IFERROR(__xludf.DUMMYFUNCTION("""COMPUTED_VALUE"""),"NN")</f>
        <v>NN</v>
      </c>
      <c r="H225" s="2005">
        <f>IFERROR(__xludf.DUMMYFUNCTION("""COMPUTED_VALUE"""),16.99)</f>
        <v>16.99</v>
      </c>
      <c r="I225" s="2005">
        <f>IFERROR(__xludf.DUMMYFUNCTION("""COMPUTED_VALUE"""),16.99)</f>
        <v>16.99</v>
      </c>
      <c r="BD225" s="2006"/>
      <c r="LL225" s="2007"/>
      <c r="LM225" s="2007"/>
      <c r="MX225" s="2007"/>
      <c r="ND225" s="2007"/>
    </row>
    <row r="226">
      <c r="A226" s="2005">
        <f>IFERROR(__xludf.DUMMYFUNCTION("""COMPUTED_VALUE"""),734012.0)</f>
        <v>734012</v>
      </c>
      <c r="B226" s="2005">
        <f>IFERROR(__xludf.DUMMYFUNCTION("""COMPUTED_VALUE"""),2403005.0)</f>
        <v>2403005</v>
      </c>
      <c r="C226" s="2005" t="str">
        <f>IFERROR(__xludf.DUMMYFUNCTION("""COMPUTED_VALUE"""),"Cartouche")</f>
        <v>Cartouche</v>
      </c>
      <c r="D226" s="2005" t="str">
        <f>IFERROR(__xludf.DUMMYFUNCTION("""COMPUTED_VALUE"""),"N°363 magenta clair")</f>
        <v>N°363 magenta clair</v>
      </c>
      <c r="E226" s="2005" t="str">
        <f>IFERROR(__xludf.DUMMYFUNCTION("""COMPUTED_VALUE"""),"HP")</f>
        <v>HP</v>
      </c>
      <c r="F226" s="2005" t="str">
        <f>IFERROR(__xludf.DUMMYFUNCTION("""COMPUTED_VALUE"""),"B")</f>
        <v>B</v>
      </c>
      <c r="G226" s="2005" t="str">
        <f>IFERROR(__xludf.DUMMYFUNCTION("""COMPUTED_VALUE"""),"NN")</f>
        <v>NN</v>
      </c>
      <c r="H226" s="2005">
        <f>IFERROR(__xludf.DUMMYFUNCTION("""COMPUTED_VALUE"""),16.99)</f>
        <v>16.99</v>
      </c>
      <c r="I226" s="2005">
        <f>IFERROR(__xludf.DUMMYFUNCTION("""COMPUTED_VALUE"""),16.99)</f>
        <v>16.99</v>
      </c>
      <c r="BD226" s="2006"/>
      <c r="LL226" s="2007"/>
      <c r="LM226" s="2007"/>
      <c r="MX226" s="2007"/>
      <c r="ND226" s="2007"/>
    </row>
    <row r="227">
      <c r="A227" s="2005">
        <f>IFERROR(__xludf.DUMMYFUNCTION("""COMPUTED_VALUE"""),740318.0)</f>
        <v>740318</v>
      </c>
      <c r="B227" s="2005">
        <f>IFERROR(__xludf.DUMMYFUNCTION("""COMPUTED_VALUE"""),2403005.0)</f>
        <v>2403005</v>
      </c>
      <c r="C227" s="2005" t="str">
        <f>IFERROR(__xludf.DUMMYFUNCTION("""COMPUTED_VALUE"""),"Cartouche")</f>
        <v>Cartouche</v>
      </c>
      <c r="D227" s="2005" t="str">
        <f>IFERROR(__xludf.DUMMYFUNCTION("""COMPUTED_VALUE"""),"PFA 531 Noir")</f>
        <v>PFA 531 Noir</v>
      </c>
      <c r="E227" s="2005" t="str">
        <f>IFERROR(__xludf.DUMMYFUNCTION("""COMPUTED_VALUE"""),"PHILIPS")</f>
        <v>PHILIPS</v>
      </c>
      <c r="F227" s="2005" t="str">
        <f>IFERROR(__xludf.DUMMYFUNCTION("""COMPUTED_VALUE"""),"H")</f>
        <v>H</v>
      </c>
      <c r="G227" s="2005" t="str">
        <f>IFERROR(__xludf.DUMMYFUNCTION("""COMPUTED_VALUE"""),"NN")</f>
        <v>NN</v>
      </c>
      <c r="H227" s="2005">
        <f>IFERROR(__xludf.DUMMYFUNCTION("""COMPUTED_VALUE"""),54.99)</f>
        <v>54.99</v>
      </c>
      <c r="I227" s="2005">
        <f>IFERROR(__xludf.DUMMYFUNCTION("""COMPUTED_VALUE"""),54.99)</f>
        <v>54.99</v>
      </c>
      <c r="BD227" s="2006"/>
      <c r="LL227" s="2008"/>
      <c r="LM227" s="2007"/>
      <c r="MX227" s="2007"/>
      <c r="ND227" s="2007"/>
    </row>
    <row r="228">
      <c r="A228" s="2005">
        <f>IFERROR(__xludf.DUMMYFUNCTION("""COMPUTED_VALUE"""),741698.0)</f>
        <v>741698</v>
      </c>
      <c r="B228" s="2005">
        <f>IFERROR(__xludf.DUMMYFUNCTION("""COMPUTED_VALUE"""),2401015.0)</f>
        <v>2401015</v>
      </c>
      <c r="C228" s="2005" t="str">
        <f>IFERROR(__xludf.DUMMYFUNCTION("""COMPUTED_VALUE"""),"DVD-R")</f>
        <v>DVD-R</v>
      </c>
      <c r="D228" s="2005" t="str">
        <f>IFERROR(__xludf.DUMMYFUNCTION("""COMPUTED_VALUE"""),"DVD-R Azo 4,7GB 5PK P5 Colour Slim 16x")</f>
        <v>DVD-R Azo 4,7GB 5PK P5 Colour Slim 16x</v>
      </c>
      <c r="E228" s="2005" t="str">
        <f>IFERROR(__xludf.DUMMYFUNCTION("""COMPUTED_VALUE"""),"VERBATIM")</f>
        <v>VERBATIM</v>
      </c>
      <c r="F228" s="2005" t="str">
        <f>IFERROR(__xludf.DUMMYFUNCTION("""COMPUTED_VALUE"""),"H")</f>
        <v>H</v>
      </c>
      <c r="G228" s="2005" t="str">
        <f>IFERROR(__xludf.DUMMYFUNCTION("""COMPUTED_VALUE"""),"AC")</f>
        <v>AC</v>
      </c>
      <c r="H228" s="2005">
        <f>IFERROR(__xludf.DUMMYFUNCTION("""COMPUTED_VALUE"""),13.99)</f>
        <v>13.99</v>
      </c>
      <c r="I228" s="2005">
        <f>IFERROR(__xludf.DUMMYFUNCTION("""COMPUTED_VALUE"""),13.99)</f>
        <v>13.99</v>
      </c>
      <c r="BD228" s="2006"/>
      <c r="LM228" s="2007"/>
    </row>
    <row r="229">
      <c r="A229" s="2005">
        <f>IFERROR(__xludf.DUMMYFUNCTION("""COMPUTED_VALUE"""),755931.0)</f>
        <v>755931</v>
      </c>
      <c r="B229" s="2005">
        <f>IFERROR(__xludf.DUMMYFUNCTION("""COMPUTED_VALUE"""),2401010.0)</f>
        <v>2401010</v>
      </c>
      <c r="C229" s="2005" t="str">
        <f>IFERROR(__xludf.DUMMYFUNCTION("""COMPUTED_VALUE"""),"CD-R")</f>
        <v>CD-R</v>
      </c>
      <c r="D229" s="2005" t="str">
        <f>IFERROR(__xludf.DUMMYFUNCTION("""COMPUTED_VALUE"""),"CD-R 700MB 10PK Spindle 52x")</f>
        <v>CD-R 700MB 10PK Spindle 52x</v>
      </c>
      <c r="E229" s="2005" t="str">
        <f>IFERROR(__xludf.DUMMYFUNCTION("""COMPUTED_VALUE"""),"VERBATIM")</f>
        <v>VERBATIM</v>
      </c>
      <c r="F229" s="2005" t="str">
        <f>IFERROR(__xludf.DUMMYFUNCTION("""COMPUTED_VALUE"""),"H")</f>
        <v>H</v>
      </c>
      <c r="G229" s="2005" t="str">
        <f>IFERROR(__xludf.DUMMYFUNCTION("""COMPUTED_VALUE"""),"AC")</f>
        <v>AC</v>
      </c>
      <c r="H229" s="2005">
        <f>IFERROR(__xludf.DUMMYFUNCTION("""COMPUTED_VALUE"""),11.99)</f>
        <v>11.99</v>
      </c>
      <c r="I229" s="2005">
        <f>IFERROR(__xludf.DUMMYFUNCTION("""COMPUTED_VALUE"""),11.99)</f>
        <v>11.99</v>
      </c>
      <c r="BD229" s="2006"/>
      <c r="LL229" s="2007"/>
      <c r="LM229" s="2007"/>
      <c r="MX229" s="2008"/>
      <c r="ND229" s="2008"/>
    </row>
    <row r="230">
      <c r="A230" s="2005">
        <f>IFERROR(__xludf.DUMMYFUNCTION("""COMPUTED_VALUE"""),756757.0)</f>
        <v>756757</v>
      </c>
      <c r="B230" s="2005">
        <f>IFERROR(__xludf.DUMMYFUNCTION("""COMPUTED_VALUE"""),2403099.0)</f>
        <v>2403099</v>
      </c>
      <c r="C230" s="2005" t="str">
        <f>IFERROR(__xludf.DUMMYFUNCTION("""COMPUTED_VALUE"""),"Kit")</f>
        <v>Kit</v>
      </c>
      <c r="D230" s="2005" t="str">
        <f>IFERROR(__xludf.DUMMYFUNCTION("""COMPUTED_VALUE"""),"KC18IL 18 f 54x86mm de 8 stickers Selphy")</f>
        <v>KC18IL 18 f 54x86mm de 8 stickers Selphy</v>
      </c>
      <c r="E230" s="2005" t="str">
        <f>IFERROR(__xludf.DUMMYFUNCTION("""COMPUTED_VALUE"""),"CANON")</f>
        <v>CANON</v>
      </c>
      <c r="F230" s="2005" t="str">
        <f>IFERROR(__xludf.DUMMYFUNCTION("""COMPUTED_VALUE"""),"H")</f>
        <v>H</v>
      </c>
      <c r="G230" s="2005" t="str">
        <f>IFERROR(__xludf.DUMMYFUNCTION("""COMPUTED_VALUE"""),"NN")</f>
        <v>NN</v>
      </c>
      <c r="H230" s="2005">
        <f>IFERROR(__xludf.DUMMYFUNCTION("""COMPUTED_VALUE"""),24.99)</f>
        <v>24.99</v>
      </c>
      <c r="I230" s="2005">
        <f>IFERROR(__xludf.DUMMYFUNCTION("""COMPUTED_VALUE"""),24.99)</f>
        <v>24.99</v>
      </c>
      <c r="BD230" s="2006"/>
      <c r="LM230" s="2007"/>
    </row>
    <row r="231">
      <c r="A231" s="2005">
        <f>IFERROR(__xludf.DUMMYFUNCTION("""COMPUTED_VALUE"""),757392.0)</f>
        <v>757392</v>
      </c>
      <c r="B231" s="2005">
        <f>IFERROR(__xludf.DUMMYFUNCTION("""COMPUTED_VALUE"""),2403099.0)</f>
        <v>2403099</v>
      </c>
      <c r="C231" s="2005" t="str">
        <f>IFERROR(__xludf.DUMMYFUNCTION("""COMPUTED_VALUE"""),"Kit")</f>
        <v>Kit</v>
      </c>
      <c r="D231" s="2005" t="str">
        <f>IFERROR(__xludf.DUMMYFUNCTION("""COMPUTED_VALUE"""),"KC18IF 18 stickers 54x86mm Selphy")</f>
        <v>KC18IF 18 stickers 54x86mm Selphy</v>
      </c>
      <c r="E231" s="2005" t="str">
        <f>IFERROR(__xludf.DUMMYFUNCTION("""COMPUTED_VALUE"""),"CANON")</f>
        <v>CANON</v>
      </c>
      <c r="F231" s="2005" t="str">
        <f>IFERROR(__xludf.DUMMYFUNCTION("""COMPUTED_VALUE"""),"H")</f>
        <v>H</v>
      </c>
      <c r="G231" s="2005" t="str">
        <f>IFERROR(__xludf.DUMMYFUNCTION("""COMPUTED_VALUE"""),"AC")</f>
        <v>AC</v>
      </c>
      <c r="H231" s="2005">
        <f>IFERROR(__xludf.DUMMYFUNCTION("""COMPUTED_VALUE"""),24.99)</f>
        <v>24.99</v>
      </c>
      <c r="I231" s="2005">
        <f>IFERROR(__xludf.DUMMYFUNCTION("""COMPUTED_VALUE"""),24.99)</f>
        <v>24.99</v>
      </c>
      <c r="LL231" s="2007"/>
      <c r="LM231" s="2007"/>
      <c r="MX231" s="2007"/>
      <c r="ND231" s="2007"/>
    </row>
    <row r="232">
      <c r="A232" s="2005">
        <f>IFERROR(__xludf.DUMMYFUNCTION("""COMPUTED_VALUE"""),758517.0)</f>
        <v>758517</v>
      </c>
      <c r="B232" s="2005">
        <f>IFERROR(__xludf.DUMMYFUNCTION("""COMPUTED_VALUE"""),2704515.0)</f>
        <v>2704515</v>
      </c>
      <c r="C232" s="2005" t="str">
        <f>IFERROR(__xludf.DUMMYFUNCTION("""COMPUTED_VALUE"""),"Calc.")</f>
        <v>Calc.</v>
      </c>
      <c r="D232" s="2005" t="str">
        <f>IFERROR(__xludf.DUMMYFUNCTION("""COMPUTED_VALUE"""),"FC 100V")</f>
        <v>FC 100V</v>
      </c>
      <c r="E232" s="2005" t="str">
        <f>IFERROR(__xludf.DUMMYFUNCTION("""COMPUTED_VALUE"""),"CASIO")</f>
        <v>CASIO</v>
      </c>
      <c r="F232" s="2005" t="str">
        <f>IFERROR(__xludf.DUMMYFUNCTION("""COMPUTED_VALUE"""),"W")</f>
        <v>W</v>
      </c>
      <c r="G232" s="2005" t="str">
        <f>IFERROR(__xludf.DUMMYFUNCTION("""COMPUTED_VALUE"""),"NN")</f>
        <v>NN</v>
      </c>
      <c r="H232" s="2005">
        <f>IFERROR(__xludf.DUMMYFUNCTION("""COMPUTED_VALUE"""),34.99)</f>
        <v>34.99</v>
      </c>
      <c r="I232" s="2005">
        <f>IFERROR(__xludf.DUMMYFUNCTION("""COMPUTED_VALUE"""),34.99)</f>
        <v>34.99</v>
      </c>
      <c r="BD232" s="2006"/>
      <c r="LL232" s="2007"/>
      <c r="LM232" s="2007"/>
      <c r="MX232" s="2007"/>
      <c r="ND232" s="2007"/>
    </row>
    <row r="233">
      <c r="A233" s="2005">
        <f>IFERROR(__xludf.DUMMYFUNCTION("""COMPUTED_VALUE"""),759047.0)</f>
        <v>759047</v>
      </c>
      <c r="B233" s="2005">
        <f>IFERROR(__xludf.DUMMYFUNCTION("""COMPUTED_VALUE"""),2401025.0)</f>
        <v>2401025</v>
      </c>
      <c r="C233" s="2005" t="str">
        <f>IFERROR(__xludf.DUMMYFUNCTION("""COMPUTED_VALUE"""),"BD-RE")</f>
        <v>BD-RE</v>
      </c>
      <c r="D233" s="2005" t="str">
        <f>IFERROR(__xludf.DUMMYFUNCTION("""COMPUTED_VALUE"""),"P1 Blue Ray RE 2X JC")</f>
        <v>P1 Blue Ray RE 2X JC</v>
      </c>
      <c r="E233" s="2005" t="str">
        <f>IFERROR(__xludf.DUMMYFUNCTION("""COMPUTED_VALUE"""),"VERBATIM")</f>
        <v>VERBATIM</v>
      </c>
      <c r="F233" s="2005" t="str">
        <f>IFERROR(__xludf.DUMMYFUNCTION("""COMPUTED_VALUE"""),"H")</f>
        <v>H</v>
      </c>
      <c r="G233" s="2005" t="str">
        <f>IFERROR(__xludf.DUMMYFUNCTION("""COMPUTED_VALUE"""),"NN")</f>
        <v>NN</v>
      </c>
      <c r="H233" s="2005">
        <f>IFERROR(__xludf.DUMMYFUNCTION("""COMPUTED_VALUE"""),19.99)</f>
        <v>19.99</v>
      </c>
      <c r="I233" s="2005">
        <f>IFERROR(__xludf.DUMMYFUNCTION("""COMPUTED_VALUE"""),19.99)</f>
        <v>19.99</v>
      </c>
      <c r="LL233" s="2007"/>
      <c r="LM233" s="2007"/>
      <c r="MX233" s="2007"/>
      <c r="ND233" s="2007"/>
    </row>
    <row r="234">
      <c r="A234" s="2005">
        <f>IFERROR(__xludf.DUMMYFUNCTION("""COMPUTED_VALUE"""),761585.0)</f>
        <v>761585</v>
      </c>
      <c r="B234" s="2005">
        <f>IFERROR(__xludf.DUMMYFUNCTION("""COMPUTED_VALUE"""),2704515.0)</f>
        <v>2704515</v>
      </c>
      <c r="C234" s="2005" t="str">
        <f>IFERROR(__xludf.DUMMYFUNCTION("""COMPUTED_VALUE"""),"Calc-4OP")</f>
        <v>Calc-4OP</v>
      </c>
      <c r="D234" s="2005" t="str">
        <f>IFERROR(__xludf.DUMMYFUNCTION("""COMPUTED_VALUE"""),"HL 820 VER")</f>
        <v>HL 820 VER</v>
      </c>
      <c r="E234" s="2005" t="str">
        <f>IFERROR(__xludf.DUMMYFUNCTION("""COMPUTED_VALUE"""),"CASIO")</f>
        <v>CASIO</v>
      </c>
      <c r="F234" s="2005" t="str">
        <f>IFERROR(__xludf.DUMMYFUNCTION("""COMPUTED_VALUE"""),"H")</f>
        <v>H</v>
      </c>
      <c r="G234" s="2005" t="str">
        <f>IFERROR(__xludf.DUMMYFUNCTION("""COMPUTED_VALUE"""),"FR")</f>
        <v>FR</v>
      </c>
      <c r="H234" s="2005">
        <f>IFERROR(__xludf.DUMMYFUNCTION("""COMPUTED_VALUE"""),3.99)</f>
        <v>3.99</v>
      </c>
      <c r="I234" s="2005">
        <f>IFERROR(__xludf.DUMMYFUNCTION("""COMPUTED_VALUE"""),3.99)</f>
        <v>3.99</v>
      </c>
      <c r="BD234" s="2006"/>
      <c r="LL234" s="2007"/>
      <c r="LM234" s="2007"/>
      <c r="MX234" s="2007"/>
      <c r="ND234" s="2007"/>
    </row>
    <row r="235">
      <c r="A235" s="2005">
        <f>IFERROR(__xludf.DUMMYFUNCTION("""COMPUTED_VALUE"""),761586.0)</f>
        <v>761586</v>
      </c>
      <c r="B235" s="2005">
        <f>IFERROR(__xludf.DUMMYFUNCTION("""COMPUTED_VALUE"""),2704515.0)</f>
        <v>2704515</v>
      </c>
      <c r="C235" s="2005" t="str">
        <f>IFERROR(__xludf.DUMMYFUNCTION("""COMPUTED_VALUE"""),"Calc.")</f>
        <v>Calc.</v>
      </c>
      <c r="D235" s="2005" t="str">
        <f>IFERROR(__xludf.DUMMYFUNCTION("""COMPUTED_VALUE"""),"GRAPH 35+ E")</f>
        <v>GRAPH 35+ E</v>
      </c>
      <c r="E235" s="2005" t="str">
        <f>IFERROR(__xludf.DUMMYFUNCTION("""COMPUTED_VALUE"""),"CASIO")</f>
        <v>CASIO</v>
      </c>
      <c r="F235" s="2005" t="str">
        <f>IFERROR(__xludf.DUMMYFUNCTION("""COMPUTED_VALUE"""),"A")</f>
        <v>A</v>
      </c>
      <c r="G235" s="2005" t="str">
        <f>IFERROR(__xludf.DUMMYFUNCTION("""COMPUTED_VALUE"""),"NN")</f>
        <v>NN</v>
      </c>
      <c r="H235" s="2005">
        <f>IFERROR(__xludf.DUMMYFUNCTION("""COMPUTED_VALUE"""),79.99)</f>
        <v>79.99</v>
      </c>
      <c r="I235" s="2005">
        <f>IFERROR(__xludf.DUMMYFUNCTION("""COMPUTED_VALUE"""),79.99)</f>
        <v>79.99</v>
      </c>
      <c r="BD235" s="2006"/>
      <c r="LL235" s="2007"/>
      <c r="LM235" s="2007"/>
      <c r="MX235" s="2007"/>
      <c r="ND235" s="2007"/>
    </row>
    <row r="236">
      <c r="A236" s="2005">
        <f>IFERROR(__xludf.DUMMYFUNCTION("""COMPUTED_VALUE"""),762300.0)</f>
        <v>762300</v>
      </c>
      <c r="B236" s="2005">
        <f>IFERROR(__xludf.DUMMYFUNCTION("""COMPUTED_VALUE"""),2209520.0)</f>
        <v>2209520</v>
      </c>
      <c r="D236" s="2005" t="str">
        <f>IFERROR(__xludf.DUMMYFUNCTION("""COMPUTED_VALUE"""),"Maintenance 3 ans 24h")</f>
        <v>Maintenance 3 ans 24h</v>
      </c>
      <c r="E236" s="2005" t="str">
        <f>IFERROR(__xludf.DUMMYFUNCTION("""COMPUTED_VALUE"""),"HP")</f>
        <v>HP</v>
      </c>
      <c r="F236" s="2005" t="str">
        <f>IFERROR(__xludf.DUMMYFUNCTION("""COMPUTED_VALUE"""),"H")</f>
        <v>H</v>
      </c>
      <c r="G236" s="2005" t="str">
        <f>IFERROR(__xludf.DUMMYFUNCTION("""COMPUTED_VALUE"""),"AC")</f>
        <v>AC</v>
      </c>
      <c r="H236" s="2005">
        <f>IFERROR(__xludf.DUMMYFUNCTION("""COMPUTED_VALUE"""),2739.0)</f>
        <v>2739</v>
      </c>
      <c r="I236" s="2005">
        <f>IFERROR(__xludf.DUMMYFUNCTION("""COMPUTED_VALUE"""),2739.0)</f>
        <v>2739</v>
      </c>
      <c r="BD236" s="2006"/>
      <c r="LL236" s="2007"/>
      <c r="LM236" s="2007"/>
      <c r="MX236" s="2007"/>
      <c r="ND236" s="2008"/>
    </row>
    <row r="237">
      <c r="A237" s="2005">
        <f>IFERROR(__xludf.DUMMYFUNCTION("""COMPUTED_VALUE"""),762307.0)</f>
        <v>762307</v>
      </c>
      <c r="B237" s="2005">
        <f>IFERROR(__xludf.DUMMYFUNCTION("""COMPUTED_VALUE"""),2209520.0)</f>
        <v>2209520</v>
      </c>
      <c r="D237" s="2005" t="str">
        <f>IFERROR(__xludf.DUMMYFUNCTION("""COMPUTED_VALUE"""),"Maintenance 3 ans 4h")</f>
        <v>Maintenance 3 ans 4h</v>
      </c>
      <c r="E237" s="2005" t="str">
        <f>IFERROR(__xludf.DUMMYFUNCTION("""COMPUTED_VALUE"""),"HP")</f>
        <v>HP</v>
      </c>
      <c r="F237" s="2005" t="str">
        <f>IFERROR(__xludf.DUMMYFUNCTION("""COMPUTED_VALUE"""),"H")</f>
        <v>H</v>
      </c>
      <c r="G237" s="2005" t="str">
        <f>IFERROR(__xludf.DUMMYFUNCTION("""COMPUTED_VALUE"""),"AC")</f>
        <v>AC</v>
      </c>
      <c r="H237" s="2005">
        <f>IFERROR(__xludf.DUMMYFUNCTION("""COMPUTED_VALUE"""),3839.0)</f>
        <v>3839</v>
      </c>
      <c r="I237" s="2005">
        <f>IFERROR(__xludf.DUMMYFUNCTION("""COMPUTED_VALUE"""),3839.0)</f>
        <v>3839</v>
      </c>
      <c r="BD237" s="2006"/>
      <c r="LL237" s="2007"/>
      <c r="LM237" s="2008"/>
      <c r="MX237" s="2007"/>
      <c r="ND237" s="2007"/>
    </row>
    <row r="238">
      <c r="A238" s="2005">
        <f>IFERROR(__xludf.DUMMYFUNCTION("""COMPUTED_VALUE"""),765875.0)</f>
        <v>765875</v>
      </c>
      <c r="B238" s="2005">
        <f>IFERROR(__xludf.DUMMYFUNCTION("""COMPUTED_VALUE"""),2403020.0)</f>
        <v>2403020</v>
      </c>
      <c r="C238" s="2005" t="str">
        <f>IFERROR(__xludf.DUMMYFUNCTION("""COMPUTED_VALUE"""),"Cartouche")</f>
        <v>Cartouche</v>
      </c>
      <c r="D238" s="2005" t="str">
        <f>IFERROR(__xludf.DUMMYFUNCTION("""COMPUTED_VALUE"""),"PFA 351")</f>
        <v>PFA 351</v>
      </c>
      <c r="E238" s="2005" t="str">
        <f>IFERROR(__xludf.DUMMYFUNCTION("""COMPUTED_VALUE"""),"PHILIPS")</f>
        <v>PHILIPS</v>
      </c>
      <c r="F238" s="2005" t="str">
        <f>IFERROR(__xludf.DUMMYFUNCTION("""COMPUTED_VALUE"""),"H")</f>
        <v>H</v>
      </c>
      <c r="G238" s="2005" t="str">
        <f>IFERROR(__xludf.DUMMYFUNCTION("""COMPUTED_VALUE"""),"NN")</f>
        <v>NN</v>
      </c>
      <c r="H238" s="2005">
        <f>IFERROR(__xludf.DUMMYFUNCTION("""COMPUTED_VALUE"""),27.99)</f>
        <v>27.99</v>
      </c>
      <c r="I238" s="2005">
        <f>IFERROR(__xludf.DUMMYFUNCTION("""COMPUTED_VALUE"""),27.99)</f>
        <v>27.99</v>
      </c>
      <c r="BD238" s="2006"/>
      <c r="LL238" s="2007"/>
      <c r="LM238" s="2007"/>
      <c r="MX238" s="2007"/>
      <c r="ND238" s="2007"/>
    </row>
    <row r="239">
      <c r="A239" s="2005">
        <f>IFERROR(__xludf.DUMMYFUNCTION("""COMPUTED_VALUE"""),767475.0)</f>
        <v>767475</v>
      </c>
      <c r="B239" s="2005">
        <f>IFERROR(__xludf.DUMMYFUNCTION("""COMPUTED_VALUE"""),2403005.0)</f>
        <v>2403005</v>
      </c>
      <c r="C239" s="2005" t="str">
        <f>IFERROR(__xludf.DUMMYFUNCTION("""COMPUTED_VALUE"""),"Cartouche")</f>
        <v>Cartouche</v>
      </c>
      <c r="D239" s="2005" t="str">
        <f>IFERROR(__xludf.DUMMYFUNCTION("""COMPUTED_VALUE"""),"LC900BK noir")</f>
        <v>LC900BK noir</v>
      </c>
      <c r="E239" s="2005" t="str">
        <f>IFERROR(__xludf.DUMMYFUNCTION("""COMPUTED_VALUE"""),"BROTHER")</f>
        <v>BROTHER</v>
      </c>
      <c r="F239" s="2005" t="str">
        <f>IFERROR(__xludf.DUMMYFUNCTION("""COMPUTED_VALUE"""),"C")</f>
        <v>C</v>
      </c>
      <c r="G239" s="2005" t="str">
        <f>IFERROR(__xludf.DUMMYFUNCTION("""COMPUTED_VALUE"""),"NN")</f>
        <v>NN</v>
      </c>
      <c r="H239" s="2005">
        <f>IFERROR(__xludf.DUMMYFUNCTION("""COMPUTED_VALUE"""),24.99)</f>
        <v>24.99</v>
      </c>
      <c r="I239" s="2005">
        <f>IFERROR(__xludf.DUMMYFUNCTION("""COMPUTED_VALUE"""),24.99)</f>
        <v>24.99</v>
      </c>
      <c r="BD239" s="2006"/>
      <c r="LL239" s="2008"/>
      <c r="LM239" s="2007"/>
      <c r="MX239" s="2007"/>
      <c r="ND239" s="2007"/>
    </row>
    <row r="240">
      <c r="A240" s="2005">
        <f>IFERROR(__xludf.DUMMYFUNCTION("""COMPUTED_VALUE"""),767678.0)</f>
        <v>767678</v>
      </c>
      <c r="B240" s="2005">
        <f>IFERROR(__xludf.DUMMYFUNCTION("""COMPUTED_VALUE"""),2403005.0)</f>
        <v>2403005</v>
      </c>
      <c r="C240" s="2005" t="str">
        <f>IFERROR(__xludf.DUMMYFUNCTION("""COMPUTED_VALUE"""),"Cartouche")</f>
        <v>Cartouche</v>
      </c>
      <c r="D240" s="2005" t="str">
        <f>IFERROR(__xludf.DUMMYFUNCTION("""COMPUTED_VALUE"""),"LC900Y jaune")</f>
        <v>LC900Y jaune</v>
      </c>
      <c r="E240" s="2005" t="str">
        <f>IFERROR(__xludf.DUMMYFUNCTION("""COMPUTED_VALUE"""),"BROTHER")</f>
        <v>BROTHER</v>
      </c>
      <c r="F240" s="2005" t="str">
        <f>IFERROR(__xludf.DUMMYFUNCTION("""COMPUTED_VALUE"""),"D")</f>
        <v>D</v>
      </c>
      <c r="G240" s="2005" t="str">
        <f>IFERROR(__xludf.DUMMYFUNCTION("""COMPUTED_VALUE"""),"NN")</f>
        <v>NN</v>
      </c>
      <c r="H240" s="2005">
        <f>IFERROR(__xludf.DUMMYFUNCTION("""COMPUTED_VALUE"""),12.99)</f>
        <v>12.99</v>
      </c>
      <c r="I240" s="2005">
        <f>IFERROR(__xludf.DUMMYFUNCTION("""COMPUTED_VALUE"""),12.99)</f>
        <v>12.99</v>
      </c>
      <c r="BD240" s="2006"/>
      <c r="LL240" s="2007"/>
      <c r="LM240" s="2007"/>
      <c r="MX240" s="2007"/>
      <c r="ND240" s="2007"/>
    </row>
    <row r="241">
      <c r="A241" s="2005">
        <f>IFERROR(__xludf.DUMMYFUNCTION("""COMPUTED_VALUE"""),770962.0)</f>
        <v>770962</v>
      </c>
      <c r="B241" s="2005">
        <f>IFERROR(__xludf.DUMMYFUNCTION("""COMPUTED_VALUE"""),2209520.0)</f>
        <v>2209520</v>
      </c>
      <c r="D241" s="2005" t="str">
        <f>IFERROR(__xludf.DUMMYFUNCTION("""COMPUTED_VALUE"""),"Option Périphériques 2 ans (ordi. fixe)")</f>
        <v>Option Périphériques 2 ans (ordi. fixe)</v>
      </c>
      <c r="E241" s="2005" t="str">
        <f>IFERROR(__xludf.DUMMYFUNCTION("""COMPUTED_VALUE"""),"BOULANGER")</f>
        <v>BOULANGER</v>
      </c>
      <c r="F241" s="2005" t="str">
        <f>IFERROR(__xludf.DUMMYFUNCTION("""COMPUTED_VALUE"""),"B")</f>
        <v>B</v>
      </c>
      <c r="G241" s="2005" t="str">
        <f>IFERROR(__xludf.DUMMYFUNCTION("""COMPUTED_VALUE"""),"AC")</f>
        <v>AC</v>
      </c>
      <c r="H241" s="2005">
        <f>IFERROR(__xludf.DUMMYFUNCTION("""COMPUTED_VALUE"""),20.0)</f>
        <v>20</v>
      </c>
      <c r="I241" s="2005">
        <f>IFERROR(__xludf.DUMMYFUNCTION("""COMPUTED_VALUE"""),20.0)</f>
        <v>20</v>
      </c>
      <c r="BD241" s="2006"/>
      <c r="LL241" s="2007"/>
      <c r="LM241" s="2007"/>
      <c r="MX241" s="2008"/>
      <c r="ND241" s="2007"/>
    </row>
    <row r="242">
      <c r="A242" s="2005">
        <f>IFERROR(__xludf.DUMMYFUNCTION("""COMPUTED_VALUE"""),770963.0)</f>
        <v>770963</v>
      </c>
      <c r="B242" s="2005">
        <f>IFERROR(__xludf.DUMMYFUNCTION("""COMPUTED_VALUE"""),2209520.0)</f>
        <v>2209520</v>
      </c>
      <c r="D242" s="2005" t="str">
        <f>IFERROR(__xludf.DUMMYFUNCTION("""COMPUTED_VALUE"""),"Option Périphériques 3 ans (ordi. fixe)")</f>
        <v>Option Périphériques 3 ans (ordi. fixe)</v>
      </c>
      <c r="E242" s="2005" t="str">
        <f>IFERROR(__xludf.DUMMYFUNCTION("""COMPUTED_VALUE"""),"BOULANGER")</f>
        <v>BOULANGER</v>
      </c>
      <c r="F242" s="2005" t="str">
        <f>IFERROR(__xludf.DUMMYFUNCTION("""COMPUTED_VALUE"""),"B")</f>
        <v>B</v>
      </c>
      <c r="G242" s="2005" t="str">
        <f>IFERROR(__xludf.DUMMYFUNCTION("""COMPUTED_VALUE"""),"AC")</f>
        <v>AC</v>
      </c>
      <c r="H242" s="2005">
        <f>IFERROR(__xludf.DUMMYFUNCTION("""COMPUTED_VALUE"""),30.0)</f>
        <v>30</v>
      </c>
      <c r="I242" s="2005">
        <f>IFERROR(__xludf.DUMMYFUNCTION("""COMPUTED_VALUE"""),30.0)</f>
        <v>30</v>
      </c>
      <c r="BD242" s="2006"/>
      <c r="LL242" s="2007"/>
      <c r="LM242" s="2007"/>
      <c r="MX242" s="2007"/>
      <c r="ND242" s="2008"/>
    </row>
    <row r="243">
      <c r="A243" s="2005">
        <f>IFERROR(__xludf.DUMMYFUNCTION("""COMPUTED_VALUE"""),770964.0)</f>
        <v>770964</v>
      </c>
      <c r="B243" s="2005">
        <f>IFERROR(__xludf.DUMMYFUNCTION("""COMPUTED_VALUE"""),2209520.0)</f>
        <v>2209520</v>
      </c>
      <c r="D243" s="2005" t="str">
        <f>IFERROR(__xludf.DUMMYFUNCTION("""COMPUTED_VALUE"""),"Option Périphériques 3 ans (portable)")</f>
        <v>Option Périphériques 3 ans (portable)</v>
      </c>
      <c r="E243" s="2005" t="str">
        <f>IFERROR(__xludf.DUMMYFUNCTION("""COMPUTED_VALUE"""),"BOULANGER")</f>
        <v>BOULANGER</v>
      </c>
      <c r="F243" s="2005" t="str">
        <f>IFERROR(__xludf.DUMMYFUNCTION("""COMPUTED_VALUE"""),"B")</f>
        <v>B</v>
      </c>
      <c r="G243" s="2005" t="str">
        <f>IFERROR(__xludf.DUMMYFUNCTION("""COMPUTED_VALUE"""),"AC")</f>
        <v>AC</v>
      </c>
      <c r="H243" s="2005">
        <f>IFERROR(__xludf.DUMMYFUNCTION("""COMPUTED_VALUE"""),30.0)</f>
        <v>30</v>
      </c>
      <c r="I243" s="2005">
        <f>IFERROR(__xludf.DUMMYFUNCTION("""COMPUTED_VALUE"""),30.0)</f>
        <v>30</v>
      </c>
      <c r="BD243" s="2006"/>
      <c r="LL243" s="2007"/>
      <c r="LM243" s="2007"/>
      <c r="MX243" s="2007"/>
      <c r="ND243" s="2007"/>
    </row>
    <row r="244">
      <c r="A244" s="2005">
        <f>IFERROR(__xludf.DUMMYFUNCTION("""COMPUTED_VALUE"""),770965.0)</f>
        <v>770965</v>
      </c>
      <c r="B244" s="2005">
        <f>IFERROR(__xludf.DUMMYFUNCTION("""COMPUTED_VALUE"""),2209520.0)</f>
        <v>2209520</v>
      </c>
      <c r="D244" s="2005" t="str">
        <f>IFERROR(__xludf.DUMMYFUNCTION("""COMPUTED_VALUE"""),"Option Périphériques 2 ans (portable)")</f>
        <v>Option Périphériques 2 ans (portable)</v>
      </c>
      <c r="E244" s="2005" t="str">
        <f>IFERROR(__xludf.DUMMYFUNCTION("""COMPUTED_VALUE"""),"BOULANGER")</f>
        <v>BOULANGER</v>
      </c>
      <c r="F244" s="2005" t="str">
        <f>IFERROR(__xludf.DUMMYFUNCTION("""COMPUTED_VALUE"""),"B")</f>
        <v>B</v>
      </c>
      <c r="G244" s="2005" t="str">
        <f>IFERROR(__xludf.DUMMYFUNCTION("""COMPUTED_VALUE"""),"AC")</f>
        <v>AC</v>
      </c>
      <c r="H244" s="2005">
        <f>IFERROR(__xludf.DUMMYFUNCTION("""COMPUTED_VALUE"""),20.0)</f>
        <v>20</v>
      </c>
      <c r="I244" s="2005">
        <f>IFERROR(__xludf.DUMMYFUNCTION("""COMPUTED_VALUE"""),20.0)</f>
        <v>20</v>
      </c>
      <c r="LL244" s="2007"/>
      <c r="LM244" s="2007"/>
      <c r="MX244" s="2007"/>
      <c r="ND244" s="2007"/>
    </row>
    <row r="245">
      <c r="A245" s="2005">
        <f>IFERROR(__xludf.DUMMYFUNCTION("""COMPUTED_VALUE"""),771460.0)</f>
        <v>771460</v>
      </c>
      <c r="B245" s="2005">
        <f>IFERROR(__xludf.DUMMYFUNCTION("""COMPUTED_VALUE"""),2403015.0)</f>
        <v>2403015</v>
      </c>
      <c r="C245" s="2005" t="str">
        <f>IFERROR(__xludf.DUMMYFUNCTION("""COMPUTED_VALUE"""),"Ruban")</f>
        <v>Ruban</v>
      </c>
      <c r="D245" s="2005" t="str">
        <f>IFERROR(__xludf.DUMMYFUNCTION("""COMPUTED_VALUE"""),"TTR 400")</f>
        <v>TTR 400</v>
      </c>
      <c r="E245" s="2005" t="str">
        <f>IFERROR(__xludf.DUMMYFUNCTION("""COMPUTED_VALUE"""),"SAGEM")</f>
        <v>SAGEM</v>
      </c>
      <c r="F245" s="2005" t="str">
        <f>IFERROR(__xludf.DUMMYFUNCTION("""COMPUTED_VALUE"""),"C")</f>
        <v>C</v>
      </c>
      <c r="G245" s="2005" t="str">
        <f>IFERROR(__xludf.DUMMYFUNCTION("""COMPUTED_VALUE"""),"NN")</f>
        <v>NN</v>
      </c>
      <c r="H245" s="2005">
        <f>IFERROR(__xludf.DUMMYFUNCTION("""COMPUTED_VALUE"""),26.99)</f>
        <v>26.99</v>
      </c>
      <c r="I245" s="2005">
        <f>IFERROR(__xludf.DUMMYFUNCTION("""COMPUTED_VALUE"""),26.99)</f>
        <v>26.99</v>
      </c>
      <c r="BD245" s="2006"/>
      <c r="LL245" s="2007"/>
      <c r="LM245" s="2007"/>
      <c r="MX245" s="2007"/>
      <c r="ND245" s="2007"/>
    </row>
    <row r="246">
      <c r="A246" s="2005">
        <f>IFERROR(__xludf.DUMMYFUNCTION("""COMPUTED_VALUE"""),773736.0)</f>
        <v>773736</v>
      </c>
      <c r="B246" s="2005">
        <f>IFERROR(__xludf.DUMMYFUNCTION("""COMPUTED_VALUE"""),2403005.0)</f>
        <v>2403005</v>
      </c>
      <c r="C246" s="2005" t="str">
        <f>IFERROR(__xludf.DUMMYFUNCTION("""COMPUTED_VALUE"""),"MultiPack")</f>
        <v>MultiPack</v>
      </c>
      <c r="D246" s="2005" t="str">
        <f>IFERROR(__xludf.DUMMYFUNCTION("""COMPUTED_VALUE"""),"N°363 3 couleurs")</f>
        <v>N°363 3 couleurs</v>
      </c>
      <c r="E246" s="2005" t="str">
        <f>IFERROR(__xludf.DUMMYFUNCTION("""COMPUTED_VALUE"""),"HP")</f>
        <v>HP</v>
      </c>
      <c r="F246" s="2005" t="str">
        <f>IFERROR(__xludf.DUMMYFUNCTION("""COMPUTED_VALUE"""),"A")</f>
        <v>A</v>
      </c>
      <c r="G246" s="2005" t="str">
        <f>IFERROR(__xludf.DUMMYFUNCTION("""COMPUTED_VALUE"""),"NN")</f>
        <v>NN</v>
      </c>
      <c r="H246" s="2005">
        <f>IFERROR(__xludf.DUMMYFUNCTION("""COMPUTED_VALUE"""),55.99)</f>
        <v>55.99</v>
      </c>
      <c r="I246" s="2005">
        <f>IFERROR(__xludf.DUMMYFUNCTION("""COMPUTED_VALUE"""),55.99)</f>
        <v>55.99</v>
      </c>
      <c r="BD246" s="2006"/>
      <c r="LL246" s="2007"/>
      <c r="LM246" s="2008"/>
      <c r="MX246" s="2007"/>
      <c r="ND246" s="2007"/>
    </row>
    <row r="247">
      <c r="A247" s="2005">
        <f>IFERROR(__xludf.DUMMYFUNCTION("""COMPUTED_VALUE"""),776857.0)</f>
        <v>776857</v>
      </c>
      <c r="B247" s="2005">
        <f>IFERROR(__xludf.DUMMYFUNCTION("""COMPUTED_VALUE"""),2403005.0)</f>
        <v>2403005</v>
      </c>
      <c r="C247" s="2005" t="str">
        <f>IFERROR(__xludf.DUMMYFUNCTION("""COMPUTED_VALUE"""),"Cartouche")</f>
        <v>Cartouche</v>
      </c>
      <c r="D247" s="2005" t="str">
        <f>IFERROR(__xludf.DUMMYFUNCTION("""COMPUTED_VALUE"""),"LC1000BK noir")</f>
        <v>LC1000BK noir</v>
      </c>
      <c r="E247" s="2005" t="str">
        <f>IFERROR(__xludf.DUMMYFUNCTION("""COMPUTED_VALUE"""),"BROTHER")</f>
        <v>BROTHER</v>
      </c>
      <c r="F247" s="2005" t="str">
        <f>IFERROR(__xludf.DUMMYFUNCTION("""COMPUTED_VALUE"""),"H")</f>
        <v>H</v>
      </c>
      <c r="G247" s="2005" t="str">
        <f>IFERROR(__xludf.DUMMYFUNCTION("""COMPUTED_VALUE"""),"FF")</f>
        <v>FF</v>
      </c>
      <c r="H247" s="2005">
        <f>IFERROR(__xludf.DUMMYFUNCTION("""COMPUTED_VALUE"""),29.99)</f>
        <v>29.99</v>
      </c>
      <c r="I247" s="2005">
        <f>IFERROR(__xludf.DUMMYFUNCTION("""COMPUTED_VALUE"""),23.99)</f>
        <v>23.99</v>
      </c>
      <c r="BD247" s="2006"/>
      <c r="LL247" s="2007"/>
      <c r="LM247" s="2008"/>
      <c r="MX247" s="2007"/>
      <c r="ND247" s="2007"/>
    </row>
    <row r="248">
      <c r="A248" s="2005">
        <f>IFERROR(__xludf.DUMMYFUNCTION("""COMPUTED_VALUE"""),776918.0)</f>
        <v>776918</v>
      </c>
      <c r="B248" s="2005">
        <f>IFERROR(__xludf.DUMMYFUNCTION("""COMPUTED_VALUE"""),2403005.0)</f>
        <v>2403005</v>
      </c>
      <c r="C248" s="2005" t="str">
        <f>IFERROR(__xludf.DUMMYFUNCTION("""COMPUTED_VALUE"""),"Cartouche")</f>
        <v>Cartouche</v>
      </c>
      <c r="D248" s="2005" t="str">
        <f>IFERROR(__xludf.DUMMYFUNCTION("""COMPUTED_VALUE"""),"LC1000C Cyan")</f>
        <v>LC1000C Cyan</v>
      </c>
      <c r="E248" s="2005" t="str">
        <f>IFERROR(__xludf.DUMMYFUNCTION("""COMPUTED_VALUE"""),"BROTHER")</f>
        <v>BROTHER</v>
      </c>
      <c r="F248" s="2005" t="str">
        <f>IFERROR(__xludf.DUMMYFUNCTION("""COMPUTED_VALUE"""),"B")</f>
        <v>B</v>
      </c>
      <c r="G248" s="2005" t="str">
        <f>IFERROR(__xludf.DUMMYFUNCTION("""COMPUTED_VALUE"""),"FF")</f>
        <v>FF</v>
      </c>
      <c r="H248" s="2005">
        <f>IFERROR(__xludf.DUMMYFUNCTION("""COMPUTED_VALUE"""),15.99)</f>
        <v>15.99</v>
      </c>
      <c r="I248" s="2005">
        <f>IFERROR(__xludf.DUMMYFUNCTION("""COMPUTED_VALUE"""),12.99)</f>
        <v>12.99</v>
      </c>
      <c r="BD248" s="2006"/>
      <c r="LL248" s="2008"/>
      <c r="LM248" s="2007"/>
      <c r="MX248" s="2008"/>
      <c r="ND248" s="2007"/>
    </row>
    <row r="249">
      <c r="A249" s="2005">
        <f>IFERROR(__xludf.DUMMYFUNCTION("""COMPUTED_VALUE"""),776920.0)</f>
        <v>776920</v>
      </c>
      <c r="B249" s="2005">
        <f>IFERROR(__xludf.DUMMYFUNCTION("""COMPUTED_VALUE"""),2403005.0)</f>
        <v>2403005</v>
      </c>
      <c r="C249" s="2005" t="str">
        <f>IFERROR(__xludf.DUMMYFUNCTION("""COMPUTED_VALUE"""),"Cartouche")</f>
        <v>Cartouche</v>
      </c>
      <c r="D249" s="2005" t="str">
        <f>IFERROR(__xludf.DUMMYFUNCTION("""COMPUTED_VALUE"""),"LC1000M magenta")</f>
        <v>LC1000M magenta</v>
      </c>
      <c r="E249" s="2005" t="str">
        <f>IFERROR(__xludf.DUMMYFUNCTION("""COMPUTED_VALUE"""),"BROTHER")</f>
        <v>BROTHER</v>
      </c>
      <c r="F249" s="2005" t="str">
        <f>IFERROR(__xludf.DUMMYFUNCTION("""COMPUTED_VALUE"""),"B")</f>
        <v>B</v>
      </c>
      <c r="G249" s="2005" t="str">
        <f>IFERROR(__xludf.DUMMYFUNCTION("""COMPUTED_VALUE"""),"FF")</f>
        <v>FF</v>
      </c>
      <c r="H249" s="2005">
        <f>IFERROR(__xludf.DUMMYFUNCTION("""COMPUTED_VALUE"""),16.49)</f>
        <v>16.49</v>
      </c>
      <c r="I249" s="2005">
        <f>IFERROR(__xludf.DUMMYFUNCTION("""COMPUTED_VALUE"""),12.99)</f>
        <v>12.99</v>
      </c>
      <c r="BD249" s="2006"/>
      <c r="LL249" s="2007"/>
      <c r="LM249" s="2007"/>
      <c r="MX249" s="2007"/>
      <c r="ND249" s="2007"/>
    </row>
    <row r="250">
      <c r="A250" s="2005">
        <f>IFERROR(__xludf.DUMMYFUNCTION("""COMPUTED_VALUE"""),776921.0)</f>
        <v>776921</v>
      </c>
      <c r="B250" s="2005">
        <f>IFERROR(__xludf.DUMMYFUNCTION("""COMPUTED_VALUE"""),2403005.0)</f>
        <v>2403005</v>
      </c>
      <c r="C250" s="2005" t="str">
        <f>IFERROR(__xludf.DUMMYFUNCTION("""COMPUTED_VALUE"""),"Cartouche")</f>
        <v>Cartouche</v>
      </c>
      <c r="D250" s="2005" t="str">
        <f>IFERROR(__xludf.DUMMYFUNCTION("""COMPUTED_VALUE"""),"LC1000Y Jaune")</f>
        <v>LC1000Y Jaune</v>
      </c>
      <c r="E250" s="2005" t="str">
        <f>IFERROR(__xludf.DUMMYFUNCTION("""COMPUTED_VALUE"""),"BROTHER")</f>
        <v>BROTHER</v>
      </c>
      <c r="F250" s="2005" t="str">
        <f>IFERROR(__xludf.DUMMYFUNCTION("""COMPUTED_VALUE"""),"B")</f>
        <v>B</v>
      </c>
      <c r="G250" s="2005" t="str">
        <f>IFERROR(__xludf.DUMMYFUNCTION("""COMPUTED_VALUE"""),"NN")</f>
        <v>NN</v>
      </c>
      <c r="H250" s="2005">
        <f>IFERROR(__xludf.DUMMYFUNCTION("""COMPUTED_VALUE"""),16.49)</f>
        <v>16.49</v>
      </c>
      <c r="I250" s="2005">
        <f>IFERROR(__xludf.DUMMYFUNCTION("""COMPUTED_VALUE"""),12.99)</f>
        <v>12.99</v>
      </c>
      <c r="BD250" s="2006"/>
      <c r="LL250" s="2007"/>
      <c r="LM250" s="2007"/>
      <c r="MX250" s="2007"/>
      <c r="ND250" s="2007"/>
    </row>
    <row r="251">
      <c r="A251" s="2005">
        <f>IFERROR(__xludf.DUMMYFUNCTION("""COMPUTED_VALUE"""),777373.0)</f>
        <v>777373</v>
      </c>
      <c r="B251" s="2005">
        <f>IFERROR(__xludf.DUMMYFUNCTION("""COMPUTED_VALUE"""),2403010.0)</f>
        <v>2403010</v>
      </c>
      <c r="C251" s="2005" t="str">
        <f>IFERROR(__xludf.DUMMYFUNCTION("""COMPUTED_VALUE"""),"Toner")</f>
        <v>Toner</v>
      </c>
      <c r="D251" s="2005" t="str">
        <f>IFERROR(__xludf.DUMMYFUNCTION("""COMPUTED_VALUE"""),"LRPE120")</f>
        <v>LRPE120</v>
      </c>
      <c r="E251" s="2005" t="str">
        <f>IFERROR(__xludf.DUMMYFUNCTION("""COMPUTED_VALUE"""),"LEXMARK")</f>
        <v>LEXMARK</v>
      </c>
      <c r="F251" s="2005" t="str">
        <f>IFERROR(__xludf.DUMMYFUNCTION("""COMPUTED_VALUE"""),"D")</f>
        <v>D</v>
      </c>
      <c r="G251" s="2005" t="str">
        <f>IFERROR(__xludf.DUMMYFUNCTION("""COMPUTED_VALUE"""),"NN")</f>
        <v>NN</v>
      </c>
      <c r="H251" s="2005">
        <f>IFERROR(__xludf.DUMMYFUNCTION("""COMPUTED_VALUE"""),69.99)</f>
        <v>69.99</v>
      </c>
      <c r="I251" s="2005">
        <f>IFERROR(__xludf.DUMMYFUNCTION("""COMPUTED_VALUE"""),69.99)</f>
        <v>69.99</v>
      </c>
      <c r="BD251" s="2006"/>
      <c r="LL251" s="2007"/>
      <c r="LM251" s="2007"/>
      <c r="MX251" s="2007"/>
      <c r="ND251" s="2007"/>
    </row>
    <row r="252">
      <c r="A252" s="2005">
        <f>IFERROR(__xludf.DUMMYFUNCTION("""COMPUTED_VALUE"""),779083.0)</f>
        <v>779083</v>
      </c>
      <c r="B252" s="2005">
        <f>IFERROR(__xludf.DUMMYFUNCTION("""COMPUTED_VALUE"""),2403005.0)</f>
        <v>2403005</v>
      </c>
      <c r="C252" s="2005" t="str">
        <f>IFERROR(__xludf.DUMMYFUNCTION("""COMPUTED_VALUE"""),"Cartouche")</f>
        <v>Cartouche</v>
      </c>
      <c r="D252" s="2005" t="str">
        <f>IFERROR(__xludf.DUMMYFUNCTION("""COMPUTED_VALUE"""),"PG37 Noire")</f>
        <v>PG37 Noire</v>
      </c>
      <c r="E252" s="2005" t="str">
        <f>IFERROR(__xludf.DUMMYFUNCTION("""COMPUTED_VALUE"""),"CANON")</f>
        <v>CANON</v>
      </c>
      <c r="F252" s="2005" t="str">
        <f>IFERROR(__xludf.DUMMYFUNCTION("""COMPUTED_VALUE"""),"C")</f>
        <v>C</v>
      </c>
      <c r="G252" s="2005" t="str">
        <f>IFERROR(__xludf.DUMMYFUNCTION("""COMPUTED_VALUE"""),"NN")</f>
        <v>NN</v>
      </c>
      <c r="H252" s="2005">
        <f>IFERROR(__xludf.DUMMYFUNCTION("""COMPUTED_VALUE"""),16.99)</f>
        <v>16.99</v>
      </c>
      <c r="I252" s="2005">
        <f>IFERROR(__xludf.DUMMYFUNCTION("""COMPUTED_VALUE"""),16.99)</f>
        <v>16.99</v>
      </c>
      <c r="BD252" s="2006"/>
      <c r="LL252" s="2007"/>
      <c r="LM252" s="2007"/>
      <c r="MX252" s="2007"/>
      <c r="ND252" s="2007"/>
    </row>
    <row r="253">
      <c r="A253" s="2005">
        <f>IFERROR(__xludf.DUMMYFUNCTION("""COMPUTED_VALUE"""),779084.0)</f>
        <v>779084</v>
      </c>
      <c r="B253" s="2005">
        <f>IFERROR(__xludf.DUMMYFUNCTION("""COMPUTED_VALUE"""),2403005.0)</f>
        <v>2403005</v>
      </c>
      <c r="C253" s="2005" t="str">
        <f>IFERROR(__xludf.DUMMYFUNCTION("""COMPUTED_VALUE"""),"Cartouche")</f>
        <v>Cartouche</v>
      </c>
      <c r="D253" s="2005" t="str">
        <f>IFERROR(__xludf.DUMMYFUNCTION("""COMPUTED_VALUE"""),"CL38 couleur")</f>
        <v>CL38 couleur</v>
      </c>
      <c r="E253" s="2005" t="str">
        <f>IFERROR(__xludf.DUMMYFUNCTION("""COMPUTED_VALUE"""),"CANON")</f>
        <v>CANON</v>
      </c>
      <c r="F253" s="2005" t="str">
        <f>IFERROR(__xludf.DUMMYFUNCTION("""COMPUTED_VALUE"""),"C")</f>
        <v>C</v>
      </c>
      <c r="G253" s="2005" t="str">
        <f>IFERROR(__xludf.DUMMYFUNCTION("""COMPUTED_VALUE"""),"NN")</f>
        <v>NN</v>
      </c>
      <c r="H253" s="2005">
        <f>IFERROR(__xludf.DUMMYFUNCTION("""COMPUTED_VALUE"""),21.99)</f>
        <v>21.99</v>
      </c>
      <c r="I253" s="2005">
        <f>IFERROR(__xludf.DUMMYFUNCTION("""COMPUTED_VALUE"""),21.99)</f>
        <v>21.99</v>
      </c>
      <c r="BD253" s="2006"/>
      <c r="LL253" s="2007"/>
      <c r="LM253" s="2007"/>
      <c r="MX253" s="2007"/>
      <c r="ND253" s="2008"/>
    </row>
    <row r="254">
      <c r="A254" s="2005">
        <f>IFERROR(__xludf.DUMMYFUNCTION("""COMPUTED_VALUE"""),779213.0)</f>
        <v>779213</v>
      </c>
      <c r="B254" s="2005">
        <f>IFERROR(__xludf.DUMMYFUNCTION("""COMPUTED_VALUE"""),2403005.0)</f>
        <v>2403005</v>
      </c>
      <c r="C254" s="2005" t="str">
        <f>IFERROR(__xludf.DUMMYFUNCTION("""COMPUTED_VALUE"""),"Cartouche")</f>
        <v>Cartouche</v>
      </c>
      <c r="D254" s="2005" t="str">
        <f>IFERROR(__xludf.DUMMYFUNCTION("""COMPUTED_VALUE"""),"N°88 noire")</f>
        <v>N°88 noire</v>
      </c>
      <c r="E254" s="2005" t="str">
        <f>IFERROR(__xludf.DUMMYFUNCTION("""COMPUTED_VALUE"""),"HP")</f>
        <v>HP</v>
      </c>
      <c r="F254" s="2005" t="str">
        <f>IFERROR(__xludf.DUMMYFUNCTION("""COMPUTED_VALUE"""),"H")</f>
        <v>H</v>
      </c>
      <c r="G254" s="2005" t="str">
        <f>IFERROR(__xludf.DUMMYFUNCTION("""COMPUTED_VALUE"""),"NN")</f>
        <v>NN</v>
      </c>
      <c r="H254" s="2005">
        <f>IFERROR(__xludf.DUMMYFUNCTION("""COMPUTED_VALUE"""),32.99)</f>
        <v>32.99</v>
      </c>
      <c r="I254" s="2005">
        <f>IFERROR(__xludf.DUMMYFUNCTION("""COMPUTED_VALUE"""),32.99)</f>
        <v>32.99</v>
      </c>
      <c r="BD254" s="2006"/>
      <c r="LL254" s="2007"/>
      <c r="LM254" s="2007"/>
      <c r="MX254" s="2007"/>
      <c r="ND254" s="2007"/>
    </row>
    <row r="255">
      <c r="A255" s="2005">
        <f>IFERROR(__xludf.DUMMYFUNCTION("""COMPUTED_VALUE"""),779214.0)</f>
        <v>779214</v>
      </c>
      <c r="B255" s="2005">
        <f>IFERROR(__xludf.DUMMYFUNCTION("""COMPUTED_VALUE"""),2403005.0)</f>
        <v>2403005</v>
      </c>
      <c r="C255" s="2005" t="str">
        <f>IFERROR(__xludf.DUMMYFUNCTION("""COMPUTED_VALUE"""),"Cartouche")</f>
        <v>Cartouche</v>
      </c>
      <c r="D255" s="2005" t="str">
        <f>IFERROR(__xludf.DUMMYFUNCTION("""COMPUTED_VALUE"""),"N°88 Cyan")</f>
        <v>N°88 Cyan</v>
      </c>
      <c r="E255" s="2005" t="str">
        <f>IFERROR(__xludf.DUMMYFUNCTION("""COMPUTED_VALUE"""),"HP")</f>
        <v>HP</v>
      </c>
      <c r="F255" s="2005" t="str">
        <f>IFERROR(__xludf.DUMMYFUNCTION("""COMPUTED_VALUE"""),"H")</f>
        <v>H</v>
      </c>
      <c r="G255" s="2005" t="str">
        <f>IFERROR(__xludf.DUMMYFUNCTION("""COMPUTED_VALUE"""),"NN")</f>
        <v>NN</v>
      </c>
      <c r="H255" s="2005">
        <f>IFERROR(__xludf.DUMMYFUNCTION("""COMPUTED_VALUE"""),22.99)</f>
        <v>22.99</v>
      </c>
      <c r="I255" s="2005">
        <f>IFERROR(__xludf.DUMMYFUNCTION("""COMPUTED_VALUE"""),22.99)</f>
        <v>22.99</v>
      </c>
      <c r="LL255" s="2007"/>
      <c r="LM255" s="2007"/>
      <c r="MX255" s="2007"/>
      <c r="ND255" s="2007"/>
    </row>
    <row r="256">
      <c r="A256" s="2005">
        <f>IFERROR(__xludf.DUMMYFUNCTION("""COMPUTED_VALUE"""),779919.0)</f>
        <v>779919</v>
      </c>
      <c r="B256" s="2005">
        <f>IFERROR(__xludf.DUMMYFUNCTION("""COMPUTED_VALUE"""),2403005.0)</f>
        <v>2403005</v>
      </c>
      <c r="C256" s="2005" t="str">
        <f>IFERROR(__xludf.DUMMYFUNCTION("""COMPUTED_VALUE"""),"Cartouche")</f>
        <v>Cartouche</v>
      </c>
      <c r="D256" s="2005" t="str">
        <f>IFERROR(__xludf.DUMMYFUNCTION("""COMPUTED_VALUE"""),"N°350XL noire")</f>
        <v>N°350XL noire</v>
      </c>
      <c r="E256" s="2005" t="str">
        <f>IFERROR(__xludf.DUMMYFUNCTION("""COMPUTED_VALUE"""),"HP")</f>
        <v>HP</v>
      </c>
      <c r="F256" s="2005" t="str">
        <f>IFERROR(__xludf.DUMMYFUNCTION("""COMPUTED_VALUE"""),"B")</f>
        <v>B</v>
      </c>
      <c r="G256" s="2005" t="str">
        <f>IFERROR(__xludf.DUMMYFUNCTION("""COMPUTED_VALUE"""),"NN")</f>
        <v>NN</v>
      </c>
      <c r="H256" s="2005">
        <f>IFERROR(__xludf.DUMMYFUNCTION("""COMPUTED_VALUE"""),49.99)</f>
        <v>49.99</v>
      </c>
      <c r="I256" s="2005">
        <f>IFERROR(__xludf.DUMMYFUNCTION("""COMPUTED_VALUE"""),49.99)</f>
        <v>49.99</v>
      </c>
      <c r="LL256" s="2007"/>
      <c r="LM256" s="2007"/>
      <c r="MX256" s="2007"/>
      <c r="ND256" s="2007"/>
    </row>
    <row r="257">
      <c r="A257" s="2005">
        <f>IFERROR(__xludf.DUMMYFUNCTION("""COMPUTED_VALUE"""),779920.0)</f>
        <v>779920</v>
      </c>
      <c r="B257" s="2005">
        <f>IFERROR(__xludf.DUMMYFUNCTION("""COMPUTED_VALUE"""),2403005.0)</f>
        <v>2403005</v>
      </c>
      <c r="C257" s="2005" t="str">
        <f>IFERROR(__xludf.DUMMYFUNCTION("""COMPUTED_VALUE"""),"Cartouche")</f>
        <v>Cartouche</v>
      </c>
      <c r="D257" s="2005" t="str">
        <f>IFERROR(__xludf.DUMMYFUNCTION("""COMPUTED_VALUE"""),"N°351XL 3 couleurs")</f>
        <v>N°351XL 3 couleurs</v>
      </c>
      <c r="E257" s="2005" t="str">
        <f>IFERROR(__xludf.DUMMYFUNCTION("""COMPUTED_VALUE"""),"HP")</f>
        <v>HP</v>
      </c>
      <c r="F257" s="2005" t="str">
        <f>IFERROR(__xludf.DUMMYFUNCTION("""COMPUTED_VALUE"""),"C")</f>
        <v>C</v>
      </c>
      <c r="G257" s="2005" t="str">
        <f>IFERROR(__xludf.DUMMYFUNCTION("""COMPUTED_VALUE"""),"NN")</f>
        <v>NN</v>
      </c>
      <c r="H257" s="2005">
        <f>IFERROR(__xludf.DUMMYFUNCTION("""COMPUTED_VALUE"""),51.99)</f>
        <v>51.99</v>
      </c>
      <c r="I257" s="2005">
        <f>IFERROR(__xludf.DUMMYFUNCTION("""COMPUTED_VALUE"""),51.99)</f>
        <v>51.99</v>
      </c>
      <c r="BD257" s="2006"/>
      <c r="LL257" s="2008"/>
      <c r="LM257" s="2007"/>
      <c r="MX257" s="2007"/>
      <c r="ND257" s="2008"/>
    </row>
    <row r="258">
      <c r="A258" s="2005">
        <f>IFERROR(__xludf.DUMMYFUNCTION("""COMPUTED_VALUE"""),783768.0)</f>
        <v>783768</v>
      </c>
      <c r="B258" s="2005">
        <f>IFERROR(__xludf.DUMMYFUNCTION("""COMPUTED_VALUE"""),2403099.0)</f>
        <v>2403099</v>
      </c>
      <c r="C258" s="2005" t="str">
        <f>IFERROR(__xludf.DUMMYFUNCTION("""COMPUTED_VALUE"""),"Kit")</f>
        <v>Kit</v>
      </c>
      <c r="D258" s="2005" t="str">
        <f>IFERROR(__xludf.DUMMYFUNCTION("""COMPUTED_VALUE"""),"Easy photo 100")</f>
        <v>Easy photo 100</v>
      </c>
      <c r="E258" s="2005" t="str">
        <f>IFERROR(__xludf.DUMMYFUNCTION("""COMPUTED_VALUE"""),"CANON")</f>
        <v>CANON</v>
      </c>
      <c r="F258" s="2005" t="str">
        <f>IFERROR(__xludf.DUMMYFUNCTION("""COMPUTED_VALUE"""),"B")</f>
        <v>B</v>
      </c>
      <c r="G258" s="2005" t="str">
        <f>IFERROR(__xludf.DUMMYFUNCTION("""COMPUTED_VALUE"""),"NN")</f>
        <v>NN</v>
      </c>
      <c r="H258" s="2005">
        <f>IFERROR(__xludf.DUMMYFUNCTION("""COMPUTED_VALUE"""),29.99)</f>
        <v>29.99</v>
      </c>
      <c r="I258" s="2005">
        <f>IFERROR(__xludf.DUMMYFUNCTION("""COMPUTED_VALUE"""),29.99)</f>
        <v>29.99</v>
      </c>
      <c r="BD258" s="2006"/>
      <c r="LL258" s="2007"/>
      <c r="LM258" s="2007"/>
      <c r="MX258" s="2007"/>
      <c r="ND258" s="2008"/>
    </row>
    <row r="259">
      <c r="A259" s="2005">
        <f>IFERROR(__xludf.DUMMYFUNCTION("""COMPUTED_VALUE"""),796359.0)</f>
        <v>796359</v>
      </c>
      <c r="B259" s="2005">
        <f>IFERROR(__xludf.DUMMYFUNCTION("""COMPUTED_VALUE"""),2403005.0)</f>
        <v>2403005</v>
      </c>
      <c r="C259" s="2005" t="str">
        <f>IFERROR(__xludf.DUMMYFUNCTION("""COMPUTED_VALUE"""),"Cartouche")</f>
        <v>Cartouche</v>
      </c>
      <c r="D259" s="2005" t="str">
        <f>IFERROR(__xludf.DUMMYFUNCTION("""COMPUTED_VALUE"""),"Cartouche n°17 noir")</f>
        <v>Cartouche n°17 noir</v>
      </c>
      <c r="E259" s="2005" t="str">
        <f>IFERROR(__xludf.DUMMYFUNCTION("""COMPUTED_VALUE"""),"LEXMARK")</f>
        <v>LEXMARK</v>
      </c>
      <c r="F259" s="2005" t="str">
        <f>IFERROR(__xludf.DUMMYFUNCTION("""COMPUTED_VALUE"""),"H")</f>
        <v>H</v>
      </c>
      <c r="G259" s="2005" t="str">
        <f>IFERROR(__xludf.DUMMYFUNCTION("""COMPUTED_VALUE"""),"NN")</f>
        <v>NN</v>
      </c>
      <c r="H259" s="2005">
        <f>IFERROR(__xludf.DUMMYFUNCTION("""COMPUTED_VALUE"""),25.99)</f>
        <v>25.99</v>
      </c>
      <c r="I259" s="2005">
        <f>IFERROR(__xludf.DUMMYFUNCTION("""COMPUTED_VALUE"""),25.99)</f>
        <v>25.99</v>
      </c>
      <c r="BD259" s="2006"/>
      <c r="LM259" s="2008"/>
      <c r="MX259" s="2007"/>
      <c r="ND259" s="2008"/>
    </row>
    <row r="260">
      <c r="A260" s="2005">
        <f>IFERROR(__xludf.DUMMYFUNCTION("""COMPUTED_VALUE"""),796369.0)</f>
        <v>796369</v>
      </c>
      <c r="B260" s="2005">
        <f>IFERROR(__xludf.DUMMYFUNCTION("""COMPUTED_VALUE"""),2403005.0)</f>
        <v>2403005</v>
      </c>
      <c r="C260" s="2005" t="str">
        <f>IFERROR(__xludf.DUMMYFUNCTION("""COMPUTED_VALUE"""),"Cartouche")</f>
        <v>Cartouche</v>
      </c>
      <c r="D260" s="2005" t="str">
        <f>IFERROR(__xludf.DUMMYFUNCTION("""COMPUTED_VALUE"""),"n°27 couleur")</f>
        <v>n°27 couleur</v>
      </c>
      <c r="E260" s="2005" t="str">
        <f>IFERROR(__xludf.DUMMYFUNCTION("""COMPUTED_VALUE"""),"LEXMARK")</f>
        <v>LEXMARK</v>
      </c>
      <c r="F260" s="2005" t="str">
        <f>IFERROR(__xludf.DUMMYFUNCTION("""COMPUTED_VALUE"""),"H")</f>
        <v>H</v>
      </c>
      <c r="G260" s="2005" t="str">
        <f>IFERROR(__xludf.DUMMYFUNCTION("""COMPUTED_VALUE"""),"NN")</f>
        <v>NN</v>
      </c>
      <c r="H260" s="2005">
        <f>IFERROR(__xludf.DUMMYFUNCTION("""COMPUTED_VALUE"""),36.99)</f>
        <v>36.99</v>
      </c>
      <c r="I260" s="2005">
        <f>IFERROR(__xludf.DUMMYFUNCTION("""COMPUTED_VALUE"""),36.99)</f>
        <v>36.99</v>
      </c>
      <c r="LM260" s="2007"/>
    </row>
    <row r="261">
      <c r="A261" s="2005">
        <f>IFERROR(__xludf.DUMMYFUNCTION("""COMPUTED_VALUE"""),798260.0)</f>
        <v>798260</v>
      </c>
      <c r="B261" s="2005">
        <f>IFERROR(__xludf.DUMMYFUNCTION("""COMPUTED_VALUE"""),2402015.0)</f>
        <v>2402015</v>
      </c>
      <c r="C261" s="2005" t="str">
        <f>IFERROR(__xludf.DUMMYFUNCTION("""COMPUTED_VALUE"""),"Papier")</f>
        <v>Papier</v>
      </c>
      <c r="D261" s="2005" t="str">
        <f>IFERROR(__xludf.DUMMYFUNCTION("""COMPUTED_VALUE"""),"DAP 10x15-100f-260g Brillant")</f>
        <v>DAP 10x15-100f-260g Brillant</v>
      </c>
      <c r="E261" s="2005" t="str">
        <f>IFERROR(__xludf.DUMMYFUNCTION("""COMPUTED_VALUE"""),"CANSON")</f>
        <v>CANSON</v>
      </c>
      <c r="F261" s="2005" t="str">
        <f>IFERROR(__xludf.DUMMYFUNCTION("""COMPUTED_VALUE"""),"C")</f>
        <v>C</v>
      </c>
      <c r="G261" s="2005" t="str">
        <f>IFERROR(__xludf.DUMMYFUNCTION("""COMPUTED_VALUE"""),"FR")</f>
        <v>FR</v>
      </c>
      <c r="H261" s="2005">
        <f>IFERROR(__xludf.DUMMYFUNCTION("""COMPUTED_VALUE"""),13.99)</f>
        <v>13.99</v>
      </c>
      <c r="I261">
        <f>IFERROR(__xludf.DUMMYFUNCTION("""COMPUTED_VALUE"""),13.99)</f>
        <v>13.99</v>
      </c>
      <c r="LL261" s="2007"/>
      <c r="LM261" s="2007"/>
      <c r="MX261" s="2007"/>
      <c r="ND261" s="2007"/>
    </row>
    <row r="262">
      <c r="A262" s="2005">
        <f>IFERROR(__xludf.DUMMYFUNCTION("""COMPUTED_VALUE"""),798261.0)</f>
        <v>798261</v>
      </c>
      <c r="B262" s="2005">
        <f>IFERROR(__xludf.DUMMYFUNCTION("""COMPUTED_VALUE"""),2402015.0)</f>
        <v>2402015</v>
      </c>
      <c r="C262" s="2005" t="str">
        <f>IFERROR(__xludf.DUMMYFUNCTION("""COMPUTED_VALUE"""),"Papier")</f>
        <v>Papier</v>
      </c>
      <c r="D262" s="2005" t="str">
        <f>IFERROR(__xludf.DUMMYFUNCTION("""COMPUTED_VALUE"""),"DAP 10x15-100f-260g SATIN")</f>
        <v>DAP 10x15-100f-260g SATIN</v>
      </c>
      <c r="E262" s="2005" t="str">
        <f>IFERROR(__xludf.DUMMYFUNCTION("""COMPUTED_VALUE"""),"CANSON")</f>
        <v>CANSON</v>
      </c>
      <c r="F262" s="2005" t="str">
        <f>IFERROR(__xludf.DUMMYFUNCTION("""COMPUTED_VALUE"""),"B")</f>
        <v>B</v>
      </c>
      <c r="G262" s="2005" t="str">
        <f>IFERROR(__xludf.DUMMYFUNCTION("""COMPUTED_VALUE"""),"NN")</f>
        <v>NN</v>
      </c>
      <c r="H262" s="2005">
        <f>IFERROR(__xludf.DUMMYFUNCTION("""COMPUTED_VALUE"""),13.99)</f>
        <v>13.99</v>
      </c>
      <c r="I262" s="2005">
        <f>IFERROR(__xludf.DUMMYFUNCTION("""COMPUTED_VALUE"""),13.99)</f>
        <v>13.99</v>
      </c>
      <c r="BD262" s="2006"/>
      <c r="LL262" s="2007"/>
      <c r="LM262" s="2007"/>
      <c r="MX262" s="2007"/>
      <c r="ND262" s="2007"/>
    </row>
    <row r="263">
      <c r="A263" s="2005">
        <f>IFERROR(__xludf.DUMMYFUNCTION("""COMPUTED_VALUE"""),801208.0)</f>
        <v>801208</v>
      </c>
      <c r="B263" s="2005">
        <f>IFERROR(__xludf.DUMMYFUNCTION("""COMPUTED_VALUE"""),2402015.0)</f>
        <v>2402015</v>
      </c>
      <c r="C263" s="2005" t="str">
        <f>IFERROR(__xludf.DUMMYFUNCTION("""COMPUTED_VALUE"""),"Papier")</f>
        <v>Papier</v>
      </c>
      <c r="D263" s="2005" t="str">
        <f>IFERROR(__xludf.DUMMYFUNCTION("""COMPUTED_VALUE"""),"A4-15f-255g/m²")</f>
        <v>A4-15f-255g/m²</v>
      </c>
      <c r="E263" s="2005" t="str">
        <f>IFERROR(__xludf.DUMMYFUNCTION("""COMPUTED_VALUE"""),"EPSON")</f>
        <v>EPSON</v>
      </c>
      <c r="F263" s="2005" t="str">
        <f>IFERROR(__xludf.DUMMYFUNCTION("""COMPUTED_VALUE"""),"A")</f>
        <v>A</v>
      </c>
      <c r="G263" s="2005" t="str">
        <f>IFERROR(__xludf.DUMMYFUNCTION("""COMPUTED_VALUE"""),"AC")</f>
        <v>AC</v>
      </c>
      <c r="H263" s="2005">
        <f>IFERROR(__xludf.DUMMYFUNCTION("""COMPUTED_VALUE"""),18.98)</f>
        <v>18.98</v>
      </c>
      <c r="I263" s="2005">
        <f>IFERROR(__xludf.DUMMYFUNCTION("""COMPUTED_VALUE"""),18.98)</f>
        <v>18.98</v>
      </c>
      <c r="BD263" s="2006"/>
      <c r="LL263" s="2007"/>
      <c r="LM263" s="2007"/>
      <c r="MX263" s="2008"/>
      <c r="ND263" s="2007"/>
    </row>
    <row r="264">
      <c r="A264" s="2005">
        <f>IFERROR(__xludf.DUMMYFUNCTION("""COMPUTED_VALUE"""),801209.0)</f>
        <v>801209</v>
      </c>
      <c r="B264" s="2005">
        <f>IFERROR(__xludf.DUMMYFUNCTION("""COMPUTED_VALUE"""),2402015.0)</f>
        <v>2402015</v>
      </c>
      <c r="C264" s="2005" t="str">
        <f>IFERROR(__xludf.DUMMYFUNCTION("""COMPUTED_VALUE"""),"Papier")</f>
        <v>Papier</v>
      </c>
      <c r="D264" s="2005" t="str">
        <f>IFERROR(__xludf.DUMMYFUNCTION("""COMPUTED_VALUE"""),"10x15-40f-255g/m²")</f>
        <v>10x15-40f-255g/m²</v>
      </c>
      <c r="E264" s="2005" t="str">
        <f>IFERROR(__xludf.DUMMYFUNCTION("""COMPUTED_VALUE"""),"EPSON")</f>
        <v>EPSON</v>
      </c>
      <c r="F264" s="2005" t="str">
        <f>IFERROR(__xludf.DUMMYFUNCTION("""COMPUTED_VALUE"""),"A")</f>
        <v>A</v>
      </c>
      <c r="G264" s="2005" t="str">
        <f>IFERROR(__xludf.DUMMYFUNCTION("""COMPUTED_VALUE"""),"AC")</f>
        <v>AC</v>
      </c>
      <c r="H264" s="2005">
        <f>IFERROR(__xludf.DUMMYFUNCTION("""COMPUTED_VALUE"""),13.98)</f>
        <v>13.98</v>
      </c>
      <c r="I264" s="2005">
        <f>IFERROR(__xludf.DUMMYFUNCTION("""COMPUTED_VALUE"""),13.98)</f>
        <v>13.98</v>
      </c>
      <c r="LL264" s="2008"/>
      <c r="LM264" s="2008"/>
      <c r="MX264" s="2007"/>
      <c r="ND264" s="2008"/>
    </row>
    <row r="265">
      <c r="A265" s="2005">
        <f>IFERROR(__xludf.DUMMYFUNCTION("""COMPUTED_VALUE"""),801212.0)</f>
        <v>801212</v>
      </c>
      <c r="B265" s="2005">
        <f>IFERROR(__xludf.DUMMYFUNCTION("""COMPUTED_VALUE"""),2402015.0)</f>
        <v>2402015</v>
      </c>
      <c r="C265" s="2005" t="str">
        <f>IFERROR(__xludf.DUMMYFUNCTION("""COMPUTED_VALUE"""),"Papier")</f>
        <v>Papier</v>
      </c>
      <c r="D265" s="2005" t="str">
        <f>IFERROR(__xludf.DUMMYFUNCTION("""COMPUTED_VALUE"""),"13x18-30f-255g/m²")</f>
        <v>13x18-30f-255g/m²</v>
      </c>
      <c r="E265" s="2005" t="str">
        <f>IFERROR(__xludf.DUMMYFUNCTION("""COMPUTED_VALUE"""),"EPSON")</f>
        <v>EPSON</v>
      </c>
      <c r="F265" s="2005" t="str">
        <f>IFERROR(__xludf.DUMMYFUNCTION("""COMPUTED_VALUE"""),"A")</f>
        <v>A</v>
      </c>
      <c r="G265" s="2005" t="str">
        <f>IFERROR(__xludf.DUMMYFUNCTION("""COMPUTED_VALUE"""),"AC")</f>
        <v>AC</v>
      </c>
      <c r="H265" s="2005">
        <f>IFERROR(__xludf.DUMMYFUNCTION("""COMPUTED_VALUE"""),14.98)</f>
        <v>14.98</v>
      </c>
      <c r="I265" s="2005">
        <f>IFERROR(__xludf.DUMMYFUNCTION("""COMPUTED_VALUE"""),14.98)</f>
        <v>14.98</v>
      </c>
      <c r="LL265" s="2007"/>
      <c r="LM265" s="2007"/>
      <c r="MX265" s="2007"/>
      <c r="ND265" s="2007"/>
    </row>
    <row r="266">
      <c r="A266" s="2005">
        <f>IFERROR(__xludf.DUMMYFUNCTION("""COMPUTED_VALUE"""),802060.0)</f>
        <v>802060</v>
      </c>
      <c r="B266" s="2005">
        <f>IFERROR(__xludf.DUMMYFUNCTION("""COMPUTED_VALUE"""),2403010.0)</f>
        <v>2403010</v>
      </c>
      <c r="C266" s="2005" t="str">
        <f>IFERROR(__xludf.DUMMYFUNCTION("""COMPUTED_VALUE"""),"Toner")</f>
        <v>Toner</v>
      </c>
      <c r="D266" s="2005" t="str">
        <f>IFERROR(__xludf.DUMMYFUNCTION("""COMPUTED_VALUE"""),"CB435A")</f>
        <v>CB435A</v>
      </c>
      <c r="E266" s="2005" t="str">
        <f>IFERROR(__xludf.DUMMYFUNCTION("""COMPUTED_VALUE"""),"HP")</f>
        <v>HP</v>
      </c>
      <c r="F266" s="2005" t="str">
        <f>IFERROR(__xludf.DUMMYFUNCTION("""COMPUTED_VALUE"""),"H")</f>
        <v>H</v>
      </c>
      <c r="G266" s="2005" t="str">
        <f>IFERROR(__xludf.DUMMYFUNCTION("""COMPUTED_VALUE"""),"AC")</f>
        <v>AC</v>
      </c>
      <c r="H266" s="2005">
        <f>IFERROR(__xludf.DUMMYFUNCTION("""COMPUTED_VALUE"""),99.9)</f>
        <v>99.9</v>
      </c>
      <c r="I266" s="2005">
        <f>IFERROR(__xludf.DUMMYFUNCTION("""COMPUTED_VALUE"""),99.9)</f>
        <v>99.9</v>
      </c>
      <c r="LL266" s="2007"/>
      <c r="LM266" s="2007"/>
      <c r="MX266" s="2007"/>
      <c r="ND266" s="2007"/>
    </row>
    <row r="267">
      <c r="A267" s="2005">
        <f>IFERROR(__xludf.DUMMYFUNCTION("""COMPUTED_VALUE"""),805849.0)</f>
        <v>805849</v>
      </c>
      <c r="B267" s="2005">
        <f>IFERROR(__xludf.DUMMYFUNCTION("""COMPUTED_VALUE"""),2403005.0)</f>
        <v>2403005</v>
      </c>
      <c r="C267" s="2005" t="str">
        <f>IFERROR(__xludf.DUMMYFUNCTION("""COMPUTED_VALUE"""),"Cartouche")</f>
        <v>Cartouche</v>
      </c>
      <c r="D267" s="2005" t="str">
        <f>IFERROR(__xludf.DUMMYFUNCTION("""COMPUTED_VALUE"""),"n°37XL couleur")</f>
        <v>n°37XL couleur</v>
      </c>
      <c r="E267" s="2005" t="str">
        <f>IFERROR(__xludf.DUMMYFUNCTION("""COMPUTED_VALUE"""),"LEXMARK")</f>
        <v>LEXMARK</v>
      </c>
      <c r="F267" s="2005" t="str">
        <f>IFERROR(__xludf.DUMMYFUNCTION("""COMPUTED_VALUE"""),"H")</f>
        <v>H</v>
      </c>
      <c r="G267" s="2005" t="str">
        <f>IFERROR(__xludf.DUMMYFUNCTION("""COMPUTED_VALUE"""),"NN")</f>
        <v>NN</v>
      </c>
      <c r="H267" s="2005">
        <f>IFERROR(__xludf.DUMMYFUNCTION("""COMPUTED_VALUE"""),52.99)</f>
        <v>52.99</v>
      </c>
      <c r="I267" s="2005">
        <f>IFERROR(__xludf.DUMMYFUNCTION("""COMPUTED_VALUE"""),52.99)</f>
        <v>52.99</v>
      </c>
      <c r="BD267" s="2006"/>
      <c r="LL267" s="2007"/>
      <c r="LM267" s="2007"/>
      <c r="MX267" s="2008"/>
      <c r="ND267" s="2008"/>
    </row>
    <row r="268">
      <c r="A268" s="2005">
        <f>IFERROR(__xludf.DUMMYFUNCTION("""COMPUTED_VALUE"""),806938.0)</f>
        <v>806938</v>
      </c>
      <c r="B268" s="2005">
        <f>IFERROR(__xludf.DUMMYFUNCTION("""COMPUTED_VALUE"""),2401015.0)</f>
        <v>2401015</v>
      </c>
      <c r="C268" s="2005" t="str">
        <f>IFERROR(__xludf.DUMMYFUNCTION("""COMPUTED_VALUE"""),"DVD-R")</f>
        <v>DVD-R</v>
      </c>
      <c r="D268" s="2005" t="str">
        <f>IFERROR(__xludf.DUMMYFUNCTION("""COMPUTED_VALUE"""),"DVD+R Double 8.5GO 5PK Double layer 8x")</f>
        <v>DVD+R Double 8.5GO 5PK Double layer 8x</v>
      </c>
      <c r="E268" s="2005" t="str">
        <f>IFERROR(__xludf.DUMMYFUNCTION("""COMPUTED_VALUE"""),"VERBATIM")</f>
        <v>VERBATIM</v>
      </c>
      <c r="F268" s="2005" t="str">
        <f>IFERROR(__xludf.DUMMYFUNCTION("""COMPUTED_VALUE"""),"H")</f>
        <v>H</v>
      </c>
      <c r="G268" s="2005" t="str">
        <f>IFERROR(__xludf.DUMMYFUNCTION("""COMPUTED_VALUE"""),"AC")</f>
        <v>AC</v>
      </c>
      <c r="H268" s="2005">
        <f>IFERROR(__xludf.DUMMYFUNCTION("""COMPUTED_VALUE"""),29.99)</f>
        <v>29.99</v>
      </c>
      <c r="I268" s="2005">
        <f>IFERROR(__xludf.DUMMYFUNCTION("""COMPUTED_VALUE"""),29.99)</f>
        <v>29.99</v>
      </c>
      <c r="BD268" s="2006"/>
      <c r="LL268" s="2007"/>
      <c r="LM268" s="2007"/>
      <c r="MX268" s="2007"/>
      <c r="ND268" s="2007"/>
    </row>
    <row r="269">
      <c r="A269" s="2005">
        <f>IFERROR(__xludf.DUMMYFUNCTION("""COMPUTED_VALUE"""),807396.0)</f>
        <v>807396</v>
      </c>
      <c r="B269" s="2005">
        <f>IFERROR(__xludf.DUMMYFUNCTION("""COMPUTED_VALUE"""),2403005.0)</f>
        <v>2403005</v>
      </c>
      <c r="C269" s="2005" t="str">
        <f>IFERROR(__xludf.DUMMYFUNCTION("""COMPUTED_VALUE"""),"Pack")</f>
        <v>Pack</v>
      </c>
      <c r="D269" s="2005" t="str">
        <f>IFERROR(__xludf.DUMMYFUNCTION("""COMPUTED_VALUE"""),"n°21 + n°22")</f>
        <v>n°21 + n°22</v>
      </c>
      <c r="E269" s="2005" t="str">
        <f>IFERROR(__xludf.DUMMYFUNCTION("""COMPUTED_VALUE"""),"HP")</f>
        <v>HP</v>
      </c>
      <c r="F269" s="2005" t="str">
        <f>IFERROR(__xludf.DUMMYFUNCTION("""COMPUTED_VALUE"""),"A")</f>
        <v>A</v>
      </c>
      <c r="G269" s="2005" t="str">
        <f>IFERROR(__xludf.DUMMYFUNCTION("""COMPUTED_VALUE"""),"NN")</f>
        <v>NN</v>
      </c>
      <c r="H269" s="2005">
        <f>IFERROR(__xludf.DUMMYFUNCTION("""COMPUTED_VALUE"""),45.99)</f>
        <v>45.99</v>
      </c>
      <c r="I269" s="2005">
        <f>IFERROR(__xludf.DUMMYFUNCTION("""COMPUTED_VALUE"""),45.99)</f>
        <v>45.99</v>
      </c>
      <c r="BD269" s="2006"/>
      <c r="LL269" s="2007"/>
      <c r="LM269" s="2007"/>
      <c r="MX269" s="2007"/>
      <c r="ND269" s="2007"/>
    </row>
    <row r="270">
      <c r="A270" s="2005">
        <f>IFERROR(__xludf.DUMMYFUNCTION("""COMPUTED_VALUE"""),808073.0)</f>
        <v>808073</v>
      </c>
      <c r="B270" s="2005">
        <f>IFERROR(__xludf.DUMMYFUNCTION("""COMPUTED_VALUE"""),2403005.0)</f>
        <v>2403005</v>
      </c>
      <c r="C270" s="2005" t="str">
        <f>IFERROR(__xludf.DUMMYFUNCTION("""COMPUTED_VALUE"""),"Cartouche")</f>
        <v>Cartouche</v>
      </c>
      <c r="D270" s="2005" t="str">
        <f>IFERROR(__xludf.DUMMYFUNCTION("""COMPUTED_VALUE"""),"350 noire")</f>
        <v>350 noire</v>
      </c>
      <c r="E270" s="2005" t="str">
        <f>IFERROR(__xludf.DUMMYFUNCTION("""COMPUTED_VALUE"""),"HP")</f>
        <v>HP</v>
      </c>
      <c r="F270" s="2005" t="str">
        <f>IFERROR(__xludf.DUMMYFUNCTION("""COMPUTED_VALUE"""),"A")</f>
        <v>A</v>
      </c>
      <c r="G270" s="2005" t="str">
        <f>IFERROR(__xludf.DUMMYFUNCTION("""COMPUTED_VALUE"""),"NN")</f>
        <v>NN</v>
      </c>
      <c r="H270" s="2005">
        <f>IFERROR(__xludf.DUMMYFUNCTION("""COMPUTED_VALUE"""),30.99)</f>
        <v>30.99</v>
      </c>
      <c r="I270" s="2005">
        <f>IFERROR(__xludf.DUMMYFUNCTION("""COMPUTED_VALUE"""),30.99)</f>
        <v>30.99</v>
      </c>
      <c r="BD270" s="2006"/>
      <c r="LL270" s="2007"/>
      <c r="LM270" s="2007"/>
      <c r="MX270" s="2007"/>
      <c r="ND270" s="2008"/>
    </row>
    <row r="271">
      <c r="A271" s="2005">
        <f>IFERROR(__xludf.DUMMYFUNCTION("""COMPUTED_VALUE"""),808076.0)</f>
        <v>808076</v>
      </c>
      <c r="B271" s="2005">
        <f>IFERROR(__xludf.DUMMYFUNCTION("""COMPUTED_VALUE"""),2403005.0)</f>
        <v>2403005</v>
      </c>
      <c r="C271" s="2005" t="str">
        <f>IFERROR(__xludf.DUMMYFUNCTION("""COMPUTED_VALUE"""),"Cartouche")</f>
        <v>Cartouche</v>
      </c>
      <c r="D271" s="2005" t="str">
        <f>IFERROR(__xludf.DUMMYFUNCTION("""COMPUTED_VALUE"""),"N°351 couleur")</f>
        <v>N°351 couleur</v>
      </c>
      <c r="E271" s="2005" t="str">
        <f>IFERROR(__xludf.DUMMYFUNCTION("""COMPUTED_VALUE"""),"HP")</f>
        <v>HP</v>
      </c>
      <c r="F271" s="2005" t="str">
        <f>IFERROR(__xludf.DUMMYFUNCTION("""COMPUTED_VALUE"""),"B")</f>
        <v>B</v>
      </c>
      <c r="G271" s="2005" t="str">
        <f>IFERROR(__xludf.DUMMYFUNCTION("""COMPUTED_VALUE"""),"NN")</f>
        <v>NN</v>
      </c>
      <c r="H271" s="2005">
        <f>IFERROR(__xludf.DUMMYFUNCTION("""COMPUTED_VALUE"""),39.99)</f>
        <v>39.99</v>
      </c>
      <c r="I271" s="2005">
        <f>IFERROR(__xludf.DUMMYFUNCTION("""COMPUTED_VALUE"""),39.99)</f>
        <v>39.99</v>
      </c>
      <c r="BD271" s="2006"/>
      <c r="LL271" s="2007"/>
      <c r="LM271" s="2007"/>
      <c r="MX271" s="2007"/>
      <c r="ND271" s="2008"/>
    </row>
    <row r="272">
      <c r="A272" s="2005">
        <f>IFERROR(__xludf.DUMMYFUNCTION("""COMPUTED_VALUE"""),810452.0)</f>
        <v>810452</v>
      </c>
      <c r="B272" s="2005">
        <f>IFERROR(__xludf.DUMMYFUNCTION("""COMPUTED_VALUE"""),2703025.0)</f>
        <v>2703025</v>
      </c>
      <c r="C272" s="2005" t="str">
        <f>IFERROR(__xludf.DUMMYFUNCTION("""COMPUTED_VALUE"""),"DESTRUCTEUR")</f>
        <v>DESTRUCTEUR</v>
      </c>
      <c r="D272" s="2005" t="str">
        <f>IFERROR(__xludf.DUMMYFUNCTION("""COMPUTED_VALUE"""),"Shredmate")</f>
        <v>Shredmate</v>
      </c>
      <c r="E272" s="2005" t="str">
        <f>IFERROR(__xludf.DUMMYFUNCTION("""COMPUTED_VALUE"""),"FELLOWES")</f>
        <v>FELLOWES</v>
      </c>
      <c r="F272" s="2005" t="str">
        <f>IFERROR(__xludf.DUMMYFUNCTION("""COMPUTED_VALUE"""),"H")</f>
        <v>H</v>
      </c>
      <c r="G272" s="2005" t="str">
        <f>IFERROR(__xludf.DUMMYFUNCTION("""COMPUTED_VALUE"""),"NN")</f>
        <v>NN</v>
      </c>
      <c r="H272" s="2005">
        <f>IFERROR(__xludf.DUMMYFUNCTION("""COMPUTED_VALUE"""),44.99)</f>
        <v>44.99</v>
      </c>
      <c r="I272" s="2005">
        <f>IFERROR(__xludf.DUMMYFUNCTION("""COMPUTED_VALUE"""),44.99)</f>
        <v>44.99</v>
      </c>
      <c r="BD272" s="2006"/>
      <c r="LL272" s="2007"/>
      <c r="LM272" s="2007"/>
      <c r="MX272" s="2007"/>
      <c r="ND272" s="2008"/>
    </row>
    <row r="273">
      <c r="A273" s="2005">
        <f>IFERROR(__xludf.DUMMYFUNCTION("""COMPUTED_VALUE"""),810659.0)</f>
        <v>810659</v>
      </c>
      <c r="B273" s="2005">
        <f>IFERROR(__xludf.DUMMYFUNCTION("""COMPUTED_VALUE"""),2403010.0)</f>
        <v>2403010</v>
      </c>
      <c r="C273" s="2005" t="str">
        <f>IFERROR(__xludf.DUMMYFUNCTION("""COMPUTED_VALUE"""),"Toner")</f>
        <v>Toner</v>
      </c>
      <c r="D273" s="2005" t="str">
        <f>IFERROR(__xludf.DUMMYFUNCTION("""COMPUTED_VALUE"""),"TN 2005")</f>
        <v>TN 2005</v>
      </c>
      <c r="E273" s="2005" t="str">
        <f>IFERROR(__xludf.DUMMYFUNCTION("""COMPUTED_VALUE"""),"BROTHER")</f>
        <v>BROTHER</v>
      </c>
      <c r="F273" s="2005" t="str">
        <f>IFERROR(__xludf.DUMMYFUNCTION("""COMPUTED_VALUE"""),"H")</f>
        <v>H</v>
      </c>
      <c r="G273" s="2005" t="str">
        <f>IFERROR(__xludf.DUMMYFUNCTION("""COMPUTED_VALUE"""),"NN")</f>
        <v>NN</v>
      </c>
      <c r="H273" s="2005">
        <f>IFERROR(__xludf.DUMMYFUNCTION("""COMPUTED_VALUE"""),59.99)</f>
        <v>59.99</v>
      </c>
      <c r="I273" s="2005">
        <f>IFERROR(__xludf.DUMMYFUNCTION("""COMPUTED_VALUE"""),59.99)</f>
        <v>59.99</v>
      </c>
      <c r="BD273" s="2006"/>
      <c r="LL273" s="2007"/>
      <c r="LM273" s="2007"/>
      <c r="MX273" s="2007"/>
      <c r="ND273" s="2008"/>
    </row>
    <row r="274">
      <c r="A274" s="2005">
        <f>IFERROR(__xludf.DUMMYFUNCTION("""COMPUTED_VALUE"""),810712.0)</f>
        <v>810712</v>
      </c>
      <c r="B274" s="2005">
        <f>IFERROR(__xludf.DUMMYFUNCTION("""COMPUTED_VALUE"""),2403515.0)</f>
        <v>2403515</v>
      </c>
      <c r="C274" s="2005" t="str">
        <f>IFERROR(__xludf.DUMMYFUNCTION("""COMPUTED_VALUE"""),"POCHETTE")</f>
        <v>POCHETTE</v>
      </c>
      <c r="D274" s="2005" t="str">
        <f>IFERROR(__xludf.DUMMYFUNCTION("""COMPUTED_VALUE"""),"plastification A3/25")</f>
        <v>plastification A3/25</v>
      </c>
      <c r="E274" s="2005" t="str">
        <f>IFERROR(__xludf.DUMMYFUNCTION("""COMPUTED_VALUE"""),"FELLOWES")</f>
        <v>FELLOWES</v>
      </c>
      <c r="F274" s="2005" t="str">
        <f>IFERROR(__xludf.DUMMYFUNCTION("""COMPUTED_VALUE"""),"H")</f>
        <v>H</v>
      </c>
      <c r="G274" s="2005" t="str">
        <f>IFERROR(__xludf.DUMMYFUNCTION("""COMPUTED_VALUE"""),"NN")</f>
        <v>NN</v>
      </c>
      <c r="H274" s="2005">
        <f>IFERROR(__xludf.DUMMYFUNCTION("""COMPUTED_VALUE"""),17.9)</f>
        <v>17.9</v>
      </c>
      <c r="I274" s="2005">
        <f>IFERROR(__xludf.DUMMYFUNCTION("""COMPUTED_VALUE"""),17.9)</f>
        <v>17.9</v>
      </c>
      <c r="LL274" s="2007"/>
      <c r="LM274" s="2007"/>
      <c r="MX274" s="2007"/>
      <c r="ND274" s="2007"/>
    </row>
    <row r="275">
      <c r="A275" s="2005">
        <f>IFERROR(__xludf.DUMMYFUNCTION("""COMPUTED_VALUE"""),811053.0)</f>
        <v>811053</v>
      </c>
      <c r="B275" s="2005">
        <f>IFERROR(__xludf.DUMMYFUNCTION("""COMPUTED_VALUE"""),2403010.0)</f>
        <v>2403010</v>
      </c>
      <c r="C275" s="2005" t="str">
        <f>IFERROR(__xludf.DUMMYFUNCTION("""COMPUTED_VALUE"""),"Toner")</f>
        <v>Toner</v>
      </c>
      <c r="D275" s="2005" t="str">
        <f>IFERROR(__xludf.DUMMYFUNCTION("""COMPUTED_VALUE"""),"CLT-C4092S Cyan")</f>
        <v>CLT-C4092S Cyan</v>
      </c>
      <c r="E275" s="2005" t="str">
        <f>IFERROR(__xludf.DUMMYFUNCTION("""COMPUTED_VALUE"""),"SAMSUNG")</f>
        <v>SAMSUNG</v>
      </c>
      <c r="F275" s="2005" t="str">
        <f>IFERROR(__xludf.DUMMYFUNCTION("""COMPUTED_VALUE"""),"C")</f>
        <v>C</v>
      </c>
      <c r="G275" s="2005" t="str">
        <f>IFERROR(__xludf.DUMMYFUNCTION("""COMPUTED_VALUE"""),"NN")</f>
        <v>NN</v>
      </c>
      <c r="H275" s="2005">
        <f>IFERROR(__xludf.DUMMYFUNCTION("""COMPUTED_VALUE"""),54.99)</f>
        <v>54.99</v>
      </c>
      <c r="I275" s="2005">
        <f>IFERROR(__xludf.DUMMYFUNCTION("""COMPUTED_VALUE"""),54.99)</f>
        <v>54.99</v>
      </c>
      <c r="BD275" s="2006"/>
      <c r="LL275" s="2007"/>
      <c r="LM275" s="2008"/>
      <c r="MX275" s="2007"/>
      <c r="ND275" s="2007"/>
    </row>
    <row r="276">
      <c r="A276" s="2005">
        <f>IFERROR(__xludf.DUMMYFUNCTION("""COMPUTED_VALUE"""),811054.0)</f>
        <v>811054</v>
      </c>
      <c r="B276" s="2005">
        <f>IFERROR(__xludf.DUMMYFUNCTION("""COMPUTED_VALUE"""),2403010.0)</f>
        <v>2403010</v>
      </c>
      <c r="C276" s="2005" t="str">
        <f>IFERROR(__xludf.DUMMYFUNCTION("""COMPUTED_VALUE"""),"Toner")</f>
        <v>Toner</v>
      </c>
      <c r="D276" s="2005" t="str">
        <f>IFERROR(__xludf.DUMMYFUNCTION("""COMPUTED_VALUE"""),"CLT-M4092S Magenta")</f>
        <v>CLT-M4092S Magenta</v>
      </c>
      <c r="E276" s="2005" t="str">
        <f>IFERROR(__xludf.DUMMYFUNCTION("""COMPUTED_VALUE"""),"SAMSUNG")</f>
        <v>SAMSUNG</v>
      </c>
      <c r="F276" s="2005" t="str">
        <f>IFERROR(__xludf.DUMMYFUNCTION("""COMPUTED_VALUE"""),"H")</f>
        <v>H</v>
      </c>
      <c r="G276" s="2005" t="str">
        <f>IFERROR(__xludf.DUMMYFUNCTION("""COMPUTED_VALUE"""),"FR")</f>
        <v>FR</v>
      </c>
      <c r="H276" s="2005">
        <f>IFERROR(__xludf.DUMMYFUNCTION("""COMPUTED_VALUE"""),49.99)</f>
        <v>49.99</v>
      </c>
      <c r="I276" s="2005">
        <f>IFERROR(__xludf.DUMMYFUNCTION("""COMPUTED_VALUE"""),49.99)</f>
        <v>49.99</v>
      </c>
      <c r="BD276" s="2006"/>
      <c r="LL276" s="2008"/>
      <c r="LM276" s="2008"/>
      <c r="MX276" s="2007"/>
      <c r="ND276" s="2007"/>
    </row>
    <row r="277">
      <c r="A277" s="2005">
        <f>IFERROR(__xludf.DUMMYFUNCTION("""COMPUTED_VALUE"""),811055.0)</f>
        <v>811055</v>
      </c>
      <c r="B277" s="2005">
        <f>IFERROR(__xludf.DUMMYFUNCTION("""COMPUTED_VALUE"""),2403010.0)</f>
        <v>2403010</v>
      </c>
      <c r="C277" s="2005" t="str">
        <f>IFERROR(__xludf.DUMMYFUNCTION("""COMPUTED_VALUE"""),"Toner")</f>
        <v>Toner</v>
      </c>
      <c r="D277" s="2005" t="str">
        <f>IFERROR(__xludf.DUMMYFUNCTION("""COMPUTED_VALUE"""),"CLT-Y4092S Jaune")</f>
        <v>CLT-Y4092S Jaune</v>
      </c>
      <c r="E277" s="2005" t="str">
        <f>IFERROR(__xludf.DUMMYFUNCTION("""COMPUTED_VALUE"""),"SAMSUNG")</f>
        <v>SAMSUNG</v>
      </c>
      <c r="F277" s="2005" t="str">
        <f>IFERROR(__xludf.DUMMYFUNCTION("""COMPUTED_VALUE"""),"H")</f>
        <v>H</v>
      </c>
      <c r="G277" s="2005" t="str">
        <f>IFERROR(__xludf.DUMMYFUNCTION("""COMPUTED_VALUE"""),"FF")</f>
        <v>FF</v>
      </c>
      <c r="H277" s="2005">
        <f>IFERROR(__xludf.DUMMYFUNCTION("""COMPUTED_VALUE"""),54.99)</f>
        <v>54.99</v>
      </c>
      <c r="I277">
        <f>IFERROR(__xludf.DUMMYFUNCTION("""COMPUTED_VALUE"""),54.99)</f>
        <v>54.99</v>
      </c>
      <c r="BD277" s="2006"/>
      <c r="LL277" s="2007"/>
      <c r="LM277" s="2007"/>
      <c r="MX277" s="2007"/>
      <c r="ND277" s="2007"/>
    </row>
    <row r="278">
      <c r="A278" s="2005">
        <f>IFERROR(__xludf.DUMMYFUNCTION("""COMPUTED_VALUE"""),811056.0)</f>
        <v>811056</v>
      </c>
      <c r="B278" s="2005">
        <f>IFERROR(__xludf.DUMMYFUNCTION("""COMPUTED_VALUE"""),2403010.0)</f>
        <v>2403010</v>
      </c>
      <c r="C278" s="2005" t="str">
        <f>IFERROR(__xludf.DUMMYFUNCTION("""COMPUTED_VALUE"""),"Toner")</f>
        <v>Toner</v>
      </c>
      <c r="D278" s="2005" t="str">
        <f>IFERROR(__xludf.DUMMYFUNCTION("""COMPUTED_VALUE"""),"CLT-K4092S Noir")</f>
        <v>CLT-K4092S Noir</v>
      </c>
      <c r="E278" s="2005" t="str">
        <f>IFERROR(__xludf.DUMMYFUNCTION("""COMPUTED_VALUE"""),"SAMSUNG")</f>
        <v>SAMSUNG</v>
      </c>
      <c r="F278" s="2005" t="str">
        <f>IFERROR(__xludf.DUMMYFUNCTION("""COMPUTED_VALUE"""),"H")</f>
        <v>H</v>
      </c>
      <c r="G278" s="2005" t="str">
        <f>IFERROR(__xludf.DUMMYFUNCTION("""COMPUTED_VALUE"""),"FR")</f>
        <v>FR</v>
      </c>
      <c r="H278" s="2005">
        <f>IFERROR(__xludf.DUMMYFUNCTION("""COMPUTED_VALUE"""),46.99)</f>
        <v>46.99</v>
      </c>
      <c r="I278" s="2005">
        <f>IFERROR(__xludf.DUMMYFUNCTION("""COMPUTED_VALUE"""),46.99)</f>
        <v>46.99</v>
      </c>
      <c r="BD278" s="2006"/>
      <c r="LL278" s="2007"/>
      <c r="LM278" s="2007"/>
      <c r="MX278" s="2007"/>
      <c r="ND278" s="2007"/>
    </row>
    <row r="279">
      <c r="A279" s="2005">
        <f>IFERROR(__xludf.DUMMYFUNCTION("""COMPUTED_VALUE"""),811500.0)</f>
        <v>811500</v>
      </c>
      <c r="B279" s="2005">
        <f>IFERROR(__xludf.DUMMYFUNCTION("""COMPUTED_VALUE"""),2403005.0)</f>
        <v>2403005</v>
      </c>
      <c r="C279" s="2005" t="str">
        <f>IFERROR(__xludf.DUMMYFUNCTION("""COMPUTED_VALUE"""),"Cartouche")</f>
        <v>Cartouche</v>
      </c>
      <c r="D279" s="2005" t="str">
        <f>IFERROR(__xludf.DUMMYFUNCTION("""COMPUTED_VALUE"""),"364 noire")</f>
        <v>364 noire</v>
      </c>
      <c r="E279" s="2005" t="str">
        <f>IFERROR(__xludf.DUMMYFUNCTION("""COMPUTED_VALUE"""),"HP")</f>
        <v>HP</v>
      </c>
      <c r="F279" s="2005" t="str">
        <f>IFERROR(__xludf.DUMMYFUNCTION("""COMPUTED_VALUE"""),"A")</f>
        <v>A</v>
      </c>
      <c r="G279" s="2005" t="str">
        <f>IFERROR(__xludf.DUMMYFUNCTION("""COMPUTED_VALUE"""),"AC")</f>
        <v>AC</v>
      </c>
      <c r="H279" s="2005">
        <f>IFERROR(__xludf.DUMMYFUNCTION("""COMPUTED_VALUE"""),18.99)</f>
        <v>18.99</v>
      </c>
      <c r="I279" s="2005">
        <f>IFERROR(__xludf.DUMMYFUNCTION("""COMPUTED_VALUE"""),18.99)</f>
        <v>18.99</v>
      </c>
      <c r="BD279" s="2006"/>
      <c r="LL279" s="2007"/>
      <c r="LM279" s="2007"/>
      <c r="MX279" s="2007"/>
      <c r="ND279" s="2007"/>
    </row>
    <row r="280">
      <c r="A280" s="2005">
        <f>IFERROR(__xludf.DUMMYFUNCTION("""COMPUTED_VALUE"""),811501.0)</f>
        <v>811501</v>
      </c>
      <c r="B280" s="2005">
        <f>IFERROR(__xludf.DUMMYFUNCTION("""COMPUTED_VALUE"""),2403005.0)</f>
        <v>2403005</v>
      </c>
      <c r="C280" s="2005" t="str">
        <f>IFERROR(__xludf.DUMMYFUNCTION("""COMPUTED_VALUE"""),"Cartouche")</f>
        <v>Cartouche</v>
      </c>
      <c r="D280" s="2005" t="str">
        <f>IFERROR(__xludf.DUMMYFUNCTION("""COMPUTED_VALUE"""),"N°364 cyan")</f>
        <v>N°364 cyan</v>
      </c>
      <c r="E280" s="2005" t="str">
        <f>IFERROR(__xludf.DUMMYFUNCTION("""COMPUTED_VALUE"""),"HP")</f>
        <v>HP</v>
      </c>
      <c r="F280" s="2005" t="str">
        <f>IFERROR(__xludf.DUMMYFUNCTION("""COMPUTED_VALUE"""),"C")</f>
        <v>C</v>
      </c>
      <c r="G280" s="2005" t="str">
        <f>IFERROR(__xludf.DUMMYFUNCTION("""COMPUTED_VALUE"""),"FR")</f>
        <v>FR</v>
      </c>
      <c r="H280" s="2005">
        <f>IFERROR(__xludf.DUMMYFUNCTION("""COMPUTED_VALUE"""),16.99)</f>
        <v>16.99</v>
      </c>
      <c r="I280" s="2005">
        <f>IFERROR(__xludf.DUMMYFUNCTION("""COMPUTED_VALUE"""),16.99)</f>
        <v>16.99</v>
      </c>
      <c r="BD280" s="2006"/>
      <c r="LL280" s="2007"/>
      <c r="LM280" s="2007"/>
      <c r="MX280" s="2008"/>
      <c r="ND280" s="2008"/>
    </row>
    <row r="281">
      <c r="A281" s="2005">
        <f>IFERROR(__xludf.DUMMYFUNCTION("""COMPUTED_VALUE"""),811502.0)</f>
        <v>811502</v>
      </c>
      <c r="B281" s="2005">
        <f>IFERROR(__xludf.DUMMYFUNCTION("""COMPUTED_VALUE"""),2403005.0)</f>
        <v>2403005</v>
      </c>
      <c r="C281" s="2005" t="str">
        <f>IFERROR(__xludf.DUMMYFUNCTION("""COMPUTED_VALUE"""),"Cartouche")</f>
        <v>Cartouche</v>
      </c>
      <c r="D281" s="2005" t="str">
        <f>IFERROR(__xludf.DUMMYFUNCTION("""COMPUTED_VALUE"""),"N°364 magenta")</f>
        <v>N°364 magenta</v>
      </c>
      <c r="E281" s="2005" t="str">
        <f>IFERROR(__xludf.DUMMYFUNCTION("""COMPUTED_VALUE"""),"HP")</f>
        <v>HP</v>
      </c>
      <c r="F281" s="2005" t="str">
        <f>IFERROR(__xludf.DUMMYFUNCTION("""COMPUTED_VALUE"""),"C")</f>
        <v>C</v>
      </c>
      <c r="G281" s="2005" t="str">
        <f>IFERROR(__xludf.DUMMYFUNCTION("""COMPUTED_VALUE"""),"FI")</f>
        <v>FI</v>
      </c>
      <c r="H281" s="2005">
        <f>IFERROR(__xludf.DUMMYFUNCTION("""COMPUTED_VALUE"""),16.99)</f>
        <v>16.99</v>
      </c>
      <c r="I281" s="2005">
        <f>IFERROR(__xludf.DUMMYFUNCTION("""COMPUTED_VALUE"""),16.99)</f>
        <v>16.99</v>
      </c>
      <c r="BD281" s="2006"/>
      <c r="LL281" s="2007"/>
      <c r="LM281" s="2007"/>
      <c r="MX281" s="2007"/>
      <c r="ND281" s="2007"/>
    </row>
    <row r="282">
      <c r="A282" s="2005">
        <f>IFERROR(__xludf.DUMMYFUNCTION("""COMPUTED_VALUE"""),811503.0)</f>
        <v>811503</v>
      </c>
      <c r="B282" s="2005">
        <f>IFERROR(__xludf.DUMMYFUNCTION("""COMPUTED_VALUE"""),2403005.0)</f>
        <v>2403005</v>
      </c>
      <c r="C282" s="2005" t="str">
        <f>IFERROR(__xludf.DUMMYFUNCTION("""COMPUTED_VALUE"""),"Cartouche")</f>
        <v>Cartouche</v>
      </c>
      <c r="D282" s="2005" t="str">
        <f>IFERROR(__xludf.DUMMYFUNCTION("""COMPUTED_VALUE"""),"N°364 jaune")</f>
        <v>N°364 jaune</v>
      </c>
      <c r="E282" s="2005" t="str">
        <f>IFERROR(__xludf.DUMMYFUNCTION("""COMPUTED_VALUE"""),"HP")</f>
        <v>HP</v>
      </c>
      <c r="F282" s="2005" t="str">
        <f>IFERROR(__xludf.DUMMYFUNCTION("""COMPUTED_VALUE"""),"C")</f>
        <v>C</v>
      </c>
      <c r="G282" s="2005" t="str">
        <f>IFERROR(__xludf.DUMMYFUNCTION("""COMPUTED_VALUE"""),"FI")</f>
        <v>FI</v>
      </c>
      <c r="H282" s="2005">
        <f>IFERROR(__xludf.DUMMYFUNCTION("""COMPUTED_VALUE"""),16.99)</f>
        <v>16.99</v>
      </c>
      <c r="I282" s="2005">
        <f>IFERROR(__xludf.DUMMYFUNCTION("""COMPUTED_VALUE"""),16.99)</f>
        <v>16.99</v>
      </c>
      <c r="BD282" s="2006"/>
      <c r="LL282" s="2007"/>
      <c r="LM282" s="2007"/>
      <c r="MX282" s="2007"/>
      <c r="ND282" s="2007"/>
    </row>
    <row r="283">
      <c r="A283" s="2005">
        <f>IFERROR(__xludf.DUMMYFUNCTION("""COMPUTED_VALUE"""),811768.0)</f>
        <v>811768</v>
      </c>
      <c r="B283" s="2005">
        <f>IFERROR(__xludf.DUMMYFUNCTION("""COMPUTED_VALUE"""),2403005.0)</f>
        <v>2403005</v>
      </c>
      <c r="C283" s="2005" t="str">
        <f>IFERROR(__xludf.DUMMYFUNCTION("""COMPUTED_VALUE"""),"Cartouche")</f>
        <v>Cartouche</v>
      </c>
      <c r="D283" s="2005" t="str">
        <f>IFERROR(__xludf.DUMMYFUNCTION("""COMPUTED_VALUE"""),"N°300 noire")</f>
        <v>N°300 noire</v>
      </c>
      <c r="E283" s="2005" t="str">
        <f>IFERROR(__xludf.DUMMYFUNCTION("""COMPUTED_VALUE"""),"HP")</f>
        <v>HP</v>
      </c>
      <c r="F283" s="2005" t="str">
        <f>IFERROR(__xludf.DUMMYFUNCTION("""COMPUTED_VALUE"""),"A")</f>
        <v>A</v>
      </c>
      <c r="G283" s="2005" t="str">
        <f>IFERROR(__xludf.DUMMYFUNCTION("""COMPUTED_VALUE"""),"NN")</f>
        <v>NN</v>
      </c>
      <c r="H283" s="2005">
        <f>IFERROR(__xludf.DUMMYFUNCTION("""COMPUTED_VALUE"""),18.99)</f>
        <v>18.99</v>
      </c>
      <c r="I283" s="2005">
        <f>IFERROR(__xludf.DUMMYFUNCTION("""COMPUTED_VALUE"""),18.99)</f>
        <v>18.99</v>
      </c>
      <c r="BD283" s="2006"/>
      <c r="LL283" s="2007"/>
      <c r="LM283" s="2007"/>
      <c r="MX283" s="2007"/>
      <c r="ND283" s="2007"/>
    </row>
    <row r="284">
      <c r="A284" s="2005">
        <f>IFERROR(__xludf.DUMMYFUNCTION("""COMPUTED_VALUE"""),811772.0)</f>
        <v>811772</v>
      </c>
      <c r="B284" s="2005">
        <f>IFERROR(__xludf.DUMMYFUNCTION("""COMPUTED_VALUE"""),2403005.0)</f>
        <v>2403005</v>
      </c>
      <c r="C284" s="2005" t="str">
        <f>IFERROR(__xludf.DUMMYFUNCTION("""COMPUTED_VALUE"""),"Cartouche")</f>
        <v>Cartouche</v>
      </c>
      <c r="D284" s="2005" t="str">
        <f>IFERROR(__xludf.DUMMYFUNCTION("""COMPUTED_VALUE"""),"N°300 couleurs")</f>
        <v>N°300 couleurs</v>
      </c>
      <c r="E284" s="2005" t="str">
        <f>IFERROR(__xludf.DUMMYFUNCTION("""COMPUTED_VALUE"""),"HP")</f>
        <v>HP</v>
      </c>
      <c r="F284" s="2005" t="str">
        <f>IFERROR(__xludf.DUMMYFUNCTION("""COMPUTED_VALUE"""),"C")</f>
        <v>C</v>
      </c>
      <c r="G284" s="2005" t="str">
        <f>IFERROR(__xludf.DUMMYFUNCTION("""COMPUTED_VALUE"""),"NN")</f>
        <v>NN</v>
      </c>
      <c r="H284" s="2005">
        <f>IFERROR(__xludf.DUMMYFUNCTION("""COMPUTED_VALUE"""),33.99)</f>
        <v>33.99</v>
      </c>
      <c r="I284" s="2005">
        <f>IFERROR(__xludf.DUMMYFUNCTION("""COMPUTED_VALUE"""),33.99)</f>
        <v>33.99</v>
      </c>
      <c r="BD284" s="2006"/>
      <c r="LL284" s="2007"/>
      <c r="LM284" s="2007"/>
      <c r="MX284" s="2007"/>
      <c r="ND284" s="2007"/>
    </row>
    <row r="285">
      <c r="A285" s="2005">
        <f>IFERROR(__xludf.DUMMYFUNCTION("""COMPUTED_VALUE"""),813710.0)</f>
        <v>813710</v>
      </c>
      <c r="B285" s="2005">
        <f>IFERROR(__xludf.DUMMYFUNCTION("""COMPUTED_VALUE"""),2403005.0)</f>
        <v>2403005</v>
      </c>
      <c r="C285" s="2005" t="str">
        <f>IFERROR(__xludf.DUMMYFUNCTION("""COMPUTED_VALUE"""),"Cartouche")</f>
        <v>Cartouche</v>
      </c>
      <c r="D285" s="2005" t="str">
        <f>IFERROR(__xludf.DUMMYFUNCTION("""COMPUTED_VALUE"""),"N°364 noire photo")</f>
        <v>N°364 noire photo</v>
      </c>
      <c r="E285" s="2005" t="str">
        <f>IFERROR(__xludf.DUMMYFUNCTION("""COMPUTED_VALUE"""),"HP")</f>
        <v>HP</v>
      </c>
      <c r="F285" s="2005" t="str">
        <f>IFERROR(__xludf.DUMMYFUNCTION("""COMPUTED_VALUE"""),"C")</f>
        <v>C</v>
      </c>
      <c r="G285" s="2005" t="str">
        <f>IFERROR(__xludf.DUMMYFUNCTION("""COMPUTED_VALUE"""),"FF")</f>
        <v>FF</v>
      </c>
      <c r="H285" s="2005">
        <f>IFERROR(__xludf.DUMMYFUNCTION("""COMPUTED_VALUE"""),17.99)</f>
        <v>17.99</v>
      </c>
      <c r="I285" s="2005">
        <f>IFERROR(__xludf.DUMMYFUNCTION("""COMPUTED_VALUE"""),17.99)</f>
        <v>17.99</v>
      </c>
      <c r="BD285" s="2006"/>
      <c r="LL285" s="2007"/>
      <c r="LM285" s="2007"/>
      <c r="MX285" s="2007"/>
      <c r="ND285" s="2007"/>
    </row>
    <row r="286">
      <c r="A286" s="2005">
        <f>IFERROR(__xludf.DUMMYFUNCTION("""COMPUTED_VALUE"""),813756.0)</f>
        <v>813756</v>
      </c>
      <c r="B286" s="2005">
        <f>IFERROR(__xludf.DUMMYFUNCTION("""COMPUTED_VALUE"""),2403005.0)</f>
        <v>2403005</v>
      </c>
      <c r="C286" s="2005" t="str">
        <f>IFERROR(__xludf.DUMMYFUNCTION("""COMPUTED_VALUE"""),"Cartouche")</f>
        <v>Cartouche</v>
      </c>
      <c r="D286" s="2005" t="str">
        <f>IFERROR(__xludf.DUMMYFUNCTION("""COMPUTED_VALUE"""),"PGI-520 Noire")</f>
        <v>PGI-520 Noire</v>
      </c>
      <c r="E286" s="2005" t="str">
        <f>IFERROR(__xludf.DUMMYFUNCTION("""COMPUTED_VALUE"""),"CANON")</f>
        <v>CANON</v>
      </c>
      <c r="F286" s="2005" t="str">
        <f>IFERROR(__xludf.DUMMYFUNCTION("""COMPUTED_VALUE"""),"B")</f>
        <v>B</v>
      </c>
      <c r="G286" s="2005" t="str">
        <f>IFERROR(__xludf.DUMMYFUNCTION("""COMPUTED_VALUE"""),"AC")</f>
        <v>AC</v>
      </c>
      <c r="H286" s="2005">
        <f>IFERROR(__xludf.DUMMYFUNCTION("""COMPUTED_VALUE"""),17.5)</f>
        <v>17.5</v>
      </c>
      <c r="I286" s="2005">
        <f>IFERROR(__xludf.DUMMYFUNCTION("""COMPUTED_VALUE"""),17.5)</f>
        <v>17.5</v>
      </c>
      <c r="BD286" s="2006"/>
      <c r="LL286" s="2007"/>
      <c r="LM286" s="2007"/>
      <c r="MX286" s="2007"/>
      <c r="ND286" s="2007"/>
    </row>
    <row r="287">
      <c r="A287" s="2005">
        <f>IFERROR(__xludf.DUMMYFUNCTION("""COMPUTED_VALUE"""),813757.0)</f>
        <v>813757</v>
      </c>
      <c r="B287" s="2005">
        <f>IFERROR(__xludf.DUMMYFUNCTION("""COMPUTED_VALUE"""),2403005.0)</f>
        <v>2403005</v>
      </c>
      <c r="C287" s="2005" t="str">
        <f>IFERROR(__xludf.DUMMYFUNCTION("""COMPUTED_VALUE"""),"Cartouche")</f>
        <v>Cartouche</v>
      </c>
      <c r="D287" s="2005" t="str">
        <f>IFERROR(__xludf.DUMMYFUNCTION("""COMPUTED_VALUE"""),"CLI-521 Noire photo")</f>
        <v>CLI-521 Noire photo</v>
      </c>
      <c r="E287" s="2005" t="str">
        <f>IFERROR(__xludf.DUMMYFUNCTION("""COMPUTED_VALUE"""),"CANON")</f>
        <v>CANON</v>
      </c>
      <c r="F287" s="2005" t="str">
        <f>IFERROR(__xludf.DUMMYFUNCTION("""COMPUTED_VALUE"""),"B")</f>
        <v>B</v>
      </c>
      <c r="G287" s="2005" t="str">
        <f>IFERROR(__xludf.DUMMYFUNCTION("""COMPUTED_VALUE"""),"AC")</f>
        <v>AC</v>
      </c>
      <c r="H287" s="2005">
        <f>IFERROR(__xludf.DUMMYFUNCTION("""COMPUTED_VALUE"""),15.5)</f>
        <v>15.5</v>
      </c>
      <c r="I287" s="2005">
        <f>IFERROR(__xludf.DUMMYFUNCTION("""COMPUTED_VALUE"""),15.5)</f>
        <v>15.5</v>
      </c>
      <c r="BD287" s="2006"/>
      <c r="LL287" s="2007"/>
      <c r="LM287" s="2007"/>
      <c r="MX287" s="2007"/>
      <c r="ND287" s="2007"/>
    </row>
    <row r="288">
      <c r="A288" s="2005">
        <f>IFERROR(__xludf.DUMMYFUNCTION("""COMPUTED_VALUE"""),813768.0)</f>
        <v>813768</v>
      </c>
      <c r="B288" s="2005">
        <f>IFERROR(__xludf.DUMMYFUNCTION("""COMPUTED_VALUE"""),2403005.0)</f>
        <v>2403005</v>
      </c>
      <c r="C288" s="2005" t="str">
        <f>IFERROR(__xludf.DUMMYFUNCTION("""COMPUTED_VALUE"""),"Cartouche")</f>
        <v>Cartouche</v>
      </c>
      <c r="D288" s="2005" t="str">
        <f>IFERROR(__xludf.DUMMYFUNCTION("""COMPUTED_VALUE"""),"CLI521C Cyan")</f>
        <v>CLI521C Cyan</v>
      </c>
      <c r="E288" s="2005" t="str">
        <f>IFERROR(__xludf.DUMMYFUNCTION("""COMPUTED_VALUE"""),"CANON")</f>
        <v>CANON</v>
      </c>
      <c r="F288" s="2005" t="str">
        <f>IFERROR(__xludf.DUMMYFUNCTION("""COMPUTED_VALUE"""),"H")</f>
        <v>H</v>
      </c>
      <c r="G288" s="2005" t="str">
        <f>IFERROR(__xludf.DUMMYFUNCTION("""COMPUTED_VALUE"""),"AC")</f>
        <v>AC</v>
      </c>
      <c r="H288" s="2005">
        <f>IFERROR(__xludf.DUMMYFUNCTION("""COMPUTED_VALUE"""),14.99)</f>
        <v>14.99</v>
      </c>
      <c r="I288" s="2005">
        <f>IFERROR(__xludf.DUMMYFUNCTION("""COMPUTED_VALUE"""),14.99)</f>
        <v>14.99</v>
      </c>
      <c r="BD288" s="2006"/>
      <c r="LL288" s="2007"/>
      <c r="LM288" s="2007"/>
      <c r="MX288" s="2007"/>
      <c r="ND288" s="2007"/>
    </row>
    <row r="289">
      <c r="A289" s="2005">
        <f>IFERROR(__xludf.DUMMYFUNCTION("""COMPUTED_VALUE"""),813769.0)</f>
        <v>813769</v>
      </c>
      <c r="B289" s="2005">
        <f>IFERROR(__xludf.DUMMYFUNCTION("""COMPUTED_VALUE"""),2403005.0)</f>
        <v>2403005</v>
      </c>
      <c r="C289" s="2005" t="str">
        <f>IFERROR(__xludf.DUMMYFUNCTION("""COMPUTED_VALUE"""),"Cartouche")</f>
        <v>Cartouche</v>
      </c>
      <c r="D289" s="2005" t="str">
        <f>IFERROR(__xludf.DUMMYFUNCTION("""COMPUTED_VALUE"""),"CLI-521M Magenta")</f>
        <v>CLI-521M Magenta</v>
      </c>
      <c r="E289" s="2005" t="str">
        <f>IFERROR(__xludf.DUMMYFUNCTION("""COMPUTED_VALUE"""),"CANON")</f>
        <v>CANON</v>
      </c>
      <c r="F289" s="2005" t="str">
        <f>IFERROR(__xludf.DUMMYFUNCTION("""COMPUTED_VALUE"""),"H")</f>
        <v>H</v>
      </c>
      <c r="G289" s="2005" t="str">
        <f>IFERROR(__xludf.DUMMYFUNCTION("""COMPUTED_VALUE"""),"FF")</f>
        <v>FF</v>
      </c>
      <c r="H289" s="2005">
        <f>IFERROR(__xludf.DUMMYFUNCTION("""COMPUTED_VALUE"""),14.99)</f>
        <v>14.99</v>
      </c>
      <c r="I289" s="2005">
        <f>IFERROR(__xludf.DUMMYFUNCTION("""COMPUTED_VALUE"""),14.99)</f>
        <v>14.99</v>
      </c>
      <c r="BD289" s="2006"/>
      <c r="LL289" s="2007"/>
      <c r="LM289" s="2007"/>
      <c r="MX289" s="2007"/>
      <c r="ND289" s="2007"/>
    </row>
    <row r="290">
      <c r="A290" s="2005">
        <f>IFERROR(__xludf.DUMMYFUNCTION("""COMPUTED_VALUE"""),813770.0)</f>
        <v>813770</v>
      </c>
      <c r="B290" s="2005">
        <f>IFERROR(__xludf.DUMMYFUNCTION("""COMPUTED_VALUE"""),2403005.0)</f>
        <v>2403005</v>
      </c>
      <c r="C290" s="2005" t="str">
        <f>IFERROR(__xludf.DUMMYFUNCTION("""COMPUTED_VALUE"""),"Cartouche")</f>
        <v>Cartouche</v>
      </c>
      <c r="D290" s="2005" t="str">
        <f>IFERROR(__xludf.DUMMYFUNCTION("""COMPUTED_VALUE"""),"CLI-521Y Jaune")</f>
        <v>CLI-521Y Jaune</v>
      </c>
      <c r="E290" s="2005" t="str">
        <f>IFERROR(__xludf.DUMMYFUNCTION("""COMPUTED_VALUE"""),"CANON")</f>
        <v>CANON</v>
      </c>
      <c r="F290" s="2005" t="str">
        <f>IFERROR(__xludf.DUMMYFUNCTION("""COMPUTED_VALUE"""),"H")</f>
        <v>H</v>
      </c>
      <c r="G290" s="2005" t="str">
        <f>IFERROR(__xludf.DUMMYFUNCTION("""COMPUTED_VALUE"""),"FF")</f>
        <v>FF</v>
      </c>
      <c r="H290" s="2005">
        <f>IFERROR(__xludf.DUMMYFUNCTION("""COMPUTED_VALUE"""),14.99)</f>
        <v>14.99</v>
      </c>
      <c r="I290" s="2005">
        <f>IFERROR(__xludf.DUMMYFUNCTION("""COMPUTED_VALUE"""),14.99)</f>
        <v>14.99</v>
      </c>
      <c r="BD290" s="2006"/>
      <c r="LL290" s="2007"/>
      <c r="LM290" s="2007"/>
      <c r="MX290" s="2007"/>
      <c r="ND290" s="2007"/>
    </row>
    <row r="291">
      <c r="A291" s="2005">
        <f>IFERROR(__xludf.DUMMYFUNCTION("""COMPUTED_VALUE"""),813772.0)</f>
        <v>813772</v>
      </c>
      <c r="B291" s="2005">
        <f>IFERROR(__xludf.DUMMYFUNCTION("""COMPUTED_VALUE"""),2403005.0)</f>
        <v>2403005</v>
      </c>
      <c r="C291" s="2005" t="str">
        <f>IFERROR(__xludf.DUMMYFUNCTION("""COMPUTED_VALUE"""),"Cartouche")</f>
        <v>Cartouche</v>
      </c>
      <c r="D291" s="2005" t="str">
        <f>IFERROR(__xludf.DUMMYFUNCTION("""COMPUTED_VALUE"""),"CLI-521GY")</f>
        <v>CLI-521GY</v>
      </c>
      <c r="E291" s="2005" t="str">
        <f>IFERROR(__xludf.DUMMYFUNCTION("""COMPUTED_VALUE"""),"CANON")</f>
        <v>CANON</v>
      </c>
      <c r="F291" s="2005" t="str">
        <f>IFERROR(__xludf.DUMMYFUNCTION("""COMPUTED_VALUE"""),"H")</f>
        <v>H</v>
      </c>
      <c r="G291" s="2005" t="str">
        <f>IFERROR(__xludf.DUMMYFUNCTION("""COMPUTED_VALUE"""),"NN")</f>
        <v>NN</v>
      </c>
      <c r="H291" s="2005">
        <f>IFERROR(__xludf.DUMMYFUNCTION("""COMPUTED_VALUE"""),14.99)</f>
        <v>14.99</v>
      </c>
      <c r="I291" s="2005">
        <f>IFERROR(__xludf.DUMMYFUNCTION("""COMPUTED_VALUE"""),14.99)</f>
        <v>14.99</v>
      </c>
      <c r="BD291" s="2006"/>
      <c r="LL291" s="2007"/>
      <c r="LM291" s="2007"/>
      <c r="MX291" s="2007"/>
      <c r="ND291" s="2007"/>
    </row>
    <row r="292">
      <c r="A292" s="2005">
        <f>IFERROR(__xludf.DUMMYFUNCTION("""COMPUTED_VALUE"""),813889.0)</f>
        <v>813889</v>
      </c>
      <c r="B292" s="2005">
        <f>IFERROR(__xludf.DUMMYFUNCTION("""COMPUTED_VALUE"""),2403010.0)</f>
        <v>2403010</v>
      </c>
      <c r="C292" s="2005" t="str">
        <f>IFERROR(__xludf.DUMMYFUNCTION("""COMPUTED_VALUE"""),"Toner")</f>
        <v>Toner</v>
      </c>
      <c r="D292" s="2005" t="str">
        <f>IFERROR(__xludf.DUMMYFUNCTION("""COMPUTED_VALUE"""),"TN2110")</f>
        <v>TN2110</v>
      </c>
      <c r="E292" s="2005" t="str">
        <f>IFERROR(__xludf.DUMMYFUNCTION("""COMPUTED_VALUE"""),"BROTHER")</f>
        <v>BROTHER</v>
      </c>
      <c r="F292" s="2005" t="str">
        <f>IFERROR(__xludf.DUMMYFUNCTION("""COMPUTED_VALUE"""),"H")</f>
        <v>H</v>
      </c>
      <c r="G292" s="2005" t="str">
        <f>IFERROR(__xludf.DUMMYFUNCTION("""COMPUTED_VALUE"""),"NN")</f>
        <v>NN</v>
      </c>
      <c r="H292" s="2005">
        <f>IFERROR(__xludf.DUMMYFUNCTION("""COMPUTED_VALUE"""),67.99)</f>
        <v>67.99</v>
      </c>
      <c r="I292" s="2005">
        <f>IFERROR(__xludf.DUMMYFUNCTION("""COMPUTED_VALUE"""),67.99)</f>
        <v>67.99</v>
      </c>
      <c r="BD292" s="2006"/>
      <c r="LL292" s="2007"/>
      <c r="LM292" s="2007"/>
      <c r="MX292" s="2007"/>
      <c r="ND292" s="2007"/>
    </row>
    <row r="293">
      <c r="A293" s="2005">
        <f>IFERROR(__xludf.DUMMYFUNCTION("""COMPUTED_VALUE"""),815251.0)</f>
        <v>815251</v>
      </c>
      <c r="B293" s="2005">
        <f>IFERROR(__xludf.DUMMYFUNCTION("""COMPUTED_VALUE"""),2403010.0)</f>
        <v>2403010</v>
      </c>
      <c r="C293" s="2005" t="str">
        <f>IFERROR(__xludf.DUMMYFUNCTION("""COMPUTED_VALUE"""),"Toner")</f>
        <v>Toner</v>
      </c>
      <c r="D293" s="2005" t="str">
        <f>IFERROR(__xludf.DUMMYFUNCTION("""COMPUTED_VALUE"""),"CB540A noir")</f>
        <v>CB540A noir</v>
      </c>
      <c r="E293" s="2005" t="str">
        <f>IFERROR(__xludf.DUMMYFUNCTION("""COMPUTED_VALUE"""),"HP")</f>
        <v>HP</v>
      </c>
      <c r="F293" s="2005" t="str">
        <f>IFERROR(__xludf.DUMMYFUNCTION("""COMPUTED_VALUE"""),"H")</f>
        <v>H</v>
      </c>
      <c r="G293" s="2005" t="str">
        <f>IFERROR(__xludf.DUMMYFUNCTION("""COMPUTED_VALUE"""),"NN")</f>
        <v>NN</v>
      </c>
      <c r="H293" s="2005">
        <f>IFERROR(__xludf.DUMMYFUNCTION("""COMPUTED_VALUE"""),77.99)</f>
        <v>77.99</v>
      </c>
      <c r="I293" s="2005">
        <f>IFERROR(__xludf.DUMMYFUNCTION("""COMPUTED_VALUE"""),77.99)</f>
        <v>77.99</v>
      </c>
      <c r="BD293" s="2006"/>
      <c r="LL293" s="2007"/>
      <c r="LM293" s="2007"/>
      <c r="MX293" s="2008"/>
      <c r="ND293" s="2007"/>
    </row>
    <row r="294">
      <c r="A294" s="2005">
        <f>IFERROR(__xludf.DUMMYFUNCTION("""COMPUTED_VALUE"""),815252.0)</f>
        <v>815252</v>
      </c>
      <c r="B294" s="2005">
        <f>IFERROR(__xludf.DUMMYFUNCTION("""COMPUTED_VALUE"""),2403010.0)</f>
        <v>2403010</v>
      </c>
      <c r="C294" s="2005" t="str">
        <f>IFERROR(__xludf.DUMMYFUNCTION("""COMPUTED_VALUE"""),"Toner")</f>
        <v>Toner</v>
      </c>
      <c r="D294" s="2005" t="str">
        <f>IFERROR(__xludf.DUMMYFUNCTION("""COMPUTED_VALUE"""),"CB541A cyan")</f>
        <v>CB541A cyan</v>
      </c>
      <c r="E294" s="2005" t="str">
        <f>IFERROR(__xludf.DUMMYFUNCTION("""COMPUTED_VALUE"""),"HP")</f>
        <v>HP</v>
      </c>
      <c r="F294" s="2005" t="str">
        <f>IFERROR(__xludf.DUMMYFUNCTION("""COMPUTED_VALUE"""),"H")</f>
        <v>H</v>
      </c>
      <c r="G294" s="2005" t="str">
        <f>IFERROR(__xludf.DUMMYFUNCTION("""COMPUTED_VALUE"""),"NN")</f>
        <v>NN</v>
      </c>
      <c r="H294" s="2005">
        <f>IFERROR(__xludf.DUMMYFUNCTION("""COMPUTED_VALUE"""),71.99)</f>
        <v>71.99</v>
      </c>
      <c r="I294" s="2005">
        <f>IFERROR(__xludf.DUMMYFUNCTION("""COMPUTED_VALUE"""),71.99)</f>
        <v>71.99</v>
      </c>
      <c r="BD294" s="2006"/>
      <c r="LL294" s="2007"/>
      <c r="LM294" s="2007"/>
      <c r="MX294" s="2008"/>
      <c r="ND294" s="2007"/>
    </row>
    <row r="295">
      <c r="A295" s="2005">
        <f>IFERROR(__xludf.DUMMYFUNCTION("""COMPUTED_VALUE"""),815253.0)</f>
        <v>815253</v>
      </c>
      <c r="B295" s="2005">
        <f>IFERROR(__xludf.DUMMYFUNCTION("""COMPUTED_VALUE"""),2403010.0)</f>
        <v>2403010</v>
      </c>
      <c r="C295" s="2005" t="str">
        <f>IFERROR(__xludf.DUMMYFUNCTION("""COMPUTED_VALUE"""),"Toner")</f>
        <v>Toner</v>
      </c>
      <c r="D295" s="2005" t="str">
        <f>IFERROR(__xludf.DUMMYFUNCTION("""COMPUTED_VALUE"""),"CB542A jaune")</f>
        <v>CB542A jaune</v>
      </c>
      <c r="E295" s="2005" t="str">
        <f>IFERROR(__xludf.DUMMYFUNCTION("""COMPUTED_VALUE"""),"HP")</f>
        <v>HP</v>
      </c>
      <c r="F295" s="2005" t="str">
        <f>IFERROR(__xludf.DUMMYFUNCTION("""COMPUTED_VALUE"""),"H")</f>
        <v>H</v>
      </c>
      <c r="G295" s="2005" t="str">
        <f>IFERROR(__xludf.DUMMYFUNCTION("""COMPUTED_VALUE"""),"NN")</f>
        <v>NN</v>
      </c>
      <c r="H295" s="2005">
        <f>IFERROR(__xludf.DUMMYFUNCTION("""COMPUTED_VALUE"""),71.99)</f>
        <v>71.99</v>
      </c>
      <c r="I295" s="2005">
        <f>IFERROR(__xludf.DUMMYFUNCTION("""COMPUTED_VALUE"""),71.99)</f>
        <v>71.99</v>
      </c>
      <c r="BD295" s="2006"/>
      <c r="LL295" s="2007"/>
      <c r="LM295" s="2007"/>
      <c r="MX295" s="2007"/>
      <c r="ND295" s="2007"/>
    </row>
    <row r="296">
      <c r="A296" s="2005">
        <f>IFERROR(__xludf.DUMMYFUNCTION("""COMPUTED_VALUE"""),815254.0)</f>
        <v>815254</v>
      </c>
      <c r="B296" s="2005">
        <f>IFERROR(__xludf.DUMMYFUNCTION("""COMPUTED_VALUE"""),2403010.0)</f>
        <v>2403010</v>
      </c>
      <c r="C296" s="2005" t="str">
        <f>IFERROR(__xludf.DUMMYFUNCTION("""COMPUTED_VALUE"""),"Toner")</f>
        <v>Toner</v>
      </c>
      <c r="D296" s="2005" t="str">
        <f>IFERROR(__xludf.DUMMYFUNCTION("""COMPUTED_VALUE"""),"CB543A magenta")</f>
        <v>CB543A magenta</v>
      </c>
      <c r="E296" s="2005" t="str">
        <f>IFERROR(__xludf.DUMMYFUNCTION("""COMPUTED_VALUE"""),"HP")</f>
        <v>HP</v>
      </c>
      <c r="F296" s="2005" t="str">
        <f>IFERROR(__xludf.DUMMYFUNCTION("""COMPUTED_VALUE"""),"H")</f>
        <v>H</v>
      </c>
      <c r="G296" s="2005" t="str">
        <f>IFERROR(__xludf.DUMMYFUNCTION("""COMPUTED_VALUE"""),"NN")</f>
        <v>NN</v>
      </c>
      <c r="H296" s="2005">
        <f>IFERROR(__xludf.DUMMYFUNCTION("""COMPUTED_VALUE"""),71.99)</f>
        <v>71.99</v>
      </c>
      <c r="I296" s="2005">
        <f>IFERROR(__xludf.DUMMYFUNCTION("""COMPUTED_VALUE"""),71.99)</f>
        <v>71.99</v>
      </c>
      <c r="BD296" s="2006"/>
      <c r="LL296" s="2007"/>
      <c r="LM296" s="2007"/>
      <c r="MX296" s="2007"/>
      <c r="ND296" s="2007"/>
    </row>
    <row r="297">
      <c r="A297" s="2005">
        <f>IFERROR(__xludf.DUMMYFUNCTION("""COMPUTED_VALUE"""),815971.0)</f>
        <v>815971</v>
      </c>
      <c r="B297" s="2005">
        <f>IFERROR(__xludf.DUMMYFUNCTION("""COMPUTED_VALUE"""),2401015.0)</f>
        <v>2401015</v>
      </c>
      <c r="C297" s="2005" t="str">
        <f>IFERROR(__xludf.DUMMYFUNCTION("""COMPUTED_VALUE"""),"DVD")</f>
        <v>DVD</v>
      </c>
      <c r="D297" s="2005" t="str">
        <f>IFERROR(__xludf.DUMMYFUNCTION("""COMPUTED_VALUE"""),"DVD+RW 4.7GB 10PK P10 Spindle 4x")</f>
        <v>DVD+RW 4.7GB 10PK P10 Spindle 4x</v>
      </c>
      <c r="E297" s="2005" t="str">
        <f>IFERROR(__xludf.DUMMYFUNCTION("""COMPUTED_VALUE"""),"VERBATIM")</f>
        <v>VERBATIM</v>
      </c>
      <c r="F297" s="2005" t="str">
        <f>IFERROR(__xludf.DUMMYFUNCTION("""COMPUTED_VALUE"""),"H")</f>
        <v>H</v>
      </c>
      <c r="G297" s="2005" t="str">
        <f>IFERROR(__xludf.DUMMYFUNCTION("""COMPUTED_VALUE"""),"AC")</f>
        <v>AC</v>
      </c>
      <c r="H297" s="2005">
        <f>IFERROR(__xludf.DUMMYFUNCTION("""COMPUTED_VALUE"""),29.99)</f>
        <v>29.99</v>
      </c>
      <c r="I297" s="2005">
        <f>IFERROR(__xludf.DUMMYFUNCTION("""COMPUTED_VALUE"""),29.99)</f>
        <v>29.99</v>
      </c>
      <c r="BD297" s="2006"/>
      <c r="LL297" s="2007"/>
      <c r="LM297" s="2007"/>
      <c r="MX297" s="2007"/>
      <c r="ND297" s="2007"/>
    </row>
    <row r="298">
      <c r="A298" s="2005">
        <f>IFERROR(__xludf.DUMMYFUNCTION("""COMPUTED_VALUE"""),815998.0)</f>
        <v>815998</v>
      </c>
      <c r="B298" s="2005">
        <f>IFERROR(__xludf.DUMMYFUNCTION("""COMPUTED_VALUE"""),2401015.0)</f>
        <v>2401015</v>
      </c>
      <c r="C298" s="2005" t="str">
        <f>IFERROR(__xludf.DUMMYFUNCTION("""COMPUTED_VALUE"""),"DVD")</f>
        <v>DVD</v>
      </c>
      <c r="D298" s="2005" t="str">
        <f>IFERROR(__xludf.DUMMYFUNCTION("""COMPUTED_VALUE"""),"DVD-RW 4.7GB 10PK Spindle 4x")</f>
        <v>DVD-RW 4.7GB 10PK Spindle 4x</v>
      </c>
      <c r="E298" s="2005" t="str">
        <f>IFERROR(__xludf.DUMMYFUNCTION("""COMPUTED_VALUE"""),"VERBATIM")</f>
        <v>VERBATIM</v>
      </c>
      <c r="F298" s="2005" t="str">
        <f>IFERROR(__xludf.DUMMYFUNCTION("""COMPUTED_VALUE"""),"H")</f>
        <v>H</v>
      </c>
      <c r="G298" s="2005" t="str">
        <f>IFERROR(__xludf.DUMMYFUNCTION("""COMPUTED_VALUE"""),"AC")</f>
        <v>AC</v>
      </c>
      <c r="H298" s="2005">
        <f>IFERROR(__xludf.DUMMYFUNCTION("""COMPUTED_VALUE"""),30.99)</f>
        <v>30.99</v>
      </c>
      <c r="I298" s="2005">
        <f>IFERROR(__xludf.DUMMYFUNCTION("""COMPUTED_VALUE"""),30.99)</f>
        <v>30.99</v>
      </c>
      <c r="BD298" s="2006"/>
      <c r="LL298" s="2007"/>
      <c r="LM298" s="2007"/>
      <c r="MX298" s="2007"/>
      <c r="ND298" s="2007"/>
    </row>
    <row r="299">
      <c r="A299" s="2005">
        <f>IFERROR(__xludf.DUMMYFUNCTION("""COMPUTED_VALUE"""),817117.0)</f>
        <v>817117</v>
      </c>
      <c r="B299" s="2005">
        <f>IFERROR(__xludf.DUMMYFUNCTION("""COMPUTED_VALUE"""),2403005.0)</f>
        <v>2403005</v>
      </c>
      <c r="C299" s="2005" t="str">
        <f>IFERROR(__xludf.DUMMYFUNCTION("""COMPUTED_VALUE"""),"Cartouche")</f>
        <v>Cartouche</v>
      </c>
      <c r="D299" s="2005" t="str">
        <f>IFERROR(__xludf.DUMMYFUNCTION("""COMPUTED_VALUE"""),"N°364XL cyan")</f>
        <v>N°364XL cyan</v>
      </c>
      <c r="E299" s="2005" t="str">
        <f>IFERROR(__xludf.DUMMYFUNCTION("""COMPUTED_VALUE"""),"HP")</f>
        <v>HP</v>
      </c>
      <c r="F299" s="2005" t="str">
        <f>IFERROR(__xludf.DUMMYFUNCTION("""COMPUTED_VALUE"""),"C")</f>
        <v>C</v>
      </c>
      <c r="G299" s="2005" t="str">
        <f>IFERROR(__xludf.DUMMYFUNCTION("""COMPUTED_VALUE"""),"NN")</f>
        <v>NN</v>
      </c>
      <c r="H299" s="2005">
        <f>IFERROR(__xludf.DUMMYFUNCTION("""COMPUTED_VALUE"""),21.99)</f>
        <v>21.99</v>
      </c>
      <c r="I299" s="2005">
        <f>IFERROR(__xludf.DUMMYFUNCTION("""COMPUTED_VALUE"""),21.99)</f>
        <v>21.99</v>
      </c>
      <c r="BD299" s="2006"/>
      <c r="LL299" s="2007"/>
      <c r="LM299" s="2007"/>
      <c r="MX299" s="2007"/>
      <c r="ND299" s="2007"/>
    </row>
    <row r="300">
      <c r="A300" s="2005">
        <f>IFERROR(__xludf.DUMMYFUNCTION("""COMPUTED_VALUE"""),817208.0)</f>
        <v>817208</v>
      </c>
      <c r="B300" s="2005">
        <f>IFERROR(__xludf.DUMMYFUNCTION("""COMPUTED_VALUE"""),2403005.0)</f>
        <v>2403005</v>
      </c>
      <c r="C300" s="2005" t="str">
        <f>IFERROR(__xludf.DUMMYFUNCTION("""COMPUTED_VALUE"""),"Cartouche")</f>
        <v>Cartouche</v>
      </c>
      <c r="D300" s="2005" t="str">
        <f>IFERROR(__xludf.DUMMYFUNCTION("""COMPUTED_VALUE"""),"N°364XL magenta")</f>
        <v>N°364XL magenta</v>
      </c>
      <c r="E300" s="2005" t="str">
        <f>IFERROR(__xludf.DUMMYFUNCTION("""COMPUTED_VALUE"""),"HP")</f>
        <v>HP</v>
      </c>
      <c r="F300" s="2005" t="str">
        <f>IFERROR(__xludf.DUMMYFUNCTION("""COMPUTED_VALUE"""),"C")</f>
        <v>C</v>
      </c>
      <c r="G300" s="2005" t="str">
        <f>IFERROR(__xludf.DUMMYFUNCTION("""COMPUTED_VALUE"""),"NN")</f>
        <v>NN</v>
      </c>
      <c r="H300" s="2005">
        <f>IFERROR(__xludf.DUMMYFUNCTION("""COMPUTED_VALUE"""),21.99)</f>
        <v>21.99</v>
      </c>
      <c r="I300" s="2005">
        <f>IFERROR(__xludf.DUMMYFUNCTION("""COMPUTED_VALUE"""),21.99)</f>
        <v>21.99</v>
      </c>
      <c r="BD300" s="2006"/>
      <c r="LL300" s="2007"/>
      <c r="LM300" s="2007"/>
      <c r="MX300" s="2007"/>
      <c r="ND300" s="2007"/>
    </row>
    <row r="301">
      <c r="A301" s="2005">
        <f>IFERROR(__xludf.DUMMYFUNCTION("""COMPUTED_VALUE"""),817209.0)</f>
        <v>817209</v>
      </c>
      <c r="B301" s="2005">
        <f>IFERROR(__xludf.DUMMYFUNCTION("""COMPUTED_VALUE"""),2403005.0)</f>
        <v>2403005</v>
      </c>
      <c r="C301" s="2005" t="str">
        <f>IFERROR(__xludf.DUMMYFUNCTION("""COMPUTED_VALUE"""),"Cartouche")</f>
        <v>Cartouche</v>
      </c>
      <c r="D301" s="2005" t="str">
        <f>IFERROR(__xludf.DUMMYFUNCTION("""COMPUTED_VALUE"""),"N°364XL jaune")</f>
        <v>N°364XL jaune</v>
      </c>
      <c r="E301" s="2005" t="str">
        <f>IFERROR(__xludf.DUMMYFUNCTION("""COMPUTED_VALUE"""),"HP")</f>
        <v>HP</v>
      </c>
      <c r="F301" s="2005" t="str">
        <f>IFERROR(__xludf.DUMMYFUNCTION("""COMPUTED_VALUE"""),"C")</f>
        <v>C</v>
      </c>
      <c r="G301" s="2005" t="str">
        <f>IFERROR(__xludf.DUMMYFUNCTION("""COMPUTED_VALUE"""),"FF")</f>
        <v>FF</v>
      </c>
      <c r="H301" s="2005">
        <f>IFERROR(__xludf.DUMMYFUNCTION("""COMPUTED_VALUE"""),21.99)</f>
        <v>21.99</v>
      </c>
      <c r="I301" s="2005">
        <f>IFERROR(__xludf.DUMMYFUNCTION("""COMPUTED_VALUE"""),21.99)</f>
        <v>21.99</v>
      </c>
      <c r="BD301" s="2006"/>
      <c r="LL301" s="2007"/>
      <c r="LM301" s="2007"/>
      <c r="MX301" s="2008"/>
      <c r="ND301" s="2007"/>
    </row>
    <row r="302">
      <c r="A302" s="2005">
        <f>IFERROR(__xludf.DUMMYFUNCTION("""COMPUTED_VALUE"""),817214.0)</f>
        <v>817214</v>
      </c>
      <c r="B302" s="2005">
        <f>IFERROR(__xludf.DUMMYFUNCTION("""COMPUTED_VALUE"""),2403005.0)</f>
        <v>2403005</v>
      </c>
      <c r="C302" s="2005" t="str">
        <f>IFERROR(__xludf.DUMMYFUNCTION("""COMPUTED_VALUE"""),"Cartouche")</f>
        <v>Cartouche</v>
      </c>
      <c r="D302" s="2005" t="str">
        <f>IFERROR(__xludf.DUMMYFUNCTION("""COMPUTED_VALUE"""),"N°364XL noire photo")</f>
        <v>N°364XL noire photo</v>
      </c>
      <c r="E302" s="2005" t="str">
        <f>IFERROR(__xludf.DUMMYFUNCTION("""COMPUTED_VALUE"""),"HP")</f>
        <v>HP</v>
      </c>
      <c r="F302" s="2005" t="str">
        <f>IFERROR(__xludf.DUMMYFUNCTION("""COMPUTED_VALUE"""),"C")</f>
        <v>C</v>
      </c>
      <c r="G302" s="2005" t="str">
        <f>IFERROR(__xludf.DUMMYFUNCTION("""COMPUTED_VALUE"""),"NN")</f>
        <v>NN</v>
      </c>
      <c r="H302" s="2005">
        <f>IFERROR(__xludf.DUMMYFUNCTION("""COMPUTED_VALUE"""),21.99)</f>
        <v>21.99</v>
      </c>
      <c r="I302" s="2005">
        <f>IFERROR(__xludf.DUMMYFUNCTION("""COMPUTED_VALUE"""),21.99)</f>
        <v>21.99</v>
      </c>
      <c r="BD302" s="2006"/>
      <c r="LL302" s="2007"/>
      <c r="LM302" s="2007"/>
      <c r="MX302" s="2007"/>
      <c r="ND302" s="2007"/>
    </row>
    <row r="303">
      <c r="A303" s="2005">
        <f>IFERROR(__xludf.DUMMYFUNCTION("""COMPUTED_VALUE"""),818303.0)</f>
        <v>818303</v>
      </c>
      <c r="B303" s="2005">
        <f>IFERROR(__xludf.DUMMYFUNCTION("""COMPUTED_VALUE"""),2402015.0)</f>
        <v>2402015</v>
      </c>
      <c r="C303" s="2005" t="str">
        <f>IFERROR(__xludf.DUMMYFUNCTION("""COMPUTED_VALUE"""),"Papier")</f>
        <v>Papier</v>
      </c>
      <c r="D303" s="2005" t="str">
        <f>IFERROR(__xludf.DUMMYFUNCTION("""COMPUTED_VALUE"""),"A3+ - 20f- 255g/m²-")</f>
        <v>A3+ - 20f- 255g/m²-</v>
      </c>
      <c r="E303" s="2005" t="str">
        <f>IFERROR(__xludf.DUMMYFUNCTION("""COMPUTED_VALUE"""),"EPSON")</f>
        <v>EPSON</v>
      </c>
      <c r="F303" s="2005" t="str">
        <f>IFERROR(__xludf.DUMMYFUNCTION("""COMPUTED_VALUE"""),"A")</f>
        <v>A</v>
      </c>
      <c r="G303" s="2005" t="str">
        <f>IFERROR(__xludf.DUMMYFUNCTION("""COMPUTED_VALUE"""),"AC")</f>
        <v>AC</v>
      </c>
      <c r="H303" s="2005">
        <f>IFERROR(__xludf.DUMMYFUNCTION("""COMPUTED_VALUE"""),29.99)</f>
        <v>29.99</v>
      </c>
      <c r="I303" s="2005">
        <f>IFERROR(__xludf.DUMMYFUNCTION("""COMPUTED_VALUE"""),29.99)</f>
        <v>29.99</v>
      </c>
      <c r="BD303" s="2006"/>
      <c r="LL303" s="2007"/>
      <c r="LM303" s="2007"/>
      <c r="MX303" s="2008"/>
      <c r="ND303" s="2007"/>
    </row>
    <row r="304">
      <c r="A304" s="2005">
        <f>IFERROR(__xludf.DUMMYFUNCTION("""COMPUTED_VALUE"""),818756.0)</f>
        <v>818756</v>
      </c>
      <c r="B304" s="2005">
        <f>IFERROR(__xludf.DUMMYFUNCTION("""COMPUTED_VALUE"""),2403005.0)</f>
        <v>2403005</v>
      </c>
      <c r="C304" s="2005" t="str">
        <f>IFERROR(__xludf.DUMMYFUNCTION("""COMPUTED_VALUE"""),"Cartouche")</f>
        <v>Cartouche</v>
      </c>
      <c r="D304" s="2005" t="str">
        <f>IFERROR(__xludf.DUMMYFUNCTION("""COMPUTED_VALUE"""),"N°901XL noire")</f>
        <v>N°901XL noire</v>
      </c>
      <c r="E304" s="2005" t="str">
        <f>IFERROR(__xludf.DUMMYFUNCTION("""COMPUTED_VALUE"""),"HP")</f>
        <v>HP</v>
      </c>
      <c r="F304" s="2005" t="str">
        <f>IFERROR(__xludf.DUMMYFUNCTION("""COMPUTED_VALUE"""),"C")</f>
        <v>C</v>
      </c>
      <c r="G304" s="2005" t="str">
        <f>IFERROR(__xludf.DUMMYFUNCTION("""COMPUTED_VALUE"""),"NN")</f>
        <v>NN</v>
      </c>
      <c r="H304" s="2005">
        <f>IFERROR(__xludf.DUMMYFUNCTION("""COMPUTED_VALUE"""),50.99)</f>
        <v>50.99</v>
      </c>
      <c r="I304" s="2005">
        <f>IFERROR(__xludf.DUMMYFUNCTION("""COMPUTED_VALUE"""),50.99)</f>
        <v>50.99</v>
      </c>
      <c r="BD304" s="2006"/>
      <c r="LL304" s="2007"/>
      <c r="LM304" s="2007"/>
      <c r="MX304" s="2007"/>
      <c r="ND304" s="2007"/>
    </row>
    <row r="305">
      <c r="A305" s="2005">
        <f>IFERROR(__xludf.DUMMYFUNCTION("""COMPUTED_VALUE"""),818758.0)</f>
        <v>818758</v>
      </c>
      <c r="B305" s="2005">
        <f>IFERROR(__xludf.DUMMYFUNCTION("""COMPUTED_VALUE"""),2403005.0)</f>
        <v>2403005</v>
      </c>
      <c r="C305" s="2005" t="str">
        <f>IFERROR(__xludf.DUMMYFUNCTION("""COMPUTED_VALUE"""),"Cartouche")</f>
        <v>Cartouche</v>
      </c>
      <c r="D305" s="2005" t="str">
        <f>IFERROR(__xludf.DUMMYFUNCTION("""COMPUTED_VALUE"""),"N°901 couleurs")</f>
        <v>N°901 couleurs</v>
      </c>
      <c r="E305" s="2005" t="str">
        <f>IFERROR(__xludf.DUMMYFUNCTION("""COMPUTED_VALUE"""),"HP")</f>
        <v>HP</v>
      </c>
      <c r="F305" s="2005" t="str">
        <f>IFERROR(__xludf.DUMMYFUNCTION("""COMPUTED_VALUE"""),"C")</f>
        <v>C</v>
      </c>
      <c r="G305" s="2005" t="str">
        <f>IFERROR(__xludf.DUMMYFUNCTION("""COMPUTED_VALUE"""),"NN")</f>
        <v>NN</v>
      </c>
      <c r="H305" s="2005">
        <f>IFERROR(__xludf.DUMMYFUNCTION("""COMPUTED_VALUE"""),25.99)</f>
        <v>25.99</v>
      </c>
      <c r="I305" s="2005">
        <f>IFERROR(__xludf.DUMMYFUNCTION("""COMPUTED_VALUE"""),25.99)</f>
        <v>25.99</v>
      </c>
      <c r="BD305" s="2006"/>
      <c r="LL305" s="2007"/>
      <c r="LM305" s="2007"/>
      <c r="MX305" s="2007"/>
      <c r="ND305" s="2007"/>
    </row>
    <row r="306">
      <c r="A306" s="2005">
        <f>IFERROR(__xludf.DUMMYFUNCTION("""COMPUTED_VALUE"""),819719.0)</f>
        <v>819719</v>
      </c>
      <c r="B306" s="2005">
        <f>IFERROR(__xludf.DUMMYFUNCTION("""COMPUTED_VALUE"""),2403005.0)</f>
        <v>2403005</v>
      </c>
      <c r="C306" s="2005" t="str">
        <f>IFERROR(__xludf.DUMMYFUNCTION("""COMPUTED_VALUE"""),"Cartouche")</f>
        <v>Cartouche</v>
      </c>
      <c r="D306" s="2005" t="str">
        <f>IFERROR(__xludf.DUMMYFUNCTION("""COMPUTED_VALUE"""),"LC1100 noir")</f>
        <v>LC1100 noir</v>
      </c>
      <c r="E306" s="2005" t="str">
        <f>IFERROR(__xludf.DUMMYFUNCTION("""COMPUTED_VALUE"""),"BROTHER")</f>
        <v>BROTHER</v>
      </c>
      <c r="F306" s="2005" t="str">
        <f>IFERROR(__xludf.DUMMYFUNCTION("""COMPUTED_VALUE"""),"W")</f>
        <v>W</v>
      </c>
      <c r="G306" s="2005" t="str">
        <f>IFERROR(__xludf.DUMMYFUNCTION("""COMPUTED_VALUE"""),"AC")</f>
        <v>AC</v>
      </c>
      <c r="H306" s="2005">
        <f>IFERROR(__xludf.DUMMYFUNCTION("""COMPUTED_VALUE"""),26.99)</f>
        <v>26.99</v>
      </c>
      <c r="I306" s="2005">
        <f>IFERROR(__xludf.DUMMYFUNCTION("""COMPUTED_VALUE"""),20.95)</f>
        <v>20.95</v>
      </c>
      <c r="BD306" s="2006"/>
      <c r="LL306" s="2007"/>
      <c r="LM306" s="2007"/>
      <c r="MX306" s="2007"/>
      <c r="ND306" s="2007"/>
    </row>
    <row r="307">
      <c r="A307" s="2005">
        <f>IFERROR(__xludf.DUMMYFUNCTION("""COMPUTED_VALUE"""),819720.0)</f>
        <v>819720</v>
      </c>
      <c r="B307" s="2005">
        <f>IFERROR(__xludf.DUMMYFUNCTION("""COMPUTED_VALUE"""),2403005.0)</f>
        <v>2403005</v>
      </c>
      <c r="C307" s="2005" t="str">
        <f>IFERROR(__xludf.DUMMYFUNCTION("""COMPUTED_VALUE"""),"Cartouche")</f>
        <v>Cartouche</v>
      </c>
      <c r="D307" s="2005" t="str">
        <f>IFERROR(__xludf.DUMMYFUNCTION("""COMPUTED_VALUE"""),"LC1100 cyan")</f>
        <v>LC1100 cyan</v>
      </c>
      <c r="E307" s="2005" t="str">
        <f>IFERROR(__xludf.DUMMYFUNCTION("""COMPUTED_VALUE"""),"BROTHER")</f>
        <v>BROTHER</v>
      </c>
      <c r="F307" s="2005" t="str">
        <f>IFERROR(__xludf.DUMMYFUNCTION("""COMPUTED_VALUE"""),"B")</f>
        <v>B</v>
      </c>
      <c r="G307" s="2005" t="str">
        <f>IFERROR(__xludf.DUMMYFUNCTION("""COMPUTED_VALUE"""),"FF")</f>
        <v>FF</v>
      </c>
      <c r="H307" s="2005">
        <f>IFERROR(__xludf.DUMMYFUNCTION("""COMPUTED_VALUE"""),13.99)</f>
        <v>13.99</v>
      </c>
      <c r="I307" s="2005">
        <f>IFERROR(__xludf.DUMMYFUNCTION("""COMPUTED_VALUE"""),10.99)</f>
        <v>10.99</v>
      </c>
      <c r="BD307" s="2006"/>
      <c r="LL307" s="2007"/>
      <c r="LM307" s="2007"/>
      <c r="MX307" s="2007"/>
      <c r="ND307" s="2007"/>
    </row>
    <row r="308">
      <c r="A308" s="2005">
        <f>IFERROR(__xludf.DUMMYFUNCTION("""COMPUTED_VALUE"""),819721.0)</f>
        <v>819721</v>
      </c>
      <c r="B308" s="2005">
        <f>IFERROR(__xludf.DUMMYFUNCTION("""COMPUTED_VALUE"""),2403005.0)</f>
        <v>2403005</v>
      </c>
      <c r="C308" s="2005" t="str">
        <f>IFERROR(__xludf.DUMMYFUNCTION("""COMPUTED_VALUE"""),"Cartouche")</f>
        <v>Cartouche</v>
      </c>
      <c r="D308" s="2005" t="str">
        <f>IFERROR(__xludf.DUMMYFUNCTION("""COMPUTED_VALUE"""),"LC1100 Magenta")</f>
        <v>LC1100 Magenta</v>
      </c>
      <c r="E308" s="2005" t="str">
        <f>IFERROR(__xludf.DUMMYFUNCTION("""COMPUTED_VALUE"""),"BROTHER")</f>
        <v>BROTHER</v>
      </c>
      <c r="F308" s="2005" t="str">
        <f>IFERROR(__xludf.DUMMYFUNCTION("""COMPUTED_VALUE"""),"H")</f>
        <v>H</v>
      </c>
      <c r="G308" s="2005" t="str">
        <f>IFERROR(__xludf.DUMMYFUNCTION("""COMPUTED_VALUE"""),"FR")</f>
        <v>FR</v>
      </c>
      <c r="H308" s="2005">
        <f>IFERROR(__xludf.DUMMYFUNCTION("""COMPUTED_VALUE"""),13.99)</f>
        <v>13.99</v>
      </c>
      <c r="I308" s="2005">
        <f>IFERROR(__xludf.DUMMYFUNCTION("""COMPUTED_VALUE"""),9.99)</f>
        <v>9.99</v>
      </c>
      <c r="BD308" s="2006"/>
      <c r="LL308" s="2007"/>
      <c r="LM308" s="2008"/>
      <c r="MX308" s="2007"/>
      <c r="ND308" s="2008"/>
    </row>
    <row r="309">
      <c r="A309" s="2005">
        <f>IFERROR(__xludf.DUMMYFUNCTION("""COMPUTED_VALUE"""),819722.0)</f>
        <v>819722</v>
      </c>
      <c r="B309" s="2005">
        <f>IFERROR(__xludf.DUMMYFUNCTION("""COMPUTED_VALUE"""),2403005.0)</f>
        <v>2403005</v>
      </c>
      <c r="C309" s="2005" t="str">
        <f>IFERROR(__xludf.DUMMYFUNCTION("""COMPUTED_VALUE"""),"Cartouche")</f>
        <v>Cartouche</v>
      </c>
      <c r="D309" s="2005" t="str">
        <f>IFERROR(__xludf.DUMMYFUNCTION("""COMPUTED_VALUE"""),"LC1100 Jaune")</f>
        <v>LC1100 Jaune</v>
      </c>
      <c r="E309" s="2005" t="str">
        <f>IFERROR(__xludf.DUMMYFUNCTION("""COMPUTED_VALUE"""),"BROTHER")</f>
        <v>BROTHER</v>
      </c>
      <c r="F309" s="2005" t="str">
        <f>IFERROR(__xludf.DUMMYFUNCTION("""COMPUTED_VALUE"""),"C")</f>
        <v>C</v>
      </c>
      <c r="G309" s="2005" t="str">
        <f>IFERROR(__xludf.DUMMYFUNCTION("""COMPUTED_VALUE"""),"FF")</f>
        <v>FF</v>
      </c>
      <c r="H309">
        <f>IFERROR(__xludf.DUMMYFUNCTION("""COMPUTED_VALUE"""),13.99)</f>
        <v>13.99</v>
      </c>
      <c r="I309" s="2005">
        <f>IFERROR(__xludf.DUMMYFUNCTION("""COMPUTED_VALUE"""),10.99)</f>
        <v>10.99</v>
      </c>
      <c r="LL309" s="2007"/>
      <c r="LM309" s="2008"/>
      <c r="MX309" s="2007"/>
      <c r="ND309" s="2008"/>
    </row>
    <row r="310">
      <c r="A310" s="2005">
        <f>IFERROR(__xludf.DUMMYFUNCTION("""COMPUTED_VALUE"""),820571.0)</f>
        <v>820571</v>
      </c>
      <c r="B310" s="2005">
        <f>IFERROR(__xludf.DUMMYFUNCTION("""COMPUTED_VALUE"""),2403005.0)</f>
        <v>2403005</v>
      </c>
      <c r="C310" s="2005" t="str">
        <f>IFERROR(__xludf.DUMMYFUNCTION("""COMPUTED_VALUE"""),"Pack")</f>
        <v>Pack</v>
      </c>
      <c r="D310" s="2005" t="str">
        <f>IFERROR(__xludf.DUMMYFUNCTION("""COMPUTED_VALUE"""),"CLI-521 3 couleurs CMJ")</f>
        <v>CLI-521 3 couleurs CMJ</v>
      </c>
      <c r="E310" s="2005" t="str">
        <f>IFERROR(__xludf.DUMMYFUNCTION("""COMPUTED_VALUE"""),"CANON")</f>
        <v>CANON</v>
      </c>
      <c r="F310" s="2005" t="str">
        <f>IFERROR(__xludf.DUMMYFUNCTION("""COMPUTED_VALUE"""),"B")</f>
        <v>B</v>
      </c>
      <c r="G310" s="2005" t="str">
        <f>IFERROR(__xludf.DUMMYFUNCTION("""COMPUTED_VALUE"""),"AC")</f>
        <v>AC</v>
      </c>
      <c r="H310" s="2005">
        <f>IFERROR(__xludf.DUMMYFUNCTION("""COMPUTED_VALUE"""),43.01)</f>
        <v>43.01</v>
      </c>
      <c r="I310" s="2005">
        <f>IFERROR(__xludf.DUMMYFUNCTION("""COMPUTED_VALUE"""),43.01)</f>
        <v>43.01</v>
      </c>
      <c r="BD310" s="2006"/>
      <c r="LL310" s="2007"/>
      <c r="LM310" s="2007"/>
      <c r="MX310" s="2007"/>
      <c r="ND310" s="2008"/>
    </row>
    <row r="311">
      <c r="A311" s="2005">
        <f>IFERROR(__xludf.DUMMYFUNCTION("""COMPUTED_VALUE"""),824563.0)</f>
        <v>824563</v>
      </c>
      <c r="B311" s="2005">
        <f>IFERROR(__xludf.DUMMYFUNCTION("""COMPUTED_VALUE"""),2403005.0)</f>
        <v>2403005</v>
      </c>
      <c r="C311" s="2005" t="str">
        <f>IFERROR(__xludf.DUMMYFUNCTION("""COMPUTED_VALUE"""),"Cartouche")</f>
        <v>Cartouche</v>
      </c>
      <c r="D311" s="2005" t="str">
        <f>IFERROR(__xludf.DUMMYFUNCTION("""COMPUTED_VALUE"""),"CL-513")</f>
        <v>CL-513</v>
      </c>
      <c r="E311" s="2005" t="str">
        <f>IFERROR(__xludf.DUMMYFUNCTION("""COMPUTED_VALUE"""),"CANON")</f>
        <v>CANON</v>
      </c>
      <c r="F311" s="2005" t="str">
        <f>IFERROR(__xludf.DUMMYFUNCTION("""COMPUTED_VALUE"""),"H")</f>
        <v>H</v>
      </c>
      <c r="G311" s="2005" t="str">
        <f>IFERROR(__xludf.DUMMYFUNCTION("""COMPUTED_VALUE"""),"AC")</f>
        <v>AC</v>
      </c>
      <c r="H311" s="2005">
        <f>IFERROR(__xludf.DUMMYFUNCTION("""COMPUTED_VALUE"""),28.99)</f>
        <v>28.99</v>
      </c>
      <c r="I311" s="2005">
        <f>IFERROR(__xludf.DUMMYFUNCTION("""COMPUTED_VALUE"""),28.99)</f>
        <v>28.99</v>
      </c>
      <c r="LL311" s="2007"/>
      <c r="LM311" s="2007"/>
      <c r="MX311" s="2007"/>
      <c r="ND311" s="2007"/>
    </row>
    <row r="312">
      <c r="A312" s="2005">
        <f>IFERROR(__xludf.DUMMYFUNCTION("""COMPUTED_VALUE"""),824564.0)</f>
        <v>824564</v>
      </c>
      <c r="B312" s="2005">
        <f>IFERROR(__xludf.DUMMYFUNCTION("""COMPUTED_VALUE"""),2403005.0)</f>
        <v>2403005</v>
      </c>
      <c r="C312" s="2005" t="str">
        <f>IFERROR(__xludf.DUMMYFUNCTION("""COMPUTED_VALUE"""),"Cartouche")</f>
        <v>Cartouche</v>
      </c>
      <c r="D312" s="2005" t="str">
        <f>IFERROR(__xludf.DUMMYFUNCTION("""COMPUTED_VALUE"""),"PG-512 Noire")</f>
        <v>PG-512 Noire</v>
      </c>
      <c r="E312" s="2005" t="str">
        <f>IFERROR(__xludf.DUMMYFUNCTION("""COMPUTED_VALUE"""),"CANON")</f>
        <v>CANON</v>
      </c>
      <c r="F312" s="2005" t="str">
        <f>IFERROR(__xludf.DUMMYFUNCTION("""COMPUTED_VALUE"""),"H")</f>
        <v>H</v>
      </c>
      <c r="G312" s="2005" t="str">
        <f>IFERROR(__xludf.DUMMYFUNCTION("""COMPUTED_VALUE"""),"AC")</f>
        <v>AC</v>
      </c>
      <c r="H312" s="2005">
        <f>IFERROR(__xludf.DUMMYFUNCTION("""COMPUTED_VALUE"""),23.99)</f>
        <v>23.99</v>
      </c>
      <c r="I312" s="2005">
        <f>IFERROR(__xludf.DUMMYFUNCTION("""COMPUTED_VALUE"""),23.99)</f>
        <v>23.99</v>
      </c>
      <c r="BD312" s="2006"/>
      <c r="LL312" s="2007"/>
      <c r="LM312" s="2007"/>
      <c r="MX312" s="2007"/>
      <c r="ND312" s="2007"/>
    </row>
    <row r="313">
      <c r="A313" s="2005">
        <f>IFERROR(__xludf.DUMMYFUNCTION("""COMPUTED_VALUE"""),828123.0)</f>
        <v>828123</v>
      </c>
      <c r="B313" s="2005">
        <f>IFERROR(__xludf.DUMMYFUNCTION("""COMPUTED_VALUE"""),2403005.0)</f>
        <v>2403005</v>
      </c>
      <c r="C313" s="2005" t="str">
        <f>IFERROR(__xludf.DUMMYFUNCTION("""COMPUTED_VALUE"""),"Cartouche")</f>
        <v>Cartouche</v>
      </c>
      <c r="D313" s="2005" t="str">
        <f>IFERROR(__xludf.DUMMYFUNCTION("""COMPUTED_VALUE"""),"N°901 noire")</f>
        <v>N°901 noire</v>
      </c>
      <c r="E313" s="2005" t="str">
        <f>IFERROR(__xludf.DUMMYFUNCTION("""COMPUTED_VALUE"""),"HP")</f>
        <v>HP</v>
      </c>
      <c r="F313" s="2005" t="str">
        <f>IFERROR(__xludf.DUMMYFUNCTION("""COMPUTED_VALUE"""),"B")</f>
        <v>B</v>
      </c>
      <c r="G313" s="2005" t="str">
        <f>IFERROR(__xludf.DUMMYFUNCTION("""COMPUTED_VALUE"""),"NN")</f>
        <v>NN</v>
      </c>
      <c r="H313" s="2005">
        <f>IFERROR(__xludf.DUMMYFUNCTION("""COMPUTED_VALUE"""),16.99)</f>
        <v>16.99</v>
      </c>
      <c r="I313" s="2005">
        <f>IFERROR(__xludf.DUMMYFUNCTION("""COMPUTED_VALUE"""),16.99)</f>
        <v>16.99</v>
      </c>
      <c r="BD313" s="2006"/>
      <c r="LL313" s="2007"/>
      <c r="LM313" s="2007"/>
      <c r="MX313" s="2007"/>
      <c r="ND313" s="2007"/>
    </row>
    <row r="314">
      <c r="A314" s="2005">
        <f>IFERROR(__xludf.DUMMYFUNCTION("""COMPUTED_VALUE"""),828937.0)</f>
        <v>828937</v>
      </c>
      <c r="B314" s="2005">
        <f>IFERROR(__xludf.DUMMYFUNCTION("""COMPUTED_VALUE"""),2403005.0)</f>
        <v>2403005</v>
      </c>
      <c r="C314" s="2005" t="str">
        <f>IFERROR(__xludf.DUMMYFUNCTION("""COMPUTED_VALUE"""),"Pack")</f>
        <v>Pack</v>
      </c>
      <c r="D314" s="2005" t="str">
        <f>IFERROR(__xludf.DUMMYFUNCTION("""COMPUTED_VALUE"""),"LC1100 (4 cartouches)")</f>
        <v>LC1100 (4 cartouches)</v>
      </c>
      <c r="E314" s="2005" t="str">
        <f>IFERROR(__xludf.DUMMYFUNCTION("""COMPUTED_VALUE"""),"BROTHER")</f>
        <v>BROTHER</v>
      </c>
      <c r="F314" s="2005" t="str">
        <f>IFERROR(__xludf.DUMMYFUNCTION("""COMPUTED_VALUE"""),"W")</f>
        <v>W</v>
      </c>
      <c r="G314" s="2005" t="str">
        <f>IFERROR(__xludf.DUMMYFUNCTION("""COMPUTED_VALUE"""),"AC")</f>
        <v>AC</v>
      </c>
      <c r="H314" s="2005">
        <f>IFERROR(__xludf.DUMMYFUNCTION("""COMPUTED_VALUE"""),61.99)</f>
        <v>61.99</v>
      </c>
      <c r="I314" s="2005">
        <f>IFERROR(__xludf.DUMMYFUNCTION("""COMPUTED_VALUE"""),49.94)</f>
        <v>49.94</v>
      </c>
      <c r="BD314" s="2006"/>
      <c r="LL314" s="2008"/>
      <c r="LM314" s="2007"/>
      <c r="MX314" s="2007"/>
      <c r="ND314" s="2007"/>
    </row>
    <row r="315">
      <c r="A315" s="2005">
        <f>IFERROR(__xludf.DUMMYFUNCTION("""COMPUTED_VALUE"""),830063.0)</f>
        <v>830063</v>
      </c>
      <c r="B315" s="2005">
        <f>IFERROR(__xludf.DUMMYFUNCTION("""COMPUTED_VALUE"""),2403005.0)</f>
        <v>2403005</v>
      </c>
      <c r="C315" s="2005" t="str">
        <f>IFERROR(__xludf.DUMMYFUNCTION("""COMPUTED_VALUE"""),"Pack")</f>
        <v>Pack</v>
      </c>
      <c r="D315" s="2005" t="str">
        <f>IFERROR(__xludf.DUMMYFUNCTION("""COMPUTED_VALUE"""),"350 + 351 noire + couleurs")</f>
        <v>350 + 351 noire + couleurs</v>
      </c>
      <c r="E315" s="2005" t="str">
        <f>IFERROR(__xludf.DUMMYFUNCTION("""COMPUTED_VALUE"""),"HP")</f>
        <v>HP</v>
      </c>
      <c r="F315" s="2005" t="str">
        <f>IFERROR(__xludf.DUMMYFUNCTION("""COMPUTED_VALUE"""),"A")</f>
        <v>A</v>
      </c>
      <c r="G315" s="2005" t="str">
        <f>IFERROR(__xludf.DUMMYFUNCTION("""COMPUTED_VALUE"""),"NN")</f>
        <v>NN</v>
      </c>
      <c r="H315" s="2005">
        <f>IFERROR(__xludf.DUMMYFUNCTION("""COMPUTED_VALUE"""),43.99)</f>
        <v>43.99</v>
      </c>
      <c r="I315" s="2005">
        <f>IFERROR(__xludf.DUMMYFUNCTION("""COMPUTED_VALUE"""),43.99)</f>
        <v>43.99</v>
      </c>
      <c r="LL315" s="2007"/>
      <c r="LM315" s="2007"/>
      <c r="MX315" s="2007"/>
      <c r="ND315" s="2007"/>
    </row>
    <row r="316">
      <c r="A316" s="2005">
        <f>IFERROR(__xludf.DUMMYFUNCTION("""COMPUTED_VALUE"""),830322.0)</f>
        <v>830322</v>
      </c>
      <c r="B316" s="2005">
        <f>IFERROR(__xludf.DUMMYFUNCTION("""COMPUTED_VALUE"""),2403005.0)</f>
        <v>2403005</v>
      </c>
      <c r="C316" s="2005" t="str">
        <f>IFERROR(__xludf.DUMMYFUNCTION("""COMPUTED_VALUE"""),"Cartouche")</f>
        <v>Cartouche</v>
      </c>
      <c r="D316" s="2005" t="str">
        <f>IFERROR(__xludf.DUMMYFUNCTION("""COMPUTED_VALUE"""),"N°940XL noire")</f>
        <v>N°940XL noire</v>
      </c>
      <c r="E316" s="2005" t="str">
        <f>IFERROR(__xludf.DUMMYFUNCTION("""COMPUTED_VALUE"""),"HP")</f>
        <v>HP</v>
      </c>
      <c r="F316" s="2005" t="str">
        <f>IFERROR(__xludf.DUMMYFUNCTION("""COMPUTED_VALUE"""),"C")</f>
        <v>C</v>
      </c>
      <c r="G316" s="2005" t="str">
        <f>IFERROR(__xludf.DUMMYFUNCTION("""COMPUTED_VALUE"""),"NN")</f>
        <v>NN</v>
      </c>
      <c r="H316" s="2005">
        <f>IFERROR(__xludf.DUMMYFUNCTION("""COMPUTED_VALUE"""),42.99)</f>
        <v>42.99</v>
      </c>
      <c r="I316" s="2005">
        <f>IFERROR(__xludf.DUMMYFUNCTION("""COMPUTED_VALUE"""),42.99)</f>
        <v>42.99</v>
      </c>
      <c r="BD316" s="2006"/>
      <c r="LL316" s="2007"/>
      <c r="LM316" s="2007"/>
      <c r="MX316" s="2007"/>
      <c r="ND316" s="2007"/>
    </row>
    <row r="317">
      <c r="A317" s="2005">
        <f>IFERROR(__xludf.DUMMYFUNCTION("""COMPUTED_VALUE"""),830773.0)</f>
        <v>830773</v>
      </c>
      <c r="B317" s="2005">
        <f>IFERROR(__xludf.DUMMYFUNCTION("""COMPUTED_VALUE"""),2502505.0)</f>
        <v>2502505</v>
      </c>
      <c r="C317" s="2005" t="str">
        <f>IFERROR(__xludf.DUMMYFUNCTION("""COMPUTED_VALUE"""),"Tapis")</f>
        <v>Tapis</v>
      </c>
      <c r="D317" s="2005" t="str">
        <f>IFERROR(__xludf.DUMMYFUNCTION("""COMPUTED_VALUE"""),"Repose-poignet Noir")</f>
        <v>Repose-poignet Noir</v>
      </c>
      <c r="E317" s="2005" t="str">
        <f>IFERROR(__xludf.DUMMYFUNCTION("""COMPUTED_VALUE"""),"ESSENTIELB")</f>
        <v>ESSENTIELB</v>
      </c>
      <c r="F317" s="2005" t="str">
        <f>IFERROR(__xludf.DUMMYFUNCTION("""COMPUTED_VALUE"""),"A")</f>
        <v>A</v>
      </c>
      <c r="G317" s="2005" t="str">
        <f>IFERROR(__xludf.DUMMYFUNCTION("""COMPUTED_VALUE"""),"AC")</f>
        <v>AC</v>
      </c>
      <c r="H317" s="2005">
        <f>IFERROR(__xludf.DUMMYFUNCTION("""COMPUTED_VALUE"""),10.99)</f>
        <v>10.99</v>
      </c>
      <c r="I317" s="2005">
        <f>IFERROR(__xludf.DUMMYFUNCTION("""COMPUTED_VALUE"""),10.99)</f>
        <v>10.99</v>
      </c>
      <c r="BD317" s="2006"/>
      <c r="LL317" s="2007"/>
      <c r="LM317" s="2007"/>
      <c r="MX317" s="2007"/>
      <c r="ND317" s="2007"/>
    </row>
    <row r="318">
      <c r="A318" s="2005">
        <f>IFERROR(__xludf.DUMMYFUNCTION("""COMPUTED_VALUE"""),830778.0)</f>
        <v>830778</v>
      </c>
      <c r="B318" s="2005">
        <f>IFERROR(__xludf.DUMMYFUNCTION("""COMPUTED_VALUE"""),2502505.0)</f>
        <v>2502505</v>
      </c>
      <c r="C318" s="2005" t="str">
        <f>IFERROR(__xludf.DUMMYFUNCTION("""COMPUTED_VALUE"""),"Tapis")</f>
        <v>Tapis</v>
      </c>
      <c r="D318" s="2005" t="str">
        <f>IFERROR(__xludf.DUMMYFUNCTION("""COMPUTED_VALUE"""),"optique")</f>
        <v>optique</v>
      </c>
      <c r="E318" s="2005" t="str">
        <f>IFERROR(__xludf.DUMMYFUNCTION("""COMPUTED_VALUE"""),"ESSENTIELB")</f>
        <v>ESSENTIELB</v>
      </c>
      <c r="F318" s="2005" t="str">
        <f>IFERROR(__xludf.DUMMYFUNCTION("""COMPUTED_VALUE"""),"A")</f>
        <v>A</v>
      </c>
      <c r="G318" s="2005" t="str">
        <f>IFERROR(__xludf.DUMMYFUNCTION("""COMPUTED_VALUE"""),"FF")</f>
        <v>FF</v>
      </c>
      <c r="H318" s="2005">
        <f>IFERROR(__xludf.DUMMYFUNCTION("""COMPUTED_VALUE"""),8.99)</f>
        <v>8.99</v>
      </c>
      <c r="I318" s="2005">
        <f>IFERROR(__xludf.DUMMYFUNCTION("""COMPUTED_VALUE"""),8.99)</f>
        <v>8.99</v>
      </c>
      <c r="LM318" s="2007"/>
      <c r="MX318" s="2007"/>
      <c r="ND318" s="2007"/>
    </row>
    <row r="319">
      <c r="A319" s="2005">
        <f>IFERROR(__xludf.DUMMYFUNCTION("""COMPUTED_VALUE"""),831168.0)</f>
        <v>831168</v>
      </c>
      <c r="B319" s="2005">
        <f>IFERROR(__xludf.DUMMYFUNCTION("""COMPUTED_VALUE"""),2403010.0)</f>
        <v>2403010</v>
      </c>
      <c r="C319" s="2005" t="str">
        <f>IFERROR(__xludf.DUMMYFUNCTION("""COMPUTED_VALUE"""),"Toner")</f>
        <v>Toner</v>
      </c>
      <c r="D319" s="2005" t="str">
        <f>IFERROR(__xludf.DUMMYFUNCTION("""COMPUTED_VALUE"""),"MLT-1082S")</f>
        <v>MLT-1082S</v>
      </c>
      <c r="E319" s="2005" t="str">
        <f>IFERROR(__xludf.DUMMYFUNCTION("""COMPUTED_VALUE"""),"SAMSUNG")</f>
        <v>SAMSUNG</v>
      </c>
      <c r="F319" s="2005" t="str">
        <f>IFERROR(__xludf.DUMMYFUNCTION("""COMPUTED_VALUE"""),"H")</f>
        <v>H</v>
      </c>
      <c r="G319" s="2005" t="str">
        <f>IFERROR(__xludf.DUMMYFUNCTION("""COMPUTED_VALUE"""),"NN")</f>
        <v>NN</v>
      </c>
      <c r="H319" s="2005">
        <f>IFERROR(__xludf.DUMMYFUNCTION("""COMPUTED_VALUE"""),106.99)</f>
        <v>106.99</v>
      </c>
      <c r="I319" s="2005">
        <f>IFERROR(__xludf.DUMMYFUNCTION("""COMPUTED_VALUE"""),106.99)</f>
        <v>106.99</v>
      </c>
      <c r="BD319" s="2006"/>
      <c r="LM319" s="2007"/>
    </row>
    <row r="320">
      <c r="A320" s="2005">
        <f>IFERROR(__xludf.DUMMYFUNCTION("""COMPUTED_VALUE"""),831312.0)</f>
        <v>831312</v>
      </c>
      <c r="B320" s="2005">
        <f>IFERROR(__xludf.DUMMYFUNCTION("""COMPUTED_VALUE"""),2403005.0)</f>
        <v>2403005</v>
      </c>
      <c r="C320" s="2005" t="str">
        <f>IFERROR(__xludf.DUMMYFUNCTION("""COMPUTED_VALUE"""),"Cartouche")</f>
        <v>Cartouche</v>
      </c>
      <c r="D320" s="2005" t="str">
        <f>IFERROR(__xludf.DUMMYFUNCTION("""COMPUTED_VALUE"""),"n°100 cyan")</f>
        <v>n°100 cyan</v>
      </c>
      <c r="E320" s="2005" t="str">
        <f>IFERROR(__xludf.DUMMYFUNCTION("""COMPUTED_VALUE"""),"LEXMARK")</f>
        <v>LEXMARK</v>
      </c>
      <c r="F320" s="2005" t="str">
        <f>IFERROR(__xludf.DUMMYFUNCTION("""COMPUTED_VALUE"""),"H")</f>
        <v>H</v>
      </c>
      <c r="G320" s="2005" t="str">
        <f>IFERROR(__xludf.DUMMYFUNCTION("""COMPUTED_VALUE"""),"FR")</f>
        <v>FR</v>
      </c>
      <c r="H320" s="2005">
        <f>IFERROR(__xludf.DUMMYFUNCTION("""COMPUTED_VALUE"""),11.99)</f>
        <v>11.99</v>
      </c>
      <c r="I320" s="2005">
        <f>IFERROR(__xludf.DUMMYFUNCTION("""COMPUTED_VALUE"""),11.99)</f>
        <v>11.99</v>
      </c>
      <c r="BD320" s="2006"/>
      <c r="LL320" s="2007"/>
      <c r="LM320" s="2007"/>
      <c r="MX320" s="2007"/>
      <c r="ND320" s="2007"/>
    </row>
    <row r="321">
      <c r="A321" s="2005">
        <f>IFERROR(__xludf.DUMMYFUNCTION("""COMPUTED_VALUE"""),831313.0)</f>
        <v>831313</v>
      </c>
      <c r="B321" s="2005">
        <f>IFERROR(__xludf.DUMMYFUNCTION("""COMPUTED_VALUE"""),2403005.0)</f>
        <v>2403005</v>
      </c>
      <c r="C321" s="2005" t="str">
        <f>IFERROR(__xludf.DUMMYFUNCTION("""COMPUTED_VALUE"""),"Cartouche")</f>
        <v>Cartouche</v>
      </c>
      <c r="D321" s="2005" t="str">
        <f>IFERROR(__xludf.DUMMYFUNCTION("""COMPUTED_VALUE"""),"n°100 magenta")</f>
        <v>n°100 magenta</v>
      </c>
      <c r="E321" s="2005" t="str">
        <f>IFERROR(__xludf.DUMMYFUNCTION("""COMPUTED_VALUE"""),"LEXMARK")</f>
        <v>LEXMARK</v>
      </c>
      <c r="F321" s="2005" t="str">
        <f>IFERROR(__xludf.DUMMYFUNCTION("""COMPUTED_VALUE"""),"H")</f>
        <v>H</v>
      </c>
      <c r="G321" s="2005" t="str">
        <f>IFERROR(__xludf.DUMMYFUNCTION("""COMPUTED_VALUE"""),"FR")</f>
        <v>FR</v>
      </c>
      <c r="H321" s="2005">
        <f>IFERROR(__xludf.DUMMYFUNCTION("""COMPUTED_VALUE"""),11.99)</f>
        <v>11.99</v>
      </c>
      <c r="I321" s="2005">
        <f>IFERROR(__xludf.DUMMYFUNCTION("""COMPUTED_VALUE"""),11.99)</f>
        <v>11.99</v>
      </c>
      <c r="BD321" s="2006"/>
      <c r="LL321" s="2007"/>
      <c r="LM321" s="2007"/>
      <c r="MX321" s="2007"/>
      <c r="ND321" s="2007"/>
    </row>
    <row r="322">
      <c r="A322" s="2005">
        <f>IFERROR(__xludf.DUMMYFUNCTION("""COMPUTED_VALUE"""),831315.0)</f>
        <v>831315</v>
      </c>
      <c r="B322" s="2005">
        <f>IFERROR(__xludf.DUMMYFUNCTION("""COMPUTED_VALUE"""),2403005.0)</f>
        <v>2403005</v>
      </c>
      <c r="C322" s="2005" t="str">
        <f>IFERROR(__xludf.DUMMYFUNCTION("""COMPUTED_VALUE"""),"Cartouche")</f>
        <v>Cartouche</v>
      </c>
      <c r="D322" s="2005" t="str">
        <f>IFERROR(__xludf.DUMMYFUNCTION("""COMPUTED_VALUE"""),"n°100 jaune")</f>
        <v>n°100 jaune</v>
      </c>
      <c r="E322" s="2005" t="str">
        <f>IFERROR(__xludf.DUMMYFUNCTION("""COMPUTED_VALUE"""),"LEXMARK")</f>
        <v>LEXMARK</v>
      </c>
      <c r="F322" s="2005" t="str">
        <f>IFERROR(__xludf.DUMMYFUNCTION("""COMPUTED_VALUE"""),"H")</f>
        <v>H</v>
      </c>
      <c r="G322" s="2005" t="str">
        <f>IFERROR(__xludf.DUMMYFUNCTION("""COMPUTED_VALUE"""),"NN")</f>
        <v>NN</v>
      </c>
      <c r="H322" s="2005">
        <f>IFERROR(__xludf.DUMMYFUNCTION("""COMPUTED_VALUE"""),12.99)</f>
        <v>12.99</v>
      </c>
      <c r="I322" s="2005">
        <f>IFERROR(__xludf.DUMMYFUNCTION("""COMPUTED_VALUE"""),12.99)</f>
        <v>12.99</v>
      </c>
      <c r="BD322" s="2006"/>
      <c r="LL322" s="2007"/>
      <c r="LM322" s="2007"/>
      <c r="MX322" s="2007"/>
      <c r="ND322" s="2007"/>
    </row>
    <row r="323">
      <c r="A323" s="2005">
        <f>IFERROR(__xludf.DUMMYFUNCTION("""COMPUTED_VALUE"""),831785.0)</f>
        <v>831785</v>
      </c>
      <c r="B323" s="2005">
        <f>IFERROR(__xludf.DUMMYFUNCTION("""COMPUTED_VALUE"""),2502015.0)</f>
        <v>2502015</v>
      </c>
      <c r="C323" s="2005" t="str">
        <f>IFERROR(__xludf.DUMMYFUNCTION("""COMPUTED_VALUE"""),"Clavier")</f>
        <v>Clavier</v>
      </c>
      <c r="D323" s="2005" t="str">
        <f>IFERROR(__xludf.DUMMYFUNCTION("""COMPUTED_VALUE"""),"DesignTouch MacWired Silver")</f>
        <v>DesignTouch MacWired Silver</v>
      </c>
      <c r="E323" s="2005" t="str">
        <f>IFERROR(__xludf.DUMMYFUNCTION("""COMPUTED_VALUE"""),"MOBILITY LAB")</f>
        <v>MOBILITY LAB</v>
      </c>
      <c r="F323" s="2005" t="str">
        <f>IFERROR(__xludf.DUMMYFUNCTION("""COMPUTED_VALUE"""),"W")</f>
        <v>W</v>
      </c>
      <c r="G323" s="2005" t="str">
        <f>IFERROR(__xludf.DUMMYFUNCTION("""COMPUTED_VALUE"""),"NN")</f>
        <v>NN</v>
      </c>
      <c r="H323" s="2005">
        <f>IFERROR(__xludf.DUMMYFUNCTION("""COMPUTED_VALUE"""),29.99)</f>
        <v>29.99</v>
      </c>
      <c r="I323" s="2005">
        <f>IFERROR(__xludf.DUMMYFUNCTION("""COMPUTED_VALUE"""),29.99)</f>
        <v>29.99</v>
      </c>
      <c r="BD323" s="2006"/>
      <c r="LL323" s="2007"/>
      <c r="LM323" s="2007"/>
      <c r="MX323" s="2007"/>
      <c r="ND323" s="2007"/>
    </row>
    <row r="324">
      <c r="A324" s="2005">
        <f>IFERROR(__xludf.DUMMYFUNCTION("""COMPUTED_VALUE"""),831860.0)</f>
        <v>831860</v>
      </c>
      <c r="B324" s="2005">
        <f>IFERROR(__xludf.DUMMYFUNCTION("""COMPUTED_VALUE"""),2502010.0)</f>
        <v>2502010</v>
      </c>
      <c r="C324" s="2005" t="str">
        <f>IFERROR(__xludf.DUMMYFUNCTION("""COMPUTED_VALUE"""),"Souris")</f>
        <v>Souris</v>
      </c>
      <c r="D324" s="2005" t="str">
        <f>IFERROR(__xludf.DUMMYFUNCTION("""COMPUTED_VALUE"""),"M705 Silver sans fil optique")</f>
        <v>M705 Silver sans fil optique</v>
      </c>
      <c r="E324" s="2005" t="str">
        <f>IFERROR(__xludf.DUMMYFUNCTION("""COMPUTED_VALUE"""),"LOGITECH")</f>
        <v>LOGITECH</v>
      </c>
      <c r="F324" s="2005" t="str">
        <f>IFERROR(__xludf.DUMMYFUNCTION("""COMPUTED_VALUE"""),"D")</f>
        <v>D</v>
      </c>
      <c r="G324" s="2005" t="str">
        <f>IFERROR(__xludf.DUMMYFUNCTION("""COMPUTED_VALUE"""),"AC")</f>
        <v>AC</v>
      </c>
      <c r="H324" s="2005">
        <f>IFERROR(__xludf.DUMMYFUNCTION("""COMPUTED_VALUE"""),54.99)</f>
        <v>54.99</v>
      </c>
      <c r="I324" s="2005">
        <f>IFERROR(__xludf.DUMMYFUNCTION("""COMPUTED_VALUE"""),39.99)</f>
        <v>39.99</v>
      </c>
      <c r="LM324" s="2008"/>
    </row>
    <row r="325">
      <c r="A325" s="2005">
        <f>IFERROR(__xludf.DUMMYFUNCTION("""COMPUTED_VALUE"""),831862.0)</f>
        <v>831862</v>
      </c>
      <c r="B325" s="2005">
        <f>IFERROR(__xludf.DUMMYFUNCTION("""COMPUTED_VALUE"""),2502010.0)</f>
        <v>2502010</v>
      </c>
      <c r="C325" s="2005" t="str">
        <f>IFERROR(__xludf.DUMMYFUNCTION("""COMPUTED_VALUE"""),"Souris")</f>
        <v>Souris</v>
      </c>
      <c r="D325" s="2005" t="str">
        <f>IFERROR(__xludf.DUMMYFUNCTION("""COMPUTED_VALUE"""),"M500 USB")</f>
        <v>M500 USB</v>
      </c>
      <c r="E325" s="2005" t="str">
        <f>IFERROR(__xludf.DUMMYFUNCTION("""COMPUTED_VALUE"""),"LOGITECH")</f>
        <v>LOGITECH</v>
      </c>
      <c r="F325" s="2005" t="str">
        <f>IFERROR(__xludf.DUMMYFUNCTION("""COMPUTED_VALUE"""),"D")</f>
        <v>D</v>
      </c>
      <c r="G325" s="2005" t="str">
        <f>IFERROR(__xludf.DUMMYFUNCTION("""COMPUTED_VALUE"""),"NN")</f>
        <v>NN</v>
      </c>
      <c r="H325" s="2005">
        <f>IFERROR(__xludf.DUMMYFUNCTION("""COMPUTED_VALUE"""),24.99)</f>
        <v>24.99</v>
      </c>
      <c r="I325" s="2005">
        <f>IFERROR(__xludf.DUMMYFUNCTION("""COMPUTED_VALUE"""),24.99)</f>
        <v>24.99</v>
      </c>
      <c r="LM325" s="2008"/>
    </row>
    <row r="326">
      <c r="A326" s="2005">
        <f>IFERROR(__xludf.DUMMYFUNCTION("""COMPUTED_VALUE"""),833964.0)</f>
        <v>833964</v>
      </c>
      <c r="B326" s="2005">
        <f>IFERROR(__xludf.DUMMYFUNCTION("""COMPUTED_VALUE"""),2403005.0)</f>
        <v>2403005</v>
      </c>
      <c r="C326" s="2005" t="str">
        <f>IFERROR(__xludf.DUMMYFUNCTION("""COMPUTED_VALUE"""),"Cartouche")</f>
        <v>Cartouche</v>
      </c>
      <c r="D326" s="2005" t="str">
        <f>IFERROR(__xludf.DUMMYFUNCTION("""COMPUTED_VALUE"""),"300 XL noire")</f>
        <v>300 XL noire</v>
      </c>
      <c r="E326" s="2005" t="str">
        <f>IFERROR(__xludf.DUMMYFUNCTION("""COMPUTED_VALUE"""),"HP")</f>
        <v>HP</v>
      </c>
      <c r="F326" s="2005" t="str">
        <f>IFERROR(__xludf.DUMMYFUNCTION("""COMPUTED_VALUE"""),"H")</f>
        <v>H</v>
      </c>
      <c r="G326" s="2005" t="str">
        <f>IFERROR(__xludf.DUMMYFUNCTION("""COMPUTED_VALUE"""),"NN")</f>
        <v>NN</v>
      </c>
      <c r="H326" s="2005">
        <f>IFERROR(__xludf.DUMMYFUNCTION("""COMPUTED_VALUE"""),64.99)</f>
        <v>64.99</v>
      </c>
      <c r="I326" s="2005">
        <f>IFERROR(__xludf.DUMMYFUNCTION("""COMPUTED_VALUE"""),64.99)</f>
        <v>64.99</v>
      </c>
      <c r="LM326" s="2008"/>
    </row>
    <row r="327">
      <c r="A327" s="2005">
        <f>IFERROR(__xludf.DUMMYFUNCTION("""COMPUTED_VALUE"""),833965.0)</f>
        <v>833965</v>
      </c>
      <c r="B327" s="2005">
        <f>IFERROR(__xludf.DUMMYFUNCTION("""COMPUTED_VALUE"""),2403005.0)</f>
        <v>2403005</v>
      </c>
      <c r="C327" s="2005" t="str">
        <f>IFERROR(__xludf.DUMMYFUNCTION("""COMPUTED_VALUE"""),"Cartouche")</f>
        <v>Cartouche</v>
      </c>
      <c r="D327" s="2005" t="str">
        <f>IFERROR(__xludf.DUMMYFUNCTION("""COMPUTED_VALUE"""),"N°300XL couleurs")</f>
        <v>N°300XL couleurs</v>
      </c>
      <c r="E327" s="2005" t="str">
        <f>IFERROR(__xludf.DUMMYFUNCTION("""COMPUTED_VALUE"""),"HP")</f>
        <v>HP</v>
      </c>
      <c r="F327" s="2005" t="str">
        <f>IFERROR(__xludf.DUMMYFUNCTION("""COMPUTED_VALUE"""),"C")</f>
        <v>C</v>
      </c>
      <c r="G327" s="2005" t="str">
        <f>IFERROR(__xludf.DUMMYFUNCTION("""COMPUTED_VALUE"""),"NN")</f>
        <v>NN</v>
      </c>
      <c r="H327" s="2005">
        <f>IFERROR(__xludf.DUMMYFUNCTION("""COMPUTED_VALUE"""),45.99)</f>
        <v>45.99</v>
      </c>
      <c r="I327" s="2005">
        <f>IFERROR(__xludf.DUMMYFUNCTION("""COMPUTED_VALUE"""),45.99)</f>
        <v>45.99</v>
      </c>
      <c r="LM327" s="2008"/>
    </row>
    <row r="328">
      <c r="A328" s="2005">
        <f>IFERROR(__xludf.DUMMYFUNCTION("""COMPUTED_VALUE"""),836128.0)</f>
        <v>836128</v>
      </c>
      <c r="B328" s="2005">
        <f>IFERROR(__xludf.DUMMYFUNCTION("""COMPUTED_VALUE"""),2403010.0)</f>
        <v>2403010</v>
      </c>
      <c r="C328" s="2005" t="str">
        <f>IFERROR(__xludf.DUMMYFUNCTION("""COMPUTED_VALUE"""),"Toner")</f>
        <v>Toner</v>
      </c>
      <c r="D328" s="2005" t="str">
        <f>IFERROR(__xludf.DUMMYFUNCTION("""COMPUTED_VALUE"""),"MLT-1052S")</f>
        <v>MLT-1052S</v>
      </c>
      <c r="E328" s="2005" t="str">
        <f>IFERROR(__xludf.DUMMYFUNCTION("""COMPUTED_VALUE"""),"SAMSUNG")</f>
        <v>SAMSUNG</v>
      </c>
      <c r="F328" s="2005" t="str">
        <f>IFERROR(__xludf.DUMMYFUNCTION("""COMPUTED_VALUE"""),"H")</f>
        <v>H</v>
      </c>
      <c r="G328" s="2005" t="str">
        <f>IFERROR(__xludf.DUMMYFUNCTION("""COMPUTED_VALUE"""),"FR")</f>
        <v>FR</v>
      </c>
      <c r="H328" s="2005">
        <f>IFERROR(__xludf.DUMMYFUNCTION("""COMPUTED_VALUE"""),69.99)</f>
        <v>69.99</v>
      </c>
      <c r="I328" s="2005">
        <f>IFERROR(__xludf.DUMMYFUNCTION("""COMPUTED_VALUE"""),69.99)</f>
        <v>69.99</v>
      </c>
      <c r="BD328" s="2006"/>
      <c r="LL328" s="2007"/>
      <c r="LM328" s="2007"/>
      <c r="MX328" s="2008"/>
      <c r="ND328" s="2008"/>
    </row>
    <row r="329">
      <c r="A329" s="2005">
        <f>IFERROR(__xludf.DUMMYFUNCTION("""COMPUTED_VALUE"""),838649.0)</f>
        <v>838649</v>
      </c>
      <c r="B329" s="2005">
        <f>IFERROR(__xludf.DUMMYFUNCTION("""COMPUTED_VALUE"""),2401025.0)</f>
        <v>2401025</v>
      </c>
      <c r="C329" s="2005" t="str">
        <f>IFERROR(__xludf.DUMMYFUNCTION("""COMPUTED_VALUE"""),"Blu-Ray Disc")</f>
        <v>Blu-Ray Disc</v>
      </c>
      <c r="D329" s="2005" t="str">
        <f>IFERROR(__xludf.DUMMYFUNCTION("""COMPUTED_VALUE"""),"BD-RE 25GO 5PK P5 boitier Jewel 2x")</f>
        <v>BD-RE 25GO 5PK P5 boitier Jewel 2x</v>
      </c>
      <c r="E329" s="2005" t="str">
        <f>IFERROR(__xludf.DUMMYFUNCTION("""COMPUTED_VALUE"""),"VERBATIM")</f>
        <v>VERBATIM</v>
      </c>
      <c r="F329" s="2005" t="str">
        <f>IFERROR(__xludf.DUMMYFUNCTION("""COMPUTED_VALUE"""),"H")</f>
        <v>H</v>
      </c>
      <c r="G329" s="2005" t="str">
        <f>IFERROR(__xludf.DUMMYFUNCTION("""COMPUTED_VALUE"""),"AC")</f>
        <v>AC</v>
      </c>
      <c r="H329" s="2005">
        <f>IFERROR(__xludf.DUMMYFUNCTION("""COMPUTED_VALUE"""),12.99)</f>
        <v>12.99</v>
      </c>
      <c r="I329" s="2005">
        <f>IFERROR(__xludf.DUMMYFUNCTION("""COMPUTED_VALUE"""),12.99)</f>
        <v>12.99</v>
      </c>
      <c r="BD329" s="2006"/>
      <c r="LL329" s="2007"/>
      <c r="LM329" s="2008"/>
      <c r="MX329" s="2007"/>
      <c r="ND329" s="2007"/>
    </row>
    <row r="330">
      <c r="A330" s="2005">
        <f>IFERROR(__xludf.DUMMYFUNCTION("""COMPUTED_VALUE"""),840928.0)</f>
        <v>840928</v>
      </c>
      <c r="B330" s="2005">
        <f>IFERROR(__xludf.DUMMYFUNCTION("""COMPUTED_VALUE"""),2403005.0)</f>
        <v>2403005</v>
      </c>
      <c r="C330" s="2005" t="str">
        <f>IFERROR(__xludf.DUMMYFUNCTION("""COMPUTED_VALUE"""),"Pack")</f>
        <v>Pack</v>
      </c>
      <c r="D330" s="2005" t="str">
        <f>IFERROR(__xludf.DUMMYFUNCTION("""COMPUTED_VALUE"""),"300 noire + couleurs")</f>
        <v>300 noire + couleurs</v>
      </c>
      <c r="E330" s="2005" t="str">
        <f>IFERROR(__xludf.DUMMYFUNCTION("""COMPUTED_VALUE"""),"HP")</f>
        <v>HP</v>
      </c>
      <c r="F330" s="2005" t="str">
        <f>IFERROR(__xludf.DUMMYFUNCTION("""COMPUTED_VALUE"""),"A")</f>
        <v>A</v>
      </c>
      <c r="G330" s="2005" t="str">
        <f>IFERROR(__xludf.DUMMYFUNCTION("""COMPUTED_VALUE"""),"AC")</f>
        <v>AC</v>
      </c>
      <c r="H330" s="2005">
        <f>IFERROR(__xludf.DUMMYFUNCTION("""COMPUTED_VALUE"""),57.99)</f>
        <v>57.99</v>
      </c>
      <c r="I330" s="2005">
        <f>IFERROR(__xludf.DUMMYFUNCTION("""COMPUTED_VALUE"""),57.99)</f>
        <v>57.99</v>
      </c>
      <c r="BD330" s="2006"/>
      <c r="LL330" s="2007"/>
      <c r="LM330" s="2007"/>
      <c r="MX330" s="2007"/>
      <c r="ND330" s="2007"/>
    </row>
    <row r="331">
      <c r="A331" s="2005">
        <f>IFERROR(__xludf.DUMMYFUNCTION("""COMPUTED_VALUE"""),841163.0)</f>
        <v>841163</v>
      </c>
      <c r="B331" s="2005">
        <f>IFERROR(__xludf.DUMMYFUNCTION("""COMPUTED_VALUE"""),2403005.0)</f>
        <v>2403005</v>
      </c>
      <c r="C331" s="2005" t="str">
        <f>IFERROR(__xludf.DUMMYFUNCTION("""COMPUTED_VALUE"""),"Cartouche")</f>
        <v>Cartouche</v>
      </c>
      <c r="D331" s="2005" t="str">
        <f>IFERROR(__xludf.DUMMYFUNCTION("""COMPUTED_VALUE"""),"LC980 magenta")</f>
        <v>LC980 magenta</v>
      </c>
      <c r="E331" s="2005" t="str">
        <f>IFERROR(__xludf.DUMMYFUNCTION("""COMPUTED_VALUE"""),"BROTHER")</f>
        <v>BROTHER</v>
      </c>
      <c r="F331" s="2005" t="str">
        <f>IFERROR(__xludf.DUMMYFUNCTION("""COMPUTED_VALUE"""),"H")</f>
        <v>H</v>
      </c>
      <c r="G331" s="2005" t="str">
        <f>IFERROR(__xludf.DUMMYFUNCTION("""COMPUTED_VALUE"""),"NN")</f>
        <v>NN</v>
      </c>
      <c r="H331" s="2005">
        <f>IFERROR(__xludf.DUMMYFUNCTION("""COMPUTED_VALUE"""),12.99)</f>
        <v>12.99</v>
      </c>
      <c r="I331" s="2005">
        <f>IFERROR(__xludf.DUMMYFUNCTION("""COMPUTED_VALUE"""),9.99)</f>
        <v>9.99</v>
      </c>
      <c r="BD331" s="2006"/>
      <c r="LL331" s="2007"/>
      <c r="LM331" s="2007"/>
      <c r="MX331" s="2007"/>
      <c r="ND331" s="2007"/>
    </row>
    <row r="332">
      <c r="A332" s="2005">
        <f>IFERROR(__xludf.DUMMYFUNCTION("""COMPUTED_VALUE"""),841164.0)</f>
        <v>841164</v>
      </c>
      <c r="B332" s="2005">
        <f>IFERROR(__xludf.DUMMYFUNCTION("""COMPUTED_VALUE"""),2403005.0)</f>
        <v>2403005</v>
      </c>
      <c r="C332" s="2005" t="str">
        <f>IFERROR(__xludf.DUMMYFUNCTION("""COMPUTED_VALUE"""),"Cartouche")</f>
        <v>Cartouche</v>
      </c>
      <c r="D332" s="2005" t="str">
        <f>IFERROR(__xludf.DUMMYFUNCTION("""COMPUTED_VALUE"""),"LC980 cyan")</f>
        <v>LC980 cyan</v>
      </c>
      <c r="E332" s="2005" t="str">
        <f>IFERROR(__xludf.DUMMYFUNCTION("""COMPUTED_VALUE"""),"BROTHER")</f>
        <v>BROTHER</v>
      </c>
      <c r="F332" s="2005" t="str">
        <f>IFERROR(__xludf.DUMMYFUNCTION("""COMPUTED_VALUE"""),"H")</f>
        <v>H</v>
      </c>
      <c r="G332" s="2005" t="str">
        <f>IFERROR(__xludf.DUMMYFUNCTION("""COMPUTED_VALUE"""),"NN")</f>
        <v>NN</v>
      </c>
      <c r="H332" s="2005">
        <f>IFERROR(__xludf.DUMMYFUNCTION("""COMPUTED_VALUE"""),12.49)</f>
        <v>12.49</v>
      </c>
      <c r="I332" s="2005">
        <f>IFERROR(__xludf.DUMMYFUNCTION("""COMPUTED_VALUE"""),12.49)</f>
        <v>12.49</v>
      </c>
      <c r="BD332" s="2006"/>
      <c r="LL332" s="2007"/>
      <c r="LM332" s="2007"/>
      <c r="MX332" s="2007"/>
      <c r="ND332" s="2007"/>
    </row>
    <row r="333">
      <c r="A333" s="2005">
        <f>IFERROR(__xludf.DUMMYFUNCTION("""COMPUTED_VALUE"""),841165.0)</f>
        <v>841165</v>
      </c>
      <c r="B333" s="2005">
        <f>IFERROR(__xludf.DUMMYFUNCTION("""COMPUTED_VALUE"""),2403005.0)</f>
        <v>2403005</v>
      </c>
      <c r="C333" s="2005" t="str">
        <f>IFERROR(__xludf.DUMMYFUNCTION("""COMPUTED_VALUE"""),"Cartouche")</f>
        <v>Cartouche</v>
      </c>
      <c r="D333" s="2005" t="str">
        <f>IFERROR(__xludf.DUMMYFUNCTION("""COMPUTED_VALUE"""),"LC980 jaune")</f>
        <v>LC980 jaune</v>
      </c>
      <c r="E333" s="2005" t="str">
        <f>IFERROR(__xludf.DUMMYFUNCTION("""COMPUTED_VALUE"""),"BROTHER")</f>
        <v>BROTHER</v>
      </c>
      <c r="F333" s="2005" t="str">
        <f>IFERROR(__xludf.DUMMYFUNCTION("""COMPUTED_VALUE"""),"H")</f>
        <v>H</v>
      </c>
      <c r="G333" s="2005" t="str">
        <f>IFERROR(__xludf.DUMMYFUNCTION("""COMPUTED_VALUE"""),"NN")</f>
        <v>NN</v>
      </c>
      <c r="H333" s="2005">
        <f>IFERROR(__xludf.DUMMYFUNCTION("""COMPUTED_VALUE"""),12.49)</f>
        <v>12.49</v>
      </c>
      <c r="I333" s="2005">
        <f>IFERROR(__xludf.DUMMYFUNCTION("""COMPUTED_VALUE"""),9.99)</f>
        <v>9.99</v>
      </c>
      <c r="BD333" s="2006"/>
      <c r="LL333" s="2008"/>
      <c r="LM333" s="2007"/>
      <c r="MX333" s="2007"/>
      <c r="ND333" s="2007"/>
    </row>
    <row r="334">
      <c r="A334" s="2005">
        <f>IFERROR(__xludf.DUMMYFUNCTION("""COMPUTED_VALUE"""),841166.0)</f>
        <v>841166</v>
      </c>
      <c r="B334" s="2005">
        <f>IFERROR(__xludf.DUMMYFUNCTION("""COMPUTED_VALUE"""),2403005.0)</f>
        <v>2403005</v>
      </c>
      <c r="C334" s="2005" t="str">
        <f>IFERROR(__xludf.DUMMYFUNCTION("""COMPUTED_VALUE"""),"Cartouche")</f>
        <v>Cartouche</v>
      </c>
      <c r="D334" s="2005" t="str">
        <f>IFERROR(__xludf.DUMMYFUNCTION("""COMPUTED_VALUE"""),"LC980 noir")</f>
        <v>LC980 noir</v>
      </c>
      <c r="E334" s="2005" t="str">
        <f>IFERROR(__xludf.DUMMYFUNCTION("""COMPUTED_VALUE"""),"BROTHER")</f>
        <v>BROTHER</v>
      </c>
      <c r="F334" s="2005" t="str">
        <f>IFERROR(__xludf.DUMMYFUNCTION("""COMPUTED_VALUE"""),"H")</f>
        <v>H</v>
      </c>
      <c r="G334" s="2005" t="str">
        <f>IFERROR(__xludf.DUMMYFUNCTION("""COMPUTED_VALUE"""),"NN")</f>
        <v>NN</v>
      </c>
      <c r="H334" s="2005">
        <f>IFERROR(__xludf.DUMMYFUNCTION("""COMPUTED_VALUE"""),23.49)</f>
        <v>23.49</v>
      </c>
      <c r="I334" s="2005">
        <f>IFERROR(__xludf.DUMMYFUNCTION("""COMPUTED_VALUE"""),17.99)</f>
        <v>17.99</v>
      </c>
      <c r="BD334" s="2006"/>
      <c r="LL334" s="2007"/>
      <c r="LM334" s="2007"/>
      <c r="MX334" s="2007"/>
      <c r="ND334" s="2007"/>
    </row>
    <row r="335">
      <c r="A335" s="2005">
        <f>IFERROR(__xludf.DUMMYFUNCTION("""COMPUTED_VALUE"""),841916.0)</f>
        <v>841916</v>
      </c>
      <c r="B335" s="2005">
        <f>IFERROR(__xludf.DUMMYFUNCTION("""COMPUTED_VALUE"""),2502510.0)</f>
        <v>2502510</v>
      </c>
      <c r="C335" s="2005" t="str">
        <f>IFERROR(__xludf.DUMMYFUNCTION("""COMPUTED_VALUE"""),"Support")</f>
        <v>Support</v>
      </c>
      <c r="D335" s="2005" t="str">
        <f>IFERROR(__xludf.DUMMYFUNCTION("""COMPUTED_VALUE"""),"Dark Wave av ventilateur")</f>
        <v>Dark Wave av ventilateur</v>
      </c>
      <c r="E335" s="2005" t="str">
        <f>IFERROR(__xludf.DUMMYFUNCTION("""COMPUTED_VALUE"""),"ESSENTIELB")</f>
        <v>ESSENTIELB</v>
      </c>
      <c r="F335" s="2005" t="str">
        <f>IFERROR(__xludf.DUMMYFUNCTION("""COMPUTED_VALUE"""),"A")</f>
        <v>A</v>
      </c>
      <c r="G335" s="2005" t="str">
        <f>IFERROR(__xludf.DUMMYFUNCTION("""COMPUTED_VALUE"""),"NN")</f>
        <v>NN</v>
      </c>
      <c r="H335" s="2005">
        <f>IFERROR(__xludf.DUMMYFUNCTION("""COMPUTED_VALUE"""),34.99)</f>
        <v>34.99</v>
      </c>
      <c r="I335" s="2005">
        <f>IFERROR(__xludf.DUMMYFUNCTION("""COMPUTED_VALUE"""),34.99)</f>
        <v>34.99</v>
      </c>
      <c r="BD335" s="2006"/>
      <c r="LL335" s="2007"/>
      <c r="LM335" s="2007"/>
      <c r="MX335" s="2007"/>
      <c r="ND335" s="2007"/>
    </row>
    <row r="336">
      <c r="A336" s="2005">
        <f>IFERROR(__xludf.DUMMYFUNCTION("""COMPUTED_VALUE"""),842588.0)</f>
        <v>842588</v>
      </c>
      <c r="B336" s="2005">
        <f>IFERROR(__xludf.DUMMYFUNCTION("""COMPUTED_VALUE"""),2403010.0)</f>
        <v>2403010</v>
      </c>
      <c r="C336" s="2005" t="str">
        <f>IFERROR(__xludf.DUMMYFUNCTION("""COMPUTED_VALUE"""),"Toner")</f>
        <v>Toner</v>
      </c>
      <c r="D336" s="2005" t="str">
        <f>IFERROR(__xludf.DUMMYFUNCTION("""COMPUTED_VALUE"""),"MLT-D1042S")</f>
        <v>MLT-D1042S</v>
      </c>
      <c r="E336" s="2005" t="str">
        <f>IFERROR(__xludf.DUMMYFUNCTION("""COMPUTED_VALUE"""),"SAMSUNG")</f>
        <v>SAMSUNG</v>
      </c>
      <c r="F336" s="2005" t="str">
        <f>IFERROR(__xludf.DUMMYFUNCTION("""COMPUTED_VALUE"""),"H")</f>
        <v>H</v>
      </c>
      <c r="G336" s="2005" t="str">
        <f>IFERROR(__xludf.DUMMYFUNCTION("""COMPUTED_VALUE"""),"FF")</f>
        <v>FF</v>
      </c>
      <c r="H336" s="2005">
        <f>IFERROR(__xludf.DUMMYFUNCTION("""COMPUTED_VALUE"""),77.99)</f>
        <v>77.99</v>
      </c>
      <c r="I336" s="2005">
        <f>IFERROR(__xludf.DUMMYFUNCTION("""COMPUTED_VALUE"""),77.99)</f>
        <v>77.99</v>
      </c>
      <c r="BD336" s="2006"/>
      <c r="LL336" s="2007"/>
      <c r="LM336" s="2007"/>
      <c r="MX336" s="2008"/>
      <c r="ND336" s="2007"/>
    </row>
    <row r="337">
      <c r="A337" s="2005">
        <f>IFERROR(__xludf.DUMMYFUNCTION("""COMPUTED_VALUE"""),843764.0)</f>
        <v>843764</v>
      </c>
      <c r="B337" s="2005">
        <f>IFERROR(__xludf.DUMMYFUNCTION("""COMPUTED_VALUE"""),2502010.0)</f>
        <v>2502010</v>
      </c>
      <c r="C337" s="2005" t="str">
        <f>IFERROR(__xludf.DUMMYFUNCTION("""COMPUTED_VALUE"""),"Souris")</f>
        <v>Souris</v>
      </c>
      <c r="D337" s="2005" t="str">
        <f>IFERROR(__xludf.DUMMYFUNCTION("""COMPUTED_VALUE"""),"SF-764")</f>
        <v>SF-764</v>
      </c>
      <c r="E337" s="2005" t="str">
        <f>IFERROR(__xludf.DUMMYFUNCTION("""COMPUTED_VALUE"""),"LISTO")</f>
        <v>LISTO</v>
      </c>
      <c r="F337" s="2005" t="str">
        <f>IFERROR(__xludf.DUMMYFUNCTION("""COMPUTED_VALUE"""),"A")</f>
        <v>A</v>
      </c>
      <c r="G337" s="2005" t="str">
        <f>IFERROR(__xludf.DUMMYFUNCTION("""COMPUTED_VALUE"""),"AC")</f>
        <v>AC</v>
      </c>
      <c r="H337" s="2005">
        <f>IFERROR(__xludf.DUMMYFUNCTION("""COMPUTED_VALUE"""),7.99)</f>
        <v>7.99</v>
      </c>
      <c r="I337" s="2005">
        <f>IFERROR(__xludf.DUMMYFUNCTION("""COMPUTED_VALUE"""),7.99)</f>
        <v>7.99</v>
      </c>
      <c r="BD337" s="2006"/>
      <c r="LL337" s="2007"/>
      <c r="LM337" s="2007"/>
      <c r="MX337" s="2007"/>
      <c r="ND337" s="2007"/>
    </row>
    <row r="338">
      <c r="A338" s="2005">
        <f>IFERROR(__xludf.DUMMYFUNCTION("""COMPUTED_VALUE"""),846067.0)</f>
        <v>846067</v>
      </c>
      <c r="B338" s="2005">
        <f>IFERROR(__xludf.DUMMYFUNCTION("""COMPUTED_VALUE"""),2403515.0)</f>
        <v>2403515</v>
      </c>
      <c r="C338" s="2005" t="str">
        <f>IFERROR(__xludf.DUMMYFUNCTION("""COMPUTED_VALUE"""),"Pack")</f>
        <v>Pack</v>
      </c>
      <c r="D338" s="2005" t="str">
        <f>IFERROR(__xludf.DUMMYFUNCTION("""COMPUTED_VALUE"""),"25 feuilles A4 80 mic pour plastifieuse")</f>
        <v>25 feuilles A4 80 mic pour plastifieuse</v>
      </c>
      <c r="E338" s="2005" t="str">
        <f>IFERROR(__xludf.DUMMYFUNCTION("""COMPUTED_VALUE"""),"ESSENTIELB")</f>
        <v>ESSENTIELB</v>
      </c>
      <c r="F338" s="2005" t="str">
        <f>IFERROR(__xludf.DUMMYFUNCTION("""COMPUTED_VALUE"""),"B")</f>
        <v>B</v>
      </c>
      <c r="G338" s="2005" t="str">
        <f>IFERROR(__xludf.DUMMYFUNCTION("""COMPUTED_VALUE"""),"NN")</f>
        <v>NN</v>
      </c>
      <c r="H338" s="2005">
        <f>IFERROR(__xludf.DUMMYFUNCTION("""COMPUTED_VALUE"""),9.99)</f>
        <v>9.99</v>
      </c>
      <c r="I338" s="2005">
        <f>IFERROR(__xludf.DUMMYFUNCTION("""COMPUTED_VALUE"""),7.99)</f>
        <v>7.99</v>
      </c>
      <c r="BD338" s="2006"/>
      <c r="LL338" s="2007"/>
      <c r="LM338" s="2007"/>
      <c r="MX338" s="2007"/>
      <c r="ND338" s="2007"/>
    </row>
    <row r="339">
      <c r="A339" s="2005">
        <f>IFERROR(__xludf.DUMMYFUNCTION("""COMPUTED_VALUE"""),846183.0)</f>
        <v>846183</v>
      </c>
      <c r="B339" s="2005">
        <f>IFERROR(__xludf.DUMMYFUNCTION("""COMPUTED_VALUE"""),2403005.0)</f>
        <v>2403005</v>
      </c>
      <c r="C339" s="2005" t="str">
        <f>IFERROR(__xludf.DUMMYFUNCTION("""COMPUTED_VALUE"""),"Cartouche")</f>
        <v>Cartouche</v>
      </c>
      <c r="D339" s="2005" t="str">
        <f>IFERROR(__xludf.DUMMYFUNCTION("""COMPUTED_VALUE"""),"N°920XL cyan")</f>
        <v>N°920XL cyan</v>
      </c>
      <c r="E339" s="2005" t="str">
        <f>IFERROR(__xludf.DUMMYFUNCTION("""COMPUTED_VALUE"""),"HP")</f>
        <v>HP</v>
      </c>
      <c r="F339" s="2005" t="str">
        <f>IFERROR(__xludf.DUMMYFUNCTION("""COMPUTED_VALUE"""),"A")</f>
        <v>A</v>
      </c>
      <c r="G339" s="2005" t="str">
        <f>IFERROR(__xludf.DUMMYFUNCTION("""COMPUTED_VALUE"""),"NN")</f>
        <v>NN</v>
      </c>
      <c r="H339" s="2005">
        <f>IFERROR(__xludf.DUMMYFUNCTION("""COMPUTED_VALUE"""),19.99)</f>
        <v>19.99</v>
      </c>
      <c r="I339" s="2005">
        <f>IFERROR(__xludf.DUMMYFUNCTION("""COMPUTED_VALUE"""),19.99)</f>
        <v>19.99</v>
      </c>
      <c r="BD339" s="2006"/>
      <c r="LL339" s="2008"/>
      <c r="LM339" s="2007"/>
      <c r="MX339" s="2007"/>
      <c r="ND339" s="2007"/>
    </row>
    <row r="340">
      <c r="A340" s="2005">
        <f>IFERROR(__xludf.DUMMYFUNCTION("""COMPUTED_VALUE"""),846184.0)</f>
        <v>846184</v>
      </c>
      <c r="B340" s="2005">
        <f>IFERROR(__xludf.DUMMYFUNCTION("""COMPUTED_VALUE"""),2403005.0)</f>
        <v>2403005</v>
      </c>
      <c r="C340" s="2005" t="str">
        <f>IFERROR(__xludf.DUMMYFUNCTION("""COMPUTED_VALUE"""),"Cartouche")</f>
        <v>Cartouche</v>
      </c>
      <c r="D340" s="2005" t="str">
        <f>IFERROR(__xludf.DUMMYFUNCTION("""COMPUTED_VALUE"""),"N°920XL magenta")</f>
        <v>N°920XL magenta</v>
      </c>
      <c r="E340" s="2005" t="str">
        <f>IFERROR(__xludf.DUMMYFUNCTION("""COMPUTED_VALUE"""),"HP")</f>
        <v>HP</v>
      </c>
      <c r="F340" s="2005" t="str">
        <f>IFERROR(__xludf.DUMMYFUNCTION("""COMPUTED_VALUE"""),"A")</f>
        <v>A</v>
      </c>
      <c r="G340" s="2005" t="str">
        <f>IFERROR(__xludf.DUMMYFUNCTION("""COMPUTED_VALUE"""),"NN")</f>
        <v>NN</v>
      </c>
      <c r="H340" s="2005">
        <f>IFERROR(__xludf.DUMMYFUNCTION("""COMPUTED_VALUE"""),19.99)</f>
        <v>19.99</v>
      </c>
      <c r="I340" s="2005">
        <f>IFERROR(__xludf.DUMMYFUNCTION("""COMPUTED_VALUE"""),19.99)</f>
        <v>19.99</v>
      </c>
      <c r="BD340" s="2006"/>
      <c r="LL340" s="2007"/>
      <c r="LM340" s="2007"/>
      <c r="MX340" s="2007"/>
      <c r="ND340" s="2007"/>
    </row>
    <row r="341">
      <c r="A341" s="2005">
        <f>IFERROR(__xludf.DUMMYFUNCTION("""COMPUTED_VALUE"""),846185.0)</f>
        <v>846185</v>
      </c>
      <c r="B341" s="2005">
        <f>IFERROR(__xludf.DUMMYFUNCTION("""COMPUTED_VALUE"""),2403005.0)</f>
        <v>2403005</v>
      </c>
      <c r="C341" s="2005" t="str">
        <f>IFERROR(__xludf.DUMMYFUNCTION("""COMPUTED_VALUE"""),"Cartouche")</f>
        <v>Cartouche</v>
      </c>
      <c r="D341" s="2005" t="str">
        <f>IFERROR(__xludf.DUMMYFUNCTION("""COMPUTED_VALUE"""),"N°920XL jaune")</f>
        <v>N°920XL jaune</v>
      </c>
      <c r="E341" s="2005" t="str">
        <f>IFERROR(__xludf.DUMMYFUNCTION("""COMPUTED_VALUE"""),"HP")</f>
        <v>HP</v>
      </c>
      <c r="F341" s="2005" t="str">
        <f>IFERROR(__xludf.DUMMYFUNCTION("""COMPUTED_VALUE"""),"A")</f>
        <v>A</v>
      </c>
      <c r="G341" s="2005" t="str">
        <f>IFERROR(__xludf.DUMMYFUNCTION("""COMPUTED_VALUE"""),"NN")</f>
        <v>NN</v>
      </c>
      <c r="H341" s="2005">
        <f>IFERROR(__xludf.DUMMYFUNCTION("""COMPUTED_VALUE"""),19.99)</f>
        <v>19.99</v>
      </c>
      <c r="I341" s="2005">
        <f>IFERROR(__xludf.DUMMYFUNCTION("""COMPUTED_VALUE"""),19.99)</f>
        <v>19.99</v>
      </c>
      <c r="BD341" s="2006"/>
      <c r="LL341" s="2007"/>
      <c r="LM341" s="2007"/>
      <c r="MX341" s="2007"/>
      <c r="ND341" s="2007"/>
    </row>
    <row r="342">
      <c r="A342" s="2005">
        <f>IFERROR(__xludf.DUMMYFUNCTION("""COMPUTED_VALUE"""),847507.0)</f>
        <v>847507</v>
      </c>
      <c r="B342" s="2005">
        <f>IFERROR(__xludf.DUMMYFUNCTION("""COMPUTED_VALUE"""),2403005.0)</f>
        <v>2403005</v>
      </c>
      <c r="C342" s="2005" t="str">
        <f>IFERROR(__xludf.DUMMYFUNCTION("""COMPUTED_VALUE"""),"MultiPack")</f>
        <v>MultiPack</v>
      </c>
      <c r="D342" s="2005" t="str">
        <f>IFERROR(__xludf.DUMMYFUNCTION("""COMPUTED_VALUE"""),"T1295 (n/c/m/j) série Pomme")</f>
        <v>T1295 (n/c/m/j) série Pomme</v>
      </c>
      <c r="E342" s="2005" t="str">
        <f>IFERROR(__xludf.DUMMYFUNCTION("""COMPUTED_VALUE"""),"EPSON")</f>
        <v>EPSON</v>
      </c>
      <c r="F342" s="2005" t="str">
        <f>IFERROR(__xludf.DUMMYFUNCTION("""COMPUTED_VALUE"""),"C")</f>
        <v>C</v>
      </c>
      <c r="G342" s="2005" t="str">
        <f>IFERROR(__xludf.DUMMYFUNCTION("""COMPUTED_VALUE"""),"AC")</f>
        <v>AC</v>
      </c>
      <c r="H342" s="2005">
        <f>IFERROR(__xludf.DUMMYFUNCTION("""COMPUTED_VALUE"""),75.99)</f>
        <v>75.99</v>
      </c>
      <c r="I342" s="2005">
        <f>IFERROR(__xludf.DUMMYFUNCTION("""COMPUTED_VALUE"""),75.99)</f>
        <v>75.99</v>
      </c>
      <c r="BD342" s="2006"/>
      <c r="LL342" s="2007"/>
      <c r="LM342" s="2007"/>
      <c r="MX342" s="2007"/>
      <c r="ND342" s="2007"/>
    </row>
    <row r="343">
      <c r="A343" s="2005">
        <f>IFERROR(__xludf.DUMMYFUNCTION("""COMPUTED_VALUE"""),847660.0)</f>
        <v>847660</v>
      </c>
      <c r="B343" s="2005">
        <f>IFERROR(__xludf.DUMMYFUNCTION("""COMPUTED_VALUE"""),2401015.0)</f>
        <v>2401015</v>
      </c>
      <c r="C343" s="2005" t="str">
        <f>IFERROR(__xludf.DUMMYFUNCTION("""COMPUTED_VALUE"""),"DVD")</f>
        <v>DVD</v>
      </c>
      <c r="D343" s="2005" t="str">
        <f>IFERROR(__xludf.DUMMYFUNCTION("""COMPUTED_VALUE"""),"P5 DVD-R 16x Slim")</f>
        <v>P5 DVD-R 16x Slim</v>
      </c>
      <c r="E343" s="2005" t="str">
        <f>IFERROR(__xludf.DUMMYFUNCTION("""COMPUTED_VALUE"""),"ESSENTIELB")</f>
        <v>ESSENTIELB</v>
      </c>
      <c r="F343" s="2005" t="str">
        <f>IFERROR(__xludf.DUMMYFUNCTION("""COMPUTED_VALUE"""),"B")</f>
        <v>B</v>
      </c>
      <c r="G343" s="2005" t="str">
        <f>IFERROR(__xludf.DUMMYFUNCTION("""COMPUTED_VALUE"""),"NN")</f>
        <v>NN</v>
      </c>
      <c r="H343" s="2005">
        <f>IFERROR(__xludf.DUMMYFUNCTION("""COMPUTED_VALUE"""),9.99)</f>
        <v>9.99</v>
      </c>
      <c r="I343" s="2005">
        <f>IFERROR(__xludf.DUMMYFUNCTION("""COMPUTED_VALUE"""),9.99)</f>
        <v>9.99</v>
      </c>
      <c r="BD343" s="2006"/>
      <c r="LL343" s="2008"/>
      <c r="LM343" s="2007"/>
      <c r="MX343" s="2007"/>
      <c r="ND343" s="2007"/>
    </row>
    <row r="344">
      <c r="A344" s="2005">
        <f>IFERROR(__xludf.DUMMYFUNCTION("""COMPUTED_VALUE"""),848381.0)</f>
        <v>848381</v>
      </c>
      <c r="B344" s="2005">
        <f>IFERROR(__xludf.DUMMYFUNCTION("""COMPUTED_VALUE"""),2707005.0)</f>
        <v>2707005</v>
      </c>
      <c r="C344" s="2005" t="str">
        <f>IFERROR(__xludf.DUMMYFUNCTION("""COMPUTED_VALUE"""),"Dico")</f>
        <v>Dico</v>
      </c>
      <c r="D344" s="2005" t="str">
        <f>IFERROR(__xludf.DUMMYFUNCTION("""COMPUTED_VALUE"""),"Le Larousse de poche électronique D800FR")</f>
        <v>Le Larousse de poche électronique D800FR</v>
      </c>
      <c r="E344" s="2005" t="str">
        <f>IFERROR(__xludf.DUMMYFUNCTION("""COMPUTED_VALUE"""),"LAROUSSE")</f>
        <v>LAROUSSE</v>
      </c>
      <c r="F344" s="2005" t="str">
        <f>IFERROR(__xludf.DUMMYFUNCTION("""COMPUTED_VALUE"""),"H")</f>
        <v>H</v>
      </c>
      <c r="G344" s="2005" t="str">
        <f>IFERROR(__xludf.DUMMYFUNCTION("""COMPUTED_VALUE"""),"NN")</f>
        <v>NN</v>
      </c>
      <c r="H344" s="2005">
        <f>IFERROR(__xludf.DUMMYFUNCTION("""COMPUTED_VALUE"""),44.99)</f>
        <v>44.99</v>
      </c>
      <c r="I344" s="2005">
        <f>IFERROR(__xludf.DUMMYFUNCTION("""COMPUTED_VALUE"""),44.99)</f>
        <v>44.99</v>
      </c>
      <c r="BD344" s="2006"/>
      <c r="LL344" s="2007"/>
      <c r="LM344" s="2007"/>
      <c r="MX344" s="2008"/>
      <c r="ND344" s="2007"/>
    </row>
    <row r="345">
      <c r="A345" s="2005">
        <f>IFERROR(__xludf.DUMMYFUNCTION("""COMPUTED_VALUE"""),849414.0)</f>
        <v>849414</v>
      </c>
      <c r="B345" s="2005">
        <f>IFERROR(__xludf.DUMMYFUNCTION("""COMPUTED_VALUE"""),2403010.0)</f>
        <v>2403010</v>
      </c>
      <c r="C345" s="2005" t="str">
        <f>IFERROR(__xludf.DUMMYFUNCTION("""COMPUTED_VALUE"""),"Toner")</f>
        <v>Toner</v>
      </c>
      <c r="D345" s="2005" t="str">
        <f>IFERROR(__xludf.DUMMYFUNCTION("""COMPUTED_VALUE"""),"CLT-K4072S Noir")</f>
        <v>CLT-K4072S Noir</v>
      </c>
      <c r="E345" s="2005" t="str">
        <f>IFERROR(__xludf.DUMMYFUNCTION("""COMPUTED_VALUE"""),"SAMSUNG")</f>
        <v>SAMSUNG</v>
      </c>
      <c r="F345" s="2005" t="str">
        <f>IFERROR(__xludf.DUMMYFUNCTION("""COMPUTED_VALUE"""),"H")</f>
        <v>H</v>
      </c>
      <c r="G345" s="2005" t="str">
        <f>IFERROR(__xludf.DUMMYFUNCTION("""COMPUTED_VALUE"""),"NN")</f>
        <v>NN</v>
      </c>
      <c r="H345" s="2005">
        <f>IFERROR(__xludf.DUMMYFUNCTION("""COMPUTED_VALUE"""),45.99)</f>
        <v>45.99</v>
      </c>
      <c r="I345" s="2005">
        <f>IFERROR(__xludf.DUMMYFUNCTION("""COMPUTED_VALUE"""),45.99)</f>
        <v>45.99</v>
      </c>
      <c r="BD345" s="2006"/>
      <c r="LM345" s="2007"/>
      <c r="MX345" s="2007"/>
      <c r="ND345" s="2007"/>
    </row>
    <row r="346">
      <c r="A346" s="2005">
        <f>IFERROR(__xludf.DUMMYFUNCTION("""COMPUTED_VALUE"""),849417.0)</f>
        <v>849417</v>
      </c>
      <c r="B346" s="2005">
        <f>IFERROR(__xludf.DUMMYFUNCTION("""COMPUTED_VALUE"""),2403010.0)</f>
        <v>2403010</v>
      </c>
      <c r="C346" s="2005" t="str">
        <f>IFERROR(__xludf.DUMMYFUNCTION("""COMPUTED_VALUE"""),"Toner")</f>
        <v>Toner</v>
      </c>
      <c r="D346" s="2005" t="str">
        <f>IFERROR(__xludf.DUMMYFUNCTION("""COMPUTED_VALUE"""),"CLT-M4072S Magenta")</f>
        <v>CLT-M4072S Magenta</v>
      </c>
      <c r="E346" s="2005" t="str">
        <f>IFERROR(__xludf.DUMMYFUNCTION("""COMPUTED_VALUE"""),"SAMSUNG")</f>
        <v>SAMSUNG</v>
      </c>
      <c r="F346" s="2005" t="str">
        <f>IFERROR(__xludf.DUMMYFUNCTION("""COMPUTED_VALUE"""),"H")</f>
        <v>H</v>
      </c>
      <c r="G346" s="2005" t="str">
        <f>IFERROR(__xludf.DUMMYFUNCTION("""COMPUTED_VALUE"""),"FR")</f>
        <v>FR</v>
      </c>
      <c r="H346" s="2005">
        <f>IFERROR(__xludf.DUMMYFUNCTION("""COMPUTED_VALUE"""),45.99)</f>
        <v>45.99</v>
      </c>
      <c r="I346" s="2005">
        <f>IFERROR(__xludf.DUMMYFUNCTION("""COMPUTED_VALUE"""),45.99)</f>
        <v>45.99</v>
      </c>
      <c r="BD346" s="2006"/>
      <c r="LM346" s="2007"/>
    </row>
    <row r="347">
      <c r="A347" s="2005">
        <f>IFERROR(__xludf.DUMMYFUNCTION("""COMPUTED_VALUE"""),849439.0)</f>
        <v>849439</v>
      </c>
      <c r="B347" s="2005">
        <f>IFERROR(__xludf.DUMMYFUNCTION("""COMPUTED_VALUE"""),2403010.0)</f>
        <v>2403010</v>
      </c>
      <c r="C347" s="2005" t="str">
        <f>IFERROR(__xludf.DUMMYFUNCTION("""COMPUTED_VALUE"""),"Toner")</f>
        <v>Toner</v>
      </c>
      <c r="D347" s="2005" t="str">
        <f>IFERROR(__xludf.DUMMYFUNCTION("""COMPUTED_VALUE"""),"CLT-Y4072S Jaune")</f>
        <v>CLT-Y4072S Jaune</v>
      </c>
      <c r="E347" s="2005" t="str">
        <f>IFERROR(__xludf.DUMMYFUNCTION("""COMPUTED_VALUE"""),"SAMSUNG")</f>
        <v>SAMSUNG</v>
      </c>
      <c r="F347" s="2005" t="str">
        <f>IFERROR(__xludf.DUMMYFUNCTION("""COMPUTED_VALUE"""),"H")</f>
        <v>H</v>
      </c>
      <c r="G347" s="2005" t="str">
        <f>IFERROR(__xludf.DUMMYFUNCTION("""COMPUTED_VALUE"""),"FR")</f>
        <v>FR</v>
      </c>
      <c r="H347" s="2005">
        <f>IFERROR(__xludf.DUMMYFUNCTION("""COMPUTED_VALUE"""),59.99)</f>
        <v>59.99</v>
      </c>
      <c r="I347" s="2005">
        <f>IFERROR(__xludf.DUMMYFUNCTION("""COMPUTED_VALUE"""),59.99)</f>
        <v>59.99</v>
      </c>
      <c r="BD347" s="2006"/>
      <c r="LM347" s="2007"/>
    </row>
    <row r="348">
      <c r="A348" s="2005">
        <f>IFERROR(__xludf.DUMMYFUNCTION("""COMPUTED_VALUE"""),849440.0)</f>
        <v>849440</v>
      </c>
      <c r="B348" s="2005">
        <f>IFERROR(__xludf.DUMMYFUNCTION("""COMPUTED_VALUE"""),2403010.0)</f>
        <v>2403010</v>
      </c>
      <c r="C348" s="2005" t="str">
        <f>IFERROR(__xludf.DUMMYFUNCTION("""COMPUTED_VALUE"""),"Toner")</f>
        <v>Toner</v>
      </c>
      <c r="D348" s="2005" t="str">
        <f>IFERROR(__xludf.DUMMYFUNCTION("""COMPUTED_VALUE"""),"CLT-C4072S Cyan")</f>
        <v>CLT-C4072S Cyan</v>
      </c>
      <c r="E348" s="2005" t="str">
        <f>IFERROR(__xludf.DUMMYFUNCTION("""COMPUTED_VALUE"""),"SAMSUNG")</f>
        <v>SAMSUNG</v>
      </c>
      <c r="F348" s="2005" t="str">
        <f>IFERROR(__xludf.DUMMYFUNCTION("""COMPUTED_VALUE"""),"H")</f>
        <v>H</v>
      </c>
      <c r="G348" s="2005" t="str">
        <f>IFERROR(__xludf.DUMMYFUNCTION("""COMPUTED_VALUE"""),"FR")</f>
        <v>FR</v>
      </c>
      <c r="H348" s="2005">
        <f>IFERROR(__xludf.DUMMYFUNCTION("""COMPUTED_VALUE"""),45.99)</f>
        <v>45.99</v>
      </c>
      <c r="I348" s="2005">
        <f>IFERROR(__xludf.DUMMYFUNCTION("""COMPUTED_VALUE"""),45.99)</f>
        <v>45.99</v>
      </c>
      <c r="BD348" s="2006"/>
      <c r="LM348" s="2007"/>
    </row>
    <row r="349">
      <c r="A349" s="2005">
        <f>IFERROR(__xludf.DUMMYFUNCTION("""COMPUTED_VALUE"""),849441.0)</f>
        <v>849441</v>
      </c>
      <c r="B349" s="2005">
        <f>IFERROR(__xludf.DUMMYFUNCTION("""COMPUTED_VALUE"""),2403005.0)</f>
        <v>2403005</v>
      </c>
      <c r="C349" s="2005" t="str">
        <f>IFERROR(__xludf.DUMMYFUNCTION("""COMPUTED_VALUE"""),"Cartouche")</f>
        <v>Cartouche</v>
      </c>
      <c r="D349" s="2005" t="str">
        <f>IFERROR(__xludf.DUMMYFUNCTION("""COMPUTED_VALUE"""),"301 noire")</f>
        <v>301 noire</v>
      </c>
      <c r="E349" s="2005" t="str">
        <f>IFERROR(__xludf.DUMMYFUNCTION("""COMPUTED_VALUE"""),"HP")</f>
        <v>HP</v>
      </c>
      <c r="F349" s="2005" t="str">
        <f>IFERROR(__xludf.DUMMYFUNCTION("""COMPUTED_VALUE"""),"A")</f>
        <v>A</v>
      </c>
      <c r="G349" s="2005" t="str">
        <f>IFERROR(__xludf.DUMMYFUNCTION("""COMPUTED_VALUE"""),"AC")</f>
        <v>AC</v>
      </c>
      <c r="H349" s="2005">
        <f>IFERROR(__xludf.DUMMYFUNCTION("""COMPUTED_VALUE"""),23.99)</f>
        <v>23.99</v>
      </c>
      <c r="I349" s="2005">
        <f>IFERROR(__xludf.DUMMYFUNCTION("""COMPUTED_VALUE"""),23.99)</f>
        <v>23.99</v>
      </c>
      <c r="BD349" s="2006"/>
      <c r="LM349" s="2007"/>
    </row>
    <row r="350">
      <c r="A350" s="2005">
        <f>IFERROR(__xludf.DUMMYFUNCTION("""COMPUTED_VALUE"""),849444.0)</f>
        <v>849444</v>
      </c>
      <c r="B350" s="2005">
        <f>IFERROR(__xludf.DUMMYFUNCTION("""COMPUTED_VALUE"""),2403005.0)</f>
        <v>2403005</v>
      </c>
      <c r="C350" s="2005" t="str">
        <f>IFERROR(__xludf.DUMMYFUNCTION("""COMPUTED_VALUE"""),"Cartouche")</f>
        <v>Cartouche</v>
      </c>
      <c r="D350" s="2005" t="str">
        <f>IFERROR(__xludf.DUMMYFUNCTION("""COMPUTED_VALUE"""),"301 3 couleurs")</f>
        <v>301 3 couleurs</v>
      </c>
      <c r="E350" s="2005" t="str">
        <f>IFERROR(__xludf.DUMMYFUNCTION("""COMPUTED_VALUE"""),"HP")</f>
        <v>HP</v>
      </c>
      <c r="F350" s="2005" t="str">
        <f>IFERROR(__xludf.DUMMYFUNCTION("""COMPUTED_VALUE"""),"A")</f>
        <v>A</v>
      </c>
      <c r="G350" s="2005" t="str">
        <f>IFERROR(__xludf.DUMMYFUNCTION("""COMPUTED_VALUE"""),"AC")</f>
        <v>AC</v>
      </c>
      <c r="H350" s="2005">
        <f>IFERROR(__xludf.DUMMYFUNCTION("""COMPUTED_VALUE"""),28.99)</f>
        <v>28.99</v>
      </c>
      <c r="I350" s="2005">
        <f>IFERROR(__xludf.DUMMYFUNCTION("""COMPUTED_VALUE"""),28.99)</f>
        <v>28.99</v>
      </c>
      <c r="BD350" s="2006"/>
      <c r="LM350" s="2007"/>
    </row>
    <row r="351">
      <c r="A351" s="2005">
        <f>IFERROR(__xludf.DUMMYFUNCTION("""COMPUTED_VALUE"""),849445.0)</f>
        <v>849445</v>
      </c>
      <c r="B351" s="2005">
        <f>IFERROR(__xludf.DUMMYFUNCTION("""COMPUTED_VALUE"""),2403005.0)</f>
        <v>2403005</v>
      </c>
      <c r="C351" s="2005" t="str">
        <f>IFERROR(__xludf.DUMMYFUNCTION("""COMPUTED_VALUE"""),"Cartouche")</f>
        <v>Cartouche</v>
      </c>
      <c r="D351" s="2005" t="str">
        <f>IFERROR(__xludf.DUMMYFUNCTION("""COMPUTED_VALUE"""),"301 XL noire")</f>
        <v>301 XL noire</v>
      </c>
      <c r="E351" s="2005" t="str">
        <f>IFERROR(__xludf.DUMMYFUNCTION("""COMPUTED_VALUE"""),"HP")</f>
        <v>HP</v>
      </c>
      <c r="F351" s="2005" t="str">
        <f>IFERROR(__xludf.DUMMYFUNCTION("""COMPUTED_VALUE"""),"A")</f>
        <v>A</v>
      </c>
      <c r="G351" s="2005" t="str">
        <f>IFERROR(__xludf.DUMMYFUNCTION("""COMPUTED_VALUE"""),"AC")</f>
        <v>AC</v>
      </c>
      <c r="H351" s="2005">
        <f>IFERROR(__xludf.DUMMYFUNCTION("""COMPUTED_VALUE"""),46.99)</f>
        <v>46.99</v>
      </c>
      <c r="I351" s="2005">
        <f>IFERROR(__xludf.DUMMYFUNCTION("""COMPUTED_VALUE"""),46.99)</f>
        <v>46.99</v>
      </c>
      <c r="BD351" s="2006"/>
      <c r="LM351" s="2007"/>
    </row>
    <row r="352">
      <c r="A352" s="2005">
        <f>IFERROR(__xludf.DUMMYFUNCTION("""COMPUTED_VALUE"""),849446.0)</f>
        <v>849446</v>
      </c>
      <c r="B352" s="2005">
        <f>IFERROR(__xludf.DUMMYFUNCTION("""COMPUTED_VALUE"""),2403005.0)</f>
        <v>2403005</v>
      </c>
      <c r="C352" s="2005" t="str">
        <f>IFERROR(__xludf.DUMMYFUNCTION("""COMPUTED_VALUE"""),"Cartouche")</f>
        <v>Cartouche</v>
      </c>
      <c r="D352" s="2005" t="str">
        <f>IFERROR(__xludf.DUMMYFUNCTION("""COMPUTED_VALUE"""),"301 XL 3couleurs")</f>
        <v>301 XL 3couleurs</v>
      </c>
      <c r="E352" s="2005" t="str">
        <f>IFERROR(__xludf.DUMMYFUNCTION("""COMPUTED_VALUE"""),"HP")</f>
        <v>HP</v>
      </c>
      <c r="F352" s="2005" t="str">
        <f>IFERROR(__xludf.DUMMYFUNCTION("""COMPUTED_VALUE"""),"A")</f>
        <v>A</v>
      </c>
      <c r="G352" s="2005" t="str">
        <f>IFERROR(__xludf.DUMMYFUNCTION("""COMPUTED_VALUE"""),"AC")</f>
        <v>AC</v>
      </c>
      <c r="H352" s="2005">
        <f>IFERROR(__xludf.DUMMYFUNCTION("""COMPUTED_VALUE"""),45.99)</f>
        <v>45.99</v>
      </c>
      <c r="I352" s="2005">
        <f>IFERROR(__xludf.DUMMYFUNCTION("""COMPUTED_VALUE"""),45.99)</f>
        <v>45.99</v>
      </c>
      <c r="BD352" s="2006"/>
      <c r="LL352" s="2007"/>
      <c r="LM352" s="2007"/>
      <c r="MX352" s="2007"/>
      <c r="ND352" s="2007"/>
    </row>
    <row r="353">
      <c r="A353" s="2005">
        <f>IFERROR(__xludf.DUMMYFUNCTION("""COMPUTED_VALUE"""),849514.0)</f>
        <v>849514</v>
      </c>
      <c r="B353" s="2005">
        <f>IFERROR(__xludf.DUMMYFUNCTION("""COMPUTED_VALUE"""),2403010.0)</f>
        <v>2403010</v>
      </c>
      <c r="C353" s="2005" t="str">
        <f>IFERROR(__xludf.DUMMYFUNCTION("""COMPUTED_VALUE"""),"Toner")</f>
        <v>Toner</v>
      </c>
      <c r="D353" s="2005" t="str">
        <f>IFERROR(__xludf.DUMMYFUNCTION("""COMPUTED_VALUE"""),"CE278A")</f>
        <v>CE278A</v>
      </c>
      <c r="E353" s="2005" t="str">
        <f>IFERROR(__xludf.DUMMYFUNCTION("""COMPUTED_VALUE"""),"HP")</f>
        <v>HP</v>
      </c>
      <c r="F353" s="2005" t="str">
        <f>IFERROR(__xludf.DUMMYFUNCTION("""COMPUTED_VALUE"""),"H")</f>
        <v>H</v>
      </c>
      <c r="G353" s="2005" t="str">
        <f>IFERROR(__xludf.DUMMYFUNCTION("""COMPUTED_VALUE"""),"NN")</f>
        <v>NN</v>
      </c>
      <c r="H353" s="2005">
        <f>IFERROR(__xludf.DUMMYFUNCTION("""COMPUTED_VALUE"""),99.99)</f>
        <v>99.99</v>
      </c>
      <c r="I353" s="2005">
        <f>IFERROR(__xludf.DUMMYFUNCTION("""COMPUTED_VALUE"""),99.99)</f>
        <v>99.99</v>
      </c>
      <c r="BD353" s="2006"/>
      <c r="LL353" s="2007"/>
      <c r="LM353" s="2007"/>
      <c r="MX353" s="2008"/>
      <c r="ND353" s="2008"/>
    </row>
    <row r="354">
      <c r="A354" s="2005">
        <f>IFERROR(__xludf.DUMMYFUNCTION("""COMPUTED_VALUE"""),849515.0)</f>
        <v>849515</v>
      </c>
      <c r="B354" s="2005">
        <f>IFERROR(__xludf.DUMMYFUNCTION("""COMPUTED_VALUE"""),2403010.0)</f>
        <v>2403010</v>
      </c>
      <c r="C354" s="2005" t="str">
        <f>IFERROR(__xludf.DUMMYFUNCTION("""COMPUTED_VALUE"""),"Toner")</f>
        <v>Toner</v>
      </c>
      <c r="D354" s="2005" t="str">
        <f>IFERROR(__xludf.DUMMYFUNCTION("""COMPUTED_VALUE"""),"CE285a")</f>
        <v>CE285a</v>
      </c>
      <c r="E354" s="2005" t="str">
        <f>IFERROR(__xludf.DUMMYFUNCTION("""COMPUTED_VALUE"""),"HP")</f>
        <v>HP</v>
      </c>
      <c r="F354" s="2005" t="str">
        <f>IFERROR(__xludf.DUMMYFUNCTION("""COMPUTED_VALUE"""),"H")</f>
        <v>H</v>
      </c>
      <c r="G354" s="2005" t="str">
        <f>IFERROR(__xludf.DUMMYFUNCTION("""COMPUTED_VALUE"""),"AC")</f>
        <v>AC</v>
      </c>
      <c r="H354" s="2005">
        <f>IFERROR(__xludf.DUMMYFUNCTION("""COMPUTED_VALUE"""),89.99)</f>
        <v>89.99</v>
      </c>
      <c r="I354" s="2005">
        <f>IFERROR(__xludf.DUMMYFUNCTION("""COMPUTED_VALUE"""),89.99)</f>
        <v>89.99</v>
      </c>
      <c r="BD354" s="2006"/>
      <c r="LL354" s="2007"/>
      <c r="LM354" s="2007"/>
      <c r="MX354" s="2007"/>
      <c r="ND354" s="2007"/>
    </row>
    <row r="355">
      <c r="A355" s="2005">
        <f>IFERROR(__xludf.DUMMYFUNCTION("""COMPUTED_VALUE"""),849516.0)</f>
        <v>849516</v>
      </c>
      <c r="B355" s="2005">
        <f>IFERROR(__xludf.DUMMYFUNCTION("""COMPUTED_VALUE"""),2403010.0)</f>
        <v>2403010</v>
      </c>
      <c r="C355" s="2005" t="str">
        <f>IFERROR(__xludf.DUMMYFUNCTION("""COMPUTED_VALUE"""),"Toner")</f>
        <v>Toner</v>
      </c>
      <c r="D355" s="2005" t="str">
        <f>IFERROR(__xludf.DUMMYFUNCTION("""COMPUTED_VALUE"""),"CE505A Noir")</f>
        <v>CE505A Noir</v>
      </c>
      <c r="E355" s="2005" t="str">
        <f>IFERROR(__xludf.DUMMYFUNCTION("""COMPUTED_VALUE"""),"HP")</f>
        <v>HP</v>
      </c>
      <c r="F355" s="2005" t="str">
        <f>IFERROR(__xludf.DUMMYFUNCTION("""COMPUTED_VALUE"""),"H")</f>
        <v>H</v>
      </c>
      <c r="G355" s="2005" t="str">
        <f>IFERROR(__xludf.DUMMYFUNCTION("""COMPUTED_VALUE"""),"NN")</f>
        <v>NN</v>
      </c>
      <c r="H355" s="2005">
        <f>IFERROR(__xludf.DUMMYFUNCTION("""COMPUTED_VALUE"""),130.99)</f>
        <v>130.99</v>
      </c>
      <c r="I355" s="2005">
        <f>IFERROR(__xludf.DUMMYFUNCTION("""COMPUTED_VALUE"""),130.99)</f>
        <v>130.99</v>
      </c>
      <c r="BD355" s="2006"/>
      <c r="LM355" s="2007"/>
    </row>
    <row r="356">
      <c r="A356" s="2005">
        <f>IFERROR(__xludf.DUMMYFUNCTION("""COMPUTED_VALUE"""),851071.0)</f>
        <v>851071</v>
      </c>
      <c r="B356" s="2005">
        <f>IFERROR(__xludf.DUMMYFUNCTION("""COMPUTED_VALUE"""),2403005.0)</f>
        <v>2403005</v>
      </c>
      <c r="C356" s="2005" t="str">
        <f>IFERROR(__xludf.DUMMYFUNCTION("""COMPUTED_VALUE"""),"Cartouche")</f>
        <v>Cartouche</v>
      </c>
      <c r="D356" s="2005" t="str">
        <f>IFERROR(__xludf.DUMMYFUNCTION("""COMPUTED_VALUE"""),"PGI35")</f>
        <v>PGI35</v>
      </c>
      <c r="E356" s="2005" t="str">
        <f>IFERROR(__xludf.DUMMYFUNCTION("""COMPUTED_VALUE"""),"CANON")</f>
        <v>CANON</v>
      </c>
      <c r="F356" s="2005" t="str">
        <f>IFERROR(__xludf.DUMMYFUNCTION("""COMPUTED_VALUE"""),"H")</f>
        <v>H</v>
      </c>
      <c r="G356" s="2005" t="str">
        <f>IFERROR(__xludf.DUMMYFUNCTION("""COMPUTED_VALUE"""),"AC")</f>
        <v>AC</v>
      </c>
      <c r="H356" s="2005">
        <f>IFERROR(__xludf.DUMMYFUNCTION("""COMPUTED_VALUE"""),10.0)</f>
        <v>10</v>
      </c>
      <c r="I356" s="2005">
        <f>IFERROR(__xludf.DUMMYFUNCTION("""COMPUTED_VALUE"""),10.0)</f>
        <v>10</v>
      </c>
      <c r="BD356" s="2006"/>
      <c r="LM356" s="2007"/>
    </row>
    <row r="357">
      <c r="A357" s="2005">
        <f>IFERROR(__xludf.DUMMYFUNCTION("""COMPUTED_VALUE"""),851074.0)</f>
        <v>851074</v>
      </c>
      <c r="B357" s="2005">
        <f>IFERROR(__xludf.DUMMYFUNCTION("""COMPUTED_VALUE"""),2403005.0)</f>
        <v>2403005</v>
      </c>
      <c r="C357" s="2005" t="str">
        <f>IFERROR(__xludf.DUMMYFUNCTION("""COMPUTED_VALUE"""),"Cartouche")</f>
        <v>Cartouche</v>
      </c>
      <c r="D357" s="2005" t="str">
        <f>IFERROR(__xludf.DUMMYFUNCTION("""COMPUTED_VALUE"""),"CLI36 4 couleurs PIXMA")</f>
        <v>CLI36 4 couleurs PIXMA</v>
      </c>
      <c r="E357" s="2005" t="str">
        <f>IFERROR(__xludf.DUMMYFUNCTION("""COMPUTED_VALUE"""),"CANON")</f>
        <v>CANON</v>
      </c>
      <c r="F357" s="2005" t="str">
        <f>IFERROR(__xludf.DUMMYFUNCTION("""COMPUTED_VALUE"""),"H")</f>
        <v>H</v>
      </c>
      <c r="G357" s="2005" t="str">
        <f>IFERROR(__xludf.DUMMYFUNCTION("""COMPUTED_VALUE"""),"AC")</f>
        <v>AC</v>
      </c>
      <c r="H357" s="2005">
        <f>IFERROR(__xludf.DUMMYFUNCTION("""COMPUTED_VALUE"""),15.99)</f>
        <v>15.99</v>
      </c>
      <c r="I357" s="2005">
        <f>IFERROR(__xludf.DUMMYFUNCTION("""COMPUTED_VALUE"""),15.99)</f>
        <v>15.99</v>
      </c>
      <c r="BD357" s="2006"/>
      <c r="LM357" s="2007"/>
    </row>
    <row r="358">
      <c r="A358" s="2005">
        <f>IFERROR(__xludf.DUMMYFUNCTION("""COMPUTED_VALUE"""),851924.0)</f>
        <v>851924</v>
      </c>
      <c r="B358" s="2005">
        <f>IFERROR(__xludf.DUMMYFUNCTION("""COMPUTED_VALUE"""),2402015.0)</f>
        <v>2402015</v>
      </c>
      <c r="C358" s="2005" t="str">
        <f>IFERROR(__xludf.DUMMYFUNCTION("""COMPUTED_VALUE"""),"Papier")</f>
        <v>Papier</v>
      </c>
      <c r="D358" s="2005" t="str">
        <f>IFERROR(__xludf.DUMMYFUNCTION("""COMPUTED_VALUE"""),"Photo laser 200g/M2 - 50 feuilles")</f>
        <v>Photo laser 200g/M2 - 50 feuilles</v>
      </c>
      <c r="E358" s="2005" t="str">
        <f>IFERROR(__xludf.DUMMYFUNCTION("""COMPUTED_VALUE"""),"MICRO APPLICATION")</f>
        <v>MICRO APPLICATION</v>
      </c>
      <c r="F358" s="2005" t="str">
        <f>IFERROR(__xludf.DUMMYFUNCTION("""COMPUTED_VALUE"""),"H")</f>
        <v>H</v>
      </c>
      <c r="G358" s="2005" t="str">
        <f>IFERROR(__xludf.DUMMYFUNCTION("""COMPUTED_VALUE"""),"NN")</f>
        <v>NN</v>
      </c>
      <c r="H358" s="2005">
        <f>IFERROR(__xludf.DUMMYFUNCTION("""COMPUTED_VALUE"""),9.99)</f>
        <v>9.99</v>
      </c>
      <c r="I358" s="2005">
        <f>IFERROR(__xludf.DUMMYFUNCTION("""COMPUTED_VALUE"""),9.99)</f>
        <v>9.99</v>
      </c>
      <c r="BD358" s="2006"/>
      <c r="LL358" s="2007"/>
      <c r="LM358" s="2007"/>
      <c r="MX358" s="2007"/>
      <c r="ND358" s="2007"/>
    </row>
    <row r="359">
      <c r="A359" s="2005">
        <f>IFERROR(__xludf.DUMMYFUNCTION("""COMPUTED_VALUE"""),851927.0)</f>
        <v>851927</v>
      </c>
      <c r="B359" s="2005">
        <f>IFERROR(__xludf.DUMMYFUNCTION("""COMPUTED_VALUE"""),2402020.0)</f>
        <v>2402020</v>
      </c>
      <c r="C359" s="2005" t="str">
        <f>IFERROR(__xludf.DUMMYFUNCTION("""COMPUTED_VALUE"""),"Papier")</f>
        <v>Papier</v>
      </c>
      <c r="D359" s="2005" t="str">
        <f>IFERROR(__xludf.DUMMYFUNCTION("""COMPUTED_VALUE"""),"Transfert textile Laser")</f>
        <v>Transfert textile Laser</v>
      </c>
      <c r="E359" s="2005" t="str">
        <f>IFERROR(__xludf.DUMMYFUNCTION("""COMPUTED_VALUE"""),"MICRO APPLICATION")</f>
        <v>MICRO APPLICATION</v>
      </c>
      <c r="F359" s="2005" t="str">
        <f>IFERROR(__xludf.DUMMYFUNCTION("""COMPUTED_VALUE"""),"H")</f>
        <v>H</v>
      </c>
      <c r="G359" s="2005" t="str">
        <f>IFERROR(__xludf.DUMMYFUNCTION("""COMPUTED_VALUE"""),"NN")</f>
        <v>NN</v>
      </c>
      <c r="H359" s="2005">
        <f>IFERROR(__xludf.DUMMYFUNCTION("""COMPUTED_VALUE"""),11.99)</f>
        <v>11.99</v>
      </c>
      <c r="I359" s="2005">
        <f>IFERROR(__xludf.DUMMYFUNCTION("""COMPUTED_VALUE"""),11.99)</f>
        <v>11.99</v>
      </c>
      <c r="BD359" s="2006"/>
      <c r="LL359" s="2007"/>
      <c r="LM359" s="2008"/>
      <c r="MX359" s="2008"/>
      <c r="ND359" s="2008"/>
    </row>
    <row r="360">
      <c r="A360" s="2005">
        <f>IFERROR(__xludf.DUMMYFUNCTION("""COMPUTED_VALUE"""),855046.0)</f>
        <v>855046</v>
      </c>
      <c r="B360" s="2005">
        <f>IFERROR(__xludf.DUMMYFUNCTION("""COMPUTED_VALUE"""),2502015.0)</f>
        <v>2502015</v>
      </c>
      <c r="C360" s="2005" t="str">
        <f>IFERROR(__xludf.DUMMYFUNCTION("""COMPUTED_VALUE"""),"Clavier+Souris")</f>
        <v>Clavier+Souris</v>
      </c>
      <c r="D360" s="2005" t="str">
        <f>IFERROR(__xludf.DUMMYFUNCTION("""COMPUTED_VALUE"""),"MK120")</f>
        <v>MK120</v>
      </c>
      <c r="E360" s="2005" t="str">
        <f>IFERROR(__xludf.DUMMYFUNCTION("""COMPUTED_VALUE"""),"LOGITECH")</f>
        <v>LOGITECH</v>
      </c>
      <c r="F360" s="2005" t="str">
        <f>IFERROR(__xludf.DUMMYFUNCTION("""COMPUTED_VALUE"""),"W")</f>
        <v>W</v>
      </c>
      <c r="G360" s="2005" t="str">
        <f>IFERROR(__xludf.DUMMYFUNCTION("""COMPUTED_VALUE"""),"AC")</f>
        <v>AC</v>
      </c>
      <c r="H360" s="2005">
        <f>IFERROR(__xludf.DUMMYFUNCTION("""COMPUTED_VALUE"""),29.99)</f>
        <v>29.99</v>
      </c>
      <c r="I360" s="2005">
        <f>IFERROR(__xludf.DUMMYFUNCTION("""COMPUTED_VALUE"""),24.9)</f>
        <v>24.9</v>
      </c>
      <c r="LM360" s="2008"/>
    </row>
    <row r="361">
      <c r="A361" s="2005">
        <f>IFERROR(__xludf.DUMMYFUNCTION("""COMPUTED_VALUE"""),855075.0)</f>
        <v>855075</v>
      </c>
      <c r="B361" s="2005">
        <f>IFERROR(__xludf.DUMMYFUNCTION("""COMPUTED_VALUE"""),2502010.0)</f>
        <v>2502010</v>
      </c>
      <c r="C361" s="2005" t="str">
        <f>IFERROR(__xludf.DUMMYFUNCTION("""COMPUTED_VALUE"""),"Souris")</f>
        <v>Souris</v>
      </c>
      <c r="D361" s="2005" t="str">
        <f>IFERROR(__xludf.DUMMYFUNCTION("""COMPUTED_VALUE"""),"M90")</f>
        <v>M90</v>
      </c>
      <c r="E361" s="2005" t="str">
        <f>IFERROR(__xludf.DUMMYFUNCTION("""COMPUTED_VALUE"""),"LOGITECH")</f>
        <v>LOGITECH</v>
      </c>
      <c r="F361" s="2005" t="str">
        <f>IFERROR(__xludf.DUMMYFUNCTION("""COMPUTED_VALUE"""),"W")</f>
        <v>W</v>
      </c>
      <c r="G361" s="2005" t="str">
        <f>IFERROR(__xludf.DUMMYFUNCTION("""COMPUTED_VALUE"""),"AC")</f>
        <v>AC</v>
      </c>
      <c r="H361" s="2005">
        <f>IFERROR(__xludf.DUMMYFUNCTION("""COMPUTED_VALUE"""),10.01)</f>
        <v>10.01</v>
      </c>
      <c r="I361" s="2005">
        <f>IFERROR(__xludf.DUMMYFUNCTION("""COMPUTED_VALUE"""),7.99)</f>
        <v>7.99</v>
      </c>
      <c r="LM361" s="2008"/>
    </row>
    <row r="362">
      <c r="A362" s="2005">
        <f>IFERROR(__xludf.DUMMYFUNCTION("""COMPUTED_VALUE"""),855110.0)</f>
        <v>855110</v>
      </c>
      <c r="B362" s="2005">
        <f>IFERROR(__xludf.DUMMYFUNCTION("""COMPUTED_VALUE"""),2502015.0)</f>
        <v>2502015</v>
      </c>
      <c r="C362" s="2005" t="str">
        <f>IFERROR(__xludf.DUMMYFUNCTION("""COMPUTED_VALUE"""),"Clavier")</f>
        <v>Clavier</v>
      </c>
      <c r="D362" s="2005" t="str">
        <f>IFERROR(__xludf.DUMMYFUNCTION("""COMPUTED_VALUE"""),"K120 USB touches silencieuses")</f>
        <v>K120 USB touches silencieuses</v>
      </c>
      <c r="E362" s="2005" t="str">
        <f>IFERROR(__xludf.DUMMYFUNCTION("""COMPUTED_VALUE"""),"LOGITECH")</f>
        <v>LOGITECH</v>
      </c>
      <c r="F362" s="2005" t="str">
        <f>IFERROR(__xludf.DUMMYFUNCTION("""COMPUTED_VALUE"""),"W")</f>
        <v>W</v>
      </c>
      <c r="G362" s="2005" t="str">
        <f>IFERROR(__xludf.DUMMYFUNCTION("""COMPUTED_VALUE"""),"AC")</f>
        <v>AC</v>
      </c>
      <c r="H362" s="2005">
        <f>IFERROR(__xludf.DUMMYFUNCTION("""COMPUTED_VALUE"""),17.99)</f>
        <v>17.99</v>
      </c>
      <c r="I362" s="2005">
        <f>IFERROR(__xludf.DUMMYFUNCTION("""COMPUTED_VALUE"""),12.97)</f>
        <v>12.97</v>
      </c>
      <c r="BD362" s="2006"/>
      <c r="LM362" s="2008"/>
    </row>
    <row r="363">
      <c r="A363" s="2005">
        <f>IFERROR(__xludf.DUMMYFUNCTION("""COMPUTED_VALUE"""),855119.0)</f>
        <v>855119</v>
      </c>
      <c r="B363" s="2005">
        <f>IFERROR(__xludf.DUMMYFUNCTION("""COMPUTED_VALUE"""),2502015.0)</f>
        <v>2502015</v>
      </c>
      <c r="C363" s="2005" t="str">
        <f>IFERROR(__xludf.DUMMYFUNCTION("""COMPUTED_VALUE"""),"Clavier")</f>
        <v>Clavier</v>
      </c>
      <c r="D363" s="2005" t="str">
        <f>IFERROR(__xludf.DUMMYFUNCTION("""COMPUTED_VALUE"""),"K800 Illuminated")</f>
        <v>K800 Illuminated</v>
      </c>
      <c r="E363" s="2005" t="str">
        <f>IFERROR(__xludf.DUMMYFUNCTION("""COMPUTED_VALUE"""),"LOGITECH")</f>
        <v>LOGITECH</v>
      </c>
      <c r="F363" s="2005" t="str">
        <f>IFERROR(__xludf.DUMMYFUNCTION("""COMPUTED_VALUE"""),"H")</f>
        <v>H</v>
      </c>
      <c r="G363" s="2005" t="str">
        <f>IFERROR(__xludf.DUMMYFUNCTION("""COMPUTED_VALUE"""),"NN")</f>
        <v>NN</v>
      </c>
      <c r="H363" s="2005">
        <f>IFERROR(__xludf.DUMMYFUNCTION("""COMPUTED_VALUE"""),99.99)</f>
        <v>99.99</v>
      </c>
      <c r="I363" s="2005">
        <f>IFERROR(__xludf.DUMMYFUNCTION("""COMPUTED_VALUE"""),99.99)</f>
        <v>99.99</v>
      </c>
      <c r="BD363" s="2006"/>
      <c r="LL363" s="2007"/>
      <c r="LM363" s="2008"/>
      <c r="MX363" s="2007"/>
      <c r="ND363" s="2007"/>
    </row>
    <row r="364">
      <c r="A364" s="2005">
        <f>IFERROR(__xludf.DUMMYFUNCTION("""COMPUTED_VALUE"""),855120.0)</f>
        <v>855120</v>
      </c>
      <c r="B364" s="2005">
        <f>IFERROR(__xludf.DUMMYFUNCTION("""COMPUTED_VALUE"""),2502015.0)</f>
        <v>2502015</v>
      </c>
      <c r="C364" s="2005" t="str">
        <f>IFERROR(__xludf.DUMMYFUNCTION("""COMPUTED_VALUE"""),"Clavier+Souris")</f>
        <v>Clavier+Souris</v>
      </c>
      <c r="D364" s="2005" t="str">
        <f>IFERROR(__xludf.DUMMYFUNCTION("""COMPUTED_VALUE"""),"MK710")</f>
        <v>MK710</v>
      </c>
      <c r="E364" s="2005" t="str">
        <f>IFERROR(__xludf.DUMMYFUNCTION("""COMPUTED_VALUE"""),"LOGITECH")</f>
        <v>LOGITECH</v>
      </c>
      <c r="F364" s="2005" t="str">
        <f>IFERROR(__xludf.DUMMYFUNCTION("""COMPUTED_VALUE"""),"C")</f>
        <v>C</v>
      </c>
      <c r="G364" s="2005" t="str">
        <f>IFERROR(__xludf.DUMMYFUNCTION("""COMPUTED_VALUE"""),"AC")</f>
        <v>AC</v>
      </c>
      <c r="H364" s="2005">
        <f>IFERROR(__xludf.DUMMYFUNCTION("""COMPUTED_VALUE"""),119.99)</f>
        <v>119.99</v>
      </c>
      <c r="I364" s="2005">
        <f>IFERROR(__xludf.DUMMYFUNCTION("""COMPUTED_VALUE"""),119.99)</f>
        <v>119.99</v>
      </c>
      <c r="BD364" s="2006"/>
      <c r="LL364" s="2007"/>
      <c r="LM364" s="2008"/>
      <c r="MX364" s="2007"/>
      <c r="ND364" s="2008"/>
    </row>
    <row r="365">
      <c r="A365" s="2005">
        <f>IFERROR(__xludf.DUMMYFUNCTION("""COMPUTED_VALUE"""),855136.0)</f>
        <v>855136</v>
      </c>
      <c r="B365" s="2005">
        <f>IFERROR(__xludf.DUMMYFUNCTION("""COMPUTED_VALUE"""),2503005.0)</f>
        <v>2503005</v>
      </c>
      <c r="C365" s="2005" t="str">
        <f>IFERROR(__xludf.DUMMYFUNCTION("""COMPUTED_VALUE"""),"Enceinte")</f>
        <v>Enceinte</v>
      </c>
      <c r="D365" s="2005" t="str">
        <f>IFERROR(__xludf.DUMMYFUNCTION("""COMPUTED_VALUE"""),"Z313 2.1")</f>
        <v>Z313 2.1</v>
      </c>
      <c r="E365" s="2005" t="str">
        <f>IFERROR(__xludf.DUMMYFUNCTION("""COMPUTED_VALUE"""),"LOGITECH")</f>
        <v>LOGITECH</v>
      </c>
      <c r="F365" s="2005" t="str">
        <f>IFERROR(__xludf.DUMMYFUNCTION("""COMPUTED_VALUE"""),"C")</f>
        <v>C</v>
      </c>
      <c r="G365" s="2005" t="str">
        <f>IFERROR(__xludf.DUMMYFUNCTION("""COMPUTED_VALUE"""),"AC")</f>
        <v>AC</v>
      </c>
      <c r="H365" s="2005">
        <f>IFERROR(__xludf.DUMMYFUNCTION("""COMPUTED_VALUE"""),59.99)</f>
        <v>59.99</v>
      </c>
      <c r="I365" s="2005">
        <f>IFERROR(__xludf.DUMMYFUNCTION("""COMPUTED_VALUE"""),59.99)</f>
        <v>59.99</v>
      </c>
      <c r="BD365" s="2006"/>
      <c r="LL365" s="2007"/>
      <c r="LM365" s="2008"/>
      <c r="MX365" s="2007"/>
      <c r="ND365" s="2007"/>
    </row>
    <row r="366">
      <c r="A366" s="2005">
        <f>IFERROR(__xludf.DUMMYFUNCTION("""COMPUTED_VALUE"""),855141.0)</f>
        <v>855141</v>
      </c>
      <c r="B366" s="2005">
        <f>IFERROR(__xludf.DUMMYFUNCTION("""COMPUTED_VALUE"""),2503005.0)</f>
        <v>2503005</v>
      </c>
      <c r="C366" s="2005" t="str">
        <f>IFERROR(__xludf.DUMMYFUNCTION("""COMPUTED_VALUE"""),"Enceinte")</f>
        <v>Enceinte</v>
      </c>
      <c r="D366" s="2005" t="str">
        <f>IFERROR(__xludf.DUMMYFUNCTION("""COMPUTED_VALUE"""),"Z506 5.1 Surround")</f>
        <v>Z506 5.1 Surround</v>
      </c>
      <c r="E366" s="2005" t="str">
        <f>IFERROR(__xludf.DUMMYFUNCTION("""COMPUTED_VALUE"""),"LOGITECH")</f>
        <v>LOGITECH</v>
      </c>
      <c r="F366" s="2005" t="str">
        <f>IFERROR(__xludf.DUMMYFUNCTION("""COMPUTED_VALUE"""),"B")</f>
        <v>B</v>
      </c>
      <c r="G366" s="2005" t="str">
        <f>IFERROR(__xludf.DUMMYFUNCTION("""COMPUTED_VALUE"""),"NN")</f>
        <v>NN</v>
      </c>
      <c r="H366" s="2005">
        <f>IFERROR(__xludf.DUMMYFUNCTION("""COMPUTED_VALUE"""),79.99)</f>
        <v>79.99</v>
      </c>
      <c r="I366" s="2005">
        <f>IFERROR(__xludf.DUMMYFUNCTION("""COMPUTED_VALUE"""),79.99)</f>
        <v>79.99</v>
      </c>
      <c r="BD366" s="2006"/>
      <c r="LL366" s="2007"/>
      <c r="LM366" s="2008"/>
      <c r="MX366" s="2007"/>
      <c r="ND366" s="2007"/>
    </row>
    <row r="367">
      <c r="A367" s="2005">
        <f>IFERROR(__xludf.DUMMYFUNCTION("""COMPUTED_VALUE"""),856128.0)</f>
        <v>856128</v>
      </c>
      <c r="B367" s="2005">
        <f>IFERROR(__xludf.DUMMYFUNCTION("""COMPUTED_VALUE"""),2403010.0)</f>
        <v>2403010</v>
      </c>
      <c r="C367" s="2005" t="str">
        <f>IFERROR(__xludf.DUMMYFUNCTION("""COMPUTED_VALUE"""),"Toner")</f>
        <v>Toner</v>
      </c>
      <c r="D367" s="2005" t="str">
        <f>IFERROR(__xludf.DUMMYFUNCTION("""COMPUTED_VALUE"""),"1TN230 BK")</f>
        <v>1TN230 BK</v>
      </c>
      <c r="E367" s="2005" t="str">
        <f>IFERROR(__xludf.DUMMYFUNCTION("""COMPUTED_VALUE"""),"BROTHER")</f>
        <v>BROTHER</v>
      </c>
      <c r="F367" s="2005" t="str">
        <f>IFERROR(__xludf.DUMMYFUNCTION("""COMPUTED_VALUE"""),"H")</f>
        <v>H</v>
      </c>
      <c r="G367" s="2005" t="str">
        <f>IFERROR(__xludf.DUMMYFUNCTION("""COMPUTED_VALUE"""),"NN")</f>
        <v>NN</v>
      </c>
      <c r="H367" s="2005">
        <f>IFERROR(__xludf.DUMMYFUNCTION("""COMPUTED_VALUE"""),94.99)</f>
        <v>94.99</v>
      </c>
      <c r="I367" s="2005">
        <f>IFERROR(__xludf.DUMMYFUNCTION("""COMPUTED_VALUE"""),94.99)</f>
        <v>94.99</v>
      </c>
      <c r="BD367" s="2006"/>
      <c r="LL367" s="2007"/>
      <c r="LM367" s="2007"/>
      <c r="MX367" s="2007"/>
      <c r="ND367" s="2007"/>
    </row>
    <row r="368">
      <c r="A368" s="2005">
        <f>IFERROR(__xludf.DUMMYFUNCTION("""COMPUTED_VALUE"""),856129.0)</f>
        <v>856129</v>
      </c>
      <c r="B368" s="2005">
        <f>IFERROR(__xludf.DUMMYFUNCTION("""COMPUTED_VALUE"""),2403010.0)</f>
        <v>2403010</v>
      </c>
      <c r="C368" s="2005" t="str">
        <f>IFERROR(__xludf.DUMMYFUNCTION("""COMPUTED_VALUE"""),"Toner")</f>
        <v>Toner</v>
      </c>
      <c r="D368" s="2005" t="str">
        <f>IFERROR(__xludf.DUMMYFUNCTION("""COMPUTED_VALUE"""),"TN230 C")</f>
        <v>TN230 C</v>
      </c>
      <c r="E368" s="2005" t="str">
        <f>IFERROR(__xludf.DUMMYFUNCTION("""COMPUTED_VALUE"""),"BROTHER")</f>
        <v>BROTHER</v>
      </c>
      <c r="F368" s="2005" t="str">
        <f>IFERROR(__xludf.DUMMYFUNCTION("""COMPUTED_VALUE"""),"H")</f>
        <v>H</v>
      </c>
      <c r="G368" s="2005" t="str">
        <f>IFERROR(__xludf.DUMMYFUNCTION("""COMPUTED_VALUE"""),"NN")</f>
        <v>NN</v>
      </c>
      <c r="H368" s="2005">
        <f>IFERROR(__xludf.DUMMYFUNCTION("""COMPUTED_VALUE"""),91.99)</f>
        <v>91.99</v>
      </c>
      <c r="I368" s="2005">
        <f>IFERROR(__xludf.DUMMYFUNCTION("""COMPUTED_VALUE"""),91.99)</f>
        <v>91.99</v>
      </c>
      <c r="BD368" s="2006"/>
      <c r="LL368" s="2007"/>
      <c r="LM368" s="2007"/>
      <c r="MX368" s="2007"/>
      <c r="ND368" s="2007"/>
    </row>
    <row r="369">
      <c r="A369" s="2005">
        <f>IFERROR(__xludf.DUMMYFUNCTION("""COMPUTED_VALUE"""),856130.0)</f>
        <v>856130</v>
      </c>
      <c r="B369" s="2005">
        <f>IFERROR(__xludf.DUMMYFUNCTION("""COMPUTED_VALUE"""),2403010.0)</f>
        <v>2403010</v>
      </c>
      <c r="C369" s="2005" t="str">
        <f>IFERROR(__xludf.DUMMYFUNCTION("""COMPUTED_VALUE"""),"Toner")</f>
        <v>Toner</v>
      </c>
      <c r="D369" s="2005" t="str">
        <f>IFERROR(__xludf.DUMMYFUNCTION("""COMPUTED_VALUE"""),"1TN230 M")</f>
        <v>1TN230 M</v>
      </c>
      <c r="E369" s="2005" t="str">
        <f>IFERROR(__xludf.DUMMYFUNCTION("""COMPUTED_VALUE"""),"BROTHER")</f>
        <v>BROTHER</v>
      </c>
      <c r="F369" s="2005" t="str">
        <f>IFERROR(__xludf.DUMMYFUNCTION("""COMPUTED_VALUE"""),"H")</f>
        <v>H</v>
      </c>
      <c r="G369" s="2005" t="str">
        <f>IFERROR(__xludf.DUMMYFUNCTION("""COMPUTED_VALUE"""),"NN")</f>
        <v>NN</v>
      </c>
      <c r="H369" s="2005">
        <f>IFERROR(__xludf.DUMMYFUNCTION("""COMPUTED_VALUE"""),66.99)</f>
        <v>66.99</v>
      </c>
      <c r="I369" s="2005">
        <f>IFERROR(__xludf.DUMMYFUNCTION("""COMPUTED_VALUE"""),66.99)</f>
        <v>66.99</v>
      </c>
      <c r="BD369" s="2006"/>
      <c r="LL369" s="2007"/>
      <c r="LM369" s="2007"/>
      <c r="MX369" s="2007"/>
      <c r="ND369" s="2007"/>
    </row>
    <row r="370">
      <c r="A370" s="2005">
        <f>IFERROR(__xludf.DUMMYFUNCTION("""COMPUTED_VALUE"""),856254.0)</f>
        <v>856254</v>
      </c>
      <c r="B370" s="2005">
        <f>IFERROR(__xludf.DUMMYFUNCTION("""COMPUTED_VALUE"""),2403005.0)</f>
        <v>2403005</v>
      </c>
      <c r="C370" s="2005" t="str">
        <f>IFERROR(__xludf.DUMMYFUNCTION("""COMPUTED_VALUE"""),"Cartouche")</f>
        <v>Cartouche</v>
      </c>
      <c r="D370" s="2005" t="str">
        <f>IFERROR(__xludf.DUMMYFUNCTION("""COMPUTED_VALUE"""),"PGI 525 Noire")</f>
        <v>PGI 525 Noire</v>
      </c>
      <c r="E370" s="2005" t="str">
        <f>IFERROR(__xludf.DUMMYFUNCTION("""COMPUTED_VALUE"""),"CANON")</f>
        <v>CANON</v>
      </c>
      <c r="F370" s="2005" t="str">
        <f>IFERROR(__xludf.DUMMYFUNCTION("""COMPUTED_VALUE"""),"A")</f>
        <v>A</v>
      </c>
      <c r="G370" s="2005" t="str">
        <f>IFERROR(__xludf.DUMMYFUNCTION("""COMPUTED_VALUE"""),"AC")</f>
        <v>AC</v>
      </c>
      <c r="H370" s="2005">
        <f>IFERROR(__xludf.DUMMYFUNCTION("""COMPUTED_VALUE"""),19.0)</f>
        <v>19</v>
      </c>
      <c r="I370" s="2005">
        <f>IFERROR(__xludf.DUMMYFUNCTION("""COMPUTED_VALUE"""),19.0)</f>
        <v>19</v>
      </c>
      <c r="BD370" s="2006"/>
      <c r="LL370" s="2007"/>
      <c r="LM370" s="2007"/>
      <c r="MX370" s="2007"/>
      <c r="ND370" s="2007"/>
    </row>
    <row r="371">
      <c r="A371" s="2005">
        <f>IFERROR(__xludf.DUMMYFUNCTION("""COMPUTED_VALUE"""),856256.0)</f>
        <v>856256</v>
      </c>
      <c r="B371" s="2005">
        <f>IFERROR(__xludf.DUMMYFUNCTION("""COMPUTED_VALUE"""),2403005.0)</f>
        <v>2403005</v>
      </c>
      <c r="C371" s="2005" t="str">
        <f>IFERROR(__xludf.DUMMYFUNCTION("""COMPUTED_VALUE"""),"Cartouche")</f>
        <v>Cartouche</v>
      </c>
      <c r="D371" s="2005" t="str">
        <f>IFERROR(__xludf.DUMMYFUNCTION("""COMPUTED_VALUE"""),"CLI-526 noire")</f>
        <v>CLI-526 noire</v>
      </c>
      <c r="E371" s="2005" t="str">
        <f>IFERROR(__xludf.DUMMYFUNCTION("""COMPUTED_VALUE"""),"CANON")</f>
        <v>CANON</v>
      </c>
      <c r="F371" s="2005" t="str">
        <f>IFERROR(__xludf.DUMMYFUNCTION("""COMPUTED_VALUE"""),"B")</f>
        <v>B</v>
      </c>
      <c r="G371" s="2005" t="str">
        <f>IFERROR(__xludf.DUMMYFUNCTION("""COMPUTED_VALUE"""),"AC")</f>
        <v>AC</v>
      </c>
      <c r="H371" s="2005">
        <f>IFERROR(__xludf.DUMMYFUNCTION("""COMPUTED_VALUE"""),17.0)</f>
        <v>17</v>
      </c>
      <c r="I371" s="2005">
        <f>IFERROR(__xludf.DUMMYFUNCTION("""COMPUTED_VALUE"""),17.0)</f>
        <v>17</v>
      </c>
      <c r="BD371" s="2006"/>
      <c r="LL371" s="2007"/>
      <c r="LM371" s="2007"/>
      <c r="MX371" s="2007"/>
      <c r="ND371" s="2007"/>
    </row>
    <row r="372">
      <c r="A372" s="2005">
        <f>IFERROR(__xludf.DUMMYFUNCTION("""COMPUTED_VALUE"""),856269.0)</f>
        <v>856269</v>
      </c>
      <c r="B372" s="2005">
        <f>IFERROR(__xludf.DUMMYFUNCTION("""COMPUTED_VALUE"""),2403005.0)</f>
        <v>2403005</v>
      </c>
      <c r="C372" s="2005" t="str">
        <f>IFERROR(__xludf.DUMMYFUNCTION("""COMPUTED_VALUE"""),"Cartouche")</f>
        <v>Cartouche</v>
      </c>
      <c r="D372" s="2005" t="str">
        <f>IFERROR(__xludf.DUMMYFUNCTION("""COMPUTED_VALUE"""),"CLI-526 cyan")</f>
        <v>CLI-526 cyan</v>
      </c>
      <c r="E372" s="2005" t="str">
        <f>IFERROR(__xludf.DUMMYFUNCTION("""COMPUTED_VALUE"""),"CANON")</f>
        <v>CANON</v>
      </c>
      <c r="F372" s="2005" t="str">
        <f>IFERROR(__xludf.DUMMYFUNCTION("""COMPUTED_VALUE"""),"B")</f>
        <v>B</v>
      </c>
      <c r="G372" s="2005" t="str">
        <f>IFERROR(__xludf.DUMMYFUNCTION("""COMPUTED_VALUE"""),"AC")</f>
        <v>AC</v>
      </c>
      <c r="H372" s="2005">
        <f>IFERROR(__xludf.DUMMYFUNCTION("""COMPUTED_VALUE"""),17.0)</f>
        <v>17</v>
      </c>
      <c r="I372" s="2005">
        <f>IFERROR(__xludf.DUMMYFUNCTION("""COMPUTED_VALUE"""),17.0)</f>
        <v>17</v>
      </c>
      <c r="BD372" s="2006"/>
      <c r="LM372" s="2007"/>
    </row>
    <row r="373">
      <c r="A373" s="2005">
        <f>IFERROR(__xludf.DUMMYFUNCTION("""COMPUTED_VALUE"""),856270.0)</f>
        <v>856270</v>
      </c>
      <c r="B373" s="2005">
        <f>IFERROR(__xludf.DUMMYFUNCTION("""COMPUTED_VALUE"""),2403005.0)</f>
        <v>2403005</v>
      </c>
      <c r="C373" s="2005" t="str">
        <f>IFERROR(__xludf.DUMMYFUNCTION("""COMPUTED_VALUE"""),"Cartouche")</f>
        <v>Cartouche</v>
      </c>
      <c r="D373" s="2005" t="str">
        <f>IFERROR(__xludf.DUMMYFUNCTION("""COMPUTED_VALUE"""),"CLI526 Magenta")</f>
        <v>CLI526 Magenta</v>
      </c>
      <c r="E373" s="2005" t="str">
        <f>IFERROR(__xludf.DUMMYFUNCTION("""COMPUTED_VALUE"""),"CANON")</f>
        <v>CANON</v>
      </c>
      <c r="F373" s="2005" t="str">
        <f>IFERROR(__xludf.DUMMYFUNCTION("""COMPUTED_VALUE"""),"B")</f>
        <v>B</v>
      </c>
      <c r="G373" s="2005" t="str">
        <f>IFERROR(__xludf.DUMMYFUNCTION("""COMPUTED_VALUE"""),"AC")</f>
        <v>AC</v>
      </c>
      <c r="H373" s="2005">
        <f>IFERROR(__xludf.DUMMYFUNCTION("""COMPUTED_VALUE"""),17.0)</f>
        <v>17</v>
      </c>
      <c r="I373" s="2005">
        <f>IFERROR(__xludf.DUMMYFUNCTION("""COMPUTED_VALUE"""),17.0)</f>
        <v>17</v>
      </c>
      <c r="LL373" s="2007"/>
      <c r="LM373" s="2007"/>
      <c r="MX373" s="2007"/>
      <c r="ND373" s="2007"/>
    </row>
    <row r="374">
      <c r="A374" s="2005">
        <f>IFERROR(__xludf.DUMMYFUNCTION("""COMPUTED_VALUE"""),856271.0)</f>
        <v>856271</v>
      </c>
      <c r="B374" s="2005">
        <f>IFERROR(__xludf.DUMMYFUNCTION("""COMPUTED_VALUE"""),2403005.0)</f>
        <v>2403005</v>
      </c>
      <c r="C374" s="2005" t="str">
        <f>IFERROR(__xludf.DUMMYFUNCTION("""COMPUTED_VALUE"""),"Cartouche")</f>
        <v>Cartouche</v>
      </c>
      <c r="D374" s="2005" t="str">
        <f>IFERROR(__xludf.DUMMYFUNCTION("""COMPUTED_VALUE"""),"CLI526 Jaune")</f>
        <v>CLI526 Jaune</v>
      </c>
      <c r="E374" s="2005" t="str">
        <f>IFERROR(__xludf.DUMMYFUNCTION("""COMPUTED_VALUE"""),"CANON")</f>
        <v>CANON</v>
      </c>
      <c r="F374" s="2005" t="str">
        <f>IFERROR(__xludf.DUMMYFUNCTION("""COMPUTED_VALUE"""),"B")</f>
        <v>B</v>
      </c>
      <c r="G374" s="2005" t="str">
        <f>IFERROR(__xludf.DUMMYFUNCTION("""COMPUTED_VALUE"""),"AC")</f>
        <v>AC</v>
      </c>
      <c r="H374" s="2005">
        <f>IFERROR(__xludf.DUMMYFUNCTION("""COMPUTED_VALUE"""),17.0)</f>
        <v>17</v>
      </c>
      <c r="I374" s="2005">
        <f>IFERROR(__xludf.DUMMYFUNCTION("""COMPUTED_VALUE"""),17.0)</f>
        <v>17</v>
      </c>
      <c r="BD374" s="2006"/>
      <c r="LL374" s="2008"/>
      <c r="LM374" s="2007"/>
      <c r="MX374" s="2007"/>
      <c r="ND374" s="2007"/>
    </row>
    <row r="375">
      <c r="A375" s="2005">
        <f>IFERROR(__xludf.DUMMYFUNCTION("""COMPUTED_VALUE"""),856274.0)</f>
        <v>856274</v>
      </c>
      <c r="B375" s="2005">
        <f>IFERROR(__xludf.DUMMYFUNCTION("""COMPUTED_VALUE"""),2403005.0)</f>
        <v>2403005</v>
      </c>
      <c r="C375" s="2005" t="str">
        <f>IFERROR(__xludf.DUMMYFUNCTION("""COMPUTED_VALUE"""),"Cartouche")</f>
        <v>Cartouche</v>
      </c>
      <c r="D375" s="2005" t="str">
        <f>IFERROR(__xludf.DUMMYFUNCTION("""COMPUTED_VALUE"""),"CLI-526 gris")</f>
        <v>CLI-526 gris</v>
      </c>
      <c r="E375" s="2005" t="str">
        <f>IFERROR(__xludf.DUMMYFUNCTION("""COMPUTED_VALUE"""),"CANON")</f>
        <v>CANON</v>
      </c>
      <c r="F375" s="2005" t="str">
        <f>IFERROR(__xludf.DUMMYFUNCTION("""COMPUTED_VALUE"""),"B")</f>
        <v>B</v>
      </c>
      <c r="G375" s="2005" t="str">
        <f>IFERROR(__xludf.DUMMYFUNCTION("""COMPUTED_VALUE"""),"AC")</f>
        <v>AC</v>
      </c>
      <c r="H375" s="2005">
        <f>IFERROR(__xludf.DUMMYFUNCTION("""COMPUTED_VALUE"""),17.0)</f>
        <v>17</v>
      </c>
      <c r="I375" s="2005">
        <f>IFERROR(__xludf.DUMMYFUNCTION("""COMPUTED_VALUE"""),17.0)</f>
        <v>17</v>
      </c>
      <c r="BD375" s="2006"/>
      <c r="LL375" s="2007"/>
      <c r="LM375" s="2007"/>
      <c r="MX375" s="2007"/>
      <c r="ND375" s="2007"/>
    </row>
    <row r="376">
      <c r="A376" s="2005">
        <f>IFERROR(__xludf.DUMMYFUNCTION("""COMPUTED_VALUE"""),856999.0)</f>
        <v>856999</v>
      </c>
      <c r="B376" s="2005">
        <f>IFERROR(__xludf.DUMMYFUNCTION("""COMPUTED_VALUE"""),2403010.0)</f>
        <v>2403010</v>
      </c>
      <c r="C376" s="2005" t="str">
        <f>IFERROR(__xludf.DUMMYFUNCTION("""COMPUTED_VALUE"""),"Toner")</f>
        <v>Toner</v>
      </c>
      <c r="D376" s="2005" t="str">
        <f>IFERROR(__xludf.DUMMYFUNCTION("""COMPUTED_VALUE"""),"TN-3230")</f>
        <v>TN-3230</v>
      </c>
      <c r="E376" s="2005" t="str">
        <f>IFERROR(__xludf.DUMMYFUNCTION("""COMPUTED_VALUE"""),"BROTHER")</f>
        <v>BROTHER</v>
      </c>
      <c r="F376" s="2005" t="str">
        <f>IFERROR(__xludf.DUMMYFUNCTION("""COMPUTED_VALUE"""),"H")</f>
        <v>H</v>
      </c>
      <c r="G376" s="2005" t="str">
        <f>IFERROR(__xludf.DUMMYFUNCTION("""COMPUTED_VALUE"""),"NN")</f>
        <v>NN</v>
      </c>
      <c r="H376" s="2005">
        <f>IFERROR(__xludf.DUMMYFUNCTION("""COMPUTED_VALUE"""),107.99)</f>
        <v>107.99</v>
      </c>
      <c r="I376" s="2005">
        <f>IFERROR(__xludf.DUMMYFUNCTION("""COMPUTED_VALUE"""),76.99)</f>
        <v>76.99</v>
      </c>
      <c r="BD376" s="2006"/>
      <c r="LL376" s="2007"/>
      <c r="LM376" s="2007"/>
      <c r="MX376" s="2007"/>
      <c r="ND376" s="2007"/>
    </row>
    <row r="377">
      <c r="A377" s="2005">
        <f>IFERROR(__xludf.DUMMYFUNCTION("""COMPUTED_VALUE"""),857112.0)</f>
        <v>857112</v>
      </c>
      <c r="B377" s="2005">
        <f>IFERROR(__xludf.DUMMYFUNCTION("""COMPUTED_VALUE"""),2403005.0)</f>
        <v>2403005</v>
      </c>
      <c r="C377" s="2005" t="str">
        <f>IFERROR(__xludf.DUMMYFUNCTION("""COMPUTED_VALUE"""),"Cartouche")</f>
        <v>Cartouche</v>
      </c>
      <c r="D377" s="2005" t="str">
        <f>IFERROR(__xludf.DUMMYFUNCTION("""COMPUTED_VALUE"""),"LC985BK noire")</f>
        <v>LC985BK noire</v>
      </c>
      <c r="E377" s="2005" t="str">
        <f>IFERROR(__xludf.DUMMYFUNCTION("""COMPUTED_VALUE"""),"BROTHER")</f>
        <v>BROTHER</v>
      </c>
      <c r="F377" s="2005" t="str">
        <f>IFERROR(__xludf.DUMMYFUNCTION("""COMPUTED_VALUE"""),"H")</f>
        <v>H</v>
      </c>
      <c r="G377" s="2005" t="str">
        <f>IFERROR(__xludf.DUMMYFUNCTION("""COMPUTED_VALUE"""),"NN")</f>
        <v>NN</v>
      </c>
      <c r="H377" s="2005">
        <f>IFERROR(__xludf.DUMMYFUNCTION("""COMPUTED_VALUE"""),21.99)</f>
        <v>21.99</v>
      </c>
      <c r="I377" s="2005">
        <f>IFERROR(__xludf.DUMMYFUNCTION("""COMPUTED_VALUE"""),17.99)</f>
        <v>17.99</v>
      </c>
      <c r="LL377" s="2007"/>
      <c r="LM377" s="2007"/>
      <c r="MX377" s="2008"/>
      <c r="ND377" s="2007"/>
    </row>
    <row r="378">
      <c r="A378" s="2005">
        <f>IFERROR(__xludf.DUMMYFUNCTION("""COMPUTED_VALUE"""),857113.0)</f>
        <v>857113</v>
      </c>
      <c r="B378" s="2005">
        <f>IFERROR(__xludf.DUMMYFUNCTION("""COMPUTED_VALUE"""),2403005.0)</f>
        <v>2403005</v>
      </c>
      <c r="C378" s="2005" t="str">
        <f>IFERROR(__xludf.DUMMYFUNCTION("""COMPUTED_VALUE"""),"Cartouche")</f>
        <v>Cartouche</v>
      </c>
      <c r="D378" s="2005" t="str">
        <f>IFERROR(__xludf.DUMMYFUNCTION("""COMPUTED_VALUE"""),"LC985C cyan")</f>
        <v>LC985C cyan</v>
      </c>
      <c r="E378" s="2005" t="str">
        <f>IFERROR(__xludf.DUMMYFUNCTION("""COMPUTED_VALUE"""),"BROTHER")</f>
        <v>BROTHER</v>
      </c>
      <c r="F378" s="2005" t="str">
        <f>IFERROR(__xludf.DUMMYFUNCTION("""COMPUTED_VALUE"""),"H")</f>
        <v>H</v>
      </c>
      <c r="G378" s="2005" t="str">
        <f>IFERROR(__xludf.DUMMYFUNCTION("""COMPUTED_VALUE"""),"NN")</f>
        <v>NN</v>
      </c>
      <c r="H378" s="2005">
        <f>IFERROR(__xludf.DUMMYFUNCTION("""COMPUTED_VALUE"""),12.49)</f>
        <v>12.49</v>
      </c>
      <c r="I378" s="2005">
        <f>IFERROR(__xludf.DUMMYFUNCTION("""COMPUTED_VALUE"""),9.99)</f>
        <v>9.99</v>
      </c>
      <c r="BD378" s="2006"/>
      <c r="LL378" s="2007"/>
      <c r="LM378" s="2007"/>
      <c r="MX378" s="2007"/>
      <c r="ND378" s="2007"/>
    </row>
    <row r="379">
      <c r="A379" s="2005">
        <f>IFERROR(__xludf.DUMMYFUNCTION("""COMPUTED_VALUE"""),857114.0)</f>
        <v>857114</v>
      </c>
      <c r="B379" s="2005">
        <f>IFERROR(__xludf.DUMMYFUNCTION("""COMPUTED_VALUE"""),2403005.0)</f>
        <v>2403005</v>
      </c>
      <c r="C379" s="2005" t="str">
        <f>IFERROR(__xludf.DUMMYFUNCTION("""COMPUTED_VALUE"""),"Cartouche")</f>
        <v>Cartouche</v>
      </c>
      <c r="D379" s="2005" t="str">
        <f>IFERROR(__xludf.DUMMYFUNCTION("""COMPUTED_VALUE"""),"LC985M Magenta")</f>
        <v>LC985M Magenta</v>
      </c>
      <c r="E379" s="2005" t="str">
        <f>IFERROR(__xludf.DUMMYFUNCTION("""COMPUTED_VALUE"""),"BROTHER")</f>
        <v>BROTHER</v>
      </c>
      <c r="F379" s="2005" t="str">
        <f>IFERROR(__xludf.DUMMYFUNCTION("""COMPUTED_VALUE"""),"H")</f>
        <v>H</v>
      </c>
      <c r="G379" s="2005" t="str">
        <f>IFERROR(__xludf.DUMMYFUNCTION("""COMPUTED_VALUE"""),"AC")</f>
        <v>AC</v>
      </c>
      <c r="H379" s="2005">
        <f>IFERROR(__xludf.DUMMYFUNCTION("""COMPUTED_VALUE"""),12.49)</f>
        <v>12.49</v>
      </c>
      <c r="I379" s="2005">
        <f>IFERROR(__xludf.DUMMYFUNCTION("""COMPUTED_VALUE"""),9.99)</f>
        <v>9.99</v>
      </c>
      <c r="LL379" s="2007"/>
      <c r="LM379" s="2007"/>
      <c r="MX379" s="2007"/>
      <c r="ND379" s="2007"/>
    </row>
    <row r="380">
      <c r="A380" s="2005">
        <f>IFERROR(__xludf.DUMMYFUNCTION("""COMPUTED_VALUE"""),857115.0)</f>
        <v>857115</v>
      </c>
      <c r="B380" s="2005">
        <f>IFERROR(__xludf.DUMMYFUNCTION("""COMPUTED_VALUE"""),2403005.0)</f>
        <v>2403005</v>
      </c>
      <c r="C380" s="2005" t="str">
        <f>IFERROR(__xludf.DUMMYFUNCTION("""COMPUTED_VALUE"""),"Cartouche")</f>
        <v>Cartouche</v>
      </c>
      <c r="D380" s="2005" t="str">
        <f>IFERROR(__xludf.DUMMYFUNCTION("""COMPUTED_VALUE"""),"LC985Y Jaune")</f>
        <v>LC985Y Jaune</v>
      </c>
      <c r="E380" s="2005" t="str">
        <f>IFERROR(__xludf.DUMMYFUNCTION("""COMPUTED_VALUE"""),"BROTHER")</f>
        <v>BROTHER</v>
      </c>
      <c r="F380" s="2005" t="str">
        <f>IFERROR(__xludf.DUMMYFUNCTION("""COMPUTED_VALUE"""),"H")</f>
        <v>H</v>
      </c>
      <c r="G380" s="2005" t="str">
        <f>IFERROR(__xludf.DUMMYFUNCTION("""COMPUTED_VALUE"""),"FR")</f>
        <v>FR</v>
      </c>
      <c r="H380" s="2005">
        <f>IFERROR(__xludf.DUMMYFUNCTION("""COMPUTED_VALUE"""),12.49)</f>
        <v>12.49</v>
      </c>
      <c r="I380" s="2005">
        <f>IFERROR(__xludf.DUMMYFUNCTION("""COMPUTED_VALUE"""),9.99)</f>
        <v>9.99</v>
      </c>
      <c r="BD380" s="2006"/>
      <c r="LL380" s="2007"/>
      <c r="LM380" s="2007"/>
      <c r="MX380" s="2008"/>
      <c r="ND380" s="2007"/>
    </row>
    <row r="381">
      <c r="A381" s="2005">
        <f>IFERROR(__xludf.DUMMYFUNCTION("""COMPUTED_VALUE"""),857792.0)</f>
        <v>857792</v>
      </c>
      <c r="B381" s="2005">
        <f>IFERROR(__xludf.DUMMYFUNCTION("""COMPUTED_VALUE"""),2403005.0)</f>
        <v>2403005</v>
      </c>
      <c r="C381" s="2005" t="str">
        <f>IFERROR(__xludf.DUMMYFUNCTION("""COMPUTED_VALUE"""),"Cartouche")</f>
        <v>Cartouche</v>
      </c>
      <c r="D381" s="2005" t="str">
        <f>IFERROR(__xludf.DUMMYFUNCTION("""COMPUTED_VALUE"""),"PG 510 Noire")</f>
        <v>PG 510 Noire</v>
      </c>
      <c r="E381" s="2005" t="str">
        <f>IFERROR(__xludf.DUMMYFUNCTION("""COMPUTED_VALUE"""),"CANON")</f>
        <v>CANON</v>
      </c>
      <c r="F381" s="2005" t="str">
        <f>IFERROR(__xludf.DUMMYFUNCTION("""COMPUTED_VALUE"""),"A")</f>
        <v>A</v>
      </c>
      <c r="G381" s="2005" t="str">
        <f>IFERROR(__xludf.DUMMYFUNCTION("""COMPUTED_VALUE"""),"AC")</f>
        <v>AC</v>
      </c>
      <c r="H381" s="2005">
        <f>IFERROR(__xludf.DUMMYFUNCTION("""COMPUTED_VALUE"""),20.5)</f>
        <v>20.5</v>
      </c>
      <c r="I381" s="2005">
        <f>IFERROR(__xludf.DUMMYFUNCTION("""COMPUTED_VALUE"""),20.5)</f>
        <v>20.5</v>
      </c>
      <c r="BD381" s="2006"/>
      <c r="LL381" s="2007"/>
      <c r="LM381" s="2007"/>
      <c r="MX381" s="2008"/>
      <c r="ND381" s="2007"/>
    </row>
    <row r="382">
      <c r="A382" s="2005">
        <f>IFERROR(__xludf.DUMMYFUNCTION("""COMPUTED_VALUE"""),857794.0)</f>
        <v>857794</v>
      </c>
      <c r="B382" s="2005">
        <f>IFERROR(__xludf.DUMMYFUNCTION("""COMPUTED_VALUE"""),2403005.0)</f>
        <v>2403005</v>
      </c>
      <c r="C382" s="2005" t="str">
        <f>IFERROR(__xludf.DUMMYFUNCTION("""COMPUTED_VALUE"""),"Cartouche")</f>
        <v>Cartouche</v>
      </c>
      <c r="D382" s="2005" t="str">
        <f>IFERROR(__xludf.DUMMYFUNCTION("""COMPUTED_VALUE"""),"CL 511")</f>
        <v>CL 511</v>
      </c>
      <c r="E382" s="2005" t="str">
        <f>IFERROR(__xludf.DUMMYFUNCTION("""COMPUTED_VALUE"""),"CANON")</f>
        <v>CANON</v>
      </c>
      <c r="F382" s="2005" t="str">
        <f>IFERROR(__xludf.DUMMYFUNCTION("""COMPUTED_VALUE"""),"B")</f>
        <v>B</v>
      </c>
      <c r="G382" s="2005" t="str">
        <f>IFERROR(__xludf.DUMMYFUNCTION("""COMPUTED_VALUE"""),"AC")</f>
        <v>AC</v>
      </c>
      <c r="H382" s="2005">
        <f>IFERROR(__xludf.DUMMYFUNCTION("""COMPUTED_VALUE"""),26.5)</f>
        <v>26.5</v>
      </c>
      <c r="I382" s="2005">
        <f>IFERROR(__xludf.DUMMYFUNCTION("""COMPUTED_VALUE"""),26.5)</f>
        <v>26.5</v>
      </c>
      <c r="BD382" s="2006"/>
      <c r="LL382" s="2007"/>
      <c r="LM382" s="2007"/>
      <c r="MX382" s="2007"/>
      <c r="ND382" s="2007"/>
    </row>
    <row r="383">
      <c r="A383" s="2005">
        <f>IFERROR(__xludf.DUMMYFUNCTION("""COMPUTED_VALUE"""),861916.0)</f>
        <v>861916</v>
      </c>
      <c r="B383" s="2005">
        <f>IFERROR(__xludf.DUMMYFUNCTION("""COMPUTED_VALUE"""),2402005.0)</f>
        <v>2402005</v>
      </c>
      <c r="C383" s="2005" t="str">
        <f>IFERROR(__xludf.DUMMYFUNCTION("""COMPUTED_VALUE"""),"Papier")</f>
        <v>Papier</v>
      </c>
      <c r="D383" s="2005" t="str">
        <f>IFERROR(__xludf.DUMMYFUNCTION("""COMPUTED_VALUE"""),"100FL OFFICE NP A4 90g Gris")</f>
        <v>100FL OFFICE NP A4 90g Gris</v>
      </c>
      <c r="E383" s="2005" t="str">
        <f>IFERROR(__xludf.DUMMYFUNCTION("""COMPUTED_VALUE"""),"CANSON")</f>
        <v>CANSON</v>
      </c>
      <c r="F383" s="2005" t="str">
        <f>IFERROR(__xludf.DUMMYFUNCTION("""COMPUTED_VALUE"""),"B")</f>
        <v>B</v>
      </c>
      <c r="G383" s="2005" t="str">
        <f>IFERROR(__xludf.DUMMYFUNCTION("""COMPUTED_VALUE"""),"NN")</f>
        <v>NN</v>
      </c>
      <c r="H383" s="2005">
        <f>IFERROR(__xludf.DUMMYFUNCTION("""COMPUTED_VALUE"""),6.99)</f>
        <v>6.99</v>
      </c>
      <c r="I383" s="2005">
        <f>IFERROR(__xludf.DUMMYFUNCTION("""COMPUTED_VALUE"""),6.99)</f>
        <v>6.99</v>
      </c>
      <c r="BD383" s="2006"/>
      <c r="LL383" s="2007"/>
      <c r="LM383" s="2007"/>
      <c r="MX383" s="2007"/>
      <c r="ND383" s="2007"/>
    </row>
    <row r="384">
      <c r="A384" s="2005">
        <f>IFERROR(__xludf.DUMMYFUNCTION("""COMPUTED_VALUE"""),861959.0)</f>
        <v>861959</v>
      </c>
      <c r="B384" s="2005">
        <f>IFERROR(__xludf.DUMMYFUNCTION("""COMPUTED_VALUE"""),2402005.0)</f>
        <v>2402005</v>
      </c>
      <c r="C384" s="2005" t="str">
        <f>IFERROR(__xludf.DUMMYFUNCTION("""COMPUTED_VALUE"""),"Enveloppe")</f>
        <v>Enveloppe</v>
      </c>
      <c r="D384" s="2005" t="str">
        <f>IFERROR(__xludf.DUMMYFUNCTION("""COMPUTED_VALUE"""),"50ENV OFFICE  NP DL 90g Gris")</f>
        <v>50ENV OFFICE  NP DL 90g Gris</v>
      </c>
      <c r="E384" s="2005" t="str">
        <f>IFERROR(__xludf.DUMMYFUNCTION("""COMPUTED_VALUE"""),"CANSON")</f>
        <v>CANSON</v>
      </c>
      <c r="F384" s="2005" t="str">
        <f>IFERROR(__xludf.DUMMYFUNCTION("""COMPUTED_VALUE"""),"B")</f>
        <v>B</v>
      </c>
      <c r="G384" s="2005" t="str">
        <f>IFERROR(__xludf.DUMMYFUNCTION("""COMPUTED_VALUE"""),"NN")</f>
        <v>NN</v>
      </c>
      <c r="H384" s="2005">
        <f>IFERROR(__xludf.DUMMYFUNCTION("""COMPUTED_VALUE"""),9.9)</f>
        <v>9.9</v>
      </c>
      <c r="I384" s="2005">
        <f>IFERROR(__xludf.DUMMYFUNCTION("""COMPUTED_VALUE"""),9.9)</f>
        <v>9.9</v>
      </c>
      <c r="BD384" s="2006"/>
      <c r="LL384" s="2007"/>
      <c r="LM384" s="2007"/>
      <c r="MX384" s="2007"/>
      <c r="ND384" s="2007"/>
    </row>
    <row r="385">
      <c r="A385" s="2005">
        <f>IFERROR(__xludf.DUMMYFUNCTION("""COMPUTED_VALUE"""),865780.0)</f>
        <v>865780</v>
      </c>
      <c r="B385" s="2005">
        <f>IFERROR(__xludf.DUMMYFUNCTION("""COMPUTED_VALUE"""),2502505.0)</f>
        <v>2502505</v>
      </c>
      <c r="C385" s="2005" t="str">
        <f>IFERROR(__xludf.DUMMYFUNCTION("""COMPUTED_VALUE"""),"Tapis")</f>
        <v>Tapis</v>
      </c>
      <c r="D385" s="2005" t="str">
        <f>IFERROR(__xludf.DUMMYFUNCTION("""COMPUTED_VALUE"""),"TS-780")</f>
        <v>TS-780</v>
      </c>
      <c r="E385" s="2005" t="str">
        <f>IFERROR(__xludf.DUMMYFUNCTION("""COMPUTED_VALUE"""),"LISTO")</f>
        <v>LISTO</v>
      </c>
      <c r="F385" s="2005" t="str">
        <f>IFERROR(__xludf.DUMMYFUNCTION("""COMPUTED_VALUE"""),"A")</f>
        <v>A</v>
      </c>
      <c r="G385" s="2005" t="str">
        <f>IFERROR(__xludf.DUMMYFUNCTION("""COMPUTED_VALUE"""),"AC")</f>
        <v>AC</v>
      </c>
      <c r="H385">
        <f>IFERROR(__xludf.DUMMYFUNCTION("""COMPUTED_VALUE"""),2.99)</f>
        <v>2.99</v>
      </c>
      <c r="I385">
        <f>IFERROR(__xludf.DUMMYFUNCTION("""COMPUTED_VALUE"""),2.99)</f>
        <v>2.99</v>
      </c>
      <c r="BD385" s="2006"/>
      <c r="LL385" s="2008"/>
      <c r="LM385" s="2007"/>
      <c r="MX385" s="2007"/>
      <c r="ND385" s="2007"/>
    </row>
    <row r="386">
      <c r="A386" s="2005">
        <f>IFERROR(__xludf.DUMMYFUNCTION("""COMPUTED_VALUE"""),866502.0)</f>
        <v>866502</v>
      </c>
      <c r="B386" s="2005">
        <f>IFERROR(__xludf.DUMMYFUNCTION("""COMPUTED_VALUE"""),1105005.0)</f>
        <v>1105005</v>
      </c>
      <c r="C386" s="2005" t="str">
        <f>IFERROR(__xludf.DUMMYFUNCTION("""COMPUTED_VALUE"""),"Tél.")</f>
        <v>Tél.</v>
      </c>
      <c r="D386" s="2005" t="str">
        <f>IFERROR(__xludf.DUMMYFUNCTION("""COMPUTED_VALUE"""),"DL 500A")</f>
        <v>DL 500A</v>
      </c>
      <c r="E386" s="2005" t="str">
        <f>IFERROR(__xludf.DUMMYFUNCTION("""COMPUTED_VALUE"""),"GIGASET")</f>
        <v>GIGASET</v>
      </c>
      <c r="F386" s="2005" t="str">
        <f>IFERROR(__xludf.DUMMYFUNCTION("""COMPUTED_VALUE"""),"H")</f>
        <v>H</v>
      </c>
      <c r="G386" s="2005" t="str">
        <f>IFERROR(__xludf.DUMMYFUNCTION("""COMPUTED_VALUE"""),"NN")</f>
        <v>NN</v>
      </c>
      <c r="H386" s="2005">
        <f>IFERROR(__xludf.DUMMYFUNCTION("""COMPUTED_VALUE"""),98.99)</f>
        <v>98.99</v>
      </c>
      <c r="I386" s="2005">
        <f>IFERROR(__xludf.DUMMYFUNCTION("""COMPUTED_VALUE"""),98.99)</f>
        <v>98.99</v>
      </c>
      <c r="BD386" s="2006"/>
      <c r="LL386" s="2008"/>
      <c r="LM386" s="2007"/>
      <c r="MX386" s="2007"/>
      <c r="ND386" s="2007"/>
    </row>
    <row r="387">
      <c r="A387" s="2005">
        <f>IFERROR(__xludf.DUMMYFUNCTION("""COMPUTED_VALUE"""),866503.0)</f>
        <v>866503</v>
      </c>
      <c r="B387" s="2005">
        <f>IFERROR(__xludf.DUMMYFUNCTION("""COMPUTED_VALUE"""),1105005.0)</f>
        <v>1105005</v>
      </c>
      <c r="C387" s="2005" t="str">
        <f>IFERROR(__xludf.DUMMYFUNCTION("""COMPUTED_VALUE"""),"Tél.")</f>
        <v>Tél.</v>
      </c>
      <c r="D387" s="2005" t="str">
        <f>IFERROR(__xludf.DUMMYFUNCTION("""COMPUTED_VALUE"""),"DX 800A")</f>
        <v>DX 800A</v>
      </c>
      <c r="E387" s="2005" t="str">
        <f>IFERROR(__xludf.DUMMYFUNCTION("""COMPUTED_VALUE"""),"GIGASET")</f>
        <v>GIGASET</v>
      </c>
      <c r="F387" s="2005" t="str">
        <f>IFERROR(__xludf.DUMMYFUNCTION("""COMPUTED_VALUE"""),"H")</f>
        <v>H</v>
      </c>
      <c r="G387" s="2005" t="str">
        <f>IFERROR(__xludf.DUMMYFUNCTION("""COMPUTED_VALUE"""),"NN")</f>
        <v>NN</v>
      </c>
      <c r="H387" s="2005">
        <f>IFERROR(__xludf.DUMMYFUNCTION("""COMPUTED_VALUE"""),149.99)</f>
        <v>149.99</v>
      </c>
      <c r="I387" s="2005">
        <f>IFERROR(__xludf.DUMMYFUNCTION("""COMPUTED_VALUE"""),149.99)</f>
        <v>149.99</v>
      </c>
      <c r="BD387" s="2006"/>
      <c r="LL387" s="2008"/>
      <c r="LM387" s="2007"/>
      <c r="MX387" s="2007"/>
      <c r="ND387" s="2007"/>
    </row>
    <row r="388">
      <c r="A388" s="2005">
        <f>IFERROR(__xludf.DUMMYFUNCTION("""COMPUTED_VALUE"""),866841.0)</f>
        <v>866841</v>
      </c>
      <c r="B388" s="2005">
        <f>IFERROR(__xludf.DUMMYFUNCTION("""COMPUTED_VALUE"""),2403005.0)</f>
        <v>2403005</v>
      </c>
      <c r="C388" s="2005" t="str">
        <f>IFERROR(__xludf.DUMMYFUNCTION("""COMPUTED_VALUE"""),"Cartouche")</f>
        <v>Cartouche</v>
      </c>
      <c r="D388" s="2005" t="str">
        <f>IFERROR(__xludf.DUMMYFUNCTION("""COMPUTED_VALUE"""),"364 XL noire")</f>
        <v>364 XL noire</v>
      </c>
      <c r="E388" s="2005" t="str">
        <f>IFERROR(__xludf.DUMMYFUNCTION("""COMPUTED_VALUE"""),"HP")</f>
        <v>HP</v>
      </c>
      <c r="F388" s="2005" t="str">
        <f>IFERROR(__xludf.DUMMYFUNCTION("""COMPUTED_VALUE"""),"A")</f>
        <v>A</v>
      </c>
      <c r="G388" s="2005" t="str">
        <f>IFERROR(__xludf.DUMMYFUNCTION("""COMPUTED_VALUE"""),"NN")</f>
        <v>NN</v>
      </c>
      <c r="H388" s="2005">
        <f>IFERROR(__xludf.DUMMYFUNCTION("""COMPUTED_VALUE"""),21.99)</f>
        <v>21.99</v>
      </c>
      <c r="I388" s="2005">
        <f>IFERROR(__xludf.DUMMYFUNCTION("""COMPUTED_VALUE"""),21.99)</f>
        <v>21.99</v>
      </c>
      <c r="BD388" s="2006"/>
      <c r="LL388" s="2007"/>
      <c r="LM388" s="2007"/>
      <c r="MX388" s="2007"/>
      <c r="ND388" s="2007"/>
    </row>
    <row r="389">
      <c r="A389" s="2005">
        <f>IFERROR(__xludf.DUMMYFUNCTION("""COMPUTED_VALUE"""),867267.0)</f>
        <v>867267</v>
      </c>
      <c r="B389" s="2005">
        <f>IFERROR(__xludf.DUMMYFUNCTION("""COMPUTED_VALUE"""),1103010.0)</f>
        <v>1103010</v>
      </c>
      <c r="C389" s="2005" t="str">
        <f>IFERROR(__xludf.DUMMYFUNCTION("""COMPUTED_VALUE"""),"Base + 1 combi")</f>
        <v>Base + 1 combi</v>
      </c>
      <c r="D389" s="2005" t="str">
        <f>IFERROR(__xludf.DUMMYFUNCTION("""COMPUTED_VALUE"""),"Phone Easy 100W duo Noir")</f>
        <v>Phone Easy 100W duo Noir</v>
      </c>
      <c r="E389" s="2005" t="str">
        <f>IFERROR(__xludf.DUMMYFUNCTION("""COMPUTED_VALUE"""),"DORO")</f>
        <v>DORO</v>
      </c>
      <c r="F389" s="2005" t="str">
        <f>IFERROR(__xludf.DUMMYFUNCTION("""COMPUTED_VALUE"""),"H")</f>
        <v>H</v>
      </c>
      <c r="G389" s="2005" t="str">
        <f>IFERROR(__xludf.DUMMYFUNCTION("""COMPUTED_VALUE"""),"AC")</f>
        <v>AC</v>
      </c>
      <c r="H389" s="2005">
        <f>IFERROR(__xludf.DUMMYFUNCTION("""COMPUTED_VALUE"""),60.06)</f>
        <v>60.06</v>
      </c>
      <c r="I389" s="2005">
        <f>IFERROR(__xludf.DUMMYFUNCTION("""COMPUTED_VALUE"""),60.06)</f>
        <v>60.06</v>
      </c>
      <c r="BD389" s="2006"/>
      <c r="LL389" s="2007"/>
      <c r="LM389" s="2007"/>
      <c r="MX389" s="2007"/>
      <c r="ND389" s="2007"/>
    </row>
    <row r="390">
      <c r="A390" s="2005">
        <f>IFERROR(__xludf.DUMMYFUNCTION("""COMPUTED_VALUE"""),868184.0)</f>
        <v>868184</v>
      </c>
      <c r="B390" s="2005">
        <f>IFERROR(__xludf.DUMMYFUNCTION("""COMPUTED_VALUE"""),2403005.0)</f>
        <v>2403005</v>
      </c>
      <c r="C390" s="2005" t="str">
        <f>IFERROR(__xludf.DUMMYFUNCTION("""COMPUTED_VALUE"""),"Cartouche")</f>
        <v>Cartouche</v>
      </c>
      <c r="D390" s="2005" t="str">
        <f>IFERROR(__xludf.DUMMYFUNCTION("""COMPUTED_VALUE"""),"LC1280XL Noir")</f>
        <v>LC1280XL Noir</v>
      </c>
      <c r="E390" s="2005" t="str">
        <f>IFERROR(__xludf.DUMMYFUNCTION("""COMPUTED_VALUE"""),"BROTHER")</f>
        <v>BROTHER</v>
      </c>
      <c r="F390" s="2005" t="str">
        <f>IFERROR(__xludf.DUMMYFUNCTION("""COMPUTED_VALUE"""),"D")</f>
        <v>D</v>
      </c>
      <c r="G390" s="2005" t="str">
        <f>IFERROR(__xludf.DUMMYFUNCTION("""COMPUTED_VALUE"""),"FR")</f>
        <v>FR</v>
      </c>
      <c r="H390" s="2005">
        <f>IFERROR(__xludf.DUMMYFUNCTION("""COMPUTED_VALUE"""),42.99)</f>
        <v>42.99</v>
      </c>
      <c r="I390" s="2005">
        <f>IFERROR(__xludf.DUMMYFUNCTION("""COMPUTED_VALUE"""),28.99)</f>
        <v>28.99</v>
      </c>
      <c r="BD390" s="2006"/>
      <c r="LL390" s="2007"/>
      <c r="LM390" s="2007"/>
      <c r="MX390" s="2007"/>
      <c r="ND390" s="2007"/>
    </row>
    <row r="391">
      <c r="A391" s="2005">
        <f>IFERROR(__xludf.DUMMYFUNCTION("""COMPUTED_VALUE"""),868185.0)</f>
        <v>868185</v>
      </c>
      <c r="B391" s="2005">
        <f>IFERROR(__xludf.DUMMYFUNCTION("""COMPUTED_VALUE"""),2403005.0)</f>
        <v>2403005</v>
      </c>
      <c r="C391" s="2005" t="str">
        <f>IFERROR(__xludf.DUMMYFUNCTION("""COMPUTED_VALUE"""),"Cartouche")</f>
        <v>Cartouche</v>
      </c>
      <c r="D391" s="2005" t="str">
        <f>IFERROR(__xludf.DUMMYFUNCTION("""COMPUTED_VALUE"""),"LC1280XL Cyan")</f>
        <v>LC1280XL Cyan</v>
      </c>
      <c r="E391" s="2005" t="str">
        <f>IFERROR(__xludf.DUMMYFUNCTION("""COMPUTED_VALUE"""),"BROTHER")</f>
        <v>BROTHER</v>
      </c>
      <c r="F391" s="2005" t="str">
        <f>IFERROR(__xludf.DUMMYFUNCTION("""COMPUTED_VALUE"""),"D")</f>
        <v>D</v>
      </c>
      <c r="G391" s="2005" t="str">
        <f>IFERROR(__xludf.DUMMYFUNCTION("""COMPUTED_VALUE"""),"FR")</f>
        <v>FR</v>
      </c>
      <c r="H391" s="2005">
        <f>IFERROR(__xludf.DUMMYFUNCTION("""COMPUTED_VALUE"""),25.99)</f>
        <v>25.99</v>
      </c>
      <c r="I391" s="2005">
        <f>IFERROR(__xludf.DUMMYFUNCTION("""COMPUTED_VALUE"""),17.99)</f>
        <v>17.99</v>
      </c>
      <c r="BD391" s="2006"/>
      <c r="LL391" s="2007"/>
      <c r="LM391" s="2007"/>
      <c r="MX391" s="2007"/>
      <c r="ND391" s="2008"/>
    </row>
    <row r="392">
      <c r="A392" s="2005">
        <f>IFERROR(__xludf.DUMMYFUNCTION("""COMPUTED_VALUE"""),868186.0)</f>
        <v>868186</v>
      </c>
      <c r="B392" s="2005">
        <f>IFERROR(__xludf.DUMMYFUNCTION("""COMPUTED_VALUE"""),2403005.0)</f>
        <v>2403005</v>
      </c>
      <c r="C392" s="2005" t="str">
        <f>IFERROR(__xludf.DUMMYFUNCTION("""COMPUTED_VALUE"""),"Cartouche")</f>
        <v>Cartouche</v>
      </c>
      <c r="D392" s="2005" t="str">
        <f>IFERROR(__xludf.DUMMYFUNCTION("""COMPUTED_VALUE"""),"LC1280XL Magenta")</f>
        <v>LC1280XL Magenta</v>
      </c>
      <c r="E392" s="2005" t="str">
        <f>IFERROR(__xludf.DUMMYFUNCTION("""COMPUTED_VALUE"""),"BROTHER")</f>
        <v>BROTHER</v>
      </c>
      <c r="F392" s="2005" t="str">
        <f>IFERROR(__xludf.DUMMYFUNCTION("""COMPUTED_VALUE"""),"D")</f>
        <v>D</v>
      </c>
      <c r="G392" s="2005" t="str">
        <f>IFERROR(__xludf.DUMMYFUNCTION("""COMPUTED_VALUE"""),"FF")</f>
        <v>FF</v>
      </c>
      <c r="H392" s="2005">
        <f>IFERROR(__xludf.DUMMYFUNCTION("""COMPUTED_VALUE"""),25.99)</f>
        <v>25.99</v>
      </c>
      <c r="I392" s="2005">
        <f>IFERROR(__xludf.DUMMYFUNCTION("""COMPUTED_VALUE"""),17.99)</f>
        <v>17.99</v>
      </c>
      <c r="BD392" s="2006"/>
      <c r="LL392" s="2007"/>
      <c r="LM392" s="2007"/>
      <c r="MX392" s="2007"/>
      <c r="ND392" s="2008"/>
    </row>
    <row r="393">
      <c r="A393" s="2005">
        <f>IFERROR(__xludf.DUMMYFUNCTION("""COMPUTED_VALUE"""),869248.0)</f>
        <v>869248</v>
      </c>
      <c r="B393" s="2005">
        <f>IFERROR(__xludf.DUMMYFUNCTION("""COMPUTED_VALUE"""),2502020.0)</f>
        <v>2502020</v>
      </c>
      <c r="C393" s="2005" t="str">
        <f>IFERROR(__xludf.DUMMYFUNCTION("""COMPUTED_VALUE"""),"Webcam")</f>
        <v>Webcam</v>
      </c>
      <c r="D393" s="2005" t="str">
        <f>IFERROR(__xludf.DUMMYFUNCTION("""COMPUTED_VALUE"""),"LifeCam HD-3000")</f>
        <v>LifeCam HD-3000</v>
      </c>
      <c r="E393" s="2005" t="str">
        <f>IFERROR(__xludf.DUMMYFUNCTION("""COMPUTED_VALUE"""),"MICROSOFT")</f>
        <v>MICROSOFT</v>
      </c>
      <c r="F393" s="2005" t="str">
        <f>IFERROR(__xludf.DUMMYFUNCTION("""COMPUTED_VALUE"""),"W")</f>
        <v>W</v>
      </c>
      <c r="G393" s="2005" t="str">
        <f>IFERROR(__xludf.DUMMYFUNCTION("""COMPUTED_VALUE"""),"NN")</f>
        <v>NN</v>
      </c>
      <c r="H393" s="2005">
        <f>IFERROR(__xludf.DUMMYFUNCTION("""COMPUTED_VALUE"""),36.91)</f>
        <v>36.91</v>
      </c>
      <c r="I393" s="2005">
        <f>IFERROR(__xludf.DUMMYFUNCTION("""COMPUTED_VALUE"""),36.91)</f>
        <v>36.91</v>
      </c>
      <c r="BD393" s="2006"/>
      <c r="LL393" s="2007"/>
      <c r="LM393" s="2007"/>
      <c r="MX393" s="2007"/>
      <c r="ND393" s="2008"/>
    </row>
    <row r="394">
      <c r="A394" s="2005">
        <f>IFERROR(__xludf.DUMMYFUNCTION("""COMPUTED_VALUE"""),871018.0)</f>
        <v>871018</v>
      </c>
      <c r="B394" s="2005">
        <f>IFERROR(__xludf.DUMMYFUNCTION("""COMPUTED_VALUE"""),2403005.0)</f>
        <v>2403005</v>
      </c>
      <c r="C394" s="2005" t="str">
        <f>IFERROR(__xludf.DUMMYFUNCTION("""COMPUTED_VALUE"""),"MultiPack")</f>
        <v>MultiPack</v>
      </c>
      <c r="D394" s="2005" t="str">
        <f>IFERROR(__xludf.DUMMYFUNCTION("""COMPUTED_VALUE"""),"N°100 Cyan/Magenta/Jaune")</f>
        <v>N°100 Cyan/Magenta/Jaune</v>
      </c>
      <c r="E394" s="2005" t="str">
        <f>IFERROR(__xludf.DUMMYFUNCTION("""COMPUTED_VALUE"""),"LEXMARK")</f>
        <v>LEXMARK</v>
      </c>
      <c r="F394" s="2005" t="str">
        <f>IFERROR(__xludf.DUMMYFUNCTION("""COMPUTED_VALUE"""),"H")</f>
        <v>H</v>
      </c>
      <c r="G394" s="2005" t="str">
        <f>IFERROR(__xludf.DUMMYFUNCTION("""COMPUTED_VALUE"""),"NN")</f>
        <v>NN</v>
      </c>
      <c r="H394" s="2005">
        <f>IFERROR(__xludf.DUMMYFUNCTION("""COMPUTED_VALUE"""),9.99)</f>
        <v>9.99</v>
      </c>
      <c r="I394" s="2005">
        <f>IFERROR(__xludf.DUMMYFUNCTION("""COMPUTED_VALUE"""),9.99)</f>
        <v>9.99</v>
      </c>
      <c r="BD394" s="2006"/>
      <c r="LL394" s="2007"/>
      <c r="LM394" s="2007"/>
      <c r="MX394" s="2007"/>
      <c r="ND394" s="2008"/>
    </row>
    <row r="395">
      <c r="A395" s="2005">
        <f>IFERROR(__xludf.DUMMYFUNCTION("""COMPUTED_VALUE"""),871032.0)</f>
        <v>871032</v>
      </c>
      <c r="B395" s="2005">
        <f>IFERROR(__xludf.DUMMYFUNCTION("""COMPUTED_VALUE"""),2403005.0)</f>
        <v>2403005</v>
      </c>
      <c r="C395" s="2005" t="str">
        <f>IFERROR(__xludf.DUMMYFUNCTION("""COMPUTED_VALUE"""),"Cartouche")</f>
        <v>Cartouche</v>
      </c>
      <c r="D395" s="2005" t="str">
        <f>IFERROR(__xludf.DUMMYFUNCTION("""COMPUTED_VALUE"""),"100XL Magenta")</f>
        <v>100XL Magenta</v>
      </c>
      <c r="E395" s="2005" t="str">
        <f>IFERROR(__xludf.DUMMYFUNCTION("""COMPUTED_VALUE"""),"LEXMARK")</f>
        <v>LEXMARK</v>
      </c>
      <c r="F395" s="2005" t="str">
        <f>IFERROR(__xludf.DUMMYFUNCTION("""COMPUTED_VALUE"""),"H")</f>
        <v>H</v>
      </c>
      <c r="G395" s="2005" t="str">
        <f>IFERROR(__xludf.DUMMYFUNCTION("""COMPUTED_VALUE"""),"NN")</f>
        <v>NN</v>
      </c>
      <c r="H395" s="2005">
        <f>IFERROR(__xludf.DUMMYFUNCTION("""COMPUTED_VALUE"""),4.99)</f>
        <v>4.99</v>
      </c>
      <c r="I395" s="2005">
        <f>IFERROR(__xludf.DUMMYFUNCTION("""COMPUTED_VALUE"""),4.99)</f>
        <v>4.99</v>
      </c>
      <c r="BD395" s="2006"/>
      <c r="LL395" s="2007"/>
      <c r="LM395" s="2007"/>
      <c r="MX395" s="2007"/>
      <c r="ND395" s="2008"/>
    </row>
    <row r="396">
      <c r="A396" s="2005">
        <f>IFERROR(__xludf.DUMMYFUNCTION("""COMPUTED_VALUE"""),871034.0)</f>
        <v>871034</v>
      </c>
      <c r="B396" s="2005">
        <f>IFERROR(__xludf.DUMMYFUNCTION("""COMPUTED_VALUE"""),2403005.0)</f>
        <v>2403005</v>
      </c>
      <c r="C396" s="2005" t="str">
        <f>IFERROR(__xludf.DUMMYFUNCTION("""COMPUTED_VALUE"""),"Cartouche")</f>
        <v>Cartouche</v>
      </c>
      <c r="D396" s="2005" t="str">
        <f>IFERROR(__xludf.DUMMYFUNCTION("""COMPUTED_VALUE"""),"100XL Jaune")</f>
        <v>100XL Jaune</v>
      </c>
      <c r="E396" s="2005" t="str">
        <f>IFERROR(__xludf.DUMMYFUNCTION("""COMPUTED_VALUE"""),"LEXMARK")</f>
        <v>LEXMARK</v>
      </c>
      <c r="F396" s="2005" t="str">
        <f>IFERROR(__xludf.DUMMYFUNCTION("""COMPUTED_VALUE"""),"H")</f>
        <v>H</v>
      </c>
      <c r="G396" s="2005" t="str">
        <f>IFERROR(__xludf.DUMMYFUNCTION("""COMPUTED_VALUE"""),"FR")</f>
        <v>FR</v>
      </c>
      <c r="H396" s="2005">
        <f>IFERROR(__xludf.DUMMYFUNCTION("""COMPUTED_VALUE"""),20.99)</f>
        <v>20.99</v>
      </c>
      <c r="I396" s="2005">
        <f>IFERROR(__xludf.DUMMYFUNCTION("""COMPUTED_VALUE"""),20.99)</f>
        <v>20.99</v>
      </c>
      <c r="BD396" s="2006"/>
      <c r="LL396" s="2007"/>
      <c r="LM396" s="2007"/>
      <c r="MX396" s="2007"/>
      <c r="ND396" s="2008"/>
    </row>
    <row r="397">
      <c r="A397" s="2005">
        <f>IFERROR(__xludf.DUMMYFUNCTION("""COMPUTED_VALUE"""),871266.0)</f>
        <v>871266</v>
      </c>
      <c r="B397" s="2005">
        <f>IFERROR(__xludf.DUMMYFUNCTION("""COMPUTED_VALUE"""),2704515.0)</f>
        <v>2704515</v>
      </c>
      <c r="C397" s="2005" t="str">
        <f>IFERROR(__xludf.DUMMYFUNCTION("""COMPUTED_VALUE"""),"Calc.")</f>
        <v>Calc.</v>
      </c>
      <c r="D397" s="2005" t="str">
        <f>IFERROR(__xludf.DUMMYFUNCTION("""COMPUTED_VALUE"""),"Petite FX bleu")</f>
        <v>Petite FX bleu</v>
      </c>
      <c r="E397" s="2005" t="str">
        <f>IFERROR(__xludf.DUMMYFUNCTION("""COMPUTED_VALUE"""),"CASIO")</f>
        <v>CASIO</v>
      </c>
      <c r="F397" s="2005" t="str">
        <f>IFERROR(__xludf.DUMMYFUNCTION("""COMPUTED_VALUE"""),"H")</f>
        <v>H</v>
      </c>
      <c r="G397" s="2005" t="str">
        <f>IFERROR(__xludf.DUMMYFUNCTION("""COMPUTED_VALUE"""),"FR")</f>
        <v>FR</v>
      </c>
      <c r="H397" s="2005">
        <f>IFERROR(__xludf.DUMMYFUNCTION("""COMPUTED_VALUE"""),6.99)</f>
        <v>6.99</v>
      </c>
      <c r="I397" s="2005">
        <f>IFERROR(__xludf.DUMMYFUNCTION("""COMPUTED_VALUE"""),6.99)</f>
        <v>6.99</v>
      </c>
      <c r="BD397" s="2006"/>
      <c r="LL397" s="2007"/>
      <c r="LM397" s="2007"/>
      <c r="MX397" s="2007"/>
      <c r="ND397" s="2008"/>
    </row>
    <row r="398">
      <c r="A398" s="2005">
        <f>IFERROR(__xludf.DUMMYFUNCTION("""COMPUTED_VALUE"""),871292.0)</f>
        <v>871292</v>
      </c>
      <c r="B398" s="2005">
        <f>IFERROR(__xludf.DUMMYFUNCTION("""COMPUTED_VALUE"""),2704515.0)</f>
        <v>2704515</v>
      </c>
      <c r="C398" s="2005" t="str">
        <f>IFERROR(__xludf.DUMMYFUNCTION("""COMPUTED_VALUE"""),"Calc.")</f>
        <v>Calc.</v>
      </c>
      <c r="D398" s="2005" t="str">
        <f>IFERROR(__xludf.DUMMYFUNCTION("""COMPUTED_VALUE"""),"Petite FX rose")</f>
        <v>Petite FX rose</v>
      </c>
      <c r="E398" s="2005" t="str">
        <f>IFERROR(__xludf.DUMMYFUNCTION("""COMPUTED_VALUE"""),"CASIO")</f>
        <v>CASIO</v>
      </c>
      <c r="F398" s="2005" t="str">
        <f>IFERROR(__xludf.DUMMYFUNCTION("""COMPUTED_VALUE"""),"H")</f>
        <v>H</v>
      </c>
      <c r="G398" s="2005" t="str">
        <f>IFERROR(__xludf.DUMMYFUNCTION("""COMPUTED_VALUE"""),"NN")</f>
        <v>NN</v>
      </c>
      <c r="H398" s="2005">
        <f>IFERROR(__xludf.DUMMYFUNCTION("""COMPUTED_VALUE"""),9.99)</f>
        <v>9.99</v>
      </c>
      <c r="I398" s="2005">
        <f>IFERROR(__xludf.DUMMYFUNCTION("""COMPUTED_VALUE"""),9.99)</f>
        <v>9.99</v>
      </c>
      <c r="BD398" s="2006"/>
      <c r="LL398" s="2008"/>
      <c r="LM398" s="2007"/>
      <c r="MX398" s="2007"/>
      <c r="ND398" s="2008"/>
    </row>
    <row r="399">
      <c r="A399" s="2005">
        <f>IFERROR(__xludf.DUMMYFUNCTION("""COMPUTED_VALUE"""),871435.0)</f>
        <v>871435</v>
      </c>
      <c r="B399" s="2005">
        <f>IFERROR(__xludf.DUMMYFUNCTION("""COMPUTED_VALUE"""),2403515.0)</f>
        <v>2403515</v>
      </c>
      <c r="C399" s="2005" t="str">
        <f>IFERROR(__xludf.DUMMYFUNCTION("""COMPUTED_VALUE"""),"Conso Plastif")</f>
        <v>Conso Plastif</v>
      </c>
      <c r="D399" s="2005" t="str">
        <f>IFERROR(__xludf.DUMMYFUNCTION("""COMPUTED_VALUE"""),"Cartouche standard de plastification")</f>
        <v>Cartouche standard de plastification</v>
      </c>
      <c r="E399" s="2005" t="str">
        <f>IFERROR(__xludf.DUMMYFUNCTION("""COMPUTED_VALUE"""),"XYRON")</f>
        <v>XYRON</v>
      </c>
      <c r="F399" s="2005" t="str">
        <f>IFERROR(__xludf.DUMMYFUNCTION("""COMPUTED_VALUE"""),"H")</f>
        <v>H</v>
      </c>
      <c r="G399" s="2005" t="str">
        <f>IFERROR(__xludf.DUMMYFUNCTION("""COMPUTED_VALUE"""),"NN")</f>
        <v>NN</v>
      </c>
      <c r="H399" s="2005">
        <f>IFERROR(__xludf.DUMMYFUNCTION("""COMPUTED_VALUE"""),30.99)</f>
        <v>30.99</v>
      </c>
      <c r="I399" s="2005">
        <f>IFERROR(__xludf.DUMMYFUNCTION("""COMPUTED_VALUE"""),30.99)</f>
        <v>30.99</v>
      </c>
      <c r="BD399" s="2006"/>
      <c r="LL399" s="2007"/>
      <c r="LM399" s="2007"/>
      <c r="MX399" s="2007"/>
      <c r="ND399" s="2008"/>
    </row>
    <row r="400">
      <c r="A400" s="2005">
        <f>IFERROR(__xludf.DUMMYFUNCTION("""COMPUTED_VALUE"""),871437.0)</f>
        <v>871437</v>
      </c>
      <c r="B400" s="2005">
        <f>IFERROR(__xludf.DUMMYFUNCTION("""COMPUTED_VALUE"""),2403515.0)</f>
        <v>2403515</v>
      </c>
      <c r="C400" s="2005" t="str">
        <f>IFERROR(__xludf.DUMMYFUNCTION("""COMPUTED_VALUE"""),"Conso Plastif")</f>
        <v>Conso Plastif</v>
      </c>
      <c r="D400" s="2005" t="str">
        <f>IFERROR(__xludf.DUMMYFUNCTION("""COMPUTED_VALUE"""),"Cartouche plastification et magnétique")</f>
        <v>Cartouche plastification et magnétique</v>
      </c>
      <c r="E400" s="2005" t="str">
        <f>IFERROR(__xludf.DUMMYFUNCTION("""COMPUTED_VALUE"""),"XYRON")</f>
        <v>XYRON</v>
      </c>
      <c r="F400" s="2005" t="str">
        <f>IFERROR(__xludf.DUMMYFUNCTION("""COMPUTED_VALUE"""),"H")</f>
        <v>H</v>
      </c>
      <c r="G400" s="2005" t="str">
        <f>IFERROR(__xludf.DUMMYFUNCTION("""COMPUTED_VALUE"""),"NN")</f>
        <v>NN</v>
      </c>
      <c r="H400" s="2005">
        <f>IFERROR(__xludf.DUMMYFUNCTION("""COMPUTED_VALUE"""),51.02)</f>
        <v>51.02</v>
      </c>
      <c r="I400" s="2005">
        <f>IFERROR(__xludf.DUMMYFUNCTION("""COMPUTED_VALUE"""),51.02)</f>
        <v>51.02</v>
      </c>
      <c r="BD400" s="2006"/>
      <c r="LL400" s="2007"/>
      <c r="LM400" s="2007"/>
      <c r="MX400" s="2007"/>
      <c r="ND400" s="2008"/>
    </row>
    <row r="401">
      <c r="A401" s="2005">
        <f>IFERROR(__xludf.DUMMYFUNCTION("""COMPUTED_VALUE"""),871455.0)</f>
        <v>871455</v>
      </c>
      <c r="B401" s="2005">
        <f>IFERROR(__xludf.DUMMYFUNCTION("""COMPUTED_VALUE"""),2703015.0)</f>
        <v>2703015</v>
      </c>
      <c r="C401" s="2005" t="str">
        <f>IFERROR(__xludf.DUMMYFUNCTION("""COMPUTED_VALUE"""),"Plastifieuse")</f>
        <v>Plastifieuse</v>
      </c>
      <c r="D401" s="2005" t="str">
        <f>IFERROR(__xludf.DUMMYFUNCTION("""COMPUTED_VALUE"""),"Creative station plastifie/colle/aimante")</f>
        <v>Creative station plastifie/colle/aimante</v>
      </c>
      <c r="E401" s="2005" t="str">
        <f>IFERROR(__xludf.DUMMYFUNCTION("""COMPUTED_VALUE"""),"XYRON")</f>
        <v>XYRON</v>
      </c>
      <c r="F401" s="2005" t="str">
        <f>IFERROR(__xludf.DUMMYFUNCTION("""COMPUTED_VALUE"""),"H")</f>
        <v>H</v>
      </c>
      <c r="G401" s="2005" t="str">
        <f>IFERROR(__xludf.DUMMYFUNCTION("""COMPUTED_VALUE"""),"NN")</f>
        <v>NN</v>
      </c>
      <c r="H401" s="2005">
        <f>IFERROR(__xludf.DUMMYFUNCTION("""COMPUTED_VALUE"""),89.99)</f>
        <v>89.99</v>
      </c>
      <c r="I401" s="2005">
        <f>IFERROR(__xludf.DUMMYFUNCTION("""COMPUTED_VALUE"""),89.99)</f>
        <v>89.99</v>
      </c>
      <c r="BD401" s="2006"/>
      <c r="LL401" s="2007"/>
      <c r="LM401" s="2007"/>
      <c r="MX401" s="2007"/>
      <c r="ND401" s="2008"/>
    </row>
    <row r="402">
      <c r="A402" s="2005">
        <f>IFERROR(__xludf.DUMMYFUNCTION("""COMPUTED_VALUE"""),871460.0)</f>
        <v>871460</v>
      </c>
      <c r="B402" s="2005">
        <f>IFERROR(__xludf.DUMMYFUNCTION("""COMPUTED_VALUE"""),2403515.0)</f>
        <v>2403515</v>
      </c>
      <c r="C402" s="2005" t="str">
        <f>IFERROR(__xludf.DUMMYFUNCTION("""COMPUTED_VALUE"""),"Conso Plastif")</f>
        <v>Conso Plastif</v>
      </c>
      <c r="D402" s="2005" t="str">
        <f>IFERROR(__xludf.DUMMYFUNCTION("""COMPUTED_VALUE"""),"Cartouche adhésif repositionnable")</f>
        <v>Cartouche adhésif repositionnable</v>
      </c>
      <c r="E402" s="2005" t="str">
        <f>IFERROR(__xludf.DUMMYFUNCTION("""COMPUTED_VALUE"""),"XYRON")</f>
        <v>XYRON</v>
      </c>
      <c r="F402" s="2005" t="str">
        <f>IFERROR(__xludf.DUMMYFUNCTION("""COMPUTED_VALUE"""),"H")</f>
        <v>H</v>
      </c>
      <c r="G402" s="2005" t="str">
        <f>IFERROR(__xludf.DUMMYFUNCTION("""COMPUTED_VALUE"""),"NN")</f>
        <v>NN</v>
      </c>
      <c r="H402" s="2005">
        <f>IFERROR(__xludf.DUMMYFUNCTION("""COMPUTED_VALUE"""),44.66)</f>
        <v>44.66</v>
      </c>
      <c r="I402" s="2005">
        <f>IFERROR(__xludf.DUMMYFUNCTION("""COMPUTED_VALUE"""),44.66)</f>
        <v>44.66</v>
      </c>
      <c r="LL402" s="2008"/>
      <c r="LM402" s="2008"/>
      <c r="MX402" s="2007"/>
      <c r="ND402" s="2007"/>
    </row>
    <row r="403">
      <c r="A403" s="2005">
        <f>IFERROR(__xludf.DUMMYFUNCTION("""COMPUTED_VALUE"""),871470.0)</f>
        <v>871470</v>
      </c>
      <c r="B403" s="2005">
        <f>IFERROR(__xludf.DUMMYFUNCTION("""COMPUTED_VALUE"""),2403515.0)</f>
        <v>2403515</v>
      </c>
      <c r="C403" s="2005" t="str">
        <f>IFERROR(__xludf.DUMMYFUNCTION("""COMPUTED_VALUE"""),"Conso Plastif")</f>
        <v>Conso Plastif</v>
      </c>
      <c r="D403" s="2005" t="str">
        <f>IFERROR(__xludf.DUMMYFUNCTION("""COMPUTED_VALUE"""),"Cartouche plast et adhésif reposition")</f>
        <v>Cartouche plast et adhésif reposition</v>
      </c>
      <c r="E403" s="2005" t="str">
        <f>IFERROR(__xludf.DUMMYFUNCTION("""COMPUTED_VALUE"""),"XYRON")</f>
        <v>XYRON</v>
      </c>
      <c r="F403" s="2005" t="str">
        <f>IFERROR(__xludf.DUMMYFUNCTION("""COMPUTED_VALUE"""),"H")</f>
        <v>H</v>
      </c>
      <c r="G403" s="2005" t="str">
        <f>IFERROR(__xludf.DUMMYFUNCTION("""COMPUTED_VALUE"""),"NN")</f>
        <v>NN</v>
      </c>
      <c r="H403" s="2005">
        <f>IFERROR(__xludf.DUMMYFUNCTION("""COMPUTED_VALUE"""),19.99)</f>
        <v>19.99</v>
      </c>
      <c r="I403" s="2005">
        <f>IFERROR(__xludf.DUMMYFUNCTION("""COMPUTED_VALUE"""),19.99)</f>
        <v>19.99</v>
      </c>
      <c r="LL403" s="2008"/>
      <c r="LM403" s="2008"/>
      <c r="MX403" s="2007"/>
      <c r="ND403" s="2007"/>
    </row>
    <row r="404">
      <c r="A404" s="2005">
        <f>IFERROR(__xludf.DUMMYFUNCTION("""COMPUTED_VALUE"""),872159.0)</f>
        <v>872159</v>
      </c>
      <c r="B404" s="2005">
        <f>IFERROR(__xludf.DUMMYFUNCTION("""COMPUTED_VALUE"""),2203005.0)</f>
        <v>2203005</v>
      </c>
      <c r="C404" s="2005" t="str">
        <f>IFERROR(__xludf.DUMMYFUNCTION("""COMPUTED_VALUE"""),"Scanner")</f>
        <v>Scanner</v>
      </c>
      <c r="D404" s="2005" t="str">
        <f>IFERROR(__xludf.DUMMYFUNCTION("""COMPUTED_VALUE"""),"Perfection V600 photo")</f>
        <v>Perfection V600 photo</v>
      </c>
      <c r="E404" s="2005" t="str">
        <f>IFERROR(__xludf.DUMMYFUNCTION("""COMPUTED_VALUE"""),"EPSON")</f>
        <v>EPSON</v>
      </c>
      <c r="F404" s="2005" t="str">
        <f>IFERROR(__xludf.DUMMYFUNCTION("""COMPUTED_VALUE"""),"H")</f>
        <v>H</v>
      </c>
      <c r="G404" s="2005" t="str">
        <f>IFERROR(__xludf.DUMMYFUNCTION("""COMPUTED_VALUE"""),"AC")</f>
        <v>AC</v>
      </c>
      <c r="H404" s="2005">
        <f>IFERROR(__xludf.DUMMYFUNCTION("""COMPUTED_VALUE"""),429.99)</f>
        <v>429.99</v>
      </c>
      <c r="I404" s="2005">
        <f>IFERROR(__xludf.DUMMYFUNCTION("""COMPUTED_VALUE"""),404.99)</f>
        <v>404.99</v>
      </c>
      <c r="LL404" s="2007"/>
      <c r="LM404" s="2007"/>
    </row>
    <row r="405">
      <c r="A405" s="2005">
        <f>IFERROR(__xludf.DUMMYFUNCTION("""COMPUTED_VALUE"""),872777.0)</f>
        <v>872777</v>
      </c>
      <c r="B405" s="2005">
        <f>IFERROR(__xludf.DUMMYFUNCTION("""COMPUTED_VALUE"""),2502015.0)</f>
        <v>2502015</v>
      </c>
      <c r="C405" s="2005" t="str">
        <f>IFERROR(__xludf.DUMMYFUNCTION("""COMPUTED_VALUE"""),"Clavier")</f>
        <v>Clavier</v>
      </c>
      <c r="D405" s="2005" t="str">
        <f>IFERROR(__xludf.DUMMYFUNCTION("""COMPUTED_VALUE"""),"K750 Solaire")</f>
        <v>K750 Solaire</v>
      </c>
      <c r="E405" s="2005" t="str">
        <f>IFERROR(__xludf.DUMMYFUNCTION("""COMPUTED_VALUE"""),"LOGITECH")</f>
        <v>LOGITECH</v>
      </c>
      <c r="F405" s="2005" t="str">
        <f>IFERROR(__xludf.DUMMYFUNCTION("""COMPUTED_VALUE"""),"W")</f>
        <v>W</v>
      </c>
      <c r="G405" s="2005" t="str">
        <f>IFERROR(__xludf.DUMMYFUNCTION("""COMPUTED_VALUE"""),"NN")</f>
        <v>NN</v>
      </c>
      <c r="H405" s="2005">
        <f>IFERROR(__xludf.DUMMYFUNCTION("""COMPUTED_VALUE"""),109.99)</f>
        <v>109.99</v>
      </c>
      <c r="I405" s="2005">
        <f>IFERROR(__xludf.DUMMYFUNCTION("""COMPUTED_VALUE"""),109.99)</f>
        <v>109.99</v>
      </c>
      <c r="BD405" s="2006"/>
      <c r="LL405" s="2007"/>
      <c r="LM405" s="2008"/>
      <c r="MX405" s="2007"/>
      <c r="ND405" s="2008"/>
    </row>
    <row r="406">
      <c r="A406">
        <f>IFERROR(__xludf.DUMMYFUNCTION("""COMPUTED_VALUE"""),873659.0)</f>
        <v>873659</v>
      </c>
      <c r="B406">
        <f>IFERROR(__xludf.DUMMYFUNCTION("""COMPUTED_VALUE"""),2403005.0)</f>
        <v>2403005</v>
      </c>
      <c r="C406" t="str">
        <f>IFERROR(__xludf.DUMMYFUNCTION("""COMPUTED_VALUE"""),"Pack")</f>
        <v>Pack</v>
      </c>
      <c r="D406" t="str">
        <f>IFERROR(__xludf.DUMMYFUNCTION("""COMPUTED_VALUE"""),"PGI520 (2 cartouches noires)")</f>
        <v>PGI520 (2 cartouches noires)</v>
      </c>
      <c r="E406" t="str">
        <f>IFERROR(__xludf.DUMMYFUNCTION("""COMPUTED_VALUE"""),"CANON")</f>
        <v>CANON</v>
      </c>
      <c r="F406" t="str">
        <f>IFERROR(__xludf.DUMMYFUNCTION("""COMPUTED_VALUE"""),"E")</f>
        <v>E</v>
      </c>
      <c r="G406" t="str">
        <f>IFERROR(__xludf.DUMMYFUNCTION("""COMPUTED_VALUE"""),"AC")</f>
        <v>AC</v>
      </c>
      <c r="H406">
        <f>IFERROR(__xludf.DUMMYFUNCTION("""COMPUTED_VALUE"""),32.51)</f>
        <v>32.51</v>
      </c>
      <c r="I406">
        <f>IFERROR(__xludf.DUMMYFUNCTION("""COMPUTED_VALUE"""),32.51)</f>
        <v>32.51</v>
      </c>
      <c r="BD406" s="2006"/>
      <c r="LL406" s="2008"/>
      <c r="LM406" s="2008"/>
      <c r="MX406" s="2007"/>
      <c r="ND406" s="2008"/>
    </row>
    <row r="407">
      <c r="A407" s="2005">
        <f>IFERROR(__xludf.DUMMYFUNCTION("""COMPUTED_VALUE"""),873661.0)</f>
        <v>873661</v>
      </c>
      <c r="B407" s="2005">
        <f>IFERROR(__xludf.DUMMYFUNCTION("""COMPUTED_VALUE"""),2403005.0)</f>
        <v>2403005</v>
      </c>
      <c r="C407" s="2005" t="str">
        <f>IFERROR(__xludf.DUMMYFUNCTION("""COMPUTED_VALUE"""),"Pack")</f>
        <v>Pack</v>
      </c>
      <c r="D407" s="2005" t="str">
        <f>IFERROR(__xludf.DUMMYFUNCTION("""COMPUTED_VALUE"""),"CLI526 (C/M/J)")</f>
        <v>CLI526 (C/M/J)</v>
      </c>
      <c r="E407" s="2005" t="str">
        <f>IFERROR(__xludf.DUMMYFUNCTION("""COMPUTED_VALUE"""),"CANON")</f>
        <v>CANON</v>
      </c>
      <c r="F407" s="2005" t="str">
        <f>IFERROR(__xludf.DUMMYFUNCTION("""COMPUTED_VALUE"""),"A")</f>
        <v>A</v>
      </c>
      <c r="G407" s="2005" t="str">
        <f>IFERROR(__xludf.DUMMYFUNCTION("""COMPUTED_VALUE"""),"AC")</f>
        <v>AC</v>
      </c>
      <c r="H407" s="2005">
        <f>IFERROR(__xludf.DUMMYFUNCTION("""COMPUTED_VALUE"""),47.51)</f>
        <v>47.51</v>
      </c>
      <c r="I407" s="2005">
        <f>IFERROR(__xludf.DUMMYFUNCTION("""COMPUTED_VALUE"""),47.51)</f>
        <v>47.51</v>
      </c>
      <c r="BD407" s="2006"/>
      <c r="LL407" s="2008"/>
      <c r="LM407" s="2008"/>
      <c r="MX407" s="2007"/>
      <c r="ND407" s="2008"/>
    </row>
    <row r="408">
      <c r="A408" s="2005">
        <f>IFERROR(__xludf.DUMMYFUNCTION("""COMPUTED_VALUE"""),873662.0)</f>
        <v>873662</v>
      </c>
      <c r="B408" s="2005">
        <f>IFERROR(__xludf.DUMMYFUNCTION("""COMPUTED_VALUE"""),2403005.0)</f>
        <v>2403005</v>
      </c>
      <c r="C408" s="2005" t="str">
        <f>IFERROR(__xludf.DUMMYFUNCTION("""COMPUTED_VALUE"""),"Pack")</f>
        <v>Pack</v>
      </c>
      <c r="D408" s="2005" t="str">
        <f>IFERROR(__xludf.DUMMYFUNCTION("""COMPUTED_VALUE"""),"PGI525BK (2 cartouches Noires)")</f>
        <v>PGI525BK (2 cartouches Noires)</v>
      </c>
      <c r="E408" s="2005" t="str">
        <f>IFERROR(__xludf.DUMMYFUNCTION("""COMPUTED_VALUE"""),"CANON")</f>
        <v>CANON</v>
      </c>
      <c r="F408" s="2005" t="str">
        <f>IFERROR(__xludf.DUMMYFUNCTION("""COMPUTED_VALUE"""),"B")</f>
        <v>B</v>
      </c>
      <c r="G408" s="2005" t="str">
        <f>IFERROR(__xludf.DUMMYFUNCTION("""COMPUTED_VALUE"""),"AC")</f>
        <v>AC</v>
      </c>
      <c r="H408" s="2005">
        <f>IFERROR(__xludf.DUMMYFUNCTION("""COMPUTED_VALUE"""),35.51)</f>
        <v>35.51</v>
      </c>
      <c r="I408" s="2005">
        <f>IFERROR(__xludf.DUMMYFUNCTION("""COMPUTED_VALUE"""),35.51)</f>
        <v>35.51</v>
      </c>
      <c r="BD408" s="2006"/>
      <c r="LL408" s="2008"/>
      <c r="LM408" s="2008"/>
      <c r="MX408" s="2007"/>
      <c r="ND408" s="2008"/>
    </row>
    <row r="409">
      <c r="A409" s="2005">
        <f>IFERROR(__xludf.DUMMYFUNCTION("""COMPUTED_VALUE"""),873821.0)</f>
        <v>873821</v>
      </c>
      <c r="B409" s="2005">
        <f>IFERROR(__xludf.DUMMYFUNCTION("""COMPUTED_VALUE"""),2403005.0)</f>
        <v>2403005</v>
      </c>
      <c r="C409" s="2005" t="str">
        <f>IFERROR(__xludf.DUMMYFUNCTION("""COMPUTED_VALUE"""),"Cartouche")</f>
        <v>Cartouche</v>
      </c>
      <c r="D409" s="2005" t="str">
        <f>IFERROR(__xludf.DUMMYFUNCTION("""COMPUTED_VALUE"""),"T1598 Noir mat série Martin Pêcheur")</f>
        <v>T1598 Noir mat série Martin Pêcheur</v>
      </c>
      <c r="E409" s="2005" t="str">
        <f>IFERROR(__xludf.DUMMYFUNCTION("""COMPUTED_VALUE"""),"EPSON")</f>
        <v>EPSON</v>
      </c>
      <c r="F409" s="2005" t="str">
        <f>IFERROR(__xludf.DUMMYFUNCTION("""COMPUTED_VALUE"""),"H")</f>
        <v>H</v>
      </c>
      <c r="G409" s="2005" t="str">
        <f>IFERROR(__xludf.DUMMYFUNCTION("""COMPUTED_VALUE"""),"NN")</f>
        <v>NN</v>
      </c>
      <c r="H409">
        <f>IFERROR(__xludf.DUMMYFUNCTION("""COMPUTED_VALUE"""),22.99)</f>
        <v>22.99</v>
      </c>
      <c r="I409">
        <f>IFERROR(__xludf.DUMMYFUNCTION("""COMPUTED_VALUE"""),22.99)</f>
        <v>22.99</v>
      </c>
      <c r="BD409" s="2006"/>
      <c r="LL409" s="2007"/>
      <c r="LM409" s="2008"/>
      <c r="MX409" s="2007"/>
      <c r="ND409" s="2008"/>
    </row>
    <row r="410">
      <c r="A410" s="2005">
        <f>IFERROR(__xludf.DUMMYFUNCTION("""COMPUTED_VALUE"""),873825.0)</f>
        <v>873825</v>
      </c>
      <c r="B410" s="2005">
        <f>IFERROR(__xludf.DUMMYFUNCTION("""COMPUTED_VALUE"""),2403005.0)</f>
        <v>2403005</v>
      </c>
      <c r="C410" s="2005" t="str">
        <f>IFERROR(__xludf.DUMMYFUNCTION("""COMPUTED_VALUE"""),"Cartouche")</f>
        <v>Cartouche</v>
      </c>
      <c r="D410" s="2005" t="str">
        <f>IFERROR(__xludf.DUMMYFUNCTION("""COMPUTED_VALUE"""),"T1599 Orange série Martin Pêcheur")</f>
        <v>T1599 Orange série Martin Pêcheur</v>
      </c>
      <c r="E410" s="2005" t="str">
        <f>IFERROR(__xludf.DUMMYFUNCTION("""COMPUTED_VALUE"""),"EPSON")</f>
        <v>EPSON</v>
      </c>
      <c r="F410" s="2005" t="str">
        <f>IFERROR(__xludf.DUMMYFUNCTION("""COMPUTED_VALUE"""),"H")</f>
        <v>H</v>
      </c>
      <c r="G410" s="2005" t="str">
        <f>IFERROR(__xludf.DUMMYFUNCTION("""COMPUTED_VALUE"""),"NN")</f>
        <v>NN</v>
      </c>
      <c r="H410" s="2005">
        <f>IFERROR(__xludf.DUMMYFUNCTION("""COMPUTED_VALUE"""),22.99)</f>
        <v>22.99</v>
      </c>
      <c r="I410" s="2005">
        <f>IFERROR(__xludf.DUMMYFUNCTION("""COMPUTED_VALUE"""),22.99)</f>
        <v>22.99</v>
      </c>
      <c r="LL410" s="2007"/>
      <c r="LM410" s="2007"/>
      <c r="MX410" s="2008"/>
      <c r="ND410" s="2008"/>
    </row>
    <row r="411">
      <c r="A411" s="2005">
        <f>IFERROR(__xludf.DUMMYFUNCTION("""COMPUTED_VALUE"""),876025.0)</f>
        <v>876025</v>
      </c>
      <c r="B411" s="2005">
        <f>IFERROR(__xludf.DUMMYFUNCTION("""COMPUTED_VALUE"""),2403005.0)</f>
        <v>2403005</v>
      </c>
      <c r="C411" s="2005" t="str">
        <f>IFERROR(__xludf.DUMMYFUNCTION("""COMPUTED_VALUE"""),"Cartouche")</f>
        <v>Cartouche</v>
      </c>
      <c r="D411" s="2005" t="str">
        <f>IFERROR(__xludf.DUMMYFUNCTION("""COMPUTED_VALUE"""),"T1281 Noire série Renard")</f>
        <v>T1281 Noire série Renard</v>
      </c>
      <c r="E411" s="2005" t="str">
        <f>IFERROR(__xludf.DUMMYFUNCTION("""COMPUTED_VALUE"""),"EPSON")</f>
        <v>EPSON</v>
      </c>
      <c r="F411" s="2005" t="str">
        <f>IFERROR(__xludf.DUMMYFUNCTION("""COMPUTED_VALUE"""),"B")</f>
        <v>B</v>
      </c>
      <c r="G411" s="2005" t="str">
        <f>IFERROR(__xludf.DUMMYFUNCTION("""COMPUTED_VALUE"""),"AC")</f>
        <v>AC</v>
      </c>
      <c r="H411" s="2005">
        <f>IFERROR(__xludf.DUMMYFUNCTION("""COMPUTED_VALUE"""),14.99)</f>
        <v>14.99</v>
      </c>
      <c r="I411" s="2005">
        <f>IFERROR(__xludf.DUMMYFUNCTION("""COMPUTED_VALUE"""),14.99)</f>
        <v>14.99</v>
      </c>
      <c r="LL411" s="2007"/>
      <c r="LM411" s="2007"/>
      <c r="MX411" s="2007"/>
      <c r="ND411" s="2008"/>
    </row>
    <row r="412">
      <c r="A412" s="2005">
        <f>IFERROR(__xludf.DUMMYFUNCTION("""COMPUTED_VALUE"""),876026.0)</f>
        <v>876026</v>
      </c>
      <c r="B412" s="2005">
        <f>IFERROR(__xludf.DUMMYFUNCTION("""COMPUTED_VALUE"""),2403005.0)</f>
        <v>2403005</v>
      </c>
      <c r="C412" s="2005" t="str">
        <f>IFERROR(__xludf.DUMMYFUNCTION("""COMPUTED_VALUE"""),"Cartouche")</f>
        <v>Cartouche</v>
      </c>
      <c r="D412" s="2005" t="str">
        <f>IFERROR(__xludf.DUMMYFUNCTION("""COMPUTED_VALUE"""),"T1291 Noire série Pomme")</f>
        <v>T1291 Noire série Pomme</v>
      </c>
      <c r="E412" s="2005" t="str">
        <f>IFERROR(__xludf.DUMMYFUNCTION("""COMPUTED_VALUE"""),"EPSON")</f>
        <v>EPSON</v>
      </c>
      <c r="F412" s="2005" t="str">
        <f>IFERROR(__xludf.DUMMYFUNCTION("""COMPUTED_VALUE"""),"H")</f>
        <v>H</v>
      </c>
      <c r="G412" s="2005" t="str">
        <f>IFERROR(__xludf.DUMMYFUNCTION("""COMPUTED_VALUE"""),"AC")</f>
        <v>AC</v>
      </c>
      <c r="H412" s="2005">
        <f>IFERROR(__xludf.DUMMYFUNCTION("""COMPUTED_VALUE"""),18.99)</f>
        <v>18.99</v>
      </c>
      <c r="I412" s="2005">
        <f>IFERROR(__xludf.DUMMYFUNCTION("""COMPUTED_VALUE"""),18.99)</f>
        <v>18.99</v>
      </c>
      <c r="BD412" s="2006"/>
      <c r="LL412" s="2007"/>
      <c r="LM412" s="2008"/>
      <c r="MX412" s="2007"/>
      <c r="ND412" s="2008"/>
    </row>
    <row r="413">
      <c r="A413" s="2005">
        <f>IFERROR(__xludf.DUMMYFUNCTION("""COMPUTED_VALUE"""),876027.0)</f>
        <v>876027</v>
      </c>
      <c r="B413" s="2005">
        <f>IFERROR(__xludf.DUMMYFUNCTION("""COMPUTED_VALUE"""),2403005.0)</f>
        <v>2403005</v>
      </c>
      <c r="C413" s="2005" t="str">
        <f>IFERROR(__xludf.DUMMYFUNCTION("""COMPUTED_VALUE"""),"Cartouche")</f>
        <v>Cartouche</v>
      </c>
      <c r="D413" s="2005" t="str">
        <f>IFERROR(__xludf.DUMMYFUNCTION("""COMPUTED_VALUE"""),"T0712 Cyan série Guépard")</f>
        <v>T0712 Cyan série Guépard</v>
      </c>
      <c r="E413" s="2005" t="str">
        <f>IFERROR(__xludf.DUMMYFUNCTION("""COMPUTED_VALUE"""),"EPSON")</f>
        <v>EPSON</v>
      </c>
      <c r="F413" s="2005" t="str">
        <f>IFERROR(__xludf.DUMMYFUNCTION("""COMPUTED_VALUE"""),"D")</f>
        <v>D</v>
      </c>
      <c r="G413" s="2005" t="str">
        <f>IFERROR(__xludf.DUMMYFUNCTION("""COMPUTED_VALUE"""),"AC")</f>
        <v>AC</v>
      </c>
      <c r="H413" s="2005">
        <f>IFERROR(__xludf.DUMMYFUNCTION("""COMPUTED_VALUE"""),15.99)</f>
        <v>15.99</v>
      </c>
      <c r="I413" s="2005">
        <f>IFERROR(__xludf.DUMMYFUNCTION("""COMPUTED_VALUE"""),15.99)</f>
        <v>15.99</v>
      </c>
      <c r="BD413" s="2006"/>
      <c r="LL413" s="2007"/>
      <c r="LM413" s="2008"/>
      <c r="MX413" s="2007"/>
      <c r="ND413" s="2008"/>
    </row>
    <row r="414">
      <c r="A414" s="2005">
        <f>IFERROR(__xludf.DUMMYFUNCTION("""COMPUTED_VALUE"""),876065.0)</f>
        <v>876065</v>
      </c>
      <c r="B414" s="2005">
        <f>IFERROR(__xludf.DUMMYFUNCTION("""COMPUTED_VALUE"""),2403005.0)</f>
        <v>2403005</v>
      </c>
      <c r="C414" s="2005" t="str">
        <f>IFERROR(__xludf.DUMMYFUNCTION("""COMPUTED_VALUE"""),"Cartouche")</f>
        <v>Cartouche</v>
      </c>
      <c r="D414" s="2005" t="str">
        <f>IFERROR(__xludf.DUMMYFUNCTION("""COMPUTED_VALUE"""),"T0714 Jaune série Guépard")</f>
        <v>T0714 Jaune série Guépard</v>
      </c>
      <c r="E414" s="2005" t="str">
        <f>IFERROR(__xludf.DUMMYFUNCTION("""COMPUTED_VALUE"""),"EPSON")</f>
        <v>EPSON</v>
      </c>
      <c r="F414" s="2005" t="str">
        <f>IFERROR(__xludf.DUMMYFUNCTION("""COMPUTED_VALUE"""),"H")</f>
        <v>H</v>
      </c>
      <c r="G414" s="2005" t="str">
        <f>IFERROR(__xludf.DUMMYFUNCTION("""COMPUTED_VALUE"""),"AC")</f>
        <v>AC</v>
      </c>
      <c r="H414" s="2005">
        <f>IFERROR(__xludf.DUMMYFUNCTION("""COMPUTED_VALUE"""),15.99)</f>
        <v>15.99</v>
      </c>
      <c r="I414" s="2005">
        <f>IFERROR(__xludf.DUMMYFUNCTION("""COMPUTED_VALUE"""),15.99)</f>
        <v>15.99</v>
      </c>
      <c r="BD414" s="2006"/>
      <c r="LL414" s="2007"/>
      <c r="LM414" s="2007"/>
      <c r="MX414" s="2007"/>
      <c r="ND414" s="2007"/>
    </row>
    <row r="415">
      <c r="A415" s="2005">
        <f>IFERROR(__xludf.DUMMYFUNCTION("""COMPUTED_VALUE"""),876066.0)</f>
        <v>876066</v>
      </c>
      <c r="B415" s="2005">
        <f>IFERROR(__xludf.DUMMYFUNCTION("""COMPUTED_VALUE"""),2403005.0)</f>
        <v>2403005</v>
      </c>
      <c r="C415" s="2005" t="str">
        <f>IFERROR(__xludf.DUMMYFUNCTION("""COMPUTED_VALUE"""),"Cartouche")</f>
        <v>Cartouche</v>
      </c>
      <c r="D415" s="2005" t="str">
        <f>IFERROR(__xludf.DUMMYFUNCTION("""COMPUTED_VALUE"""),"T1282 Cyan série Renard")</f>
        <v>T1282 Cyan série Renard</v>
      </c>
      <c r="E415" s="2005" t="str">
        <f>IFERROR(__xludf.DUMMYFUNCTION("""COMPUTED_VALUE"""),"EPSON")</f>
        <v>EPSON</v>
      </c>
      <c r="F415" s="2005" t="str">
        <f>IFERROR(__xludf.DUMMYFUNCTION("""COMPUTED_VALUE"""),"H")</f>
        <v>H</v>
      </c>
      <c r="G415" s="2005" t="str">
        <f>IFERROR(__xludf.DUMMYFUNCTION("""COMPUTED_VALUE"""),"AC")</f>
        <v>AC</v>
      </c>
      <c r="H415">
        <f>IFERROR(__xludf.DUMMYFUNCTION("""COMPUTED_VALUE"""),11.99)</f>
        <v>11.99</v>
      </c>
      <c r="I415" s="2005">
        <f>IFERROR(__xludf.DUMMYFUNCTION("""COMPUTED_VALUE"""),11.99)</f>
        <v>11.99</v>
      </c>
      <c r="BD415" s="2006"/>
      <c r="LL415" s="2007"/>
      <c r="LM415" s="2007"/>
      <c r="MX415" s="2007"/>
      <c r="ND415" s="2007"/>
    </row>
    <row r="416">
      <c r="A416" s="2005">
        <f>IFERROR(__xludf.DUMMYFUNCTION("""COMPUTED_VALUE"""),876067.0)</f>
        <v>876067</v>
      </c>
      <c r="B416" s="2005">
        <f>IFERROR(__xludf.DUMMYFUNCTION("""COMPUTED_VALUE"""),2403005.0)</f>
        <v>2403005</v>
      </c>
      <c r="C416" s="2005" t="str">
        <f>IFERROR(__xludf.DUMMYFUNCTION("""COMPUTED_VALUE"""),"Cartouche")</f>
        <v>Cartouche</v>
      </c>
      <c r="D416" s="2005" t="str">
        <f>IFERROR(__xludf.DUMMYFUNCTION("""COMPUTED_VALUE"""),"T0805 Cyan Clair série Colibri")</f>
        <v>T0805 Cyan Clair série Colibri</v>
      </c>
      <c r="E416" s="2005" t="str">
        <f>IFERROR(__xludf.DUMMYFUNCTION("""COMPUTED_VALUE"""),"EPSON")</f>
        <v>EPSON</v>
      </c>
      <c r="F416" s="2005" t="str">
        <f>IFERROR(__xludf.DUMMYFUNCTION("""COMPUTED_VALUE"""),"H")</f>
        <v>H</v>
      </c>
      <c r="G416" s="2005" t="str">
        <f>IFERROR(__xludf.DUMMYFUNCTION("""COMPUTED_VALUE"""),"AC")</f>
        <v>AC</v>
      </c>
      <c r="H416" s="2005">
        <f>IFERROR(__xludf.DUMMYFUNCTION("""COMPUTED_VALUE"""),14.99)</f>
        <v>14.99</v>
      </c>
      <c r="I416" s="2005">
        <f>IFERROR(__xludf.DUMMYFUNCTION("""COMPUTED_VALUE"""),14.99)</f>
        <v>14.99</v>
      </c>
      <c r="BD416" s="2006"/>
      <c r="LL416" s="2007"/>
      <c r="LM416" s="2007"/>
      <c r="MX416" s="2007"/>
      <c r="ND416" s="2007"/>
    </row>
    <row r="417">
      <c r="A417" s="2005">
        <f>IFERROR(__xludf.DUMMYFUNCTION("""COMPUTED_VALUE"""),876080.0)</f>
        <v>876080</v>
      </c>
      <c r="B417" s="2005">
        <f>IFERROR(__xludf.DUMMYFUNCTION("""COMPUTED_VALUE"""),2403005.0)</f>
        <v>2403005</v>
      </c>
      <c r="C417" s="2005" t="str">
        <f>IFERROR(__xludf.DUMMYFUNCTION("""COMPUTED_VALUE"""),"Cartouche")</f>
        <v>Cartouche</v>
      </c>
      <c r="D417" s="2005" t="str">
        <f>IFERROR(__xludf.DUMMYFUNCTION("""COMPUTED_VALUE"""),"T0891 Noire série Singe")</f>
        <v>T0891 Noire série Singe</v>
      </c>
      <c r="E417" s="2005" t="str">
        <f>IFERROR(__xludf.DUMMYFUNCTION("""COMPUTED_VALUE"""),"EPSON")</f>
        <v>EPSON</v>
      </c>
      <c r="F417" s="2005" t="str">
        <f>IFERROR(__xludf.DUMMYFUNCTION("""COMPUTED_VALUE"""),"D")</f>
        <v>D</v>
      </c>
      <c r="G417" s="2005" t="str">
        <f>IFERROR(__xludf.DUMMYFUNCTION("""COMPUTED_VALUE"""),"FI")</f>
        <v>FI</v>
      </c>
      <c r="H417" s="2005">
        <f>IFERROR(__xludf.DUMMYFUNCTION("""COMPUTED_VALUE"""),10.99)</f>
        <v>10.99</v>
      </c>
      <c r="I417" s="2005">
        <f>IFERROR(__xludf.DUMMYFUNCTION("""COMPUTED_VALUE"""),10.99)</f>
        <v>10.99</v>
      </c>
      <c r="BD417" s="2006"/>
      <c r="LL417" s="2007"/>
      <c r="LM417" s="2007"/>
      <c r="MX417" s="2007"/>
      <c r="ND417" s="2007"/>
    </row>
    <row r="418">
      <c r="A418" s="2005">
        <f>IFERROR(__xludf.DUMMYFUNCTION("""COMPUTED_VALUE"""),876081.0)</f>
        <v>876081</v>
      </c>
      <c r="B418" s="2005">
        <f>IFERROR(__xludf.DUMMYFUNCTION("""COMPUTED_VALUE"""),2403005.0)</f>
        <v>2403005</v>
      </c>
      <c r="C418" s="2005" t="str">
        <f>IFERROR(__xludf.DUMMYFUNCTION("""COMPUTED_VALUE"""),"Cartouche")</f>
        <v>Cartouche</v>
      </c>
      <c r="D418" s="2005" t="str">
        <f>IFERROR(__xludf.DUMMYFUNCTION("""COMPUTED_VALUE"""),"T1292 Cyan série Pomme")</f>
        <v>T1292 Cyan série Pomme</v>
      </c>
      <c r="E418" s="2005" t="str">
        <f>IFERROR(__xludf.DUMMYFUNCTION("""COMPUTED_VALUE"""),"EPSON")</f>
        <v>EPSON</v>
      </c>
      <c r="F418" s="2005" t="str">
        <f>IFERROR(__xludf.DUMMYFUNCTION("""COMPUTED_VALUE"""),"H")</f>
        <v>H</v>
      </c>
      <c r="G418" s="2005" t="str">
        <f>IFERROR(__xludf.DUMMYFUNCTION("""COMPUTED_VALUE"""),"AC")</f>
        <v>AC</v>
      </c>
      <c r="H418" s="2005">
        <f>IFERROR(__xludf.DUMMYFUNCTION("""COMPUTED_VALUE"""),18.99)</f>
        <v>18.99</v>
      </c>
      <c r="I418" s="2005">
        <f>IFERROR(__xludf.DUMMYFUNCTION("""COMPUTED_VALUE"""),18.99)</f>
        <v>18.99</v>
      </c>
      <c r="BD418" s="2006"/>
      <c r="LL418" s="2007"/>
      <c r="LM418" s="2007"/>
      <c r="MX418" s="2007"/>
      <c r="ND418" s="2007"/>
    </row>
    <row r="419">
      <c r="A419" s="2005">
        <f>IFERROR(__xludf.DUMMYFUNCTION("""COMPUTED_VALUE"""),876082.0)</f>
        <v>876082</v>
      </c>
      <c r="B419" s="2005">
        <f>IFERROR(__xludf.DUMMYFUNCTION("""COMPUTED_VALUE"""),2403005.0)</f>
        <v>2403005</v>
      </c>
      <c r="C419" s="2005" t="str">
        <f>IFERROR(__xludf.DUMMYFUNCTION("""COMPUTED_VALUE"""),"Cartouche")</f>
        <v>Cartouche</v>
      </c>
      <c r="D419" s="2005" t="str">
        <f>IFERROR(__xludf.DUMMYFUNCTION("""COMPUTED_VALUE"""),"T0713 Magenta série Guépard")</f>
        <v>T0713 Magenta série Guépard</v>
      </c>
      <c r="E419" s="2005" t="str">
        <f>IFERROR(__xludf.DUMMYFUNCTION("""COMPUTED_VALUE"""),"EPSON")</f>
        <v>EPSON</v>
      </c>
      <c r="F419" s="2005" t="str">
        <f>IFERROR(__xludf.DUMMYFUNCTION("""COMPUTED_VALUE"""),"D")</f>
        <v>D</v>
      </c>
      <c r="G419" s="2005" t="str">
        <f>IFERROR(__xludf.DUMMYFUNCTION("""COMPUTED_VALUE"""),"AC")</f>
        <v>AC</v>
      </c>
      <c r="H419" s="2005">
        <f>IFERROR(__xludf.DUMMYFUNCTION("""COMPUTED_VALUE"""),15.99)</f>
        <v>15.99</v>
      </c>
      <c r="I419" s="2005">
        <f>IFERROR(__xludf.DUMMYFUNCTION("""COMPUTED_VALUE"""),15.99)</f>
        <v>15.99</v>
      </c>
      <c r="BD419" s="2006"/>
      <c r="LL419" s="2007"/>
      <c r="LM419" s="2007"/>
      <c r="MX419" s="2007"/>
      <c r="ND419" s="2007"/>
    </row>
    <row r="420">
      <c r="A420" s="2005">
        <f>IFERROR(__xludf.DUMMYFUNCTION("""COMPUTED_VALUE"""),876083.0)</f>
        <v>876083</v>
      </c>
      <c r="B420" s="2005">
        <f>IFERROR(__xludf.DUMMYFUNCTION("""COMPUTED_VALUE"""),2403005.0)</f>
        <v>2403005</v>
      </c>
      <c r="C420" s="2005" t="str">
        <f>IFERROR(__xludf.DUMMYFUNCTION("""COMPUTED_VALUE"""),"Cartouche")</f>
        <v>Cartouche</v>
      </c>
      <c r="D420" s="2005" t="str">
        <f>IFERROR(__xludf.DUMMYFUNCTION("""COMPUTED_VALUE"""),"T0804 Jaune série Colibri")</f>
        <v>T0804 Jaune série Colibri</v>
      </c>
      <c r="E420" s="2005" t="str">
        <f>IFERROR(__xludf.DUMMYFUNCTION("""COMPUTED_VALUE"""),"EPSON")</f>
        <v>EPSON</v>
      </c>
      <c r="F420" s="2005" t="str">
        <f>IFERROR(__xludf.DUMMYFUNCTION("""COMPUTED_VALUE"""),"H")</f>
        <v>H</v>
      </c>
      <c r="G420" s="2005" t="str">
        <f>IFERROR(__xludf.DUMMYFUNCTION("""COMPUTED_VALUE"""),"NN")</f>
        <v>NN</v>
      </c>
      <c r="H420" s="2005">
        <f>IFERROR(__xludf.DUMMYFUNCTION("""COMPUTED_VALUE"""),14.99)</f>
        <v>14.99</v>
      </c>
      <c r="I420" s="2005">
        <f>IFERROR(__xludf.DUMMYFUNCTION("""COMPUTED_VALUE"""),14.99)</f>
        <v>14.99</v>
      </c>
      <c r="BD420" s="2006"/>
      <c r="LL420" s="2007"/>
      <c r="LM420" s="2007"/>
      <c r="MX420" s="2007"/>
      <c r="ND420" s="2007"/>
    </row>
    <row r="421">
      <c r="A421" s="2005">
        <f>IFERROR(__xludf.DUMMYFUNCTION("""COMPUTED_VALUE"""),876096.0)</f>
        <v>876096</v>
      </c>
      <c r="B421" s="2005">
        <f>IFERROR(__xludf.DUMMYFUNCTION("""COMPUTED_VALUE"""),2403005.0)</f>
        <v>2403005</v>
      </c>
      <c r="C421" s="2005" t="str">
        <f>IFERROR(__xludf.DUMMYFUNCTION("""COMPUTED_VALUE"""),"Cartouche")</f>
        <v>Cartouche</v>
      </c>
      <c r="D421" s="2005" t="str">
        <f>IFERROR(__xludf.DUMMYFUNCTION("""COMPUTED_VALUE"""),"T1283 Magenta série Renard")</f>
        <v>T1283 Magenta série Renard</v>
      </c>
      <c r="E421" s="2005" t="str">
        <f>IFERROR(__xludf.DUMMYFUNCTION("""COMPUTED_VALUE"""),"EPSON")</f>
        <v>EPSON</v>
      </c>
      <c r="F421" s="2005" t="str">
        <f>IFERROR(__xludf.DUMMYFUNCTION("""COMPUTED_VALUE"""),"H")</f>
        <v>H</v>
      </c>
      <c r="G421" s="2005" t="str">
        <f>IFERROR(__xludf.DUMMYFUNCTION("""COMPUTED_VALUE"""),"AC")</f>
        <v>AC</v>
      </c>
      <c r="H421" s="2005">
        <f>IFERROR(__xludf.DUMMYFUNCTION("""COMPUTED_VALUE"""),11.99)</f>
        <v>11.99</v>
      </c>
      <c r="I421" s="2005">
        <f>IFERROR(__xludf.DUMMYFUNCTION("""COMPUTED_VALUE"""),11.99)</f>
        <v>11.99</v>
      </c>
      <c r="BD421" s="2006"/>
      <c r="LL421" s="2007"/>
      <c r="LM421" s="2007"/>
      <c r="MX421" s="2007"/>
      <c r="ND421" s="2007"/>
    </row>
    <row r="422">
      <c r="A422" s="2005">
        <f>IFERROR(__xludf.DUMMYFUNCTION("""COMPUTED_VALUE"""),876097.0)</f>
        <v>876097</v>
      </c>
      <c r="B422" s="2005">
        <f>IFERROR(__xludf.DUMMYFUNCTION("""COMPUTED_VALUE"""),2403005.0)</f>
        <v>2403005</v>
      </c>
      <c r="C422" s="2005" t="str">
        <f>IFERROR(__xludf.DUMMYFUNCTION("""COMPUTED_VALUE"""),"Cartouche")</f>
        <v>Cartouche</v>
      </c>
      <c r="D422" s="2005" t="str">
        <f>IFERROR(__xludf.DUMMYFUNCTION("""COMPUTED_VALUE"""),"T1294 Jaune série Pomme")</f>
        <v>T1294 Jaune série Pomme</v>
      </c>
      <c r="E422" s="2005" t="str">
        <f>IFERROR(__xludf.DUMMYFUNCTION("""COMPUTED_VALUE"""),"EPSON")</f>
        <v>EPSON</v>
      </c>
      <c r="F422" s="2005" t="str">
        <f>IFERROR(__xludf.DUMMYFUNCTION("""COMPUTED_VALUE"""),"D")</f>
        <v>D</v>
      </c>
      <c r="G422" s="2005" t="str">
        <f>IFERROR(__xludf.DUMMYFUNCTION("""COMPUTED_VALUE"""),"FR")</f>
        <v>FR</v>
      </c>
      <c r="H422" s="2005">
        <f>IFERROR(__xludf.DUMMYFUNCTION("""COMPUTED_VALUE"""),18.99)</f>
        <v>18.99</v>
      </c>
      <c r="I422" s="2005">
        <f>IFERROR(__xludf.DUMMYFUNCTION("""COMPUTED_VALUE"""),18.99)</f>
        <v>18.99</v>
      </c>
      <c r="BD422" s="2006"/>
      <c r="LL422" s="2007"/>
      <c r="LM422" s="2007"/>
      <c r="MX422" s="2007"/>
      <c r="ND422" s="2007"/>
    </row>
    <row r="423">
      <c r="A423" s="2005">
        <f>IFERROR(__xludf.DUMMYFUNCTION("""COMPUTED_VALUE"""),876098.0)</f>
        <v>876098</v>
      </c>
      <c r="B423" s="2005">
        <f>IFERROR(__xludf.DUMMYFUNCTION("""COMPUTED_VALUE"""),2403005.0)</f>
        <v>2403005</v>
      </c>
      <c r="C423" s="2005" t="str">
        <f>IFERROR(__xludf.DUMMYFUNCTION("""COMPUTED_VALUE"""),"Cartouche")</f>
        <v>Cartouche</v>
      </c>
      <c r="D423" s="2005" t="str">
        <f>IFERROR(__xludf.DUMMYFUNCTION("""COMPUTED_VALUE"""),"T0894 Jaune série Singe")</f>
        <v>T0894 Jaune série Singe</v>
      </c>
      <c r="E423" s="2005" t="str">
        <f>IFERROR(__xludf.DUMMYFUNCTION("""COMPUTED_VALUE"""),"EPSON")</f>
        <v>EPSON</v>
      </c>
      <c r="F423" s="2005" t="str">
        <f>IFERROR(__xludf.DUMMYFUNCTION("""COMPUTED_VALUE"""),"H")</f>
        <v>H</v>
      </c>
      <c r="G423" s="2005" t="str">
        <f>IFERROR(__xludf.DUMMYFUNCTION("""COMPUTED_VALUE"""),"NN")</f>
        <v>NN</v>
      </c>
      <c r="H423" s="2005">
        <f>IFERROR(__xludf.DUMMYFUNCTION("""COMPUTED_VALUE"""),4.99)</f>
        <v>4.99</v>
      </c>
      <c r="I423" s="2005">
        <f>IFERROR(__xludf.DUMMYFUNCTION("""COMPUTED_VALUE"""),4.99)</f>
        <v>4.99</v>
      </c>
      <c r="BD423" s="2006"/>
      <c r="LL423" s="2007"/>
      <c r="LM423" s="2007"/>
      <c r="MX423" s="2007"/>
      <c r="ND423" s="2007"/>
    </row>
    <row r="424">
      <c r="A424" s="2005">
        <f>IFERROR(__xludf.DUMMYFUNCTION("""COMPUTED_VALUE"""),876099.0)</f>
        <v>876099</v>
      </c>
      <c r="B424" s="2005">
        <f>IFERROR(__xludf.DUMMYFUNCTION("""COMPUTED_VALUE"""),2403005.0)</f>
        <v>2403005</v>
      </c>
      <c r="C424" s="2005" t="str">
        <f>IFERROR(__xludf.DUMMYFUNCTION("""COMPUTED_VALUE"""),"Cartouche")</f>
        <v>Cartouche</v>
      </c>
      <c r="D424" s="2005" t="str">
        <f>IFERROR(__xludf.DUMMYFUNCTION("""COMPUTED_VALUE"""),"T1284 Jaune série Renard")</f>
        <v>T1284 Jaune série Renard</v>
      </c>
      <c r="E424" s="2005" t="str">
        <f>IFERROR(__xludf.DUMMYFUNCTION("""COMPUTED_VALUE"""),"EPSON")</f>
        <v>EPSON</v>
      </c>
      <c r="F424" s="2005" t="str">
        <f>IFERROR(__xludf.DUMMYFUNCTION("""COMPUTED_VALUE"""),"D")</f>
        <v>D</v>
      </c>
      <c r="G424" s="2005" t="str">
        <f>IFERROR(__xludf.DUMMYFUNCTION("""COMPUTED_VALUE"""),"FR")</f>
        <v>FR</v>
      </c>
      <c r="H424" s="2005">
        <f>IFERROR(__xludf.DUMMYFUNCTION("""COMPUTED_VALUE"""),11.99)</f>
        <v>11.99</v>
      </c>
      <c r="I424" s="2005">
        <f>IFERROR(__xludf.DUMMYFUNCTION("""COMPUTED_VALUE"""),11.99)</f>
        <v>11.99</v>
      </c>
      <c r="BD424" s="2006"/>
      <c r="LL424" s="2007"/>
      <c r="LM424" s="2007"/>
      <c r="MX424" s="2007"/>
      <c r="ND424" s="2007"/>
    </row>
    <row r="425">
      <c r="A425" s="2005">
        <f>IFERROR(__xludf.DUMMYFUNCTION("""COMPUTED_VALUE"""),876100.0)</f>
        <v>876100</v>
      </c>
      <c r="B425" s="2005">
        <f>IFERROR(__xludf.DUMMYFUNCTION("""COMPUTED_VALUE"""),2403005.0)</f>
        <v>2403005</v>
      </c>
      <c r="C425" s="2005" t="str">
        <f>IFERROR(__xludf.DUMMYFUNCTION("""COMPUTED_VALUE"""),"Cartouche")</f>
        <v>Cartouche</v>
      </c>
      <c r="D425" s="2005" t="str">
        <f>IFERROR(__xludf.DUMMYFUNCTION("""COMPUTED_VALUE"""),"T0711 Noire série Guépard")</f>
        <v>T0711 Noire série Guépard</v>
      </c>
      <c r="E425" s="2005" t="str">
        <f>IFERROR(__xludf.DUMMYFUNCTION("""COMPUTED_VALUE"""),"EPSON")</f>
        <v>EPSON</v>
      </c>
      <c r="F425" s="2005" t="str">
        <f>IFERROR(__xludf.DUMMYFUNCTION("""COMPUTED_VALUE"""),"B")</f>
        <v>B</v>
      </c>
      <c r="G425" s="2005" t="str">
        <f>IFERROR(__xludf.DUMMYFUNCTION("""COMPUTED_VALUE"""),"AC")</f>
        <v>AC</v>
      </c>
      <c r="H425" s="2005">
        <f>IFERROR(__xludf.DUMMYFUNCTION("""COMPUTED_VALUE"""),15.99)</f>
        <v>15.99</v>
      </c>
      <c r="I425" s="2005">
        <f>IFERROR(__xludf.DUMMYFUNCTION("""COMPUTED_VALUE"""),15.99)</f>
        <v>15.99</v>
      </c>
      <c r="BD425" s="2006"/>
      <c r="LL425" s="2007"/>
      <c r="LM425" s="2007"/>
      <c r="MX425" s="2007"/>
      <c r="ND425" s="2007"/>
    </row>
    <row r="426">
      <c r="A426" s="2005">
        <f>IFERROR(__xludf.DUMMYFUNCTION("""COMPUTED_VALUE"""),876101.0)</f>
        <v>876101</v>
      </c>
      <c r="B426" s="2005">
        <f>IFERROR(__xludf.DUMMYFUNCTION("""COMPUTED_VALUE"""),2403005.0)</f>
        <v>2403005</v>
      </c>
      <c r="C426" s="2005" t="str">
        <f>IFERROR(__xludf.DUMMYFUNCTION("""COMPUTED_VALUE"""),"Cartouche")</f>
        <v>Cartouche</v>
      </c>
      <c r="D426" s="2005" t="str">
        <f>IFERROR(__xludf.DUMMYFUNCTION("""COMPUTED_VALUE"""),"T0802 Cyan série Colibri")</f>
        <v>T0802 Cyan série Colibri</v>
      </c>
      <c r="E426" s="2005" t="str">
        <f>IFERROR(__xludf.DUMMYFUNCTION("""COMPUTED_VALUE"""),"EPSON")</f>
        <v>EPSON</v>
      </c>
      <c r="F426" s="2005" t="str">
        <f>IFERROR(__xludf.DUMMYFUNCTION("""COMPUTED_VALUE"""),"H")</f>
        <v>H</v>
      </c>
      <c r="G426" s="2005" t="str">
        <f>IFERROR(__xludf.DUMMYFUNCTION("""COMPUTED_VALUE"""),"FF")</f>
        <v>FF</v>
      </c>
      <c r="H426" s="2005">
        <f>IFERROR(__xludf.DUMMYFUNCTION("""COMPUTED_VALUE"""),14.99)</f>
        <v>14.99</v>
      </c>
      <c r="I426" s="2005">
        <f>IFERROR(__xludf.DUMMYFUNCTION("""COMPUTED_VALUE"""),14.99)</f>
        <v>14.99</v>
      </c>
      <c r="BD426" s="2006"/>
      <c r="LL426" s="2008"/>
      <c r="LM426" s="2007"/>
      <c r="MX426" s="2007"/>
      <c r="ND426" s="2008"/>
    </row>
    <row r="427">
      <c r="A427" s="2005">
        <f>IFERROR(__xludf.DUMMYFUNCTION("""COMPUTED_VALUE"""),876102.0)</f>
        <v>876102</v>
      </c>
      <c r="B427" s="2005">
        <f>IFERROR(__xludf.DUMMYFUNCTION("""COMPUTED_VALUE"""),2403005.0)</f>
        <v>2403005</v>
      </c>
      <c r="C427" s="2005" t="str">
        <f>IFERROR(__xludf.DUMMYFUNCTION("""COMPUTED_VALUE"""),"MultiPack")</f>
        <v>MultiPack</v>
      </c>
      <c r="D427" s="2005" t="str">
        <f>IFERROR(__xludf.DUMMYFUNCTION("""COMPUTED_VALUE"""),"T0807 (N/C/M/J/MC/CC) série Colibri")</f>
        <v>T0807 (N/C/M/J/MC/CC) série Colibri</v>
      </c>
      <c r="E427" s="2005" t="str">
        <f>IFERROR(__xludf.DUMMYFUNCTION("""COMPUTED_VALUE"""),"EPSON")</f>
        <v>EPSON</v>
      </c>
      <c r="F427" s="2005" t="str">
        <f>IFERROR(__xludf.DUMMYFUNCTION("""COMPUTED_VALUE"""),"H")</f>
        <v>H</v>
      </c>
      <c r="G427" s="2005" t="str">
        <f>IFERROR(__xludf.DUMMYFUNCTION("""COMPUTED_VALUE"""),"AC")</f>
        <v>AC</v>
      </c>
      <c r="H427" s="2005">
        <f>IFERROR(__xludf.DUMMYFUNCTION("""COMPUTED_VALUE"""),87.99)</f>
        <v>87.99</v>
      </c>
      <c r="I427" s="2005">
        <f>IFERROR(__xludf.DUMMYFUNCTION("""COMPUTED_VALUE"""),87.99)</f>
        <v>87.99</v>
      </c>
      <c r="BD427" s="2006"/>
      <c r="LL427" s="2007"/>
      <c r="LM427" s="2007"/>
      <c r="MX427" s="2007"/>
      <c r="ND427" s="2007"/>
    </row>
    <row r="428">
      <c r="A428" s="2005">
        <f>IFERROR(__xludf.DUMMYFUNCTION("""COMPUTED_VALUE"""),876108.0)</f>
        <v>876108</v>
      </c>
      <c r="B428" s="2005">
        <f>IFERROR(__xludf.DUMMYFUNCTION("""COMPUTED_VALUE"""),2403005.0)</f>
        <v>2403005</v>
      </c>
      <c r="C428" s="2005" t="str">
        <f>IFERROR(__xludf.DUMMYFUNCTION("""COMPUTED_VALUE"""),"Cartouche")</f>
        <v>Cartouche</v>
      </c>
      <c r="D428" s="2005" t="str">
        <f>IFERROR(__xludf.DUMMYFUNCTION("""COMPUTED_VALUE"""),"T0801 Noire série Colibri")</f>
        <v>T0801 Noire série Colibri</v>
      </c>
      <c r="E428" s="2005" t="str">
        <f>IFERROR(__xludf.DUMMYFUNCTION("""COMPUTED_VALUE"""),"EPSON")</f>
        <v>EPSON</v>
      </c>
      <c r="F428" s="2005" t="str">
        <f>IFERROR(__xludf.DUMMYFUNCTION("""COMPUTED_VALUE"""),"H")</f>
        <v>H</v>
      </c>
      <c r="G428" s="2005" t="str">
        <f>IFERROR(__xludf.DUMMYFUNCTION("""COMPUTED_VALUE"""),"AC")</f>
        <v>AC</v>
      </c>
      <c r="H428" s="2005">
        <f>IFERROR(__xludf.DUMMYFUNCTION("""COMPUTED_VALUE"""),14.99)</f>
        <v>14.99</v>
      </c>
      <c r="I428" s="2005">
        <f>IFERROR(__xludf.DUMMYFUNCTION("""COMPUTED_VALUE"""),14.99)</f>
        <v>14.99</v>
      </c>
      <c r="BD428" s="2006"/>
      <c r="LL428" s="2007"/>
      <c r="LM428" s="2007"/>
      <c r="MX428" s="2007"/>
      <c r="ND428" s="2007"/>
    </row>
    <row r="429">
      <c r="A429" s="2005">
        <f>IFERROR(__xludf.DUMMYFUNCTION("""COMPUTED_VALUE"""),876109.0)</f>
        <v>876109</v>
      </c>
      <c r="B429" s="2005">
        <f>IFERROR(__xludf.DUMMYFUNCTION("""COMPUTED_VALUE"""),2403005.0)</f>
        <v>2403005</v>
      </c>
      <c r="C429" s="2005" t="str">
        <f>IFERROR(__xludf.DUMMYFUNCTION("""COMPUTED_VALUE"""),"Cartouche")</f>
        <v>Cartouche</v>
      </c>
      <c r="D429" s="2005" t="str">
        <f>IFERROR(__xludf.DUMMYFUNCTION("""COMPUTED_VALUE"""),"T0806 Magenta Clair série Colibri")</f>
        <v>T0806 Magenta Clair série Colibri</v>
      </c>
      <c r="E429" s="2005" t="str">
        <f>IFERROR(__xludf.DUMMYFUNCTION("""COMPUTED_VALUE"""),"EPSON")</f>
        <v>EPSON</v>
      </c>
      <c r="F429" s="2005" t="str">
        <f>IFERROR(__xludf.DUMMYFUNCTION("""COMPUTED_VALUE"""),"H")</f>
        <v>H</v>
      </c>
      <c r="G429" s="2005" t="str">
        <f>IFERROR(__xludf.DUMMYFUNCTION("""COMPUTED_VALUE"""),"AC")</f>
        <v>AC</v>
      </c>
      <c r="H429" s="2005">
        <f>IFERROR(__xludf.DUMMYFUNCTION("""COMPUTED_VALUE"""),14.99)</f>
        <v>14.99</v>
      </c>
      <c r="I429" s="2005">
        <f>IFERROR(__xludf.DUMMYFUNCTION("""COMPUTED_VALUE"""),14.99)</f>
        <v>14.99</v>
      </c>
      <c r="BD429" s="2006"/>
      <c r="LL429" s="2007"/>
      <c r="LM429" s="2007"/>
      <c r="MX429" s="2007"/>
      <c r="ND429" s="2007"/>
    </row>
    <row r="430">
      <c r="A430" s="2005">
        <f>IFERROR(__xludf.DUMMYFUNCTION("""COMPUTED_VALUE"""),876116.0)</f>
        <v>876116</v>
      </c>
      <c r="B430" s="2005">
        <f>IFERROR(__xludf.DUMMYFUNCTION("""COMPUTED_VALUE"""),2403005.0)</f>
        <v>2403005</v>
      </c>
      <c r="C430" s="2005" t="str">
        <f>IFERROR(__xludf.DUMMYFUNCTION("""COMPUTED_VALUE"""),"Cartouche")</f>
        <v>Cartouche</v>
      </c>
      <c r="D430" s="2005" t="str">
        <f>IFERROR(__xludf.DUMMYFUNCTION("""COMPUTED_VALUE"""),"T0481 Noire série Hippocampe")</f>
        <v>T0481 Noire série Hippocampe</v>
      </c>
      <c r="E430" s="2005" t="str">
        <f>IFERROR(__xludf.DUMMYFUNCTION("""COMPUTED_VALUE"""),"EPSON")</f>
        <v>EPSON</v>
      </c>
      <c r="F430" s="2005" t="str">
        <f>IFERROR(__xludf.DUMMYFUNCTION("""COMPUTED_VALUE"""),"H")</f>
        <v>H</v>
      </c>
      <c r="G430" s="2005" t="str">
        <f>IFERROR(__xludf.DUMMYFUNCTION("""COMPUTED_VALUE"""),"FR")</f>
        <v>FR</v>
      </c>
      <c r="H430" s="2005">
        <f>IFERROR(__xludf.DUMMYFUNCTION("""COMPUTED_VALUE"""),24.99)</f>
        <v>24.99</v>
      </c>
      <c r="I430" s="2005">
        <f>IFERROR(__xludf.DUMMYFUNCTION("""COMPUTED_VALUE"""),24.99)</f>
        <v>24.99</v>
      </c>
      <c r="BD430" s="2006"/>
      <c r="LL430" s="2007"/>
      <c r="LM430" s="2007"/>
      <c r="MX430" s="2007"/>
      <c r="ND430" s="2007"/>
    </row>
    <row r="431">
      <c r="A431" s="2005">
        <f>IFERROR(__xludf.DUMMYFUNCTION("""COMPUTED_VALUE"""),876118.0)</f>
        <v>876118</v>
      </c>
      <c r="B431" s="2005">
        <f>IFERROR(__xludf.DUMMYFUNCTION("""COMPUTED_VALUE"""),2403005.0)</f>
        <v>2403005</v>
      </c>
      <c r="C431" s="2005" t="str">
        <f>IFERROR(__xludf.DUMMYFUNCTION("""COMPUTED_VALUE"""),"Cartouche")</f>
        <v>Cartouche</v>
      </c>
      <c r="D431" s="2005" t="str">
        <f>IFERROR(__xludf.DUMMYFUNCTION("""COMPUTED_VALUE"""),"T0803 Magenta série Colibri")</f>
        <v>T0803 Magenta série Colibri</v>
      </c>
      <c r="E431" s="2005" t="str">
        <f>IFERROR(__xludf.DUMMYFUNCTION("""COMPUTED_VALUE"""),"EPSON")</f>
        <v>EPSON</v>
      </c>
      <c r="F431" s="2005" t="str">
        <f>IFERROR(__xludf.DUMMYFUNCTION("""COMPUTED_VALUE"""),"H")</f>
        <v>H</v>
      </c>
      <c r="G431" s="2005" t="str">
        <f>IFERROR(__xludf.DUMMYFUNCTION("""COMPUTED_VALUE"""),"AC")</f>
        <v>AC</v>
      </c>
      <c r="H431" s="2005">
        <f>IFERROR(__xludf.DUMMYFUNCTION("""COMPUTED_VALUE"""),14.99)</f>
        <v>14.99</v>
      </c>
      <c r="I431" s="2005">
        <f>IFERROR(__xludf.DUMMYFUNCTION("""COMPUTED_VALUE"""),14.99)</f>
        <v>14.99</v>
      </c>
      <c r="BD431" s="2006"/>
      <c r="LM431" s="2007"/>
      <c r="MX431" s="2007"/>
      <c r="ND431" s="2007"/>
    </row>
    <row r="432">
      <c r="A432" s="2005">
        <f>IFERROR(__xludf.DUMMYFUNCTION("""COMPUTED_VALUE"""),876128.0)</f>
        <v>876128</v>
      </c>
      <c r="B432" s="2005">
        <f>IFERROR(__xludf.DUMMYFUNCTION("""COMPUTED_VALUE"""),2403005.0)</f>
        <v>2403005</v>
      </c>
      <c r="C432" s="2005" t="str">
        <f>IFERROR(__xludf.DUMMYFUNCTION("""COMPUTED_VALUE"""),"Cartouche")</f>
        <v>Cartouche</v>
      </c>
      <c r="D432" s="2005" t="str">
        <f>IFERROR(__xludf.DUMMYFUNCTION("""COMPUTED_VALUE"""),"T1293 Magenta série Pomme")</f>
        <v>T1293 Magenta série Pomme</v>
      </c>
      <c r="E432" s="2005" t="str">
        <f>IFERROR(__xludf.DUMMYFUNCTION("""COMPUTED_VALUE"""),"EPSON")</f>
        <v>EPSON</v>
      </c>
      <c r="F432" s="2005" t="str">
        <f>IFERROR(__xludf.DUMMYFUNCTION("""COMPUTED_VALUE"""),"H")</f>
        <v>H</v>
      </c>
      <c r="G432" s="2005" t="str">
        <f>IFERROR(__xludf.DUMMYFUNCTION("""COMPUTED_VALUE"""),"AC")</f>
        <v>AC</v>
      </c>
      <c r="H432" s="2005">
        <f>IFERROR(__xludf.DUMMYFUNCTION("""COMPUTED_VALUE"""),18.99)</f>
        <v>18.99</v>
      </c>
      <c r="I432" s="2005">
        <f>IFERROR(__xludf.DUMMYFUNCTION("""COMPUTED_VALUE"""),18.99)</f>
        <v>18.99</v>
      </c>
      <c r="BD432" s="2006"/>
      <c r="LM432" s="2007"/>
      <c r="MX432" s="2007"/>
      <c r="ND432" s="2007"/>
    </row>
    <row r="433">
      <c r="A433" s="2005">
        <f>IFERROR(__xludf.DUMMYFUNCTION("""COMPUTED_VALUE"""),876155.0)</f>
        <v>876155</v>
      </c>
      <c r="B433" s="2005">
        <f>IFERROR(__xludf.DUMMYFUNCTION("""COMPUTED_VALUE"""),2403005.0)</f>
        <v>2403005</v>
      </c>
      <c r="C433" s="2005" t="str">
        <f>IFERROR(__xludf.DUMMYFUNCTION("""COMPUTED_VALUE"""),"MultiPack")</f>
        <v>MultiPack</v>
      </c>
      <c r="D433" s="2005" t="str">
        <f>IFERROR(__xludf.DUMMYFUNCTION("""COMPUTED_VALUE"""),"T0615 N/C/M/J série ourson")</f>
        <v>T0615 N/C/M/J série ourson</v>
      </c>
      <c r="E433" s="2005" t="str">
        <f>IFERROR(__xludf.DUMMYFUNCTION("""COMPUTED_VALUE"""),"EPSON")</f>
        <v>EPSON</v>
      </c>
      <c r="F433" s="2005" t="str">
        <f>IFERROR(__xludf.DUMMYFUNCTION("""COMPUTED_VALUE"""),"H")</f>
        <v>H</v>
      </c>
      <c r="G433" s="2005" t="str">
        <f>IFERROR(__xludf.DUMMYFUNCTION("""COMPUTED_VALUE"""),"AC")</f>
        <v>AC</v>
      </c>
      <c r="H433" s="2005">
        <f>IFERROR(__xludf.DUMMYFUNCTION("""COMPUTED_VALUE"""),54.99)</f>
        <v>54.99</v>
      </c>
      <c r="I433" s="2005">
        <f>IFERROR(__xludf.DUMMYFUNCTION("""COMPUTED_VALUE"""),54.99)</f>
        <v>54.99</v>
      </c>
      <c r="BD433" s="2006"/>
      <c r="LL433" s="2007"/>
      <c r="LM433" s="2007"/>
      <c r="MX433" s="2007"/>
      <c r="ND433" s="2007"/>
    </row>
    <row r="434">
      <c r="A434" s="2005">
        <f>IFERROR(__xludf.DUMMYFUNCTION("""COMPUTED_VALUE"""),876195.0)</f>
        <v>876195</v>
      </c>
      <c r="B434" s="2005">
        <f>IFERROR(__xludf.DUMMYFUNCTION("""COMPUTED_VALUE"""),2403005.0)</f>
        <v>2403005</v>
      </c>
      <c r="C434" s="2005" t="str">
        <f>IFERROR(__xludf.DUMMYFUNCTION("""COMPUTED_VALUE"""),"MultiPack")</f>
        <v>MultiPack</v>
      </c>
      <c r="D434" s="2005" t="str">
        <f>IFERROR(__xludf.DUMMYFUNCTION("""COMPUTED_VALUE"""),"T0715 série Guépard")</f>
        <v>T0715 série Guépard</v>
      </c>
      <c r="E434" s="2005" t="str">
        <f>IFERROR(__xludf.DUMMYFUNCTION("""COMPUTED_VALUE"""),"EPSON")</f>
        <v>EPSON</v>
      </c>
      <c r="F434" s="2005" t="str">
        <f>IFERROR(__xludf.DUMMYFUNCTION("""COMPUTED_VALUE"""),"B")</f>
        <v>B</v>
      </c>
      <c r="G434" s="2005" t="str">
        <f>IFERROR(__xludf.DUMMYFUNCTION("""COMPUTED_VALUE"""),"AC")</f>
        <v>AC</v>
      </c>
      <c r="H434" s="2005">
        <f>IFERROR(__xludf.DUMMYFUNCTION("""COMPUTED_VALUE"""),61.0)</f>
        <v>61</v>
      </c>
      <c r="I434" s="2005">
        <f>IFERROR(__xludf.DUMMYFUNCTION("""COMPUTED_VALUE"""),61.0)</f>
        <v>61</v>
      </c>
      <c r="BD434" s="2006"/>
      <c r="LL434" s="2007"/>
      <c r="LM434" s="2007"/>
      <c r="MX434" s="2007"/>
      <c r="ND434" s="2007"/>
    </row>
    <row r="435">
      <c r="A435" s="2005">
        <f>IFERROR(__xludf.DUMMYFUNCTION("""COMPUTED_VALUE"""),876196.0)</f>
        <v>876196</v>
      </c>
      <c r="B435" s="2005">
        <f>IFERROR(__xludf.DUMMYFUNCTION("""COMPUTED_VALUE"""),2403005.0)</f>
        <v>2403005</v>
      </c>
      <c r="C435" s="2005" t="str">
        <f>IFERROR(__xludf.DUMMYFUNCTION("""COMPUTED_VALUE"""),"Cartouche")</f>
        <v>Cartouche</v>
      </c>
      <c r="D435" s="2005" t="str">
        <f>IFERROR(__xludf.DUMMYFUNCTION("""COMPUTED_VALUE"""),"T0794 Jaune série Chouette")</f>
        <v>T0794 Jaune série Chouette</v>
      </c>
      <c r="E435" s="2005" t="str">
        <f>IFERROR(__xludf.DUMMYFUNCTION("""COMPUTED_VALUE"""),"EPSON")</f>
        <v>EPSON</v>
      </c>
      <c r="F435" s="2005" t="str">
        <f>IFERROR(__xludf.DUMMYFUNCTION("""COMPUTED_VALUE"""),"H")</f>
        <v>H</v>
      </c>
      <c r="G435" s="2005" t="str">
        <f>IFERROR(__xludf.DUMMYFUNCTION("""COMPUTED_VALUE"""),"NN")</f>
        <v>NN</v>
      </c>
      <c r="H435" s="2005">
        <f>IFERROR(__xludf.DUMMYFUNCTION("""COMPUTED_VALUE"""),19.99)</f>
        <v>19.99</v>
      </c>
      <c r="I435" s="2005">
        <f>IFERROR(__xludf.DUMMYFUNCTION("""COMPUTED_VALUE"""),19.99)</f>
        <v>19.99</v>
      </c>
      <c r="BD435" s="2006"/>
      <c r="LL435" s="2007"/>
      <c r="LM435" s="2007"/>
      <c r="MX435" s="2007"/>
      <c r="ND435" s="2007"/>
    </row>
    <row r="436">
      <c r="A436" s="2005">
        <f>IFERROR(__xludf.DUMMYFUNCTION("""COMPUTED_VALUE"""),876242.0)</f>
        <v>876242</v>
      </c>
      <c r="B436" s="2005">
        <f>IFERROR(__xludf.DUMMYFUNCTION("""COMPUTED_VALUE"""),2403005.0)</f>
        <v>2403005</v>
      </c>
      <c r="C436" s="2005" t="str">
        <f>IFERROR(__xludf.DUMMYFUNCTION("""COMPUTED_VALUE"""),"Cartouche")</f>
        <v>Cartouche</v>
      </c>
      <c r="D436" s="2005" t="str">
        <f>IFERROR(__xludf.DUMMYFUNCTION("""COMPUTED_VALUE"""),"T0611 noir série Ourson")</f>
        <v>T0611 noir série Ourson</v>
      </c>
      <c r="E436" s="2005" t="str">
        <f>IFERROR(__xludf.DUMMYFUNCTION("""COMPUTED_VALUE"""),"EPSON")</f>
        <v>EPSON</v>
      </c>
      <c r="F436" s="2005" t="str">
        <f>IFERROR(__xludf.DUMMYFUNCTION("""COMPUTED_VALUE"""),"D")</f>
        <v>D</v>
      </c>
      <c r="G436" s="2005" t="str">
        <f>IFERROR(__xludf.DUMMYFUNCTION("""COMPUTED_VALUE"""),"FI")</f>
        <v>FI</v>
      </c>
      <c r="H436" s="2005">
        <f>IFERROR(__xludf.DUMMYFUNCTION("""COMPUTED_VALUE"""),13.99)</f>
        <v>13.99</v>
      </c>
      <c r="I436" s="2005">
        <f>IFERROR(__xludf.DUMMYFUNCTION("""COMPUTED_VALUE"""),13.99)</f>
        <v>13.99</v>
      </c>
      <c r="BD436" s="2006"/>
      <c r="LL436" s="2007"/>
      <c r="LM436" s="2007"/>
      <c r="MX436" s="2008"/>
      <c r="ND436" s="2007"/>
    </row>
    <row r="437">
      <c r="A437" s="2005">
        <f>IFERROR(__xludf.DUMMYFUNCTION("""COMPUTED_VALUE"""),876243.0)</f>
        <v>876243</v>
      </c>
      <c r="B437" s="2005">
        <f>IFERROR(__xludf.DUMMYFUNCTION("""COMPUTED_VALUE"""),2403005.0)</f>
        <v>2403005</v>
      </c>
      <c r="C437" s="2005" t="str">
        <f>IFERROR(__xludf.DUMMYFUNCTION("""COMPUTED_VALUE"""),"Cartouche")</f>
        <v>Cartouche</v>
      </c>
      <c r="D437" s="2005" t="str">
        <f>IFERROR(__xludf.DUMMYFUNCTION("""COMPUTED_VALUE"""),"T07114H deux cartouches série Guépard")</f>
        <v>T07114H deux cartouches série Guépard</v>
      </c>
      <c r="E437" s="2005" t="str">
        <f>IFERROR(__xludf.DUMMYFUNCTION("""COMPUTED_VALUE"""),"EPSON")</f>
        <v>EPSON</v>
      </c>
      <c r="F437" s="2005" t="str">
        <f>IFERROR(__xludf.DUMMYFUNCTION("""COMPUTED_VALUE"""),"H")</f>
        <v>H</v>
      </c>
      <c r="G437" s="2005" t="str">
        <f>IFERROR(__xludf.DUMMYFUNCTION("""COMPUTED_VALUE"""),"NN")</f>
        <v>NN</v>
      </c>
      <c r="H437" s="2005">
        <f>IFERROR(__xludf.DUMMYFUNCTION("""COMPUTED_VALUE"""),29.99)</f>
        <v>29.99</v>
      </c>
      <c r="I437" s="2005">
        <f>IFERROR(__xludf.DUMMYFUNCTION("""COMPUTED_VALUE"""),29.99)</f>
        <v>29.99</v>
      </c>
      <c r="BD437" s="2006"/>
      <c r="LL437" s="2007"/>
      <c r="LM437" s="2007"/>
      <c r="MX437" s="2007"/>
      <c r="ND437" s="2007"/>
    </row>
    <row r="438">
      <c r="A438" s="2005">
        <f>IFERROR(__xludf.DUMMYFUNCTION("""COMPUTED_VALUE"""),876244.0)</f>
        <v>876244</v>
      </c>
      <c r="B438" s="2005">
        <f>IFERROR(__xludf.DUMMYFUNCTION("""COMPUTED_VALUE"""),2403005.0)</f>
        <v>2403005</v>
      </c>
      <c r="C438" s="2005" t="str">
        <f>IFERROR(__xludf.DUMMYFUNCTION("""COMPUTED_VALUE"""),"Cartouche")</f>
        <v>Cartouche</v>
      </c>
      <c r="D438" s="2005" t="str">
        <f>IFERROR(__xludf.DUMMYFUNCTION("""COMPUTED_VALUE"""),"T0793 Magenta série Chouette")</f>
        <v>T0793 Magenta série Chouette</v>
      </c>
      <c r="E438" s="2005" t="str">
        <f>IFERROR(__xludf.DUMMYFUNCTION("""COMPUTED_VALUE"""),"EPSON")</f>
        <v>EPSON</v>
      </c>
      <c r="F438" s="2005" t="str">
        <f>IFERROR(__xludf.DUMMYFUNCTION("""COMPUTED_VALUE"""),"H")</f>
        <v>H</v>
      </c>
      <c r="G438" s="2005" t="str">
        <f>IFERROR(__xludf.DUMMYFUNCTION("""COMPUTED_VALUE"""),"NN")</f>
        <v>NN</v>
      </c>
      <c r="H438" s="2005">
        <f>IFERROR(__xludf.DUMMYFUNCTION("""COMPUTED_VALUE"""),19.99)</f>
        <v>19.99</v>
      </c>
      <c r="I438" s="2005">
        <f>IFERROR(__xludf.DUMMYFUNCTION("""COMPUTED_VALUE"""),19.99)</f>
        <v>19.99</v>
      </c>
      <c r="BD438" s="2006"/>
      <c r="LL438" s="2007"/>
      <c r="LM438" s="2007"/>
      <c r="MX438" s="2007"/>
      <c r="ND438" s="2007"/>
    </row>
    <row r="439">
      <c r="A439" s="2005">
        <f>IFERROR(__xludf.DUMMYFUNCTION("""COMPUTED_VALUE"""),876254.0)</f>
        <v>876254</v>
      </c>
      <c r="B439" s="2005">
        <f>IFERROR(__xludf.DUMMYFUNCTION("""COMPUTED_VALUE"""),2403005.0)</f>
        <v>2403005</v>
      </c>
      <c r="C439" s="2005" t="str">
        <f>IFERROR(__xludf.DUMMYFUNCTION("""COMPUTED_VALUE"""),"Cartouche")</f>
        <v>Cartouche</v>
      </c>
      <c r="D439" s="2005" t="str">
        <f>IFERROR(__xludf.DUMMYFUNCTION("""COMPUTED_VALUE"""),"T0791 Noire série Chouette")</f>
        <v>T0791 Noire série Chouette</v>
      </c>
      <c r="E439" s="2005" t="str">
        <f>IFERROR(__xludf.DUMMYFUNCTION("""COMPUTED_VALUE"""),"EPSON")</f>
        <v>EPSON</v>
      </c>
      <c r="F439" s="2005" t="str">
        <f>IFERROR(__xludf.DUMMYFUNCTION("""COMPUTED_VALUE"""),"D")</f>
        <v>D</v>
      </c>
      <c r="G439" s="2005" t="str">
        <f>IFERROR(__xludf.DUMMYFUNCTION("""COMPUTED_VALUE"""),"NN")</f>
        <v>NN</v>
      </c>
      <c r="H439" s="2005">
        <f>IFERROR(__xludf.DUMMYFUNCTION("""COMPUTED_VALUE"""),19.99)</f>
        <v>19.99</v>
      </c>
      <c r="I439" s="2005">
        <f>IFERROR(__xludf.DUMMYFUNCTION("""COMPUTED_VALUE"""),19.99)</f>
        <v>19.99</v>
      </c>
      <c r="BD439" s="2006"/>
      <c r="LL439" s="2007"/>
      <c r="LM439" s="2007"/>
      <c r="MX439" s="2007"/>
      <c r="ND439" s="2007"/>
    </row>
    <row r="440">
      <c r="A440" s="2005">
        <f>IFERROR(__xludf.DUMMYFUNCTION("""COMPUTED_VALUE"""),876255.0)</f>
        <v>876255</v>
      </c>
      <c r="B440" s="2005">
        <f>IFERROR(__xludf.DUMMYFUNCTION("""COMPUTED_VALUE"""),2403005.0)</f>
        <v>2403005</v>
      </c>
      <c r="C440" s="2005" t="str">
        <f>IFERROR(__xludf.DUMMYFUNCTION("""COMPUTED_VALUE"""),"Cartouche")</f>
        <v>Cartouche</v>
      </c>
      <c r="D440" s="2005" t="str">
        <f>IFERROR(__xludf.DUMMYFUNCTION("""COMPUTED_VALUE"""),"T0795 Cyan Clair série Chouette")</f>
        <v>T0795 Cyan Clair série Chouette</v>
      </c>
      <c r="E440" s="2005" t="str">
        <f>IFERROR(__xludf.DUMMYFUNCTION("""COMPUTED_VALUE"""),"EPSON")</f>
        <v>EPSON</v>
      </c>
      <c r="F440" s="2005" t="str">
        <f>IFERROR(__xludf.DUMMYFUNCTION("""COMPUTED_VALUE"""),"H")</f>
        <v>H</v>
      </c>
      <c r="G440" s="2005" t="str">
        <f>IFERROR(__xludf.DUMMYFUNCTION("""COMPUTED_VALUE"""),"FR")</f>
        <v>FR</v>
      </c>
      <c r="H440" s="2005">
        <f>IFERROR(__xludf.DUMMYFUNCTION("""COMPUTED_VALUE"""),19.99)</f>
        <v>19.99</v>
      </c>
      <c r="I440" s="2005">
        <f>IFERROR(__xludf.DUMMYFUNCTION("""COMPUTED_VALUE"""),19.99)</f>
        <v>19.99</v>
      </c>
      <c r="BD440" s="2006"/>
      <c r="LL440" s="2008"/>
      <c r="LM440" s="2007"/>
      <c r="MX440" s="2008"/>
      <c r="ND440" s="2008"/>
    </row>
    <row r="441">
      <c r="A441" s="2005">
        <f>IFERROR(__xludf.DUMMYFUNCTION("""COMPUTED_VALUE"""),876258.0)</f>
        <v>876258</v>
      </c>
      <c r="B441" s="2005">
        <f>IFERROR(__xludf.DUMMYFUNCTION("""COMPUTED_VALUE"""),2403005.0)</f>
        <v>2403005</v>
      </c>
      <c r="C441" s="2005" t="str">
        <f>IFERROR(__xludf.DUMMYFUNCTION("""COMPUTED_VALUE"""),"Cartouche")</f>
        <v>Cartouche</v>
      </c>
      <c r="D441" s="2005" t="str">
        <f>IFERROR(__xludf.DUMMYFUNCTION("""COMPUTED_VALUE"""),"T0792 Cyan série Chouette")</f>
        <v>T0792 Cyan série Chouette</v>
      </c>
      <c r="E441" s="2005" t="str">
        <f>IFERROR(__xludf.DUMMYFUNCTION("""COMPUTED_VALUE"""),"EPSON")</f>
        <v>EPSON</v>
      </c>
      <c r="F441" s="2005" t="str">
        <f>IFERROR(__xludf.DUMMYFUNCTION("""COMPUTED_VALUE"""),"H")</f>
        <v>H</v>
      </c>
      <c r="G441" s="2005" t="str">
        <f>IFERROR(__xludf.DUMMYFUNCTION("""COMPUTED_VALUE"""),"FR")</f>
        <v>FR</v>
      </c>
      <c r="H441" s="2005">
        <f>IFERROR(__xludf.DUMMYFUNCTION("""COMPUTED_VALUE"""),19.99)</f>
        <v>19.99</v>
      </c>
      <c r="I441" s="2005">
        <f>IFERROR(__xludf.DUMMYFUNCTION("""COMPUTED_VALUE"""),19.99)</f>
        <v>19.99</v>
      </c>
      <c r="BD441" s="2006"/>
      <c r="LL441" s="2007"/>
      <c r="LM441" s="2007"/>
      <c r="MX441" s="2007"/>
      <c r="ND441" s="2008"/>
    </row>
    <row r="442">
      <c r="A442" s="2005">
        <f>IFERROR(__xludf.DUMMYFUNCTION("""COMPUTED_VALUE"""),876259.0)</f>
        <v>876259</v>
      </c>
      <c r="B442" s="2005">
        <f>IFERROR(__xludf.DUMMYFUNCTION("""COMPUTED_VALUE"""),2403005.0)</f>
        <v>2403005</v>
      </c>
      <c r="C442" s="2005" t="str">
        <f>IFERROR(__xludf.DUMMYFUNCTION("""COMPUTED_VALUE"""),"Cartouche")</f>
        <v>Cartouche</v>
      </c>
      <c r="D442" s="2005" t="str">
        <f>IFERROR(__xludf.DUMMYFUNCTION("""COMPUTED_VALUE"""),"T0796 Magenta Clair série Chouette")</f>
        <v>T0796 Magenta Clair série Chouette</v>
      </c>
      <c r="E442" s="2005" t="str">
        <f>IFERROR(__xludf.DUMMYFUNCTION("""COMPUTED_VALUE"""),"EPSON")</f>
        <v>EPSON</v>
      </c>
      <c r="F442" s="2005" t="str">
        <f>IFERROR(__xludf.DUMMYFUNCTION("""COMPUTED_VALUE"""),"H")</f>
        <v>H</v>
      </c>
      <c r="G442" s="2005" t="str">
        <f>IFERROR(__xludf.DUMMYFUNCTION("""COMPUTED_VALUE"""),"FR")</f>
        <v>FR</v>
      </c>
      <c r="H442" s="2005">
        <f>IFERROR(__xludf.DUMMYFUNCTION("""COMPUTED_VALUE"""),19.99)</f>
        <v>19.99</v>
      </c>
      <c r="I442" s="2005">
        <f>IFERROR(__xludf.DUMMYFUNCTION("""COMPUTED_VALUE"""),19.99)</f>
        <v>19.99</v>
      </c>
      <c r="BD442" s="2006"/>
      <c r="LL442" s="2007"/>
      <c r="LM442" s="2007"/>
      <c r="MX442" s="2008"/>
      <c r="ND442" s="2007"/>
    </row>
    <row r="443">
      <c r="A443" s="2005">
        <f>IFERROR(__xludf.DUMMYFUNCTION("""COMPUTED_VALUE"""),876270.0)</f>
        <v>876270</v>
      </c>
      <c r="B443" s="2005">
        <f>IFERROR(__xludf.DUMMYFUNCTION("""COMPUTED_VALUE"""),2403005.0)</f>
        <v>2403005</v>
      </c>
      <c r="C443" s="2005" t="str">
        <f>IFERROR(__xludf.DUMMYFUNCTION("""COMPUTED_VALUE"""),"MultiPack")</f>
        <v>MultiPack</v>
      </c>
      <c r="D443" s="2005" t="str">
        <f>IFERROR(__xludf.DUMMYFUNCTION("""COMPUTED_VALUE"""),"T0556 série canard")</f>
        <v>T0556 série canard</v>
      </c>
      <c r="E443" s="2005" t="str">
        <f>IFERROR(__xludf.DUMMYFUNCTION("""COMPUTED_VALUE"""),"EPSON")</f>
        <v>EPSON</v>
      </c>
      <c r="F443" s="2005" t="str">
        <f>IFERROR(__xludf.DUMMYFUNCTION("""COMPUTED_VALUE"""),"D")</f>
        <v>D</v>
      </c>
      <c r="G443" s="2005" t="str">
        <f>IFERROR(__xludf.DUMMYFUNCTION("""COMPUTED_VALUE"""),"NN")</f>
        <v>NN</v>
      </c>
      <c r="H443" s="2005">
        <f>IFERROR(__xludf.DUMMYFUNCTION("""COMPUTED_VALUE"""),54.99)</f>
        <v>54.99</v>
      </c>
      <c r="I443" s="2005">
        <f>IFERROR(__xludf.DUMMYFUNCTION("""COMPUTED_VALUE"""),54.99)</f>
        <v>54.99</v>
      </c>
      <c r="BD443" s="2006"/>
      <c r="LL443" s="2007"/>
      <c r="LM443" s="2008"/>
      <c r="MX443" s="2007"/>
      <c r="ND443" s="2008"/>
    </row>
    <row r="444">
      <c r="A444" s="2005">
        <f>IFERROR(__xludf.DUMMYFUNCTION("""COMPUTED_VALUE"""),876282.0)</f>
        <v>876282</v>
      </c>
      <c r="B444" s="2005">
        <f>IFERROR(__xludf.DUMMYFUNCTION("""COMPUTED_VALUE"""),2403005.0)</f>
        <v>2403005</v>
      </c>
      <c r="C444" s="2005" t="str">
        <f>IFERROR(__xludf.DUMMYFUNCTION("""COMPUTED_VALUE"""),"MultiPack")</f>
        <v>MultiPack</v>
      </c>
      <c r="D444" s="2005" t="str">
        <f>IFERROR(__xludf.DUMMYFUNCTION("""COMPUTED_VALUE"""),"T1285 (n/c/m/j) série Renard")</f>
        <v>T1285 (n/c/m/j) série Renard</v>
      </c>
      <c r="E444" s="2005" t="str">
        <f>IFERROR(__xludf.DUMMYFUNCTION("""COMPUTED_VALUE"""),"EPSON")</f>
        <v>EPSON</v>
      </c>
      <c r="F444" s="2005" t="str">
        <f>IFERROR(__xludf.DUMMYFUNCTION("""COMPUTED_VALUE"""),"B")</f>
        <v>B</v>
      </c>
      <c r="G444" s="2005" t="str">
        <f>IFERROR(__xludf.DUMMYFUNCTION("""COMPUTED_VALUE"""),"AC")</f>
        <v>AC</v>
      </c>
      <c r="H444" s="2005">
        <f>IFERROR(__xludf.DUMMYFUNCTION("""COMPUTED_VALUE"""),50.99)</f>
        <v>50.99</v>
      </c>
      <c r="I444" s="2005">
        <f>IFERROR(__xludf.DUMMYFUNCTION("""COMPUTED_VALUE"""),50.99)</f>
        <v>50.99</v>
      </c>
      <c r="LL444" s="2008"/>
      <c r="LM444" s="2007"/>
      <c r="MX444" s="2008"/>
      <c r="ND444" s="2008"/>
    </row>
    <row r="445">
      <c r="A445" s="2005">
        <f>IFERROR(__xludf.DUMMYFUNCTION("""COMPUTED_VALUE"""),876295.0)</f>
        <v>876295</v>
      </c>
      <c r="B445" s="2005">
        <f>IFERROR(__xludf.DUMMYFUNCTION("""COMPUTED_VALUE"""),2403005.0)</f>
        <v>2403005</v>
      </c>
      <c r="C445" s="2005" t="str">
        <f>IFERROR(__xludf.DUMMYFUNCTION("""COMPUTED_VALUE"""),"Cartouche")</f>
        <v>Cartouche</v>
      </c>
      <c r="D445" s="2005" t="str">
        <f>IFERROR(__xludf.DUMMYFUNCTION("""COMPUTED_VALUE"""),"T1301 Noire série cerf")</f>
        <v>T1301 Noire série cerf</v>
      </c>
      <c r="E445" s="2005" t="str">
        <f>IFERROR(__xludf.DUMMYFUNCTION("""COMPUTED_VALUE"""),"EPSON")</f>
        <v>EPSON</v>
      </c>
      <c r="F445" s="2005" t="str">
        <f>IFERROR(__xludf.DUMMYFUNCTION("""COMPUTED_VALUE"""),"A")</f>
        <v>A</v>
      </c>
      <c r="G445" s="2005" t="str">
        <f>IFERROR(__xludf.DUMMYFUNCTION("""COMPUTED_VALUE"""),"FI")</f>
        <v>FI</v>
      </c>
      <c r="H445" s="2005">
        <f>IFERROR(__xludf.DUMMYFUNCTION("""COMPUTED_VALUE"""),30.99)</f>
        <v>30.99</v>
      </c>
      <c r="I445" s="2005">
        <f>IFERROR(__xludf.DUMMYFUNCTION("""COMPUTED_VALUE"""),30.99)</f>
        <v>30.99</v>
      </c>
      <c r="BD445" s="2006"/>
      <c r="LL445" s="2007"/>
      <c r="LM445" s="2007"/>
      <c r="MX445" s="2007"/>
      <c r="ND445" s="2007"/>
    </row>
    <row r="446">
      <c r="A446" s="2005">
        <f>IFERROR(__xludf.DUMMYFUNCTION("""COMPUTED_VALUE"""),876296.0)</f>
        <v>876296</v>
      </c>
      <c r="B446" s="2005">
        <f>IFERROR(__xludf.DUMMYFUNCTION("""COMPUTED_VALUE"""),2403005.0)</f>
        <v>2403005</v>
      </c>
      <c r="C446" s="2005" t="str">
        <f>IFERROR(__xludf.DUMMYFUNCTION("""COMPUTED_VALUE"""),"MultiPack")</f>
        <v>MultiPack</v>
      </c>
      <c r="D446" s="2005" t="str">
        <f>IFERROR(__xludf.DUMMYFUNCTION("""COMPUTED_VALUE"""),"T1306 (C/M/J) série cerf")</f>
        <v>T1306 (C/M/J) série cerf</v>
      </c>
      <c r="E446" s="2005" t="str">
        <f>IFERROR(__xludf.DUMMYFUNCTION("""COMPUTED_VALUE"""),"EPSON")</f>
        <v>EPSON</v>
      </c>
      <c r="F446" s="2005" t="str">
        <f>IFERROR(__xludf.DUMMYFUNCTION("""COMPUTED_VALUE"""),"C")</f>
        <v>C</v>
      </c>
      <c r="G446" s="2005" t="str">
        <f>IFERROR(__xludf.DUMMYFUNCTION("""COMPUTED_VALUE"""),"FF")</f>
        <v>FF</v>
      </c>
      <c r="H446" s="2005">
        <f>IFERROR(__xludf.DUMMYFUNCTION("""COMPUTED_VALUE"""),62.99)</f>
        <v>62.99</v>
      </c>
      <c r="I446" s="2005">
        <f>IFERROR(__xludf.DUMMYFUNCTION("""COMPUTED_VALUE"""),62.99)</f>
        <v>62.99</v>
      </c>
      <c r="BD446" s="2006"/>
      <c r="LL446" s="2008"/>
      <c r="LM446" s="2007"/>
      <c r="MX446" s="2007"/>
      <c r="ND446" s="2007"/>
    </row>
    <row r="447">
      <c r="A447" s="2005">
        <f>IFERROR(__xludf.DUMMYFUNCTION("""COMPUTED_VALUE"""),876480.0)</f>
        <v>876480</v>
      </c>
      <c r="B447" s="2005">
        <f>IFERROR(__xludf.DUMMYFUNCTION("""COMPUTED_VALUE"""),2403010.0)</f>
        <v>2403010</v>
      </c>
      <c r="C447" s="2005" t="str">
        <f>IFERROR(__xludf.DUMMYFUNCTION("""COMPUTED_VALUE"""),"Toner")</f>
        <v>Toner</v>
      </c>
      <c r="D447" s="2005" t="str">
        <f>IFERROR(__xludf.DUMMYFUNCTION("""COMPUTED_VALUE"""),"TN2220")</f>
        <v>TN2220</v>
      </c>
      <c r="E447" s="2005" t="str">
        <f>IFERROR(__xludf.DUMMYFUNCTION("""COMPUTED_VALUE"""),"BROTHER")</f>
        <v>BROTHER</v>
      </c>
      <c r="F447" s="2005" t="str">
        <f>IFERROR(__xludf.DUMMYFUNCTION("""COMPUTED_VALUE"""),"H")</f>
        <v>H</v>
      </c>
      <c r="G447" s="2005" t="str">
        <f>IFERROR(__xludf.DUMMYFUNCTION("""COMPUTED_VALUE"""),"NN")</f>
        <v>NN</v>
      </c>
      <c r="H447" s="2005">
        <f>IFERROR(__xludf.DUMMYFUNCTION("""COMPUTED_VALUE"""),90.05)</f>
        <v>90.05</v>
      </c>
      <c r="I447" s="2005">
        <f>IFERROR(__xludf.DUMMYFUNCTION("""COMPUTED_VALUE"""),90.05)</f>
        <v>90.05</v>
      </c>
      <c r="BD447" s="2006"/>
      <c r="LL447" s="2007"/>
      <c r="LM447" s="2007"/>
      <c r="MX447" s="2007"/>
      <c r="ND447" s="2007"/>
    </row>
    <row r="448">
      <c r="A448" s="2005">
        <f>IFERROR(__xludf.DUMMYFUNCTION("""COMPUTED_VALUE"""),877968.0)</f>
        <v>877968</v>
      </c>
      <c r="B448" s="2005">
        <f>IFERROR(__xludf.DUMMYFUNCTION("""COMPUTED_VALUE"""),2503010.0)</f>
        <v>2503010</v>
      </c>
      <c r="C448" s="2005" t="str">
        <f>IFERROR(__xludf.DUMMYFUNCTION("""COMPUTED_VALUE"""),"Micro")</f>
        <v>Micro</v>
      </c>
      <c r="D448" s="2005" t="str">
        <f>IFERROR(__xludf.DUMMYFUNCTION("""COMPUTED_VALUE"""),"Pour Notebook")</f>
        <v>Pour Notebook</v>
      </c>
      <c r="E448" s="2005" t="str">
        <f>IFERROR(__xludf.DUMMYFUNCTION("""COMPUTED_VALUE"""),"HAMA")</f>
        <v>HAMA</v>
      </c>
      <c r="F448" s="2005" t="str">
        <f>IFERROR(__xludf.DUMMYFUNCTION("""COMPUTED_VALUE"""),"B")</f>
        <v>B</v>
      </c>
      <c r="G448" s="2005" t="str">
        <f>IFERROR(__xludf.DUMMYFUNCTION("""COMPUTED_VALUE"""),"FR")</f>
        <v>FR</v>
      </c>
      <c r="H448" s="2005">
        <f>IFERROR(__xludf.DUMMYFUNCTION("""COMPUTED_VALUE"""),4.99)</f>
        <v>4.99</v>
      </c>
      <c r="I448" s="2005">
        <f>IFERROR(__xludf.DUMMYFUNCTION("""COMPUTED_VALUE"""),4.99)</f>
        <v>4.99</v>
      </c>
      <c r="BD448" s="2006"/>
      <c r="LL448" s="2008"/>
      <c r="LM448" s="2007"/>
      <c r="MX448" s="2007"/>
      <c r="ND448" s="2007"/>
    </row>
    <row r="449">
      <c r="A449" s="2005">
        <f>IFERROR(__xludf.DUMMYFUNCTION("""COMPUTED_VALUE"""),879664.0)</f>
        <v>879664</v>
      </c>
      <c r="B449" s="2005">
        <f>IFERROR(__xludf.DUMMYFUNCTION("""COMPUTED_VALUE"""),2403010.0)</f>
        <v>2403010</v>
      </c>
      <c r="C449" s="2005" t="str">
        <f>IFERROR(__xludf.DUMMYFUNCTION("""COMPUTED_VALUE"""),"Toner")</f>
        <v>Toner</v>
      </c>
      <c r="D449" s="2005" t="str">
        <f>IFERROR(__xludf.DUMMYFUNCTION("""COMPUTED_VALUE"""),"TN325Y XL")</f>
        <v>TN325Y XL</v>
      </c>
      <c r="E449" s="2005" t="str">
        <f>IFERROR(__xludf.DUMMYFUNCTION("""COMPUTED_VALUE"""),"BROTHER")</f>
        <v>BROTHER</v>
      </c>
      <c r="F449" s="2005" t="str">
        <f>IFERROR(__xludf.DUMMYFUNCTION("""COMPUTED_VALUE"""),"H")</f>
        <v>H</v>
      </c>
      <c r="G449" s="2005" t="str">
        <f>IFERROR(__xludf.DUMMYFUNCTION("""COMPUTED_VALUE"""),"NN")</f>
        <v>NN</v>
      </c>
      <c r="H449" s="2005">
        <f>IFERROR(__xludf.DUMMYFUNCTION("""COMPUTED_VALUE"""),187.99)</f>
        <v>187.99</v>
      </c>
      <c r="I449" s="2005">
        <f>IFERROR(__xludf.DUMMYFUNCTION("""COMPUTED_VALUE"""),187.99)</f>
        <v>187.99</v>
      </c>
      <c r="BD449" s="2006"/>
      <c r="LL449" s="2008"/>
      <c r="LM449" s="2007"/>
      <c r="MX449" s="2007"/>
      <c r="ND449" s="2007"/>
    </row>
    <row r="450">
      <c r="A450" s="2005">
        <f>IFERROR(__xludf.DUMMYFUNCTION("""COMPUTED_VALUE"""),879666.0)</f>
        <v>879666</v>
      </c>
      <c r="B450" s="2005">
        <f>IFERROR(__xludf.DUMMYFUNCTION("""COMPUTED_VALUE"""),2403010.0)</f>
        <v>2403010</v>
      </c>
      <c r="C450" s="2005" t="str">
        <f>IFERROR(__xludf.DUMMYFUNCTION("""COMPUTED_VALUE"""),"Toner")</f>
        <v>Toner</v>
      </c>
      <c r="D450" s="2005" t="str">
        <f>IFERROR(__xludf.DUMMYFUNCTION("""COMPUTED_VALUE"""),"TN325M XL")</f>
        <v>TN325M XL</v>
      </c>
      <c r="E450" s="2005" t="str">
        <f>IFERROR(__xludf.DUMMYFUNCTION("""COMPUTED_VALUE"""),"BROTHER")</f>
        <v>BROTHER</v>
      </c>
      <c r="F450" s="2005" t="str">
        <f>IFERROR(__xludf.DUMMYFUNCTION("""COMPUTED_VALUE"""),"H")</f>
        <v>H</v>
      </c>
      <c r="G450" s="2005" t="str">
        <f>IFERROR(__xludf.DUMMYFUNCTION("""COMPUTED_VALUE"""),"NN")</f>
        <v>NN</v>
      </c>
      <c r="H450" s="2005">
        <f>IFERROR(__xludf.DUMMYFUNCTION("""COMPUTED_VALUE"""),187.99)</f>
        <v>187.99</v>
      </c>
      <c r="I450" s="2005">
        <f>IFERROR(__xludf.DUMMYFUNCTION("""COMPUTED_VALUE"""),187.99)</f>
        <v>187.99</v>
      </c>
      <c r="BD450" s="2006"/>
      <c r="LL450" s="2007"/>
      <c r="LM450" s="2007"/>
      <c r="MX450" s="2008"/>
      <c r="ND450" s="2007"/>
    </row>
    <row r="451">
      <c r="A451" s="2005">
        <f>IFERROR(__xludf.DUMMYFUNCTION("""COMPUTED_VALUE"""),879667.0)</f>
        <v>879667</v>
      </c>
      <c r="B451" s="2005">
        <f>IFERROR(__xludf.DUMMYFUNCTION("""COMPUTED_VALUE"""),2403010.0)</f>
        <v>2403010</v>
      </c>
      <c r="C451" s="2005" t="str">
        <f>IFERROR(__xludf.DUMMYFUNCTION("""COMPUTED_VALUE"""),"Toner")</f>
        <v>Toner</v>
      </c>
      <c r="D451" s="2005" t="str">
        <f>IFERROR(__xludf.DUMMYFUNCTION("""COMPUTED_VALUE"""),"TN325C XL")</f>
        <v>TN325C XL</v>
      </c>
      <c r="E451" s="2005" t="str">
        <f>IFERROR(__xludf.DUMMYFUNCTION("""COMPUTED_VALUE"""),"BROTHER")</f>
        <v>BROTHER</v>
      </c>
      <c r="F451" s="2005" t="str">
        <f>IFERROR(__xludf.DUMMYFUNCTION("""COMPUTED_VALUE"""),"H")</f>
        <v>H</v>
      </c>
      <c r="G451" s="2005" t="str">
        <f>IFERROR(__xludf.DUMMYFUNCTION("""COMPUTED_VALUE"""),"FR")</f>
        <v>FR</v>
      </c>
      <c r="H451" s="2005">
        <f>IFERROR(__xludf.DUMMYFUNCTION("""COMPUTED_VALUE"""),149.0)</f>
        <v>149</v>
      </c>
      <c r="I451" s="2005">
        <f>IFERROR(__xludf.DUMMYFUNCTION("""COMPUTED_VALUE"""),149.0)</f>
        <v>149</v>
      </c>
      <c r="BD451" s="2006"/>
      <c r="LL451" s="2007"/>
      <c r="LM451" s="2007"/>
      <c r="MX451" s="2007"/>
      <c r="ND451" s="2007"/>
    </row>
    <row r="452">
      <c r="A452" s="2005">
        <f>IFERROR(__xludf.DUMMYFUNCTION("""COMPUTED_VALUE"""),879669.0)</f>
        <v>879669</v>
      </c>
      <c r="B452" s="2005">
        <f>IFERROR(__xludf.DUMMYFUNCTION("""COMPUTED_VALUE"""),2403010.0)</f>
        <v>2403010</v>
      </c>
      <c r="C452" s="2005" t="str">
        <f>IFERROR(__xludf.DUMMYFUNCTION("""COMPUTED_VALUE"""),"Toner")</f>
        <v>Toner</v>
      </c>
      <c r="D452" s="2005" t="str">
        <f>IFERROR(__xludf.DUMMYFUNCTION("""COMPUTED_VALUE"""),"TN325BK XL")</f>
        <v>TN325BK XL</v>
      </c>
      <c r="E452" s="2005" t="str">
        <f>IFERROR(__xludf.DUMMYFUNCTION("""COMPUTED_VALUE"""),"BROTHER")</f>
        <v>BROTHER</v>
      </c>
      <c r="F452" s="2005" t="str">
        <f>IFERROR(__xludf.DUMMYFUNCTION("""COMPUTED_VALUE"""),"H")</f>
        <v>H</v>
      </c>
      <c r="G452" s="2005" t="str">
        <f>IFERROR(__xludf.DUMMYFUNCTION("""COMPUTED_VALUE"""),"NN")</f>
        <v>NN</v>
      </c>
      <c r="H452" s="2005">
        <f>IFERROR(__xludf.DUMMYFUNCTION("""COMPUTED_VALUE"""),89.99)</f>
        <v>89.99</v>
      </c>
      <c r="I452" s="2005">
        <f>IFERROR(__xludf.DUMMYFUNCTION("""COMPUTED_VALUE"""),58.99)</f>
        <v>58.99</v>
      </c>
      <c r="BD452" s="2006"/>
      <c r="LM452" s="2007"/>
      <c r="MX452" s="2007"/>
      <c r="ND452" s="2007"/>
    </row>
    <row r="453">
      <c r="A453" s="2005">
        <f>IFERROR(__xludf.DUMMYFUNCTION("""COMPUTED_VALUE"""),879785.0)</f>
        <v>879785</v>
      </c>
      <c r="B453" s="2005">
        <f>IFERROR(__xludf.DUMMYFUNCTION("""COMPUTED_VALUE"""),2502010.0)</f>
        <v>2502010</v>
      </c>
      <c r="C453" s="2005" t="str">
        <f>IFERROR(__xludf.DUMMYFUNCTION("""COMPUTED_VALUE"""),"Souris")</f>
        <v>Souris</v>
      </c>
      <c r="D453" s="2005" t="str">
        <f>IFERROR(__xludf.DUMMYFUNCTION("""COMPUTED_VALUE"""),"M235 Silver")</f>
        <v>M235 Silver</v>
      </c>
      <c r="E453" s="2005" t="str">
        <f>IFERROR(__xludf.DUMMYFUNCTION("""COMPUTED_VALUE"""),"LOGITECH")</f>
        <v>LOGITECH</v>
      </c>
      <c r="F453" s="2005" t="str">
        <f>IFERROR(__xludf.DUMMYFUNCTION("""COMPUTED_VALUE"""),"W")</f>
        <v>W</v>
      </c>
      <c r="G453" s="2005" t="str">
        <f>IFERROR(__xludf.DUMMYFUNCTION("""COMPUTED_VALUE"""),"AC")</f>
        <v>AC</v>
      </c>
      <c r="H453" s="2005">
        <f>IFERROR(__xludf.DUMMYFUNCTION("""COMPUTED_VALUE"""),27.99)</f>
        <v>27.99</v>
      </c>
      <c r="I453" s="2005">
        <f>IFERROR(__xludf.DUMMYFUNCTION("""COMPUTED_VALUE"""),23.99)</f>
        <v>23.99</v>
      </c>
      <c r="LM453" s="2007"/>
    </row>
    <row r="454">
      <c r="A454" s="2005">
        <f>IFERROR(__xludf.DUMMYFUNCTION("""COMPUTED_VALUE"""),879786.0)</f>
        <v>879786</v>
      </c>
      <c r="B454" s="2005">
        <f>IFERROR(__xludf.DUMMYFUNCTION("""COMPUTED_VALUE"""),2503005.0)</f>
        <v>2503005</v>
      </c>
      <c r="C454" s="2005" t="str">
        <f>IFERROR(__xludf.DUMMYFUNCTION("""COMPUTED_VALUE"""),"Enceinte")</f>
        <v>Enceinte</v>
      </c>
      <c r="D454" s="2005" t="str">
        <f>IFERROR(__xludf.DUMMYFUNCTION("""COMPUTED_VALUE"""),"Z906 5.1 THX Surround")</f>
        <v>Z906 5.1 THX Surround</v>
      </c>
      <c r="E454" s="2005" t="str">
        <f>IFERROR(__xludf.DUMMYFUNCTION("""COMPUTED_VALUE"""),"LOGITECH")</f>
        <v>LOGITECH</v>
      </c>
      <c r="F454" s="2005" t="str">
        <f>IFERROR(__xludf.DUMMYFUNCTION("""COMPUTED_VALUE"""),"W")</f>
        <v>W</v>
      </c>
      <c r="G454" s="2005" t="str">
        <f>IFERROR(__xludf.DUMMYFUNCTION("""COMPUTED_VALUE"""),"FR")</f>
        <v>FR</v>
      </c>
      <c r="H454" s="2005">
        <f>IFERROR(__xludf.DUMMYFUNCTION("""COMPUTED_VALUE"""),429.99)</f>
        <v>429.99</v>
      </c>
      <c r="I454" s="2005">
        <f>IFERROR(__xludf.DUMMYFUNCTION("""COMPUTED_VALUE"""),333.99)</f>
        <v>333.99</v>
      </c>
      <c r="BD454" s="2006"/>
      <c r="LM454" s="2007"/>
      <c r="MX454" s="2007"/>
      <c r="ND454" s="2007"/>
    </row>
    <row r="455">
      <c r="A455" s="2005">
        <f>IFERROR(__xludf.DUMMYFUNCTION("""COMPUTED_VALUE"""),879948.0)</f>
        <v>879948</v>
      </c>
      <c r="B455" s="2005">
        <f>IFERROR(__xludf.DUMMYFUNCTION("""COMPUTED_VALUE"""),2502015.0)</f>
        <v>2502015</v>
      </c>
      <c r="C455" s="2005" t="str">
        <f>IFERROR(__xludf.DUMMYFUNCTION("""COMPUTED_VALUE"""),"Clavier")</f>
        <v>Clavier</v>
      </c>
      <c r="D455" s="2005" t="str">
        <f>IFERROR(__xludf.DUMMYFUNCTION("""COMPUTED_VALUE"""),"WD 600 BLANC FILAIRE")</f>
        <v>WD 600 BLANC FILAIRE</v>
      </c>
      <c r="E455" s="2005" t="str">
        <f>IFERROR(__xludf.DUMMYFUNCTION("""COMPUTED_VALUE"""),"MICROSOFT")</f>
        <v>MICROSOFT</v>
      </c>
      <c r="F455" s="2005" t="str">
        <f>IFERROR(__xludf.DUMMYFUNCTION("""COMPUTED_VALUE"""),"W")</f>
        <v>W</v>
      </c>
      <c r="G455" s="2005" t="str">
        <f>IFERROR(__xludf.DUMMYFUNCTION("""COMPUTED_VALUE"""),"NN")</f>
        <v>NN</v>
      </c>
      <c r="H455" s="2005">
        <f>IFERROR(__xludf.DUMMYFUNCTION("""COMPUTED_VALUE"""),18.95)</f>
        <v>18.95</v>
      </c>
      <c r="I455" s="2005">
        <f>IFERROR(__xludf.DUMMYFUNCTION("""COMPUTED_VALUE"""),18.95)</f>
        <v>18.95</v>
      </c>
      <c r="BD455" s="2006"/>
      <c r="LL455" s="2007"/>
      <c r="LM455" s="2007"/>
      <c r="MX455" s="2007"/>
      <c r="ND455" s="2007"/>
    </row>
    <row r="456">
      <c r="A456" s="2005">
        <f>IFERROR(__xludf.DUMMYFUNCTION("""COMPUTED_VALUE"""),888805.0)</f>
        <v>888805</v>
      </c>
      <c r="B456" s="2005">
        <f>IFERROR(__xludf.DUMMYFUNCTION("""COMPUTED_VALUE"""),2401015.0)</f>
        <v>2401015</v>
      </c>
      <c r="D456" s="2005" t="str">
        <f>IFERROR(__xludf.DUMMYFUNCTION("""COMPUTED_VALUE"""),"43498 DVD+R SP10 DATALIFE+ 16X")</f>
        <v>43498 DVD+R SP10 DATALIFE+ 16X</v>
      </c>
      <c r="E456" s="2005" t="str">
        <f>IFERROR(__xludf.DUMMYFUNCTION("""COMPUTED_VALUE"""),"VERBATIM")</f>
        <v>VERBATIM</v>
      </c>
      <c r="F456" s="2005" t="str">
        <f>IFERROR(__xludf.DUMMYFUNCTION("""COMPUTED_VALUE"""),"H")</f>
        <v>H</v>
      </c>
      <c r="G456" s="2005" t="str">
        <f>IFERROR(__xludf.DUMMYFUNCTION("""COMPUTED_VALUE"""),"FR")</f>
        <v>FR</v>
      </c>
      <c r="H456">
        <f>IFERROR(__xludf.DUMMYFUNCTION("""COMPUTED_VALUE"""),29.99)</f>
        <v>29.99</v>
      </c>
      <c r="I456">
        <f>IFERROR(__xludf.DUMMYFUNCTION("""COMPUTED_VALUE"""),29.99)</f>
        <v>29.99</v>
      </c>
      <c r="BD456" s="2006"/>
      <c r="LL456" s="2007"/>
      <c r="LM456" s="2007"/>
      <c r="MX456" s="2008"/>
      <c r="ND456" s="2007"/>
    </row>
    <row r="457">
      <c r="A457" s="2005">
        <f>IFERROR(__xludf.DUMMYFUNCTION("""COMPUTED_VALUE"""),888964.0)</f>
        <v>888964</v>
      </c>
      <c r="B457" s="2005">
        <f>IFERROR(__xludf.DUMMYFUNCTION("""COMPUTED_VALUE"""),2502015.0)</f>
        <v>2502015</v>
      </c>
      <c r="C457" s="2005" t="str">
        <f>IFERROR(__xludf.DUMMYFUNCTION("""COMPUTED_VALUE"""),"Clavier")</f>
        <v>Clavier</v>
      </c>
      <c r="D457" s="2005" t="str">
        <f>IFERROR(__xludf.DUMMYFUNCTION("""COMPUTED_VALUE"""),"PC FLEXIBLE USB FilaireNoir")</f>
        <v>PC FLEXIBLE USB FilaireNoir</v>
      </c>
      <c r="E457" s="2005" t="str">
        <f>IFERROR(__xludf.DUMMYFUNCTION("""COMPUTED_VALUE"""),"MOBILITY LAB")</f>
        <v>MOBILITY LAB</v>
      </c>
      <c r="F457" s="2005" t="str">
        <f>IFERROR(__xludf.DUMMYFUNCTION("""COMPUTED_VALUE"""),"W")</f>
        <v>W</v>
      </c>
      <c r="G457" s="2005" t="str">
        <f>IFERROR(__xludf.DUMMYFUNCTION("""COMPUTED_VALUE"""),"NN")</f>
        <v>NN</v>
      </c>
      <c r="H457" s="2005">
        <f>IFERROR(__xludf.DUMMYFUNCTION("""COMPUTED_VALUE"""),14.99)</f>
        <v>14.99</v>
      </c>
      <c r="I457" s="2005">
        <f>IFERROR(__xludf.DUMMYFUNCTION("""COMPUTED_VALUE"""),14.99)</f>
        <v>14.99</v>
      </c>
      <c r="BD457" s="2006"/>
      <c r="LL457" s="2007"/>
      <c r="LM457" s="2007"/>
      <c r="MX457" s="2008"/>
      <c r="ND457" s="2007"/>
    </row>
    <row r="458">
      <c r="A458" s="2005">
        <f>IFERROR(__xludf.DUMMYFUNCTION("""COMPUTED_VALUE"""),894823.0)</f>
        <v>894823</v>
      </c>
      <c r="B458" s="2005">
        <f>IFERROR(__xludf.DUMMYFUNCTION("""COMPUTED_VALUE"""),2502010.0)</f>
        <v>2502010</v>
      </c>
      <c r="C458" s="2005" t="str">
        <f>IFERROR(__xludf.DUMMYFUNCTION("""COMPUTED_VALUE"""),"Souris")</f>
        <v>Souris</v>
      </c>
      <c r="D458" s="2005" t="str">
        <f>IFERROR(__xludf.DUMMYFUNCTION("""COMPUTED_VALUE"""),"M570 Wireless Trackball")</f>
        <v>M570 Wireless Trackball</v>
      </c>
      <c r="E458" s="2005" t="str">
        <f>IFERROR(__xludf.DUMMYFUNCTION("""COMPUTED_VALUE"""),"LOGITECH")</f>
        <v>LOGITECH</v>
      </c>
      <c r="F458" s="2005" t="str">
        <f>IFERROR(__xludf.DUMMYFUNCTION("""COMPUTED_VALUE"""),"D")</f>
        <v>D</v>
      </c>
      <c r="G458" s="2005" t="str">
        <f>IFERROR(__xludf.DUMMYFUNCTION("""COMPUTED_VALUE"""),"NN")</f>
        <v>NN</v>
      </c>
      <c r="H458" s="2005">
        <f>IFERROR(__xludf.DUMMYFUNCTION("""COMPUTED_VALUE"""),56.99)</f>
        <v>56.99</v>
      </c>
      <c r="I458" s="2005">
        <f>IFERROR(__xludf.DUMMYFUNCTION("""COMPUTED_VALUE"""),56.99)</f>
        <v>56.99</v>
      </c>
      <c r="BD458" s="2006"/>
      <c r="LL458" s="2007"/>
      <c r="LM458" s="2007"/>
      <c r="MX458" s="2008"/>
      <c r="ND458" s="2007"/>
    </row>
    <row r="459">
      <c r="A459" s="2005">
        <f>IFERROR(__xludf.DUMMYFUNCTION("""COMPUTED_VALUE"""),896650.0)</f>
        <v>896650</v>
      </c>
      <c r="B459" s="2005">
        <f>IFERROR(__xludf.DUMMYFUNCTION("""COMPUTED_VALUE"""),1101005.0)</f>
        <v>1101005</v>
      </c>
      <c r="C459" s="2005" t="str">
        <f>IFERROR(__xludf.DUMMYFUNCTION("""COMPUTED_VALUE"""),"Tél.")</f>
        <v>Tél.</v>
      </c>
      <c r="D459" s="2005" t="str">
        <f>IFERROR(__xludf.DUMMYFUNCTION("""COMPUTED_VALUE"""),"Phone Easy 100W Noir")</f>
        <v>Phone Easy 100W Noir</v>
      </c>
      <c r="E459" s="2005" t="str">
        <f>IFERROR(__xludf.DUMMYFUNCTION("""COMPUTED_VALUE"""),"DORO")</f>
        <v>DORO</v>
      </c>
      <c r="F459" s="2005" t="str">
        <f>IFERROR(__xludf.DUMMYFUNCTION("""COMPUTED_VALUE"""),"H")</f>
        <v>H</v>
      </c>
      <c r="G459" s="2005" t="str">
        <f>IFERROR(__xludf.DUMMYFUNCTION("""COMPUTED_VALUE"""),"AC")</f>
        <v>AC</v>
      </c>
      <c r="H459" s="2005">
        <f>IFERROR(__xludf.DUMMYFUNCTION("""COMPUTED_VALUE"""),39.99)</f>
        <v>39.99</v>
      </c>
      <c r="I459" s="2005">
        <f>IFERROR(__xludf.DUMMYFUNCTION("""COMPUTED_VALUE"""),39.99)</f>
        <v>39.99</v>
      </c>
      <c r="BD459" s="2006"/>
      <c r="LL459" s="2007"/>
      <c r="LM459" s="2007"/>
      <c r="MX459" s="2007"/>
      <c r="ND459" s="2007"/>
    </row>
    <row r="460">
      <c r="A460" s="2005">
        <f>IFERROR(__xludf.DUMMYFUNCTION("""COMPUTED_VALUE"""),902852.0)</f>
        <v>902852</v>
      </c>
      <c r="B460" s="2005">
        <f>IFERROR(__xludf.DUMMYFUNCTION("""COMPUTED_VALUE"""),2402020.0)</f>
        <v>2402020</v>
      </c>
      <c r="C460" s="2005" t="str">
        <f>IFERROR(__xludf.DUMMYFUNCTION("""COMPUTED_VALUE"""),"Papier")</f>
        <v>Papier</v>
      </c>
      <c r="D460" s="2005" t="str">
        <f>IFERROR(__xludf.DUMMYFUNCTION("""COMPUTED_VALUE"""),"4 Transferts T-shirt noirs/foncés A4")</f>
        <v>4 Transferts T-shirt noirs/foncés A4</v>
      </c>
      <c r="E460" s="2005" t="str">
        <f>IFERROR(__xludf.DUMMYFUNCTION("""COMPUTED_VALUE"""),"AVERY")</f>
        <v>AVERY</v>
      </c>
      <c r="F460" s="2005" t="str">
        <f>IFERROR(__xludf.DUMMYFUNCTION("""COMPUTED_VALUE"""),"C")</f>
        <v>C</v>
      </c>
      <c r="G460" s="2005" t="str">
        <f>IFERROR(__xludf.DUMMYFUNCTION("""COMPUTED_VALUE"""),"AC")</f>
        <v>AC</v>
      </c>
      <c r="H460" s="2005">
        <f>IFERROR(__xludf.DUMMYFUNCTION("""COMPUTED_VALUE"""),11.99)</f>
        <v>11.99</v>
      </c>
      <c r="I460" s="2005">
        <f>IFERROR(__xludf.DUMMYFUNCTION("""COMPUTED_VALUE"""),11.99)</f>
        <v>11.99</v>
      </c>
      <c r="BD460" s="2006"/>
      <c r="LL460" s="2007"/>
      <c r="LM460" s="2007"/>
      <c r="MX460" s="2007"/>
      <c r="ND460" s="2007"/>
    </row>
    <row r="461">
      <c r="A461" s="2005">
        <f>IFERROR(__xludf.DUMMYFUNCTION("""COMPUTED_VALUE"""),902856.0)</f>
        <v>902856</v>
      </c>
      <c r="B461" s="2005">
        <f>IFERROR(__xludf.DUMMYFUNCTION("""COMPUTED_VALUE"""),2402030.0)</f>
        <v>2402030</v>
      </c>
      <c r="C461" s="2005" t="str">
        <f>IFERROR(__xludf.DUMMYFUNCTION("""COMPUTED_VALUE"""),"Pap-Transp")</f>
        <v>Pap-Transp</v>
      </c>
      <c r="D461" s="2005" t="str">
        <f>IFERROR(__xludf.DUMMYFUNCTION("""COMPUTED_VALUE"""),"15 Transparents 90 microns jet d'encre")</f>
        <v>15 Transparents 90 microns jet d'encre</v>
      </c>
      <c r="E461" s="2005" t="str">
        <f>IFERROR(__xludf.DUMMYFUNCTION("""COMPUTED_VALUE"""),"AVERY")</f>
        <v>AVERY</v>
      </c>
      <c r="F461" s="2005" t="str">
        <f>IFERROR(__xludf.DUMMYFUNCTION("""COMPUTED_VALUE"""),"D")</f>
        <v>D</v>
      </c>
      <c r="G461" s="2005" t="str">
        <f>IFERROR(__xludf.DUMMYFUNCTION("""COMPUTED_VALUE"""),"NN")</f>
        <v>NN</v>
      </c>
      <c r="H461" s="2005">
        <f>IFERROR(__xludf.DUMMYFUNCTION("""COMPUTED_VALUE"""),11.99)</f>
        <v>11.99</v>
      </c>
      <c r="I461" s="2005">
        <f>IFERROR(__xludf.DUMMYFUNCTION("""COMPUTED_VALUE"""),11.99)</f>
        <v>11.99</v>
      </c>
      <c r="BD461" s="2006"/>
      <c r="LM461" s="2007"/>
      <c r="MX461" s="2007"/>
      <c r="ND461" s="2007"/>
    </row>
    <row r="462">
      <c r="A462" s="2005">
        <f>IFERROR(__xludf.DUMMYFUNCTION("""COMPUTED_VALUE"""),907450.0)</f>
        <v>907450</v>
      </c>
      <c r="B462" s="2005">
        <f>IFERROR(__xludf.DUMMYFUNCTION("""COMPUTED_VALUE"""),2402015.0)</f>
        <v>2402015</v>
      </c>
      <c r="C462" s="2005" t="str">
        <f>IFERROR(__xludf.DUMMYFUNCTION("""COMPUTED_VALUE"""),"Papier")</f>
        <v>Papier</v>
      </c>
      <c r="D462" s="2005" t="str">
        <f>IFERROR(__xludf.DUMMYFUNCTION("""COMPUTED_VALUE"""),"25 Photos brillantes A4 270g")</f>
        <v>25 Photos brillantes A4 270g</v>
      </c>
      <c r="E462" s="2005" t="str">
        <f>IFERROR(__xludf.DUMMYFUNCTION("""COMPUTED_VALUE"""),"AVERY")</f>
        <v>AVERY</v>
      </c>
      <c r="F462" s="2005" t="str">
        <f>IFERROR(__xludf.DUMMYFUNCTION("""COMPUTED_VALUE"""),"C")</f>
        <v>C</v>
      </c>
      <c r="G462" s="2005" t="str">
        <f>IFERROR(__xludf.DUMMYFUNCTION("""COMPUTED_VALUE"""),"AC")</f>
        <v>AC</v>
      </c>
      <c r="H462" s="2005">
        <f>IFERROR(__xludf.DUMMYFUNCTION("""COMPUTED_VALUE"""),11.99)</f>
        <v>11.99</v>
      </c>
      <c r="I462" s="2005">
        <f>IFERROR(__xludf.DUMMYFUNCTION("""COMPUTED_VALUE"""),11.99)</f>
        <v>11.99</v>
      </c>
      <c r="BD462" s="2006"/>
      <c r="LL462" s="2007"/>
      <c r="LM462" s="2007"/>
      <c r="MX462" s="2007"/>
      <c r="ND462" s="2007"/>
    </row>
    <row r="463">
      <c r="A463" s="2005">
        <f>IFERROR(__xludf.DUMMYFUNCTION("""COMPUTED_VALUE"""),907453.0)</f>
        <v>907453</v>
      </c>
      <c r="B463" s="2005">
        <f>IFERROR(__xludf.DUMMYFUNCTION("""COMPUTED_VALUE"""),2402015.0)</f>
        <v>2402015</v>
      </c>
      <c r="C463" s="2005" t="str">
        <f>IFERROR(__xludf.DUMMYFUNCTION("""COMPUTED_VALUE"""),"Papier")</f>
        <v>Papier</v>
      </c>
      <c r="D463" s="2005" t="str">
        <f>IFERROR(__xludf.DUMMYFUNCTION("""COMPUTED_VALUE"""),"35 Photos brillantes A4 230g")</f>
        <v>35 Photos brillantes A4 230g</v>
      </c>
      <c r="E463" s="2005" t="str">
        <f>IFERROR(__xludf.DUMMYFUNCTION("""COMPUTED_VALUE"""),"AVERY")</f>
        <v>AVERY</v>
      </c>
      <c r="F463" s="2005" t="str">
        <f>IFERROR(__xludf.DUMMYFUNCTION("""COMPUTED_VALUE"""),"C")</f>
        <v>C</v>
      </c>
      <c r="G463" s="2005" t="str">
        <f>IFERROR(__xludf.DUMMYFUNCTION("""COMPUTED_VALUE"""),"AC")</f>
        <v>AC</v>
      </c>
      <c r="H463" s="2005">
        <f>IFERROR(__xludf.DUMMYFUNCTION("""COMPUTED_VALUE"""),11.99)</f>
        <v>11.99</v>
      </c>
      <c r="I463" s="2005">
        <f>IFERROR(__xludf.DUMMYFUNCTION("""COMPUTED_VALUE"""),11.99)</f>
        <v>11.99</v>
      </c>
      <c r="BD463" s="2006"/>
      <c r="LM463" s="2007"/>
    </row>
    <row r="464">
      <c r="A464" s="2005">
        <f>IFERROR(__xludf.DUMMYFUNCTION("""COMPUTED_VALUE"""),907454.0)</f>
        <v>907454</v>
      </c>
      <c r="B464" s="2005">
        <f>IFERROR(__xludf.DUMMYFUNCTION("""COMPUTED_VALUE"""),2402015.0)</f>
        <v>2402015</v>
      </c>
      <c r="C464" s="2005" t="str">
        <f>IFERROR(__xludf.DUMMYFUNCTION("""COMPUTED_VALUE"""),"Papier")</f>
        <v>Papier</v>
      </c>
      <c r="D464" s="2005" t="str">
        <f>IFERROR(__xludf.DUMMYFUNCTION("""COMPUTED_VALUE"""),"40 Photos brillantes A4 180g")</f>
        <v>40 Photos brillantes A4 180g</v>
      </c>
      <c r="E464" s="2005" t="str">
        <f>IFERROR(__xludf.DUMMYFUNCTION("""COMPUTED_VALUE"""),"AVERY")</f>
        <v>AVERY</v>
      </c>
      <c r="F464" s="2005" t="str">
        <f>IFERROR(__xludf.DUMMYFUNCTION("""COMPUTED_VALUE"""),"A")</f>
        <v>A</v>
      </c>
      <c r="G464" s="2005" t="str">
        <f>IFERROR(__xludf.DUMMYFUNCTION("""COMPUTED_VALUE"""),"AC")</f>
        <v>AC</v>
      </c>
      <c r="H464" s="2005">
        <f>IFERROR(__xludf.DUMMYFUNCTION("""COMPUTED_VALUE"""),11.99)</f>
        <v>11.99</v>
      </c>
      <c r="I464" s="2005">
        <f>IFERROR(__xludf.DUMMYFUNCTION("""COMPUTED_VALUE"""),11.99)</f>
        <v>11.99</v>
      </c>
      <c r="BD464" s="2006"/>
      <c r="LL464" s="2007"/>
      <c r="LM464" s="2007"/>
      <c r="MX464" s="2007"/>
      <c r="ND464" s="2007"/>
    </row>
    <row r="465">
      <c r="A465" s="2005">
        <f>IFERROR(__xludf.DUMMYFUNCTION("""COMPUTED_VALUE"""),910977.0)</f>
        <v>910977</v>
      </c>
      <c r="B465" s="2005">
        <f>IFERROR(__xludf.DUMMYFUNCTION("""COMPUTED_VALUE"""),2402030.0)</f>
        <v>2402030</v>
      </c>
      <c r="C465" s="2005" t="str">
        <f>IFERROR(__xludf.DUMMYFUNCTION("""COMPUTED_VALUE"""),"Etiquette")</f>
        <v>Etiquette</v>
      </c>
      <c r="D465" s="2005" t="str">
        <f>IFERROR(__xludf.DUMMYFUNCTION("""COMPUTED_VALUE"""),"72 Etiquettes pour timbres 63.5x33.9mm")</f>
        <v>72 Etiquettes pour timbres 63.5x33.9mm</v>
      </c>
      <c r="E465" s="2005" t="str">
        <f>IFERROR(__xludf.DUMMYFUNCTION("""COMPUTED_VALUE"""),"AVERY")</f>
        <v>AVERY</v>
      </c>
      <c r="F465" s="2005" t="str">
        <f>IFERROR(__xludf.DUMMYFUNCTION("""COMPUTED_VALUE"""),"H")</f>
        <v>H</v>
      </c>
      <c r="G465" s="2005" t="str">
        <f>IFERROR(__xludf.DUMMYFUNCTION("""COMPUTED_VALUE"""),"AC")</f>
        <v>AC</v>
      </c>
      <c r="H465" s="2005">
        <f>IFERROR(__xludf.DUMMYFUNCTION("""COMPUTED_VALUE"""),3.99)</f>
        <v>3.99</v>
      </c>
      <c r="I465" s="2005">
        <f>IFERROR(__xludf.DUMMYFUNCTION("""COMPUTED_VALUE"""),3.99)</f>
        <v>3.99</v>
      </c>
      <c r="BD465" s="2006"/>
      <c r="LL465" s="2007"/>
      <c r="LM465" s="2007"/>
      <c r="MX465" s="2007"/>
      <c r="ND465" s="2007"/>
    </row>
    <row r="466">
      <c r="A466" s="2005">
        <f>IFERROR(__xludf.DUMMYFUNCTION("""COMPUTED_VALUE"""),910985.0)</f>
        <v>910985</v>
      </c>
      <c r="B466" s="2005">
        <f>IFERROR(__xludf.DUMMYFUNCTION("""COMPUTED_VALUE"""),2402020.0)</f>
        <v>2402020</v>
      </c>
      <c r="C466" s="2005" t="str">
        <f>IFERROR(__xludf.DUMMYFUNCTION("""COMPUTED_VALUE"""),"Papier")</f>
        <v>Papier</v>
      </c>
      <c r="D466" s="2005" t="str">
        <f>IFERROR(__xludf.DUMMYFUNCTION("""COMPUTED_VALUE"""),"12 Autocollants 19.96x28.91cm mates")</f>
        <v>12 Autocollants 19.96x28.91cm mates</v>
      </c>
      <c r="E466" s="2005" t="str">
        <f>IFERROR(__xludf.DUMMYFUNCTION("""COMPUTED_VALUE"""),"AVERY")</f>
        <v>AVERY</v>
      </c>
      <c r="F466" s="2005" t="str">
        <f>IFERROR(__xludf.DUMMYFUNCTION("""COMPUTED_VALUE"""),"C")</f>
        <v>C</v>
      </c>
      <c r="G466" s="2005" t="str">
        <f>IFERROR(__xludf.DUMMYFUNCTION("""COMPUTED_VALUE"""),"AC")</f>
        <v>AC</v>
      </c>
      <c r="H466" s="2005">
        <f>IFERROR(__xludf.DUMMYFUNCTION("""COMPUTED_VALUE"""),11.99)</f>
        <v>11.99</v>
      </c>
      <c r="I466" s="2005">
        <f>IFERROR(__xludf.DUMMYFUNCTION("""COMPUTED_VALUE"""),11.99)</f>
        <v>11.99</v>
      </c>
      <c r="BD466" s="2006"/>
      <c r="LL466" s="2007"/>
      <c r="LM466" s="2007"/>
      <c r="MX466" s="2007"/>
      <c r="ND466" s="2007"/>
    </row>
    <row r="467">
      <c r="A467" s="2005">
        <f>IFERROR(__xludf.DUMMYFUNCTION("""COMPUTED_VALUE"""),1000115.0)</f>
        <v>1000115</v>
      </c>
      <c r="B467" s="2005">
        <f>IFERROR(__xludf.DUMMYFUNCTION("""COMPUTED_VALUE"""),2403005.0)</f>
        <v>2403005</v>
      </c>
      <c r="C467" s="2005" t="str">
        <f>IFERROR(__xludf.DUMMYFUNCTION("""COMPUTED_VALUE"""),"Cartouche")</f>
        <v>Cartouche</v>
      </c>
      <c r="D467" s="2005" t="str">
        <f>IFERROR(__xludf.DUMMYFUNCTION("""COMPUTED_VALUE"""),"LC127 XL Noire")</f>
        <v>LC127 XL Noire</v>
      </c>
      <c r="E467" s="2005" t="str">
        <f>IFERROR(__xludf.DUMMYFUNCTION("""COMPUTED_VALUE"""),"BROTHER")</f>
        <v>BROTHER</v>
      </c>
      <c r="F467" s="2005" t="str">
        <f>IFERROR(__xludf.DUMMYFUNCTION("""COMPUTED_VALUE"""),"H")</f>
        <v>H</v>
      </c>
      <c r="G467" s="2005" t="str">
        <f>IFERROR(__xludf.DUMMYFUNCTION("""COMPUTED_VALUE"""),"NN")</f>
        <v>NN</v>
      </c>
      <c r="H467">
        <f>IFERROR(__xludf.DUMMYFUNCTION("""COMPUTED_VALUE"""),29.99)</f>
        <v>29.99</v>
      </c>
      <c r="I467">
        <f>IFERROR(__xludf.DUMMYFUNCTION("""COMPUTED_VALUE"""),29.99)</f>
        <v>29.99</v>
      </c>
      <c r="BD467" s="2006"/>
      <c r="LL467" s="2007"/>
      <c r="LM467" s="2007"/>
      <c r="MX467" s="2007"/>
      <c r="ND467" s="2007"/>
    </row>
    <row r="468">
      <c r="A468" s="2005">
        <f>IFERROR(__xludf.DUMMYFUNCTION("""COMPUTED_VALUE"""),1000174.0)</f>
        <v>1000174</v>
      </c>
      <c r="B468" s="2005">
        <f>IFERROR(__xludf.DUMMYFUNCTION("""COMPUTED_VALUE"""),2403005.0)</f>
        <v>2403005</v>
      </c>
      <c r="C468" s="2005" t="str">
        <f>IFERROR(__xludf.DUMMYFUNCTION("""COMPUTED_VALUE"""),"Cartouche")</f>
        <v>Cartouche</v>
      </c>
      <c r="D468" s="2005" t="str">
        <f>IFERROR(__xludf.DUMMYFUNCTION("""COMPUTED_VALUE"""),"LC125XL Cyan")</f>
        <v>LC125XL Cyan</v>
      </c>
      <c r="E468" s="2005" t="str">
        <f>IFERROR(__xludf.DUMMYFUNCTION("""COMPUTED_VALUE"""),"BROTHER")</f>
        <v>BROTHER</v>
      </c>
      <c r="F468" s="2005" t="str">
        <f>IFERROR(__xludf.DUMMYFUNCTION("""COMPUTED_VALUE"""),"C")</f>
        <v>C</v>
      </c>
      <c r="G468" s="2005" t="str">
        <f>IFERROR(__xludf.DUMMYFUNCTION("""COMPUTED_VALUE"""),"FF")</f>
        <v>FF</v>
      </c>
      <c r="H468" s="2005">
        <f>IFERROR(__xludf.DUMMYFUNCTION("""COMPUTED_VALUE"""),25.99)</f>
        <v>25.99</v>
      </c>
      <c r="I468" s="2005">
        <f>IFERROR(__xludf.DUMMYFUNCTION("""COMPUTED_VALUE"""),25.99)</f>
        <v>25.99</v>
      </c>
      <c r="BD468" s="2006"/>
      <c r="LL468" s="2007"/>
      <c r="LM468" s="2007"/>
      <c r="MX468" s="2007"/>
      <c r="ND468" s="2007"/>
    </row>
    <row r="469">
      <c r="A469" s="2005">
        <f>IFERROR(__xludf.DUMMYFUNCTION("""COMPUTED_VALUE"""),1000175.0)</f>
        <v>1000175</v>
      </c>
      <c r="B469" s="2005">
        <f>IFERROR(__xludf.DUMMYFUNCTION("""COMPUTED_VALUE"""),2403005.0)</f>
        <v>2403005</v>
      </c>
      <c r="C469" s="2005" t="str">
        <f>IFERROR(__xludf.DUMMYFUNCTION("""COMPUTED_VALUE"""),"Cartouche")</f>
        <v>Cartouche</v>
      </c>
      <c r="D469" s="2005" t="str">
        <f>IFERROR(__xludf.DUMMYFUNCTION("""COMPUTED_VALUE"""),"LC125 XL Magenta")</f>
        <v>LC125 XL Magenta</v>
      </c>
      <c r="E469" s="2005" t="str">
        <f>IFERROR(__xludf.DUMMYFUNCTION("""COMPUTED_VALUE"""),"BROTHER")</f>
        <v>BROTHER</v>
      </c>
      <c r="F469" s="2005" t="str">
        <f>IFERROR(__xludf.DUMMYFUNCTION("""COMPUTED_VALUE"""),"D")</f>
        <v>D</v>
      </c>
      <c r="G469" s="2005" t="str">
        <f>IFERROR(__xludf.DUMMYFUNCTION("""COMPUTED_VALUE"""),"FF")</f>
        <v>FF</v>
      </c>
      <c r="H469">
        <f>IFERROR(__xludf.DUMMYFUNCTION("""COMPUTED_VALUE"""),25.99)</f>
        <v>25.99</v>
      </c>
      <c r="I469">
        <f>IFERROR(__xludf.DUMMYFUNCTION("""COMPUTED_VALUE"""),25.99)</f>
        <v>25.99</v>
      </c>
      <c r="BD469" s="2006"/>
      <c r="LL469" s="2007"/>
      <c r="LM469" s="2007"/>
      <c r="MX469" s="2007"/>
      <c r="ND469" s="2007"/>
    </row>
    <row r="470">
      <c r="A470" s="2005">
        <f>IFERROR(__xludf.DUMMYFUNCTION("""COMPUTED_VALUE"""),1000176.0)</f>
        <v>1000176</v>
      </c>
      <c r="B470" s="2005">
        <f>IFERROR(__xludf.DUMMYFUNCTION("""COMPUTED_VALUE"""),2403005.0)</f>
        <v>2403005</v>
      </c>
      <c r="C470" s="2005" t="str">
        <f>IFERROR(__xludf.DUMMYFUNCTION("""COMPUTED_VALUE"""),"Cartouche")</f>
        <v>Cartouche</v>
      </c>
      <c r="D470" s="2005" t="str">
        <f>IFERROR(__xludf.DUMMYFUNCTION("""COMPUTED_VALUE"""),"LC125 XL Jaune")</f>
        <v>LC125 XL Jaune</v>
      </c>
      <c r="E470" s="2005" t="str">
        <f>IFERROR(__xludf.DUMMYFUNCTION("""COMPUTED_VALUE"""),"BROTHER")</f>
        <v>BROTHER</v>
      </c>
      <c r="F470" s="2005" t="str">
        <f>IFERROR(__xludf.DUMMYFUNCTION("""COMPUTED_VALUE"""),"H")</f>
        <v>H</v>
      </c>
      <c r="G470" s="2005" t="str">
        <f>IFERROR(__xludf.DUMMYFUNCTION("""COMPUTED_VALUE"""),"FF")</f>
        <v>FF</v>
      </c>
      <c r="H470" s="2005">
        <f>IFERROR(__xludf.DUMMYFUNCTION("""COMPUTED_VALUE"""),25.99)</f>
        <v>25.99</v>
      </c>
      <c r="I470" s="2005">
        <f>IFERROR(__xludf.DUMMYFUNCTION("""COMPUTED_VALUE"""),25.99)</f>
        <v>25.99</v>
      </c>
      <c r="BD470" s="2006"/>
      <c r="LL470" s="2007"/>
      <c r="LM470" s="2007"/>
      <c r="MX470" s="2007"/>
      <c r="ND470" s="2007"/>
    </row>
    <row r="471">
      <c r="A471" s="2005">
        <f>IFERROR(__xludf.DUMMYFUNCTION("""COMPUTED_VALUE"""),1000190.0)</f>
        <v>1000190</v>
      </c>
      <c r="B471" s="2005">
        <f>IFERROR(__xludf.DUMMYFUNCTION("""COMPUTED_VALUE"""),2403005.0)</f>
        <v>2403005</v>
      </c>
      <c r="C471" s="2005" t="str">
        <f>IFERROR(__xludf.DUMMYFUNCTION("""COMPUTED_VALUE"""),"Pack")</f>
        <v>Pack</v>
      </c>
      <c r="D471" s="2005" t="str">
        <f>IFERROR(__xludf.DUMMYFUNCTION("""COMPUTED_VALUE"""),"LC127XL (N/C/J/M )")</f>
        <v>LC127XL (N/C/J/M )</v>
      </c>
      <c r="E471" s="2005" t="str">
        <f>IFERROR(__xludf.DUMMYFUNCTION("""COMPUTED_VALUE"""),"BROTHER")</f>
        <v>BROTHER</v>
      </c>
      <c r="F471" s="2005" t="str">
        <f>IFERROR(__xludf.DUMMYFUNCTION("""COMPUTED_VALUE"""),"H")</f>
        <v>H</v>
      </c>
      <c r="G471" s="2005" t="str">
        <f>IFERROR(__xludf.DUMMYFUNCTION("""COMPUTED_VALUE"""),"NN")</f>
        <v>NN</v>
      </c>
      <c r="H471" s="2005">
        <f>IFERROR(__xludf.DUMMYFUNCTION("""COMPUTED_VALUE"""),115.99)</f>
        <v>115.99</v>
      </c>
      <c r="I471" s="2005">
        <f>IFERROR(__xludf.DUMMYFUNCTION("""COMPUTED_VALUE"""),115.99)</f>
        <v>115.99</v>
      </c>
      <c r="BD471" s="2006"/>
      <c r="LL471" s="2007"/>
      <c r="LM471" s="2007"/>
      <c r="MX471" s="2007"/>
      <c r="ND471" s="2007"/>
    </row>
    <row r="472">
      <c r="A472" s="2005">
        <f>IFERROR(__xludf.DUMMYFUNCTION("""COMPUTED_VALUE"""),1000407.0)</f>
        <v>1000407</v>
      </c>
      <c r="B472" s="2005">
        <f>IFERROR(__xludf.DUMMYFUNCTION("""COMPUTED_VALUE"""),2502015.0)</f>
        <v>2502015</v>
      </c>
      <c r="C472" s="2005" t="str">
        <f>IFERROR(__xludf.DUMMYFUNCTION("""COMPUTED_VALUE"""),"Clavier+Souris")</f>
        <v>Clavier+Souris</v>
      </c>
      <c r="D472" s="2005" t="str">
        <f>IFERROR(__xludf.DUMMYFUNCTION("""COMPUTED_VALUE"""),"MK270 Wireless Desktop")</f>
        <v>MK270 Wireless Desktop</v>
      </c>
      <c r="E472" s="2005" t="str">
        <f>IFERROR(__xludf.DUMMYFUNCTION("""COMPUTED_VALUE"""),"LOGITECH")</f>
        <v>LOGITECH</v>
      </c>
      <c r="F472" s="2005" t="str">
        <f>IFERROR(__xludf.DUMMYFUNCTION("""COMPUTED_VALUE"""),"A")</f>
        <v>A</v>
      </c>
      <c r="G472" s="2005" t="str">
        <f>IFERROR(__xludf.DUMMYFUNCTION("""COMPUTED_VALUE"""),"AC")</f>
        <v>AC</v>
      </c>
      <c r="H472" s="2005">
        <f>IFERROR(__xludf.DUMMYFUNCTION("""COMPUTED_VALUE"""),44.99)</f>
        <v>44.99</v>
      </c>
      <c r="I472" s="2005">
        <f>IFERROR(__xludf.DUMMYFUNCTION("""COMPUTED_VALUE"""),44.99)</f>
        <v>44.99</v>
      </c>
      <c r="BD472" s="2006"/>
      <c r="LL472" s="2007"/>
      <c r="LM472" s="2007"/>
      <c r="MX472" s="2007"/>
      <c r="ND472" s="2007"/>
    </row>
    <row r="473">
      <c r="A473" s="2005">
        <f>IFERROR(__xludf.DUMMYFUNCTION("""COMPUTED_VALUE"""),1000998.0)</f>
        <v>1000998</v>
      </c>
      <c r="B473" s="2005">
        <f>IFERROR(__xludf.DUMMYFUNCTION("""COMPUTED_VALUE"""),2704515.0)</f>
        <v>2704515</v>
      </c>
      <c r="C473" s="2005" t="str">
        <f>IFERROR(__xludf.DUMMYFUNCTION("""COMPUTED_VALUE"""),"Calc-Scient")</f>
        <v>Calc-Scient</v>
      </c>
      <c r="D473" s="2005" t="str">
        <f>IFERROR(__xludf.DUMMYFUNCTION("""COMPUTED_VALUE"""),"TI-Collège+ solaire")</f>
        <v>TI-Collège+ solaire</v>
      </c>
      <c r="E473" s="2005" t="str">
        <f>IFERROR(__xludf.DUMMYFUNCTION("""COMPUTED_VALUE"""),"TEXAS INSTRUMENTS")</f>
        <v>TEXAS INSTRUMENTS</v>
      </c>
      <c r="F473" s="2005" t="str">
        <f>IFERROR(__xludf.DUMMYFUNCTION("""COMPUTED_VALUE"""),"H")</f>
        <v>H</v>
      </c>
      <c r="G473" s="2005" t="str">
        <f>IFERROR(__xludf.DUMMYFUNCTION("""COMPUTED_VALUE"""),"AC")</f>
        <v>AC</v>
      </c>
      <c r="H473" s="2005">
        <f>IFERROR(__xludf.DUMMYFUNCTION("""COMPUTED_VALUE"""),23.1)</f>
        <v>23.1</v>
      </c>
      <c r="I473" s="2005">
        <f>IFERROR(__xludf.DUMMYFUNCTION("""COMPUTED_VALUE"""),23.1)</f>
        <v>23.1</v>
      </c>
      <c r="BD473" s="2006"/>
      <c r="LL473" s="2008"/>
      <c r="LM473" s="2007"/>
      <c r="MX473" s="2007"/>
      <c r="ND473" s="2007"/>
    </row>
    <row r="474">
      <c r="A474" s="2005">
        <f>IFERROR(__xludf.DUMMYFUNCTION("""COMPUTED_VALUE"""),1001022.0)</f>
        <v>1001022</v>
      </c>
      <c r="B474" s="2005">
        <f>IFERROR(__xludf.DUMMYFUNCTION("""COMPUTED_VALUE"""),2403005.0)</f>
        <v>2403005</v>
      </c>
      <c r="C474" s="2005" t="str">
        <f>IFERROR(__xludf.DUMMYFUNCTION("""COMPUTED_VALUE"""),"Cartouche")</f>
        <v>Cartouche</v>
      </c>
      <c r="D474" s="2005" t="str">
        <f>IFERROR(__xludf.DUMMYFUNCTION("""COMPUTED_VALUE"""),"E18 XL Noir Série Améthyste")</f>
        <v>E18 XL Noir Série Améthyste</v>
      </c>
      <c r="E474" s="2005" t="str">
        <f>IFERROR(__xludf.DUMMYFUNCTION("""COMPUTED_VALUE"""),"ESSENTIELB")</f>
        <v>ESSENTIELB</v>
      </c>
      <c r="F474" s="2005" t="str">
        <f>IFERROR(__xludf.DUMMYFUNCTION("""COMPUTED_VALUE"""),"B")</f>
        <v>B</v>
      </c>
      <c r="G474" s="2005" t="str">
        <f>IFERROR(__xludf.DUMMYFUNCTION("""COMPUTED_VALUE"""),"NN")</f>
        <v>NN</v>
      </c>
      <c r="H474" s="2005">
        <f>IFERROR(__xludf.DUMMYFUNCTION("""COMPUTED_VALUE"""),5.99)</f>
        <v>5.99</v>
      </c>
      <c r="I474" s="2005">
        <f>IFERROR(__xludf.DUMMYFUNCTION("""COMPUTED_VALUE"""),5.99)</f>
        <v>5.99</v>
      </c>
      <c r="BD474" s="2006"/>
      <c r="LL474" s="2008"/>
      <c r="LM474" s="2007"/>
      <c r="MX474" s="2007"/>
      <c r="ND474" s="2007"/>
    </row>
    <row r="475">
      <c r="A475" s="2005">
        <f>IFERROR(__xludf.DUMMYFUNCTION("""COMPUTED_VALUE"""),1001024.0)</f>
        <v>1001024</v>
      </c>
      <c r="B475" s="2005">
        <f>IFERROR(__xludf.DUMMYFUNCTION("""COMPUTED_VALUE"""),2403005.0)</f>
        <v>2403005</v>
      </c>
      <c r="C475" s="2005" t="str">
        <f>IFERROR(__xludf.DUMMYFUNCTION("""COMPUTED_VALUE"""),"Pack")</f>
        <v>Pack</v>
      </c>
      <c r="D475" s="2005" t="str">
        <f>IFERROR(__xludf.DUMMYFUNCTION("""COMPUTED_VALUE"""),"H364 XL 4 couleurs Série pomme")</f>
        <v>H364 XL 4 couleurs Série pomme</v>
      </c>
      <c r="E475" s="2005" t="str">
        <f>IFERROR(__xludf.DUMMYFUNCTION("""COMPUTED_VALUE"""),"ESSENTIELB")</f>
        <v>ESSENTIELB</v>
      </c>
      <c r="F475" s="2005" t="str">
        <f>IFERROR(__xludf.DUMMYFUNCTION("""COMPUTED_VALUE"""),"B")</f>
        <v>B</v>
      </c>
      <c r="G475" s="2005" t="str">
        <f>IFERROR(__xludf.DUMMYFUNCTION("""COMPUTED_VALUE"""),"NN")</f>
        <v>NN</v>
      </c>
      <c r="H475" s="2005">
        <f>IFERROR(__xludf.DUMMYFUNCTION("""COMPUTED_VALUE"""),39.99)</f>
        <v>39.99</v>
      </c>
      <c r="I475" s="2005">
        <f>IFERROR(__xludf.DUMMYFUNCTION("""COMPUTED_VALUE"""),39.99)</f>
        <v>39.99</v>
      </c>
      <c r="BD475" s="2006"/>
      <c r="LL475" s="2007"/>
      <c r="LM475" s="2007"/>
      <c r="MX475" s="2007"/>
      <c r="ND475" s="2007"/>
    </row>
    <row r="476">
      <c r="A476" s="2005">
        <f>IFERROR(__xludf.DUMMYFUNCTION("""COMPUTED_VALUE"""),1001075.0)</f>
        <v>1001075</v>
      </c>
      <c r="B476" s="2005">
        <f>IFERROR(__xludf.DUMMYFUNCTION("""COMPUTED_VALUE"""),2704515.0)</f>
        <v>2704515</v>
      </c>
      <c r="C476" s="2005" t="str">
        <f>IFERROR(__xludf.DUMMYFUNCTION("""COMPUTED_VALUE"""),"Calc.")</f>
        <v>Calc.</v>
      </c>
      <c r="D476" s="2005" t="str">
        <f>IFERROR(__xludf.DUMMYFUNCTION("""COMPUTED_VALUE"""),"FX-CP400+E")</f>
        <v>FX-CP400+E</v>
      </c>
      <c r="E476" s="2005" t="str">
        <f>IFERROR(__xludf.DUMMYFUNCTION("""COMPUTED_VALUE"""),"CASIO")</f>
        <v>CASIO</v>
      </c>
      <c r="F476" s="2005" t="str">
        <f>IFERROR(__xludf.DUMMYFUNCTION("""COMPUTED_VALUE"""),"H")</f>
        <v>H</v>
      </c>
      <c r="G476" s="2005" t="str">
        <f>IFERROR(__xludf.DUMMYFUNCTION("""COMPUTED_VALUE"""),"NN")</f>
        <v>NN</v>
      </c>
      <c r="H476" s="2005">
        <f>IFERROR(__xludf.DUMMYFUNCTION("""COMPUTED_VALUE"""),141.99)</f>
        <v>141.99</v>
      </c>
      <c r="I476" s="2005">
        <f>IFERROR(__xludf.DUMMYFUNCTION("""COMPUTED_VALUE"""),141.99)</f>
        <v>141.99</v>
      </c>
      <c r="BD476" s="2006"/>
      <c r="LL476" s="2007"/>
      <c r="LM476" s="2007"/>
      <c r="MX476" s="2007"/>
      <c r="ND476" s="2007"/>
    </row>
    <row r="477">
      <c r="A477" s="2005">
        <f>IFERROR(__xludf.DUMMYFUNCTION("""COMPUTED_VALUE"""),1001079.0)</f>
        <v>1001079</v>
      </c>
      <c r="B477" s="2005">
        <f>IFERROR(__xludf.DUMMYFUNCTION("""COMPUTED_VALUE"""),1103005.0)</f>
        <v>1103005</v>
      </c>
      <c r="C477" s="2005" t="str">
        <f>IFERROR(__xludf.DUMMYFUNCTION("""COMPUTED_VALUE"""),"Tél.")</f>
        <v>Tél.</v>
      </c>
      <c r="D477" s="2005" t="str">
        <f>IFERROR(__xludf.DUMMYFUNCTION("""COMPUTED_VALUE"""),"E630")</f>
        <v>E630</v>
      </c>
      <c r="E477" s="2005" t="str">
        <f>IFERROR(__xludf.DUMMYFUNCTION("""COMPUTED_VALUE"""),"GIGASET")</f>
        <v>GIGASET</v>
      </c>
      <c r="F477" s="2005" t="str">
        <f>IFERROR(__xludf.DUMMYFUNCTION("""COMPUTED_VALUE"""),"C")</f>
        <v>C</v>
      </c>
      <c r="G477" s="2005" t="str">
        <f>IFERROR(__xludf.DUMMYFUNCTION("""COMPUTED_VALUE"""),"NN")</f>
        <v>NN</v>
      </c>
      <c r="H477" s="2005">
        <f>IFERROR(__xludf.DUMMYFUNCTION("""COMPUTED_VALUE"""),154.99)</f>
        <v>154.99</v>
      </c>
      <c r="I477" s="2005">
        <f>IFERROR(__xludf.DUMMYFUNCTION("""COMPUTED_VALUE"""),154.99)</f>
        <v>154.99</v>
      </c>
      <c r="BD477" s="2006"/>
      <c r="LL477" s="2007"/>
      <c r="LM477" s="2007"/>
      <c r="MX477" s="2008"/>
      <c r="ND477" s="2007"/>
    </row>
    <row r="478">
      <c r="A478" s="2005">
        <f>IFERROR(__xludf.DUMMYFUNCTION("""COMPUTED_VALUE"""),1001882.0)</f>
        <v>1001882</v>
      </c>
      <c r="B478" s="2005">
        <f>IFERROR(__xludf.DUMMYFUNCTION("""COMPUTED_VALUE"""),2403005.0)</f>
        <v>2403005</v>
      </c>
      <c r="C478" s="2005" t="str">
        <f>IFERROR(__xludf.DUMMYFUNCTION("""COMPUTED_VALUE"""),"Cartouche")</f>
        <v>Cartouche</v>
      </c>
      <c r="D478" s="2005" t="str">
        <f>IFERROR(__xludf.DUMMYFUNCTION("""COMPUTED_VALUE"""),"T2711 série Réveil : Noire XL")</f>
        <v>T2711 série Réveil : Noire XL</v>
      </c>
      <c r="E478" s="2005" t="str">
        <f>IFERROR(__xludf.DUMMYFUNCTION("""COMPUTED_VALUE"""),"EPSON")</f>
        <v>EPSON</v>
      </c>
      <c r="F478" s="2005" t="str">
        <f>IFERROR(__xludf.DUMMYFUNCTION("""COMPUTED_VALUE"""),"H")</f>
        <v>H</v>
      </c>
      <c r="G478" s="2005" t="str">
        <f>IFERROR(__xludf.DUMMYFUNCTION("""COMPUTED_VALUE"""),"AC")</f>
        <v>AC</v>
      </c>
      <c r="H478" s="2005">
        <f>IFERROR(__xludf.DUMMYFUNCTION("""COMPUTED_VALUE"""),44.99)</f>
        <v>44.99</v>
      </c>
      <c r="I478" s="2005">
        <f>IFERROR(__xludf.DUMMYFUNCTION("""COMPUTED_VALUE"""),44.99)</f>
        <v>44.99</v>
      </c>
      <c r="BD478" s="2006"/>
      <c r="LL478" s="2007"/>
      <c r="LM478" s="2007"/>
      <c r="MX478" s="2007"/>
      <c r="ND478" s="2007"/>
    </row>
    <row r="479">
      <c r="A479" s="2005">
        <f>IFERROR(__xludf.DUMMYFUNCTION("""COMPUTED_VALUE"""),1001885.0)</f>
        <v>1001885</v>
      </c>
      <c r="B479" s="2005">
        <f>IFERROR(__xludf.DUMMYFUNCTION("""COMPUTED_VALUE"""),2403005.0)</f>
        <v>2403005</v>
      </c>
      <c r="C479" s="2005" t="str">
        <f>IFERROR(__xludf.DUMMYFUNCTION("""COMPUTED_VALUE"""),"Cartouche")</f>
        <v>Cartouche</v>
      </c>
      <c r="D479" s="2005" t="str">
        <f>IFERROR(__xludf.DUMMYFUNCTION("""COMPUTED_VALUE"""),"T2712 Série Réveil : Cyan XL")</f>
        <v>T2712 Série Réveil : Cyan XL</v>
      </c>
      <c r="E479" s="2005" t="str">
        <f>IFERROR(__xludf.DUMMYFUNCTION("""COMPUTED_VALUE"""),"EPSON")</f>
        <v>EPSON</v>
      </c>
      <c r="F479" s="2005" t="str">
        <f>IFERROR(__xludf.DUMMYFUNCTION("""COMPUTED_VALUE"""),"H")</f>
        <v>H</v>
      </c>
      <c r="G479" s="2005" t="str">
        <f>IFERROR(__xludf.DUMMYFUNCTION("""COMPUTED_VALUE"""),"FR")</f>
        <v>FR</v>
      </c>
      <c r="H479" s="2005">
        <f>IFERROR(__xludf.DUMMYFUNCTION("""COMPUTED_VALUE"""),34.99)</f>
        <v>34.99</v>
      </c>
      <c r="I479" s="2005">
        <f>IFERROR(__xludf.DUMMYFUNCTION("""COMPUTED_VALUE"""),34.99)</f>
        <v>34.99</v>
      </c>
      <c r="BD479" s="2006"/>
      <c r="LL479" s="2007"/>
      <c r="LM479" s="2007"/>
      <c r="MX479" s="2008"/>
      <c r="ND479" s="2007"/>
    </row>
    <row r="480">
      <c r="A480" s="2005">
        <f>IFERROR(__xludf.DUMMYFUNCTION("""COMPUTED_VALUE"""),1001887.0)</f>
        <v>1001887</v>
      </c>
      <c r="B480" s="2005">
        <f>IFERROR(__xludf.DUMMYFUNCTION("""COMPUTED_VALUE"""),2403005.0)</f>
        <v>2403005</v>
      </c>
      <c r="C480" s="2005" t="str">
        <f>IFERROR(__xludf.DUMMYFUNCTION("""COMPUTED_VALUE"""),"Cartouche")</f>
        <v>Cartouche</v>
      </c>
      <c r="D480" s="2005" t="str">
        <f>IFERROR(__xludf.DUMMYFUNCTION("""COMPUTED_VALUE"""),"T2714 Série Réveil : Jaune XL")</f>
        <v>T2714 Série Réveil : Jaune XL</v>
      </c>
      <c r="E480" s="2005" t="str">
        <f>IFERROR(__xludf.DUMMYFUNCTION("""COMPUTED_VALUE"""),"EPSON")</f>
        <v>EPSON</v>
      </c>
      <c r="F480" s="2005" t="str">
        <f>IFERROR(__xludf.DUMMYFUNCTION("""COMPUTED_VALUE"""),"H")</f>
        <v>H</v>
      </c>
      <c r="G480" s="2005" t="str">
        <f>IFERROR(__xludf.DUMMYFUNCTION("""COMPUTED_VALUE"""),"NN")</f>
        <v>NN</v>
      </c>
      <c r="H480" s="2005">
        <f>IFERROR(__xludf.DUMMYFUNCTION("""COMPUTED_VALUE"""),34.99)</f>
        <v>34.99</v>
      </c>
      <c r="I480" s="2005">
        <f>IFERROR(__xludf.DUMMYFUNCTION("""COMPUTED_VALUE"""),34.99)</f>
        <v>34.99</v>
      </c>
      <c r="BD480" s="2006"/>
      <c r="LM480" s="2007"/>
    </row>
    <row r="481">
      <c r="A481">
        <f>IFERROR(__xludf.DUMMYFUNCTION("""COMPUTED_VALUE"""),1001890.0)</f>
        <v>1001890</v>
      </c>
      <c r="B481">
        <f>IFERROR(__xludf.DUMMYFUNCTION("""COMPUTED_VALUE"""),2403005.0)</f>
        <v>2403005</v>
      </c>
      <c r="C481" t="str">
        <f>IFERROR(__xludf.DUMMYFUNCTION("""COMPUTED_VALUE"""),"Pack")</f>
        <v>Pack</v>
      </c>
      <c r="D481" t="str">
        <f>IFERROR(__xludf.DUMMYFUNCTION("""COMPUTED_VALUE"""),"T2715 Série Réveil (C/M/J)")</f>
        <v>T2715 Série Réveil (C/M/J)</v>
      </c>
      <c r="E481" t="str">
        <f>IFERROR(__xludf.DUMMYFUNCTION("""COMPUTED_VALUE"""),"EPSON")</f>
        <v>EPSON</v>
      </c>
      <c r="F481" t="str">
        <f>IFERROR(__xludf.DUMMYFUNCTION("""COMPUTED_VALUE"""),"H")</f>
        <v>H</v>
      </c>
      <c r="G481" t="str">
        <f>IFERROR(__xludf.DUMMYFUNCTION("""COMPUTED_VALUE"""),"AC")</f>
        <v>AC</v>
      </c>
      <c r="H481">
        <f>IFERROR(__xludf.DUMMYFUNCTION("""COMPUTED_VALUE"""),103.0)</f>
        <v>103</v>
      </c>
      <c r="I481">
        <f>IFERROR(__xludf.DUMMYFUNCTION("""COMPUTED_VALUE"""),103.0)</f>
        <v>103</v>
      </c>
      <c r="BD481" s="2006"/>
      <c r="LM481" s="2007"/>
    </row>
    <row r="482">
      <c r="A482" s="2005">
        <f>IFERROR(__xludf.DUMMYFUNCTION("""COMPUTED_VALUE"""),1001901.0)</f>
        <v>1001901</v>
      </c>
      <c r="B482" s="2005">
        <f>IFERROR(__xludf.DUMMYFUNCTION("""COMPUTED_VALUE"""),2403005.0)</f>
        <v>2403005</v>
      </c>
      <c r="C482" s="2005" t="str">
        <f>IFERROR(__xludf.DUMMYFUNCTION("""COMPUTED_VALUE"""),"Cartouche")</f>
        <v>Cartouche</v>
      </c>
      <c r="D482" s="2005" t="str">
        <f>IFERROR(__xludf.DUMMYFUNCTION("""COMPUTED_VALUE"""),"T2791 Série Réveil : Noire XXL")</f>
        <v>T2791 Série Réveil : Noire XXL</v>
      </c>
      <c r="E482" s="2005" t="str">
        <f>IFERROR(__xludf.DUMMYFUNCTION("""COMPUTED_VALUE"""),"EPSON")</f>
        <v>EPSON</v>
      </c>
      <c r="F482" s="2005" t="str">
        <f>IFERROR(__xludf.DUMMYFUNCTION("""COMPUTED_VALUE"""),"H")</f>
        <v>H</v>
      </c>
      <c r="G482" s="2005" t="str">
        <f>IFERROR(__xludf.DUMMYFUNCTION("""COMPUTED_VALUE"""),"AC")</f>
        <v>AC</v>
      </c>
      <c r="H482" s="2005">
        <f>IFERROR(__xludf.DUMMYFUNCTION("""COMPUTED_VALUE"""),58.99)</f>
        <v>58.99</v>
      </c>
      <c r="I482" s="2005">
        <f>IFERROR(__xludf.DUMMYFUNCTION("""COMPUTED_VALUE"""),58.99)</f>
        <v>58.99</v>
      </c>
      <c r="BD482" s="2006"/>
      <c r="LL482" s="2007"/>
      <c r="LM482" s="2007"/>
      <c r="MX482" s="2007"/>
      <c r="ND482" s="2007"/>
    </row>
    <row r="483">
      <c r="A483" s="2005">
        <f>IFERROR(__xludf.DUMMYFUNCTION("""COMPUTED_VALUE"""),1002560.0)</f>
        <v>1002560</v>
      </c>
      <c r="B483" s="2005">
        <f>IFERROR(__xludf.DUMMYFUNCTION("""COMPUTED_VALUE"""),2502010.0)</f>
        <v>2502010</v>
      </c>
      <c r="C483" s="2005" t="str">
        <f>IFERROR(__xludf.DUMMYFUNCTION("""COMPUTED_VALUE"""),"Souris")</f>
        <v>Souris</v>
      </c>
      <c r="D483" s="2005" t="str">
        <f>IFERROR(__xludf.DUMMYFUNCTION("""COMPUTED_VALUE"""),"X3000")</f>
        <v>X3000</v>
      </c>
      <c r="E483" s="2005" t="str">
        <f>IFERROR(__xludf.DUMMYFUNCTION("""COMPUTED_VALUE"""),"HP")</f>
        <v>HP</v>
      </c>
      <c r="F483" s="2005" t="str">
        <f>IFERROR(__xludf.DUMMYFUNCTION("""COMPUTED_VALUE"""),"A")</f>
        <v>A</v>
      </c>
      <c r="G483" s="2005" t="str">
        <f>IFERROR(__xludf.DUMMYFUNCTION("""COMPUTED_VALUE"""),"NN")</f>
        <v>NN</v>
      </c>
      <c r="H483">
        <f>IFERROR(__xludf.DUMMYFUNCTION("""COMPUTED_VALUE"""),9.99)</f>
        <v>9.99</v>
      </c>
      <c r="I483" s="2005">
        <f>IFERROR(__xludf.DUMMYFUNCTION("""COMPUTED_VALUE"""),9.99)</f>
        <v>9.99</v>
      </c>
      <c r="BD483" s="2006"/>
      <c r="LL483" s="2007"/>
      <c r="LM483" s="2007"/>
      <c r="MX483" s="2007"/>
      <c r="ND483" s="2007"/>
    </row>
    <row r="484">
      <c r="A484" s="2005">
        <f>IFERROR(__xludf.DUMMYFUNCTION("""COMPUTED_VALUE"""),1004125.0)</f>
        <v>1004125</v>
      </c>
      <c r="B484" s="2005">
        <f>IFERROR(__xludf.DUMMYFUNCTION("""COMPUTED_VALUE"""),2403005.0)</f>
        <v>2403005</v>
      </c>
      <c r="C484" s="2005" t="str">
        <f>IFERROR(__xludf.DUMMYFUNCTION("""COMPUTED_VALUE"""),"Cartouche")</f>
        <v>Cartouche</v>
      </c>
      <c r="D484" s="2005" t="str">
        <f>IFERROR(__xludf.DUMMYFUNCTION("""COMPUTED_VALUE"""),"LC123 Noire")</f>
        <v>LC123 Noire</v>
      </c>
      <c r="E484" s="2005" t="str">
        <f>IFERROR(__xludf.DUMMYFUNCTION("""COMPUTED_VALUE"""),"BROTHER")</f>
        <v>BROTHER</v>
      </c>
      <c r="F484" s="2005" t="str">
        <f>IFERROR(__xludf.DUMMYFUNCTION("""COMPUTED_VALUE"""),"H")</f>
        <v>H</v>
      </c>
      <c r="G484" s="2005" t="str">
        <f>IFERROR(__xludf.DUMMYFUNCTION("""COMPUTED_VALUE"""),"NN")</f>
        <v>NN</v>
      </c>
      <c r="H484" s="2005">
        <f>IFERROR(__xludf.DUMMYFUNCTION("""COMPUTED_VALUE"""),29.99)</f>
        <v>29.99</v>
      </c>
      <c r="I484" s="2005">
        <f>IFERROR(__xludf.DUMMYFUNCTION("""COMPUTED_VALUE"""),29.99)</f>
        <v>29.99</v>
      </c>
      <c r="BD484" s="2006"/>
      <c r="LL484" s="2007"/>
      <c r="LM484" s="2007"/>
      <c r="MX484" s="2007"/>
      <c r="ND484" s="2007"/>
    </row>
    <row r="485">
      <c r="A485" s="2005">
        <f>IFERROR(__xludf.DUMMYFUNCTION("""COMPUTED_VALUE"""),1004127.0)</f>
        <v>1004127</v>
      </c>
      <c r="B485" s="2005">
        <f>IFERROR(__xludf.DUMMYFUNCTION("""COMPUTED_VALUE"""),2403005.0)</f>
        <v>2403005</v>
      </c>
      <c r="C485" s="2005" t="str">
        <f>IFERROR(__xludf.DUMMYFUNCTION("""COMPUTED_VALUE"""),"Cartouche")</f>
        <v>Cartouche</v>
      </c>
      <c r="D485" s="2005" t="str">
        <f>IFERROR(__xludf.DUMMYFUNCTION("""COMPUTED_VALUE"""),"LC123 Magenta")</f>
        <v>LC123 Magenta</v>
      </c>
      <c r="E485" s="2005" t="str">
        <f>IFERROR(__xludf.DUMMYFUNCTION("""COMPUTED_VALUE"""),"BROTHER")</f>
        <v>BROTHER</v>
      </c>
      <c r="F485" s="2005" t="str">
        <f>IFERROR(__xludf.DUMMYFUNCTION("""COMPUTED_VALUE"""),"H")</f>
        <v>H</v>
      </c>
      <c r="G485" s="2005" t="str">
        <f>IFERROR(__xludf.DUMMYFUNCTION("""COMPUTED_VALUE"""),"NN")</f>
        <v>NN</v>
      </c>
      <c r="H485">
        <f>IFERROR(__xludf.DUMMYFUNCTION("""COMPUTED_VALUE"""),18.99)</f>
        <v>18.99</v>
      </c>
      <c r="I485">
        <f>IFERROR(__xludf.DUMMYFUNCTION("""COMPUTED_VALUE"""),18.99)</f>
        <v>18.99</v>
      </c>
      <c r="BD485" s="2006"/>
      <c r="LL485" s="2007"/>
      <c r="LM485" s="2007"/>
      <c r="MX485" s="2007"/>
      <c r="ND485" s="2007"/>
    </row>
    <row r="486">
      <c r="A486" s="2005">
        <f>IFERROR(__xludf.DUMMYFUNCTION("""COMPUTED_VALUE"""),1004129.0)</f>
        <v>1004129</v>
      </c>
      <c r="B486" s="2005">
        <f>IFERROR(__xludf.DUMMYFUNCTION("""COMPUTED_VALUE"""),2403005.0)</f>
        <v>2403005</v>
      </c>
      <c r="C486" s="2005" t="str">
        <f>IFERROR(__xludf.DUMMYFUNCTION("""COMPUTED_VALUE"""),"Pack")</f>
        <v>Pack</v>
      </c>
      <c r="D486" s="2005" t="str">
        <f>IFERROR(__xludf.DUMMYFUNCTION("""COMPUTED_VALUE"""),"LC123 N/C/M/J")</f>
        <v>LC123 N/C/M/J</v>
      </c>
      <c r="E486" s="2005" t="str">
        <f>IFERROR(__xludf.DUMMYFUNCTION("""COMPUTED_VALUE"""),"BROTHER")</f>
        <v>BROTHER</v>
      </c>
      <c r="F486" s="2005" t="str">
        <f>IFERROR(__xludf.DUMMYFUNCTION("""COMPUTED_VALUE"""),"W")</f>
        <v>W</v>
      </c>
      <c r="G486" s="2005" t="str">
        <f>IFERROR(__xludf.DUMMYFUNCTION("""COMPUTED_VALUE"""),"AC")</f>
        <v>AC</v>
      </c>
      <c r="H486" s="2005">
        <f>IFERROR(__xludf.DUMMYFUNCTION("""COMPUTED_VALUE"""),86.05)</f>
        <v>86.05</v>
      </c>
      <c r="I486" s="2005">
        <f>IFERROR(__xludf.DUMMYFUNCTION("""COMPUTED_VALUE"""),64.94)</f>
        <v>64.94</v>
      </c>
      <c r="BD486" s="2006"/>
      <c r="LL486" s="2007"/>
      <c r="LM486" s="2007"/>
      <c r="MX486" s="2007"/>
      <c r="ND486" s="2008"/>
    </row>
    <row r="487">
      <c r="A487" s="2005">
        <f>IFERROR(__xludf.DUMMYFUNCTION("""COMPUTED_VALUE"""),1004130.0)</f>
        <v>1004130</v>
      </c>
      <c r="B487" s="2005">
        <f>IFERROR(__xludf.DUMMYFUNCTION("""COMPUTED_VALUE"""),2403010.0)</f>
        <v>2403010</v>
      </c>
      <c r="C487" s="2005" t="str">
        <f>IFERROR(__xludf.DUMMYFUNCTION("""COMPUTED_VALUE"""),"Toner")</f>
        <v>Toner</v>
      </c>
      <c r="D487" s="2005" t="str">
        <f>IFERROR(__xludf.DUMMYFUNCTION("""COMPUTED_VALUE"""),"TN241 Noir")</f>
        <v>TN241 Noir</v>
      </c>
      <c r="E487" s="2005" t="str">
        <f>IFERROR(__xludf.DUMMYFUNCTION("""COMPUTED_VALUE"""),"BROTHER")</f>
        <v>BROTHER</v>
      </c>
      <c r="F487" s="2005" t="str">
        <f>IFERROR(__xludf.DUMMYFUNCTION("""COMPUTED_VALUE"""),"B")</f>
        <v>B</v>
      </c>
      <c r="G487" s="2005" t="str">
        <f>IFERROR(__xludf.DUMMYFUNCTION("""COMPUTED_VALUE"""),"FF")</f>
        <v>FF</v>
      </c>
      <c r="H487" s="2005">
        <f>IFERROR(__xludf.DUMMYFUNCTION("""COMPUTED_VALUE"""),92.05)</f>
        <v>92.05</v>
      </c>
      <c r="I487" s="2005">
        <f>IFERROR(__xludf.DUMMYFUNCTION("""COMPUTED_VALUE"""),92.05)</f>
        <v>92.05</v>
      </c>
      <c r="BD487" s="2006"/>
      <c r="LL487" s="2007"/>
      <c r="LM487" s="2007"/>
      <c r="MX487" s="2007"/>
      <c r="NB487" s="2007"/>
      <c r="ND487" s="2007"/>
    </row>
    <row r="488">
      <c r="A488" s="2005">
        <f>IFERROR(__xludf.DUMMYFUNCTION("""COMPUTED_VALUE"""),1004151.0)</f>
        <v>1004151</v>
      </c>
      <c r="B488" s="2005">
        <f>IFERROR(__xludf.DUMMYFUNCTION("""COMPUTED_VALUE"""),2403010.0)</f>
        <v>2403010</v>
      </c>
      <c r="C488" s="2005" t="str">
        <f>IFERROR(__xludf.DUMMYFUNCTION("""COMPUTED_VALUE"""),"Toner")</f>
        <v>Toner</v>
      </c>
      <c r="D488" s="2005" t="str">
        <f>IFERROR(__xludf.DUMMYFUNCTION("""COMPUTED_VALUE"""),"TN245 Cyan XL")</f>
        <v>TN245 Cyan XL</v>
      </c>
      <c r="E488" s="2005" t="str">
        <f>IFERROR(__xludf.DUMMYFUNCTION("""COMPUTED_VALUE"""),"BROTHER")</f>
        <v>BROTHER</v>
      </c>
      <c r="F488" s="2005" t="str">
        <f>IFERROR(__xludf.DUMMYFUNCTION("""COMPUTED_VALUE"""),"H")</f>
        <v>H</v>
      </c>
      <c r="G488" s="2005" t="str">
        <f>IFERROR(__xludf.DUMMYFUNCTION("""COMPUTED_VALUE"""),"NN")</f>
        <v>NN</v>
      </c>
      <c r="H488" s="2005">
        <f>IFERROR(__xludf.DUMMYFUNCTION("""COMPUTED_VALUE"""),126.99)</f>
        <v>126.99</v>
      </c>
      <c r="I488" s="2005">
        <f>IFERROR(__xludf.DUMMYFUNCTION("""COMPUTED_VALUE"""),126.99)</f>
        <v>126.99</v>
      </c>
      <c r="BD488" s="2006"/>
      <c r="LL488" s="2008"/>
      <c r="LM488" s="2007"/>
      <c r="MX488" s="2007"/>
      <c r="NB488" s="2007"/>
      <c r="ND488" s="2007"/>
    </row>
    <row r="489">
      <c r="A489" s="2005">
        <f>IFERROR(__xludf.DUMMYFUNCTION("""COMPUTED_VALUE"""),1004152.0)</f>
        <v>1004152</v>
      </c>
      <c r="B489" s="2005">
        <f>IFERROR(__xludf.DUMMYFUNCTION("""COMPUTED_VALUE"""),2403010.0)</f>
        <v>2403010</v>
      </c>
      <c r="C489" s="2005" t="str">
        <f>IFERROR(__xludf.DUMMYFUNCTION("""COMPUTED_VALUE"""),"Toner")</f>
        <v>Toner</v>
      </c>
      <c r="D489" s="2005" t="str">
        <f>IFERROR(__xludf.DUMMYFUNCTION("""COMPUTED_VALUE"""),"TN245 Magenta XL")</f>
        <v>TN245 Magenta XL</v>
      </c>
      <c r="E489" s="2005" t="str">
        <f>IFERROR(__xludf.DUMMYFUNCTION("""COMPUTED_VALUE"""),"BROTHER")</f>
        <v>BROTHER</v>
      </c>
      <c r="F489" s="2005" t="str">
        <f>IFERROR(__xludf.DUMMYFUNCTION("""COMPUTED_VALUE"""),"H")</f>
        <v>H</v>
      </c>
      <c r="G489" s="2005" t="str">
        <f>IFERROR(__xludf.DUMMYFUNCTION("""COMPUTED_VALUE"""),"NN")</f>
        <v>NN</v>
      </c>
      <c r="H489" s="2005">
        <f>IFERROR(__xludf.DUMMYFUNCTION("""COMPUTED_VALUE"""),126.99)</f>
        <v>126.99</v>
      </c>
      <c r="I489" s="2005">
        <f>IFERROR(__xludf.DUMMYFUNCTION("""COMPUTED_VALUE"""),126.99)</f>
        <v>126.99</v>
      </c>
      <c r="BD489" s="2006"/>
      <c r="LM489" s="2007"/>
    </row>
    <row r="490">
      <c r="A490" s="2005">
        <f>IFERROR(__xludf.DUMMYFUNCTION("""COMPUTED_VALUE"""),1004153.0)</f>
        <v>1004153</v>
      </c>
      <c r="B490" s="2005">
        <f>IFERROR(__xludf.DUMMYFUNCTION("""COMPUTED_VALUE"""),2403010.0)</f>
        <v>2403010</v>
      </c>
      <c r="C490" s="2005" t="str">
        <f>IFERROR(__xludf.DUMMYFUNCTION("""COMPUTED_VALUE"""),"Toner")</f>
        <v>Toner</v>
      </c>
      <c r="D490" s="2005" t="str">
        <f>IFERROR(__xludf.DUMMYFUNCTION("""COMPUTED_VALUE"""),"TN245 Jaune XL")</f>
        <v>TN245 Jaune XL</v>
      </c>
      <c r="E490" s="2005" t="str">
        <f>IFERROR(__xludf.DUMMYFUNCTION("""COMPUTED_VALUE"""),"BROTHER")</f>
        <v>BROTHER</v>
      </c>
      <c r="F490" s="2005" t="str">
        <f>IFERROR(__xludf.DUMMYFUNCTION("""COMPUTED_VALUE"""),"H")</f>
        <v>H</v>
      </c>
      <c r="G490" s="2005" t="str">
        <f>IFERROR(__xludf.DUMMYFUNCTION("""COMPUTED_VALUE"""),"NN")</f>
        <v>NN</v>
      </c>
      <c r="H490" s="2005">
        <f>IFERROR(__xludf.DUMMYFUNCTION("""COMPUTED_VALUE"""),126.99)</f>
        <v>126.99</v>
      </c>
      <c r="I490" s="2005">
        <f>IFERROR(__xludf.DUMMYFUNCTION("""COMPUTED_VALUE"""),126.99)</f>
        <v>126.99</v>
      </c>
      <c r="BD490" s="2006"/>
      <c r="LL490" s="2007"/>
      <c r="LM490" s="2007"/>
      <c r="MX490" s="2007"/>
      <c r="ND490" s="2007"/>
    </row>
    <row r="491">
      <c r="A491" s="2005">
        <f>IFERROR(__xludf.DUMMYFUNCTION("""COMPUTED_VALUE"""),1005781.0)</f>
        <v>1005781</v>
      </c>
      <c r="B491" s="2005">
        <f>IFERROR(__xludf.DUMMYFUNCTION("""COMPUTED_VALUE"""),2402015.0)</f>
        <v>2402015</v>
      </c>
      <c r="C491" s="2005" t="str">
        <f>IFERROR(__xludf.DUMMYFUNCTION("""COMPUTED_VALUE"""),"Papier")</f>
        <v>Papier</v>
      </c>
      <c r="D491" s="2005" t="str">
        <f>IFERROR(__xludf.DUMMYFUNCTION("""COMPUTED_VALUE"""),"10x15 - 20 f - 230 g/m²")</f>
        <v>10x15 - 20 f - 230 g/m²</v>
      </c>
      <c r="E491" s="2005" t="str">
        <f>IFERROR(__xludf.DUMMYFUNCTION("""COMPUTED_VALUE"""),"ESSENTIELB")</f>
        <v>ESSENTIELB</v>
      </c>
      <c r="F491" s="2005" t="str">
        <f>IFERROR(__xludf.DUMMYFUNCTION("""COMPUTED_VALUE"""),"A")</f>
        <v>A</v>
      </c>
      <c r="G491" s="2005" t="str">
        <f>IFERROR(__xludf.DUMMYFUNCTION("""COMPUTED_VALUE"""),"NN")</f>
        <v>NN</v>
      </c>
      <c r="H491" s="2005">
        <f>IFERROR(__xludf.DUMMYFUNCTION("""COMPUTED_VALUE"""),3.99)</f>
        <v>3.99</v>
      </c>
      <c r="I491" s="2005">
        <f>IFERROR(__xludf.DUMMYFUNCTION("""COMPUTED_VALUE"""),3.99)</f>
        <v>3.99</v>
      </c>
      <c r="BD491" s="2006"/>
      <c r="LL491" s="2007"/>
      <c r="LM491" s="2007"/>
      <c r="MX491" s="2007"/>
      <c r="ND491" s="2007"/>
    </row>
    <row r="492">
      <c r="A492" s="2005">
        <f>IFERROR(__xludf.DUMMYFUNCTION("""COMPUTED_VALUE"""),1005782.0)</f>
        <v>1005782</v>
      </c>
      <c r="B492" s="2005">
        <f>IFERROR(__xludf.DUMMYFUNCTION("""COMPUTED_VALUE"""),2402015.0)</f>
        <v>2402015</v>
      </c>
      <c r="C492" s="2005" t="str">
        <f>IFERROR(__xludf.DUMMYFUNCTION("""COMPUTED_VALUE"""),"Papier")</f>
        <v>Papier</v>
      </c>
      <c r="D492" s="2005" t="str">
        <f>IFERROR(__xludf.DUMMYFUNCTION("""COMPUTED_VALUE"""),"10x15 - 40 f - 230 g/m²")</f>
        <v>10x15 - 40 f - 230 g/m²</v>
      </c>
      <c r="E492" s="2005" t="str">
        <f>IFERROR(__xludf.DUMMYFUNCTION("""COMPUTED_VALUE"""),"ESSENTIELB")</f>
        <v>ESSENTIELB</v>
      </c>
      <c r="F492" s="2005" t="str">
        <f>IFERROR(__xludf.DUMMYFUNCTION("""COMPUTED_VALUE"""),"A")</f>
        <v>A</v>
      </c>
      <c r="G492" s="2005" t="str">
        <f>IFERROR(__xludf.DUMMYFUNCTION("""COMPUTED_VALUE"""),"AC")</f>
        <v>AC</v>
      </c>
      <c r="H492" s="2005">
        <f>IFERROR(__xludf.DUMMYFUNCTION("""COMPUTED_VALUE"""),6.99)</f>
        <v>6.99</v>
      </c>
      <c r="I492" s="2005">
        <f>IFERROR(__xludf.DUMMYFUNCTION("""COMPUTED_VALUE"""),6.99)</f>
        <v>6.99</v>
      </c>
      <c r="BD492" s="2006"/>
      <c r="LL492" s="2007"/>
      <c r="LM492" s="2007"/>
      <c r="MX492" s="2007"/>
      <c r="ND492" s="2007"/>
    </row>
    <row r="493">
      <c r="A493" s="2005">
        <f>IFERROR(__xludf.DUMMYFUNCTION("""COMPUTED_VALUE"""),1005784.0)</f>
        <v>1005784</v>
      </c>
      <c r="B493" s="2005">
        <f>IFERROR(__xludf.DUMMYFUNCTION("""COMPUTED_VALUE"""),2402015.0)</f>
        <v>2402015</v>
      </c>
      <c r="C493" s="2005" t="str">
        <f>IFERROR(__xludf.DUMMYFUNCTION("""COMPUTED_VALUE"""),"Papier")</f>
        <v>Papier</v>
      </c>
      <c r="D493" s="2005" t="str">
        <f>IFERROR(__xludf.DUMMYFUNCTION("""COMPUTED_VALUE"""),"A4 - 40 f - 230 g")</f>
        <v>A4 - 40 f - 230 g</v>
      </c>
      <c r="E493" s="2005" t="str">
        <f>IFERROR(__xludf.DUMMYFUNCTION("""COMPUTED_VALUE"""),"ESSENTIELB")</f>
        <v>ESSENTIELB</v>
      </c>
      <c r="F493" s="2005" t="str">
        <f>IFERROR(__xludf.DUMMYFUNCTION("""COMPUTED_VALUE"""),"A")</f>
        <v>A</v>
      </c>
      <c r="G493" s="2005" t="str">
        <f>IFERROR(__xludf.DUMMYFUNCTION("""COMPUTED_VALUE"""),"AC")</f>
        <v>AC</v>
      </c>
      <c r="H493" s="2005">
        <f>IFERROR(__xludf.DUMMYFUNCTION("""COMPUTED_VALUE"""),9.99)</f>
        <v>9.99</v>
      </c>
      <c r="I493" s="2005">
        <f>IFERROR(__xludf.DUMMYFUNCTION("""COMPUTED_VALUE"""),9.99)</f>
        <v>9.99</v>
      </c>
      <c r="BD493" s="2006"/>
      <c r="LL493" s="2007"/>
      <c r="LM493" s="2007"/>
      <c r="MX493" s="2008"/>
      <c r="ND493" s="2007"/>
    </row>
    <row r="494">
      <c r="A494" s="2005">
        <f>IFERROR(__xludf.DUMMYFUNCTION("""COMPUTED_VALUE"""),1005836.0)</f>
        <v>1005836</v>
      </c>
      <c r="B494" s="2005">
        <f>IFERROR(__xludf.DUMMYFUNCTION("""COMPUTED_VALUE"""),2403010.0)</f>
        <v>2403010</v>
      </c>
      <c r="C494" s="2005" t="str">
        <f>IFERROR(__xludf.DUMMYFUNCTION("""COMPUTED_VALUE"""),"Toner")</f>
        <v>Toner</v>
      </c>
      <c r="D494" s="2005" t="str">
        <f>IFERROR(__xludf.DUMMYFUNCTION("""COMPUTED_VALUE"""),"TN-3380 XL")</f>
        <v>TN-3380 XL</v>
      </c>
      <c r="E494" s="2005" t="str">
        <f>IFERROR(__xludf.DUMMYFUNCTION("""COMPUTED_VALUE"""),"BROTHER")</f>
        <v>BROTHER</v>
      </c>
      <c r="F494" s="2005" t="str">
        <f>IFERROR(__xludf.DUMMYFUNCTION("""COMPUTED_VALUE"""),"C")</f>
        <v>C</v>
      </c>
      <c r="G494" s="2005" t="str">
        <f>IFERROR(__xludf.DUMMYFUNCTION("""COMPUTED_VALUE"""),"NN")</f>
        <v>NN</v>
      </c>
      <c r="H494">
        <f>IFERROR(__xludf.DUMMYFUNCTION("""COMPUTED_VALUE"""),168.99)</f>
        <v>168.99</v>
      </c>
      <c r="I494">
        <f>IFERROR(__xludf.DUMMYFUNCTION("""COMPUTED_VALUE"""),168.99)</f>
        <v>168.99</v>
      </c>
      <c r="BD494" s="2006"/>
      <c r="LL494" s="2007"/>
      <c r="LM494" s="2007"/>
      <c r="MX494" s="2007"/>
      <c r="ND494" s="2007"/>
    </row>
    <row r="495">
      <c r="A495" s="2005">
        <f>IFERROR(__xludf.DUMMYFUNCTION("""COMPUTED_VALUE"""),1005861.0)</f>
        <v>1005861</v>
      </c>
      <c r="B495" s="2005">
        <f>IFERROR(__xludf.DUMMYFUNCTION("""COMPUTED_VALUE"""),2201099.0)</f>
        <v>2201099</v>
      </c>
      <c r="C495" s="2005" t="str">
        <f>IFERROR(__xludf.DUMMYFUNCTION("""COMPUTED_VALUE"""),"Imprimante Pro.")</f>
        <v>Imprimante Pro.</v>
      </c>
      <c r="D495" s="2005" t="str">
        <f>IFERROR(__xludf.DUMMYFUNCTION("""COMPUTED_VALUE"""),"Matricielle 24 aiguilles LQ-350")</f>
        <v>Matricielle 24 aiguilles LQ-350</v>
      </c>
      <c r="E495" s="2005" t="str">
        <f>IFERROR(__xludf.DUMMYFUNCTION("""COMPUTED_VALUE"""),"EPSON")</f>
        <v>EPSON</v>
      </c>
      <c r="F495" s="2005" t="str">
        <f>IFERROR(__xludf.DUMMYFUNCTION("""COMPUTED_VALUE"""),"W")</f>
        <v>W</v>
      </c>
      <c r="G495" s="2005" t="str">
        <f>IFERROR(__xludf.DUMMYFUNCTION("""COMPUTED_VALUE"""),"NN")</f>
        <v>NN</v>
      </c>
      <c r="H495" s="2005">
        <f>IFERROR(__xludf.DUMMYFUNCTION("""COMPUTED_VALUE"""),219.99)</f>
        <v>219.99</v>
      </c>
      <c r="I495" s="2005">
        <f>IFERROR(__xludf.DUMMYFUNCTION("""COMPUTED_VALUE"""),219.99)</f>
        <v>219.99</v>
      </c>
      <c r="BD495" s="2006"/>
      <c r="LL495" s="2007"/>
      <c r="LM495" s="2007"/>
      <c r="MX495" s="2007"/>
      <c r="ND495" s="2007"/>
    </row>
    <row r="496">
      <c r="A496" s="2005">
        <f>IFERROR(__xludf.DUMMYFUNCTION("""COMPUTED_VALUE"""),1006072.0)</f>
        <v>1006072</v>
      </c>
      <c r="B496" s="2005">
        <f>IFERROR(__xludf.DUMMYFUNCTION("""COMPUTED_VALUE"""),2502015.0)</f>
        <v>2502015</v>
      </c>
      <c r="C496" s="2005" t="str">
        <f>IFERROR(__xludf.DUMMYFUNCTION("""COMPUTED_VALUE"""),"Clavier")</f>
        <v>Clavier</v>
      </c>
      <c r="D496" s="2005" t="str">
        <f>IFERROR(__xludf.DUMMYFUNCTION("""COMPUTED_VALUE"""),"K740 Illuminated filaire")</f>
        <v>K740 Illuminated filaire</v>
      </c>
      <c r="E496" s="2005" t="str">
        <f>IFERROR(__xludf.DUMMYFUNCTION("""COMPUTED_VALUE"""),"LOGITECH")</f>
        <v>LOGITECH</v>
      </c>
      <c r="F496" s="2005" t="str">
        <f>IFERROR(__xludf.DUMMYFUNCTION("""COMPUTED_VALUE"""),"W")</f>
        <v>W</v>
      </c>
      <c r="G496" s="2005" t="str">
        <f>IFERROR(__xludf.DUMMYFUNCTION("""COMPUTED_VALUE"""),"NN")</f>
        <v>NN</v>
      </c>
      <c r="H496">
        <f>IFERROR(__xludf.DUMMYFUNCTION("""COMPUTED_VALUE"""),99.99)</f>
        <v>99.99</v>
      </c>
      <c r="I496">
        <f>IFERROR(__xludf.DUMMYFUNCTION("""COMPUTED_VALUE"""),99.99)</f>
        <v>99.99</v>
      </c>
      <c r="BD496" s="2006"/>
      <c r="LL496" s="2007"/>
      <c r="LM496" s="2007"/>
      <c r="MX496" s="2007"/>
      <c r="ND496" s="2007"/>
    </row>
    <row r="497">
      <c r="A497" s="2005">
        <f>IFERROR(__xludf.DUMMYFUNCTION("""COMPUTED_VALUE"""),1006099.0)</f>
        <v>1006099</v>
      </c>
      <c r="B497" s="2005">
        <f>IFERROR(__xludf.DUMMYFUNCTION("""COMPUTED_VALUE"""),2502015.0)</f>
        <v>2502015</v>
      </c>
      <c r="C497" s="2005" t="str">
        <f>IFERROR(__xludf.DUMMYFUNCTION("""COMPUTED_VALUE"""),"Clavier+Souris")</f>
        <v>Clavier+Souris</v>
      </c>
      <c r="D497" s="2005" t="str">
        <f>IFERROR(__xludf.DUMMYFUNCTION("""COMPUTED_VALUE"""),"CSSF-099")</f>
        <v>CSSF-099</v>
      </c>
      <c r="E497" s="2005" t="str">
        <f>IFERROR(__xludf.DUMMYFUNCTION("""COMPUTED_VALUE"""),"LISTO")</f>
        <v>LISTO</v>
      </c>
      <c r="F497" s="2005" t="str">
        <f>IFERROR(__xludf.DUMMYFUNCTION("""COMPUTED_VALUE"""),"A")</f>
        <v>A</v>
      </c>
      <c r="G497" s="2005" t="str">
        <f>IFERROR(__xludf.DUMMYFUNCTION("""COMPUTED_VALUE"""),"NN")</f>
        <v>NN</v>
      </c>
      <c r="H497" s="2005">
        <f>IFERROR(__xludf.DUMMYFUNCTION("""COMPUTED_VALUE"""),12.99)</f>
        <v>12.99</v>
      </c>
      <c r="I497" s="2005">
        <f>IFERROR(__xludf.DUMMYFUNCTION("""COMPUTED_VALUE"""),12.99)</f>
        <v>12.99</v>
      </c>
      <c r="BD497" s="2006"/>
      <c r="LL497" s="2007"/>
      <c r="LM497" s="2007"/>
      <c r="MX497" s="2007"/>
      <c r="ND497" s="2007"/>
    </row>
    <row r="498">
      <c r="A498" s="2005">
        <f>IFERROR(__xludf.DUMMYFUNCTION("""COMPUTED_VALUE"""),1006839.0)</f>
        <v>1006839</v>
      </c>
      <c r="B498" s="2005">
        <f>IFERROR(__xludf.DUMMYFUNCTION("""COMPUTED_VALUE"""),2403005.0)</f>
        <v>2403005</v>
      </c>
      <c r="C498" s="2005" t="str">
        <f>IFERROR(__xludf.DUMMYFUNCTION("""COMPUTED_VALUE"""),"Cartouche")</f>
        <v>Cartouche</v>
      </c>
      <c r="D498" s="2005" t="str">
        <f>IFERROR(__xludf.DUMMYFUNCTION("""COMPUTED_VALUE"""),"T1811 XL Noire série Paquerette")</f>
        <v>T1811 XL Noire série Paquerette</v>
      </c>
      <c r="E498" s="2005" t="str">
        <f>IFERROR(__xludf.DUMMYFUNCTION("""COMPUTED_VALUE"""),"EPSON")</f>
        <v>EPSON</v>
      </c>
      <c r="F498" s="2005" t="str">
        <f>IFERROR(__xludf.DUMMYFUNCTION("""COMPUTED_VALUE"""),"A")</f>
        <v>A</v>
      </c>
      <c r="G498" s="2005" t="str">
        <f>IFERROR(__xludf.DUMMYFUNCTION("""COMPUTED_VALUE"""),"FF")</f>
        <v>FF</v>
      </c>
      <c r="H498" s="2005">
        <f>IFERROR(__xludf.DUMMYFUNCTION("""COMPUTED_VALUE"""),27.99)</f>
        <v>27.99</v>
      </c>
      <c r="I498" s="2005">
        <f>IFERROR(__xludf.DUMMYFUNCTION("""COMPUTED_VALUE"""),27.99)</f>
        <v>27.99</v>
      </c>
      <c r="BD498" s="2006"/>
      <c r="LL498" s="2007"/>
      <c r="LM498" s="2007"/>
      <c r="MX498" s="2007"/>
      <c r="ND498" s="2007"/>
    </row>
    <row r="499">
      <c r="A499" s="2005">
        <f>IFERROR(__xludf.DUMMYFUNCTION("""COMPUTED_VALUE"""),1006840.0)</f>
        <v>1006840</v>
      </c>
      <c r="B499" s="2005">
        <f>IFERROR(__xludf.DUMMYFUNCTION("""COMPUTED_VALUE"""),2403005.0)</f>
        <v>2403005</v>
      </c>
      <c r="C499" s="2005" t="str">
        <f>IFERROR(__xludf.DUMMYFUNCTION("""COMPUTED_VALUE"""),"Pack")</f>
        <v>Pack</v>
      </c>
      <c r="D499" s="2005" t="str">
        <f>IFERROR(__xludf.DUMMYFUNCTION("""COMPUTED_VALUE"""),"T1816 XL (N/C/M/J) série Paquerette")</f>
        <v>T1816 XL (N/C/M/J) série Paquerette</v>
      </c>
      <c r="E499" s="2005" t="str">
        <f>IFERROR(__xludf.DUMMYFUNCTION("""COMPUTED_VALUE"""),"EPSON")</f>
        <v>EPSON</v>
      </c>
      <c r="F499" s="2005" t="str">
        <f>IFERROR(__xludf.DUMMYFUNCTION("""COMPUTED_VALUE"""),"A")</f>
        <v>A</v>
      </c>
      <c r="G499" s="2005" t="str">
        <f>IFERROR(__xludf.DUMMYFUNCTION("""COMPUTED_VALUE"""),"FF")</f>
        <v>FF</v>
      </c>
      <c r="H499" s="2005">
        <f>IFERROR(__xludf.DUMMYFUNCTION("""COMPUTED_VALUE"""),91.0)</f>
        <v>91</v>
      </c>
      <c r="I499" s="2005">
        <f>IFERROR(__xludf.DUMMYFUNCTION("""COMPUTED_VALUE"""),91.0)</f>
        <v>91</v>
      </c>
      <c r="BD499" s="2006"/>
      <c r="LL499" s="2007"/>
      <c r="LM499" s="2007"/>
      <c r="MX499" s="2007"/>
      <c r="ND499" s="2007"/>
    </row>
    <row r="500">
      <c r="A500" s="2005">
        <f>IFERROR(__xludf.DUMMYFUNCTION("""COMPUTED_VALUE"""),1006873.0)</f>
        <v>1006873</v>
      </c>
      <c r="B500" s="2005">
        <f>IFERROR(__xludf.DUMMYFUNCTION("""COMPUTED_VALUE"""),2403005.0)</f>
        <v>2403005</v>
      </c>
      <c r="C500" s="2005" t="str">
        <f>IFERROR(__xludf.DUMMYFUNCTION("""COMPUTED_VALUE"""),"Cartouche")</f>
        <v>Cartouche</v>
      </c>
      <c r="D500" s="2005" t="str">
        <f>IFERROR(__xludf.DUMMYFUNCTION("""COMPUTED_VALUE"""),"Pack PG40/CL41")</f>
        <v>Pack PG40/CL41</v>
      </c>
      <c r="E500" s="2005" t="str">
        <f>IFERROR(__xludf.DUMMYFUNCTION("""COMPUTED_VALUE"""),"CANON")</f>
        <v>CANON</v>
      </c>
      <c r="F500" s="2005" t="str">
        <f>IFERROR(__xludf.DUMMYFUNCTION("""COMPUTED_VALUE"""),"C")</f>
        <v>C</v>
      </c>
      <c r="G500" s="2005" t="str">
        <f>IFERROR(__xludf.DUMMYFUNCTION("""COMPUTED_VALUE"""),"AC")</f>
        <v>AC</v>
      </c>
      <c r="H500" s="2005">
        <f>IFERROR(__xludf.DUMMYFUNCTION("""COMPUTED_VALUE"""),48.51)</f>
        <v>48.51</v>
      </c>
      <c r="I500" s="2005">
        <f>IFERROR(__xludf.DUMMYFUNCTION("""COMPUTED_VALUE"""),48.51)</f>
        <v>48.51</v>
      </c>
      <c r="BD500" s="2006"/>
      <c r="LL500" s="2007"/>
      <c r="LM500" s="2007"/>
      <c r="MX500" s="2007"/>
      <c r="ND500" s="2007"/>
    </row>
    <row r="501">
      <c r="A501" s="2005">
        <f>IFERROR(__xludf.DUMMYFUNCTION("""COMPUTED_VALUE"""),1006881.0)</f>
        <v>1006881</v>
      </c>
      <c r="B501" s="2005">
        <f>IFERROR(__xludf.DUMMYFUNCTION("""COMPUTED_VALUE"""),2403005.0)</f>
        <v>2403005</v>
      </c>
      <c r="C501" s="2005" t="str">
        <f>IFERROR(__xludf.DUMMYFUNCTION("""COMPUTED_VALUE"""),"Pack")</f>
        <v>Pack</v>
      </c>
      <c r="D501" s="2005" t="str">
        <f>IFERROR(__xludf.DUMMYFUNCTION("""COMPUTED_VALUE"""),"PG-510 N / CL-511 3 Couleurs")</f>
        <v>PG-510 N / CL-511 3 Couleurs</v>
      </c>
      <c r="E501" s="2005" t="str">
        <f>IFERROR(__xludf.DUMMYFUNCTION("""COMPUTED_VALUE"""),"CANON")</f>
        <v>CANON</v>
      </c>
      <c r="F501" s="2005" t="str">
        <f>IFERROR(__xludf.DUMMYFUNCTION("""COMPUTED_VALUE"""),"D")</f>
        <v>D</v>
      </c>
      <c r="G501" s="2005" t="str">
        <f>IFERROR(__xludf.DUMMYFUNCTION("""COMPUTED_VALUE"""),"AC")</f>
        <v>AC</v>
      </c>
      <c r="H501" s="2005">
        <f>IFERROR(__xludf.DUMMYFUNCTION("""COMPUTED_VALUE"""),42.51)</f>
        <v>42.51</v>
      </c>
      <c r="I501" s="2005">
        <f>IFERROR(__xludf.DUMMYFUNCTION("""COMPUTED_VALUE"""),42.51)</f>
        <v>42.51</v>
      </c>
      <c r="BD501" s="2006"/>
      <c r="LL501" s="2008"/>
      <c r="LM501" s="2007"/>
      <c r="MX501" s="2007"/>
      <c r="ND501" s="2007"/>
    </row>
    <row r="502">
      <c r="A502" s="2005">
        <f>IFERROR(__xludf.DUMMYFUNCTION("""COMPUTED_VALUE"""),1006887.0)</f>
        <v>1006887</v>
      </c>
      <c r="B502" s="2005">
        <f>IFERROR(__xludf.DUMMYFUNCTION("""COMPUTED_VALUE"""),2403005.0)</f>
        <v>2403005</v>
      </c>
      <c r="C502" s="2005" t="str">
        <f>IFERROR(__xludf.DUMMYFUNCTION("""COMPUTED_VALUE"""),"Pack")</f>
        <v>Pack</v>
      </c>
      <c r="D502" s="2005" t="str">
        <f>IFERROR(__xludf.DUMMYFUNCTION("""COMPUTED_VALUE"""),"CLI551 N/C/M/J")</f>
        <v>CLI551 N/C/M/J</v>
      </c>
      <c r="E502" s="2005" t="str">
        <f>IFERROR(__xludf.DUMMYFUNCTION("""COMPUTED_VALUE"""),"CANON")</f>
        <v>CANON</v>
      </c>
      <c r="F502" s="2005" t="str">
        <f>IFERROR(__xludf.DUMMYFUNCTION("""COMPUTED_VALUE"""),"B")</f>
        <v>B</v>
      </c>
      <c r="G502" s="2005" t="str">
        <f>IFERROR(__xludf.DUMMYFUNCTION("""COMPUTED_VALUE"""),"AC")</f>
        <v>AC</v>
      </c>
      <c r="H502" s="2005">
        <f>IFERROR(__xludf.DUMMYFUNCTION("""COMPUTED_VALUE"""),57.51)</f>
        <v>57.51</v>
      </c>
      <c r="I502" s="2005">
        <f>IFERROR(__xludf.DUMMYFUNCTION("""COMPUTED_VALUE"""),57.51)</f>
        <v>57.51</v>
      </c>
      <c r="BD502" s="2006"/>
      <c r="LL502" s="2007"/>
      <c r="LM502" s="2007"/>
      <c r="MX502" s="2007"/>
      <c r="ND502" s="2007"/>
    </row>
    <row r="503">
      <c r="A503" s="2005">
        <f>IFERROR(__xludf.DUMMYFUNCTION("""COMPUTED_VALUE"""),1007250.0)</f>
        <v>1007250</v>
      </c>
      <c r="B503" s="2005">
        <f>IFERROR(__xludf.DUMMYFUNCTION("""COMPUTED_VALUE"""),2502010.0)</f>
        <v>2502010</v>
      </c>
      <c r="C503" s="2005" t="str">
        <f>IFERROR(__xludf.DUMMYFUNCTION("""COMPUTED_VALUE"""),"Souris")</f>
        <v>Souris</v>
      </c>
      <c r="D503" s="2005" t="str">
        <f>IFERROR(__xludf.DUMMYFUNCTION("""COMPUTED_VALUE"""),"M187 Black")</f>
        <v>M187 Black</v>
      </c>
      <c r="E503" s="2005" t="str">
        <f>IFERROR(__xludf.DUMMYFUNCTION("""COMPUTED_VALUE"""),"LOGITECH")</f>
        <v>LOGITECH</v>
      </c>
      <c r="F503" s="2005" t="str">
        <f>IFERROR(__xludf.DUMMYFUNCTION("""COMPUTED_VALUE"""),"W")</f>
        <v>W</v>
      </c>
      <c r="G503" s="2005" t="str">
        <f>IFERROR(__xludf.DUMMYFUNCTION("""COMPUTED_VALUE"""),"AC")</f>
        <v>AC</v>
      </c>
      <c r="H503">
        <f>IFERROR(__xludf.DUMMYFUNCTION("""COMPUTED_VALUE"""),21.99)</f>
        <v>21.99</v>
      </c>
      <c r="I503">
        <f>IFERROR(__xludf.DUMMYFUNCTION("""COMPUTED_VALUE"""),19.94)</f>
        <v>19.94</v>
      </c>
      <c r="BD503" s="2006"/>
      <c r="LL503" s="2007"/>
      <c r="LM503" s="2007"/>
      <c r="MX503" s="2007"/>
      <c r="ND503" s="2007"/>
    </row>
    <row r="504">
      <c r="A504" s="2005">
        <f>IFERROR(__xludf.DUMMYFUNCTION("""COMPUTED_VALUE"""),1007298.0)</f>
        <v>1007298</v>
      </c>
      <c r="B504" s="2005">
        <f>IFERROR(__xludf.DUMMYFUNCTION("""COMPUTED_VALUE"""),2403005.0)</f>
        <v>2403005</v>
      </c>
      <c r="C504" s="2005" t="str">
        <f>IFERROR(__xludf.DUMMYFUNCTION("""COMPUTED_VALUE"""),"Cartouche")</f>
        <v>Cartouche</v>
      </c>
      <c r="D504" s="2005" t="str">
        <f>IFERROR(__xludf.DUMMYFUNCTION("""COMPUTED_VALUE"""),"PG 545 Noire")</f>
        <v>PG 545 Noire</v>
      </c>
      <c r="E504" s="2005" t="str">
        <f>IFERROR(__xludf.DUMMYFUNCTION("""COMPUTED_VALUE"""),"CANON")</f>
        <v>CANON</v>
      </c>
      <c r="F504" s="2005" t="str">
        <f>IFERROR(__xludf.DUMMYFUNCTION("""COMPUTED_VALUE"""),"A")</f>
        <v>A</v>
      </c>
      <c r="G504" s="2005" t="str">
        <f>IFERROR(__xludf.DUMMYFUNCTION("""COMPUTED_VALUE"""),"AC")</f>
        <v>AC</v>
      </c>
      <c r="H504" s="2005">
        <f>IFERROR(__xludf.DUMMYFUNCTION("""COMPUTED_VALUE"""),20.5)</f>
        <v>20.5</v>
      </c>
      <c r="I504" s="2005">
        <f>IFERROR(__xludf.DUMMYFUNCTION("""COMPUTED_VALUE"""),20.5)</f>
        <v>20.5</v>
      </c>
      <c r="BD504" s="2006"/>
      <c r="LL504" s="2008"/>
      <c r="LM504" s="2007"/>
      <c r="MX504" s="2007"/>
      <c r="ND504" s="2007"/>
    </row>
    <row r="505">
      <c r="A505" s="2005">
        <f>IFERROR(__xludf.DUMMYFUNCTION("""COMPUTED_VALUE"""),1007299.0)</f>
        <v>1007299</v>
      </c>
      <c r="B505" s="2005">
        <f>IFERROR(__xludf.DUMMYFUNCTION("""COMPUTED_VALUE"""),2403005.0)</f>
        <v>2403005</v>
      </c>
      <c r="C505" s="2005" t="str">
        <f>IFERROR(__xludf.DUMMYFUNCTION("""COMPUTED_VALUE"""),"Cartouche")</f>
        <v>Cartouche</v>
      </c>
      <c r="D505" s="2005" t="str">
        <f>IFERROR(__xludf.DUMMYFUNCTION("""COMPUTED_VALUE"""),"CL 546 couleur")</f>
        <v>CL 546 couleur</v>
      </c>
      <c r="E505" s="2005" t="str">
        <f>IFERROR(__xludf.DUMMYFUNCTION("""COMPUTED_VALUE"""),"CANON")</f>
        <v>CANON</v>
      </c>
      <c r="F505" s="2005" t="str">
        <f>IFERROR(__xludf.DUMMYFUNCTION("""COMPUTED_VALUE"""),"B")</f>
        <v>B</v>
      </c>
      <c r="G505" s="2005" t="str">
        <f>IFERROR(__xludf.DUMMYFUNCTION("""COMPUTED_VALUE"""),"AC")</f>
        <v>AC</v>
      </c>
      <c r="H505" s="2005">
        <f>IFERROR(__xludf.DUMMYFUNCTION("""COMPUTED_VALUE"""),23.99)</f>
        <v>23.99</v>
      </c>
      <c r="I505" s="2005">
        <f>IFERROR(__xludf.DUMMYFUNCTION("""COMPUTED_VALUE"""),23.99)</f>
        <v>23.99</v>
      </c>
      <c r="BD505" s="2006"/>
      <c r="LL505" s="2007"/>
      <c r="LM505" s="2007"/>
      <c r="MX505" s="2007"/>
      <c r="ND505" s="2007"/>
    </row>
    <row r="506">
      <c r="A506" s="2005">
        <f>IFERROR(__xludf.DUMMYFUNCTION("""COMPUTED_VALUE"""),1007300.0)</f>
        <v>1007300</v>
      </c>
      <c r="B506" s="2005">
        <f>IFERROR(__xludf.DUMMYFUNCTION("""COMPUTED_VALUE"""),2403005.0)</f>
        <v>2403005</v>
      </c>
      <c r="C506" s="2005" t="str">
        <f>IFERROR(__xludf.DUMMYFUNCTION("""COMPUTED_VALUE"""),"Cartouche")</f>
        <v>Cartouche</v>
      </c>
      <c r="D506" s="2005" t="str">
        <f>IFERROR(__xludf.DUMMYFUNCTION("""COMPUTED_VALUE"""),"PG545 XL Noire")</f>
        <v>PG545 XL Noire</v>
      </c>
      <c r="E506" s="2005" t="str">
        <f>IFERROR(__xludf.DUMMYFUNCTION("""COMPUTED_VALUE"""),"CANON")</f>
        <v>CANON</v>
      </c>
      <c r="F506" s="2005" t="str">
        <f>IFERROR(__xludf.DUMMYFUNCTION("""COMPUTED_VALUE"""),"B")</f>
        <v>B</v>
      </c>
      <c r="G506" s="2005" t="str">
        <f>IFERROR(__xludf.DUMMYFUNCTION("""COMPUTED_VALUE"""),"AC")</f>
        <v>AC</v>
      </c>
      <c r="H506" s="2005">
        <f>IFERROR(__xludf.DUMMYFUNCTION("""COMPUTED_VALUE"""),28.5)</f>
        <v>28.5</v>
      </c>
      <c r="I506" s="2005">
        <f>IFERROR(__xludf.DUMMYFUNCTION("""COMPUTED_VALUE"""),28.5)</f>
        <v>28.5</v>
      </c>
      <c r="BD506" s="2006"/>
      <c r="LL506" s="2007"/>
      <c r="LM506" s="2007"/>
      <c r="MX506" s="2007"/>
      <c r="ND506" s="2007"/>
    </row>
    <row r="507">
      <c r="A507">
        <f>IFERROR(__xludf.DUMMYFUNCTION("""COMPUTED_VALUE"""),1007312.0)</f>
        <v>1007312</v>
      </c>
      <c r="B507">
        <f>IFERROR(__xludf.DUMMYFUNCTION("""COMPUTED_VALUE"""),2502010.0)</f>
        <v>2502010</v>
      </c>
      <c r="C507" t="str">
        <f>IFERROR(__xludf.DUMMYFUNCTION("""COMPUTED_VALUE"""),"Souris")</f>
        <v>Souris</v>
      </c>
      <c r="D507" t="str">
        <f>IFERROR(__xludf.DUMMYFUNCTION("""COMPUTED_VALUE"""),"M187 White")</f>
        <v>M187 White</v>
      </c>
      <c r="E507" t="str">
        <f>IFERROR(__xludf.DUMMYFUNCTION("""COMPUTED_VALUE"""),"LOGITECH")</f>
        <v>LOGITECH</v>
      </c>
      <c r="F507" t="str">
        <f>IFERROR(__xludf.DUMMYFUNCTION("""COMPUTED_VALUE"""),"W")</f>
        <v>W</v>
      </c>
      <c r="G507" t="str">
        <f>IFERROR(__xludf.DUMMYFUNCTION("""COMPUTED_VALUE"""),"NN")</f>
        <v>NN</v>
      </c>
      <c r="H507">
        <f>IFERROR(__xludf.DUMMYFUNCTION("""COMPUTED_VALUE"""),21.99)</f>
        <v>21.99</v>
      </c>
      <c r="I507">
        <f>IFERROR(__xludf.DUMMYFUNCTION("""COMPUTED_VALUE"""),21.99)</f>
        <v>21.99</v>
      </c>
      <c r="BD507" s="2006"/>
      <c r="LM507" s="2008"/>
    </row>
    <row r="508">
      <c r="A508" s="2005">
        <f>IFERROR(__xludf.DUMMYFUNCTION("""COMPUTED_VALUE"""),1007334.0)</f>
        <v>1007334</v>
      </c>
      <c r="B508" s="2005">
        <f>IFERROR(__xludf.DUMMYFUNCTION("""COMPUTED_VALUE"""),2403005.0)</f>
        <v>2403005</v>
      </c>
      <c r="C508" s="2005" t="str">
        <f>IFERROR(__xludf.DUMMYFUNCTION("""COMPUTED_VALUE"""),"Cartouche")</f>
        <v>Cartouche</v>
      </c>
      <c r="D508" s="2005" t="str">
        <f>IFERROR(__xludf.DUMMYFUNCTION("""COMPUTED_VALUE"""),"CL 546 XL couleurs")</f>
        <v>CL 546 XL couleurs</v>
      </c>
      <c r="E508" s="2005" t="str">
        <f>IFERROR(__xludf.DUMMYFUNCTION("""COMPUTED_VALUE"""),"CANON")</f>
        <v>CANON</v>
      </c>
      <c r="F508" s="2005" t="str">
        <f>IFERROR(__xludf.DUMMYFUNCTION("""COMPUTED_VALUE"""),"B")</f>
        <v>B</v>
      </c>
      <c r="G508" s="2005" t="str">
        <f>IFERROR(__xludf.DUMMYFUNCTION("""COMPUTED_VALUE"""),"AC")</f>
        <v>AC</v>
      </c>
      <c r="H508" s="2005">
        <f>IFERROR(__xludf.DUMMYFUNCTION("""COMPUTED_VALUE"""),28.5)</f>
        <v>28.5</v>
      </c>
      <c r="I508" s="2005">
        <f>IFERROR(__xludf.DUMMYFUNCTION("""COMPUTED_VALUE"""),28.5)</f>
        <v>28.5</v>
      </c>
      <c r="BD508" s="2006"/>
      <c r="LL508" s="2007"/>
      <c r="LM508" s="2008"/>
      <c r="MX508" s="2008"/>
      <c r="ND508" s="2007"/>
    </row>
    <row r="509">
      <c r="A509" s="2005">
        <f>IFERROR(__xludf.DUMMYFUNCTION("""COMPUTED_VALUE"""),1007336.0)</f>
        <v>1007336</v>
      </c>
      <c r="B509" s="2005">
        <f>IFERROR(__xludf.DUMMYFUNCTION("""COMPUTED_VALUE"""),2403005.0)</f>
        <v>2403005</v>
      </c>
      <c r="C509" s="2005" t="str">
        <f>IFERROR(__xludf.DUMMYFUNCTION("""COMPUTED_VALUE"""),"Pack")</f>
        <v>Pack</v>
      </c>
      <c r="D509" s="2005" t="str">
        <f>IFERROR(__xludf.DUMMYFUNCTION("""COMPUTED_VALUE"""),"PG-545 noire + CL-546 couleurs")</f>
        <v>PG-545 noire + CL-546 couleurs</v>
      </c>
      <c r="E509" s="2005" t="str">
        <f>IFERROR(__xludf.DUMMYFUNCTION("""COMPUTED_VALUE"""),"CANON")</f>
        <v>CANON</v>
      </c>
      <c r="F509" s="2005" t="str">
        <f>IFERROR(__xludf.DUMMYFUNCTION("""COMPUTED_VALUE"""),"A")</f>
        <v>A</v>
      </c>
      <c r="G509" s="2005" t="str">
        <f>IFERROR(__xludf.DUMMYFUNCTION("""COMPUTED_VALUE"""),"AC")</f>
        <v>AC</v>
      </c>
      <c r="H509" s="2005">
        <f>IFERROR(__xludf.DUMMYFUNCTION("""COMPUTED_VALUE"""),41.51)</f>
        <v>41.51</v>
      </c>
      <c r="I509" s="2005">
        <f>IFERROR(__xludf.DUMMYFUNCTION("""COMPUTED_VALUE"""),41.51)</f>
        <v>41.51</v>
      </c>
      <c r="BD509" s="2006"/>
      <c r="LL509" s="2007"/>
      <c r="LM509" s="2008"/>
      <c r="MX509" s="2008"/>
      <c r="ND509" s="2008"/>
    </row>
    <row r="510">
      <c r="A510">
        <f>IFERROR(__xludf.DUMMYFUNCTION("""COMPUTED_VALUE"""),1007345.0)</f>
        <v>1007345</v>
      </c>
      <c r="B510">
        <f>IFERROR(__xludf.DUMMYFUNCTION("""COMPUTED_VALUE"""),2502015.0)</f>
        <v>2502015</v>
      </c>
      <c r="C510" t="str">
        <f>IFERROR(__xludf.DUMMYFUNCTION("""COMPUTED_VALUE"""),"Clavier")</f>
        <v>Clavier</v>
      </c>
      <c r="D510" t="str">
        <f>IFERROR(__xludf.DUMMYFUNCTION("""COMPUTED_VALUE"""),"K270")</f>
        <v>K270</v>
      </c>
      <c r="E510" t="str">
        <f>IFERROR(__xludf.DUMMYFUNCTION("""COMPUTED_VALUE"""),"LOGITECH")</f>
        <v>LOGITECH</v>
      </c>
      <c r="F510" t="str">
        <f>IFERROR(__xludf.DUMMYFUNCTION("""COMPUTED_VALUE"""),"W")</f>
        <v>W</v>
      </c>
      <c r="G510" t="str">
        <f>IFERROR(__xludf.DUMMYFUNCTION("""COMPUTED_VALUE"""),"AC")</f>
        <v>AC</v>
      </c>
      <c r="H510">
        <f>IFERROR(__xludf.DUMMYFUNCTION("""COMPUTED_VALUE"""),39.99)</f>
        <v>39.99</v>
      </c>
      <c r="I510">
        <f>IFERROR(__xludf.DUMMYFUNCTION("""COMPUTED_VALUE"""),29.99)</f>
        <v>29.99</v>
      </c>
      <c r="BD510" s="2006"/>
      <c r="LL510" s="2007"/>
      <c r="LM510" s="2008"/>
      <c r="MX510" s="2007"/>
      <c r="ND510" s="2007"/>
    </row>
    <row r="511">
      <c r="A511" s="2005">
        <f>IFERROR(__xludf.DUMMYFUNCTION("""COMPUTED_VALUE"""),1008336.0)</f>
        <v>1008336</v>
      </c>
      <c r="B511" s="2005">
        <f>IFERROR(__xludf.DUMMYFUNCTION("""COMPUTED_VALUE"""),2403010.0)</f>
        <v>2403010</v>
      </c>
      <c r="C511" s="2005" t="str">
        <f>IFERROR(__xludf.DUMMYFUNCTION("""COMPUTED_VALUE"""),"Toner")</f>
        <v>Toner</v>
      </c>
      <c r="D511" s="2005" t="str">
        <f>IFERROR(__xludf.DUMMYFUNCTION("""COMPUTED_VALUE"""),"MLT-D111S Noir")</f>
        <v>MLT-D111S Noir</v>
      </c>
      <c r="E511" s="2005" t="str">
        <f>IFERROR(__xludf.DUMMYFUNCTION("""COMPUTED_VALUE"""),"SAMSUNG")</f>
        <v>SAMSUNG</v>
      </c>
      <c r="F511" s="2005" t="str">
        <f>IFERROR(__xludf.DUMMYFUNCTION("""COMPUTED_VALUE"""),"B")</f>
        <v>B</v>
      </c>
      <c r="G511" s="2005" t="str">
        <f>IFERROR(__xludf.DUMMYFUNCTION("""COMPUTED_VALUE"""),"AC")</f>
        <v>AC</v>
      </c>
      <c r="H511" s="2005">
        <f>IFERROR(__xludf.DUMMYFUNCTION("""COMPUTED_VALUE"""),81.99)</f>
        <v>81.99</v>
      </c>
      <c r="I511" s="2005">
        <f>IFERROR(__xludf.DUMMYFUNCTION("""COMPUTED_VALUE"""),81.99)</f>
        <v>81.99</v>
      </c>
      <c r="BD511" s="2006"/>
      <c r="LL511" s="2007"/>
      <c r="LM511" s="2008"/>
      <c r="MX511" s="2008"/>
      <c r="ND511" s="2008"/>
    </row>
    <row r="512">
      <c r="A512" s="2005">
        <f>IFERROR(__xludf.DUMMYFUNCTION("""COMPUTED_VALUE"""),1009809.0)</f>
        <v>1009809</v>
      </c>
      <c r="B512" s="2005">
        <f>IFERROR(__xludf.DUMMYFUNCTION("""COMPUTED_VALUE"""),2403005.0)</f>
        <v>2403005</v>
      </c>
      <c r="C512" s="2005" t="str">
        <f>IFERROR(__xludf.DUMMYFUNCTION("""COMPUTED_VALUE"""),"Cartouche")</f>
        <v>Cartouche</v>
      </c>
      <c r="D512" s="2005" t="str">
        <f>IFERROR(__xludf.DUMMYFUNCTION("""COMPUTED_VALUE"""),"CLI-42 Noire")</f>
        <v>CLI-42 Noire</v>
      </c>
      <c r="E512" s="2005" t="str">
        <f>IFERROR(__xludf.DUMMYFUNCTION("""COMPUTED_VALUE"""),"CANON")</f>
        <v>CANON</v>
      </c>
      <c r="F512" s="2005" t="str">
        <f>IFERROR(__xludf.DUMMYFUNCTION("""COMPUTED_VALUE"""),"W")</f>
        <v>W</v>
      </c>
      <c r="G512" s="2005" t="str">
        <f>IFERROR(__xludf.DUMMYFUNCTION("""COMPUTED_VALUE"""),"NN")</f>
        <v>NN</v>
      </c>
      <c r="H512" s="2005">
        <f>IFERROR(__xludf.DUMMYFUNCTION("""COMPUTED_VALUE"""),16.95)</f>
        <v>16.95</v>
      </c>
      <c r="I512" s="2005">
        <f>IFERROR(__xludf.DUMMYFUNCTION("""COMPUTED_VALUE"""),16.95)</f>
        <v>16.95</v>
      </c>
      <c r="BD512" s="2006"/>
      <c r="LL512" s="2007"/>
      <c r="LM512" s="2008"/>
      <c r="MX512" s="2008"/>
      <c r="ND512" s="2008"/>
    </row>
    <row r="513">
      <c r="A513" s="2005">
        <f>IFERROR(__xludf.DUMMYFUNCTION("""COMPUTED_VALUE"""),1009810.0)</f>
        <v>1009810</v>
      </c>
      <c r="B513" s="2005">
        <f>IFERROR(__xludf.DUMMYFUNCTION("""COMPUTED_VALUE"""),2403005.0)</f>
        <v>2403005</v>
      </c>
      <c r="C513" s="2005" t="str">
        <f>IFERROR(__xludf.DUMMYFUNCTION("""COMPUTED_VALUE"""),"Cartouche")</f>
        <v>Cartouche</v>
      </c>
      <c r="D513" s="2005" t="str">
        <f>IFERROR(__xludf.DUMMYFUNCTION("""COMPUTED_VALUE"""),"Gris CLI-42GY")</f>
        <v>Gris CLI-42GY</v>
      </c>
      <c r="E513" s="2005" t="str">
        <f>IFERROR(__xludf.DUMMYFUNCTION("""COMPUTED_VALUE"""),"CANON")</f>
        <v>CANON</v>
      </c>
      <c r="F513" s="2005" t="str">
        <f>IFERROR(__xludf.DUMMYFUNCTION("""COMPUTED_VALUE"""),"W")</f>
        <v>W</v>
      </c>
      <c r="G513" s="2005" t="str">
        <f>IFERROR(__xludf.DUMMYFUNCTION("""COMPUTED_VALUE"""),"FR")</f>
        <v>FR</v>
      </c>
      <c r="H513" s="2005">
        <f>IFERROR(__xludf.DUMMYFUNCTION("""COMPUTED_VALUE"""),16.98)</f>
        <v>16.98</v>
      </c>
      <c r="I513" s="2005">
        <f>IFERROR(__xludf.DUMMYFUNCTION("""COMPUTED_VALUE"""),16.98)</f>
        <v>16.98</v>
      </c>
      <c r="BD513" s="2006"/>
      <c r="LL513" s="2007"/>
      <c r="LM513" s="2007"/>
    </row>
    <row r="514">
      <c r="A514" s="2005">
        <f>IFERROR(__xludf.DUMMYFUNCTION("""COMPUTED_VALUE"""),1009881.0)</f>
        <v>1009881</v>
      </c>
      <c r="B514" s="2005">
        <f>IFERROR(__xludf.DUMMYFUNCTION("""COMPUTED_VALUE"""),2403005.0)</f>
        <v>2403005</v>
      </c>
      <c r="C514" s="2005" t="str">
        <f>IFERROR(__xludf.DUMMYFUNCTION("""COMPUTED_VALUE"""),"Cartouche")</f>
        <v>Cartouche</v>
      </c>
      <c r="D514" s="2005" t="str">
        <f>IFERROR(__xludf.DUMMYFUNCTION("""COMPUTED_VALUE"""),"CLI-42LGY Gris Clair")</f>
        <v>CLI-42LGY Gris Clair</v>
      </c>
      <c r="E514" s="2005" t="str">
        <f>IFERROR(__xludf.DUMMYFUNCTION("""COMPUTED_VALUE"""),"CANON")</f>
        <v>CANON</v>
      </c>
      <c r="F514" s="2005" t="str">
        <f>IFERROR(__xludf.DUMMYFUNCTION("""COMPUTED_VALUE"""),"H")</f>
        <v>H</v>
      </c>
      <c r="G514" s="2005" t="str">
        <f>IFERROR(__xludf.DUMMYFUNCTION("""COMPUTED_VALUE"""),"FR")</f>
        <v>FR</v>
      </c>
      <c r="H514" s="2005">
        <f>IFERROR(__xludf.DUMMYFUNCTION("""COMPUTED_VALUE"""),16.98)</f>
        <v>16.98</v>
      </c>
      <c r="I514" s="2005">
        <f>IFERROR(__xludf.DUMMYFUNCTION("""COMPUTED_VALUE"""),16.98)</f>
        <v>16.98</v>
      </c>
      <c r="BD514" s="2006"/>
      <c r="LM514" s="2007"/>
    </row>
    <row r="515">
      <c r="A515" s="2005">
        <f>IFERROR(__xludf.DUMMYFUNCTION("""COMPUTED_VALUE"""),1009882.0)</f>
        <v>1009882</v>
      </c>
      <c r="B515" s="2005">
        <f>IFERROR(__xludf.DUMMYFUNCTION("""COMPUTED_VALUE"""),2403005.0)</f>
        <v>2403005</v>
      </c>
      <c r="C515" s="2005" t="str">
        <f>IFERROR(__xludf.DUMMYFUNCTION("""COMPUTED_VALUE"""),"Cartouche")</f>
        <v>Cartouche</v>
      </c>
      <c r="D515" s="2005" t="str">
        <f>IFERROR(__xludf.DUMMYFUNCTION("""COMPUTED_VALUE"""),"Cyan CLI-42C")</f>
        <v>Cyan CLI-42C</v>
      </c>
      <c r="E515" s="2005" t="str">
        <f>IFERROR(__xludf.DUMMYFUNCTION("""COMPUTED_VALUE"""),"CANON")</f>
        <v>CANON</v>
      </c>
      <c r="F515" s="2005" t="str">
        <f>IFERROR(__xludf.DUMMYFUNCTION("""COMPUTED_VALUE"""),"W")</f>
        <v>W</v>
      </c>
      <c r="G515" s="2005" t="str">
        <f>IFERROR(__xludf.DUMMYFUNCTION("""COMPUTED_VALUE"""),"FR")</f>
        <v>FR</v>
      </c>
      <c r="H515">
        <f>IFERROR(__xludf.DUMMYFUNCTION("""COMPUTED_VALUE"""),16.99)</f>
        <v>16.99</v>
      </c>
      <c r="I515">
        <f>IFERROR(__xludf.DUMMYFUNCTION("""COMPUTED_VALUE"""),16.99)</f>
        <v>16.99</v>
      </c>
      <c r="BD515" s="2006"/>
      <c r="LM515" s="2007"/>
    </row>
    <row r="516">
      <c r="A516" s="2005">
        <f>IFERROR(__xludf.DUMMYFUNCTION("""COMPUTED_VALUE"""),1009883.0)</f>
        <v>1009883</v>
      </c>
      <c r="B516" s="2005">
        <f>IFERROR(__xludf.DUMMYFUNCTION("""COMPUTED_VALUE"""),2403005.0)</f>
        <v>2403005</v>
      </c>
      <c r="C516" s="2005" t="str">
        <f>IFERROR(__xludf.DUMMYFUNCTION("""COMPUTED_VALUE"""),"Cartouche")</f>
        <v>Cartouche</v>
      </c>
      <c r="D516" s="2005" t="str">
        <f>IFERROR(__xludf.DUMMYFUNCTION("""COMPUTED_VALUE"""),"Magenta CLI-42M")</f>
        <v>Magenta CLI-42M</v>
      </c>
      <c r="E516" s="2005" t="str">
        <f>IFERROR(__xludf.DUMMYFUNCTION("""COMPUTED_VALUE"""),"CANON")</f>
        <v>CANON</v>
      </c>
      <c r="F516" s="2005" t="str">
        <f>IFERROR(__xludf.DUMMYFUNCTION("""COMPUTED_VALUE"""),"W")</f>
        <v>W</v>
      </c>
      <c r="G516" s="2005" t="str">
        <f>IFERROR(__xludf.DUMMYFUNCTION("""COMPUTED_VALUE"""),"FR")</f>
        <v>FR</v>
      </c>
      <c r="H516" s="2005">
        <f>IFERROR(__xludf.DUMMYFUNCTION("""COMPUTED_VALUE"""),16.95)</f>
        <v>16.95</v>
      </c>
      <c r="I516" s="2005">
        <f>IFERROR(__xludf.DUMMYFUNCTION("""COMPUTED_VALUE"""),16.95)</f>
        <v>16.95</v>
      </c>
      <c r="BD516" s="2006"/>
      <c r="LM516" s="2007"/>
    </row>
    <row r="517">
      <c r="A517" s="2005">
        <f>IFERROR(__xludf.DUMMYFUNCTION("""COMPUTED_VALUE"""),1009886.0)</f>
        <v>1009886</v>
      </c>
      <c r="B517" s="2005">
        <f>IFERROR(__xludf.DUMMYFUNCTION("""COMPUTED_VALUE"""),2403005.0)</f>
        <v>2403005</v>
      </c>
      <c r="C517" s="2005" t="str">
        <f>IFERROR(__xludf.DUMMYFUNCTION("""COMPUTED_VALUE"""),"Cartouche")</f>
        <v>Cartouche</v>
      </c>
      <c r="D517" s="2005" t="str">
        <f>IFERROR(__xludf.DUMMYFUNCTION("""COMPUTED_VALUE"""),"Magenta Photo CLI-42PM")</f>
        <v>Magenta Photo CLI-42PM</v>
      </c>
      <c r="E517" s="2005" t="str">
        <f>IFERROR(__xludf.DUMMYFUNCTION("""COMPUTED_VALUE"""),"CANON")</f>
        <v>CANON</v>
      </c>
      <c r="F517" s="2005" t="str">
        <f>IFERROR(__xludf.DUMMYFUNCTION("""COMPUTED_VALUE"""),"W")</f>
        <v>W</v>
      </c>
      <c r="G517" s="2005" t="str">
        <f>IFERROR(__xludf.DUMMYFUNCTION("""COMPUTED_VALUE"""),"FR")</f>
        <v>FR</v>
      </c>
      <c r="H517" s="2005">
        <f>IFERROR(__xludf.DUMMYFUNCTION("""COMPUTED_VALUE"""),16.99)</f>
        <v>16.99</v>
      </c>
      <c r="I517" s="2005">
        <f>IFERROR(__xludf.DUMMYFUNCTION("""COMPUTED_VALUE"""),16.99)</f>
        <v>16.99</v>
      </c>
      <c r="BD517" s="2006"/>
      <c r="LM517" s="2007"/>
    </row>
    <row r="518">
      <c r="A518" s="2005">
        <f>IFERROR(__xludf.DUMMYFUNCTION("""COMPUTED_VALUE"""),1009887.0)</f>
        <v>1009887</v>
      </c>
      <c r="B518" s="2005">
        <f>IFERROR(__xludf.DUMMYFUNCTION("""COMPUTED_VALUE"""),2403005.0)</f>
        <v>2403005</v>
      </c>
      <c r="C518" s="2005" t="str">
        <f>IFERROR(__xludf.DUMMYFUNCTION("""COMPUTED_VALUE"""),"Pack")</f>
        <v>Pack</v>
      </c>
      <c r="D518" s="2005" t="str">
        <f>IFERROR(__xludf.DUMMYFUNCTION("""COMPUTED_VALUE"""),"8 cartouches CLI-42")</f>
        <v>8 cartouches CLI-42</v>
      </c>
      <c r="E518" s="2005" t="str">
        <f>IFERROR(__xludf.DUMMYFUNCTION("""COMPUTED_VALUE"""),"CANON")</f>
        <v>CANON</v>
      </c>
      <c r="F518" s="2005" t="str">
        <f>IFERROR(__xludf.DUMMYFUNCTION("""COMPUTED_VALUE"""),"W")</f>
        <v>W</v>
      </c>
      <c r="G518" s="2005" t="str">
        <f>IFERROR(__xludf.DUMMYFUNCTION("""COMPUTED_VALUE"""),"AC")</f>
        <v>AC</v>
      </c>
      <c r="H518" s="2005">
        <f>IFERROR(__xludf.DUMMYFUNCTION("""COMPUTED_VALUE"""),119.0)</f>
        <v>119</v>
      </c>
      <c r="I518" s="2005">
        <f>IFERROR(__xludf.DUMMYFUNCTION("""COMPUTED_VALUE"""),104.9)</f>
        <v>104.9</v>
      </c>
      <c r="BD518" s="2006"/>
      <c r="LM518" s="2007"/>
    </row>
    <row r="519">
      <c r="A519" s="2005">
        <f>IFERROR(__xludf.DUMMYFUNCTION("""COMPUTED_VALUE"""),1009933.0)</f>
        <v>1009933</v>
      </c>
      <c r="B519" s="2005">
        <f>IFERROR(__xludf.DUMMYFUNCTION("""COMPUTED_VALUE"""),2502015.0)</f>
        <v>2502015</v>
      </c>
      <c r="C519" s="2005" t="str">
        <f>IFERROR(__xludf.DUMMYFUNCTION("""COMPUTED_VALUE"""),"Clavier")</f>
        <v>Clavier</v>
      </c>
      <c r="D519" s="2005" t="str">
        <f>IFERROR(__xludf.DUMMYFUNCTION("""COMPUTED_VALUE"""),"Touch Cover 2 Black pour surface")</f>
        <v>Touch Cover 2 Black pour surface</v>
      </c>
      <c r="E519" s="2005" t="str">
        <f>IFERROR(__xludf.DUMMYFUNCTION("""COMPUTED_VALUE"""),"MICROSOFT")</f>
        <v>MICROSOFT</v>
      </c>
      <c r="F519" s="2005" t="str">
        <f>IFERROR(__xludf.DUMMYFUNCTION("""COMPUTED_VALUE"""),"B")</f>
        <v>B</v>
      </c>
      <c r="G519" s="2005" t="str">
        <f>IFERROR(__xludf.DUMMYFUNCTION("""COMPUTED_VALUE"""),"NN")</f>
        <v>NN</v>
      </c>
      <c r="H519" s="2005">
        <f>IFERROR(__xludf.DUMMYFUNCTION("""COMPUTED_VALUE"""),79.99)</f>
        <v>79.99</v>
      </c>
      <c r="I519" s="2005">
        <f>IFERROR(__xludf.DUMMYFUNCTION("""COMPUTED_VALUE"""),79.99)</f>
        <v>79.99</v>
      </c>
      <c r="BD519" s="2006"/>
      <c r="LM519" s="2007"/>
    </row>
    <row r="520">
      <c r="A520" s="2005">
        <f>IFERROR(__xludf.DUMMYFUNCTION("""COMPUTED_VALUE"""),1010448.0)</f>
        <v>1010448</v>
      </c>
      <c r="B520" s="2005">
        <f>IFERROR(__xludf.DUMMYFUNCTION("""COMPUTED_VALUE"""),2502010.0)</f>
        <v>2502010</v>
      </c>
      <c r="C520" s="2005" t="str">
        <f>IFERROR(__xludf.DUMMYFUNCTION("""COMPUTED_VALUE"""),"Souris")</f>
        <v>Souris</v>
      </c>
      <c r="D520" s="2005" t="str">
        <f>IFERROR(__xludf.DUMMYFUNCTION("""COMPUTED_VALUE"""),"M560 Black")</f>
        <v>M560 Black</v>
      </c>
      <c r="E520" s="2005" t="str">
        <f>IFERROR(__xludf.DUMMYFUNCTION("""COMPUTED_VALUE"""),"LOGITECH")</f>
        <v>LOGITECH</v>
      </c>
      <c r="F520" s="2005" t="str">
        <f>IFERROR(__xludf.DUMMYFUNCTION("""COMPUTED_VALUE"""),"A")</f>
        <v>A</v>
      </c>
      <c r="G520" s="2005" t="str">
        <f>IFERROR(__xludf.DUMMYFUNCTION("""COMPUTED_VALUE"""),"NN")</f>
        <v>NN</v>
      </c>
      <c r="H520" s="2005">
        <f>IFERROR(__xludf.DUMMYFUNCTION("""COMPUTED_VALUE"""),34.99)</f>
        <v>34.99</v>
      </c>
      <c r="I520" s="2005">
        <f>IFERROR(__xludf.DUMMYFUNCTION("""COMPUTED_VALUE"""),34.99)</f>
        <v>34.99</v>
      </c>
      <c r="BD520" s="2006"/>
      <c r="LL520" s="2007"/>
      <c r="LM520" s="2007"/>
      <c r="MX520" s="2007"/>
      <c r="ND520" s="2007"/>
    </row>
    <row r="521">
      <c r="A521" s="2005">
        <f>IFERROR(__xludf.DUMMYFUNCTION("""COMPUTED_VALUE"""),1010463.0)</f>
        <v>1010463</v>
      </c>
      <c r="B521" s="2005">
        <f>IFERROR(__xludf.DUMMYFUNCTION("""COMPUTED_VALUE"""),2503005.0)</f>
        <v>2503005</v>
      </c>
      <c r="C521" s="2005" t="str">
        <f>IFERROR(__xludf.DUMMYFUNCTION("""COMPUTED_VALUE"""),"Enceinte")</f>
        <v>Enceinte</v>
      </c>
      <c r="D521" s="2005" t="str">
        <f>IFERROR(__xludf.DUMMYFUNCTION("""COMPUTED_VALUE"""),"Z150 Black 2.0")</f>
        <v>Z150 Black 2.0</v>
      </c>
      <c r="E521" s="2005" t="str">
        <f>IFERROR(__xludf.DUMMYFUNCTION("""COMPUTED_VALUE"""),"LOGITECH")</f>
        <v>LOGITECH</v>
      </c>
      <c r="F521" s="2005" t="str">
        <f>IFERROR(__xludf.DUMMYFUNCTION("""COMPUTED_VALUE"""),"C")</f>
        <v>C</v>
      </c>
      <c r="G521" s="2005" t="str">
        <f>IFERROR(__xludf.DUMMYFUNCTION("""COMPUTED_VALUE"""),"AC")</f>
        <v>AC</v>
      </c>
      <c r="H521">
        <f>IFERROR(__xludf.DUMMYFUNCTION("""COMPUTED_VALUE"""),34.99)</f>
        <v>34.99</v>
      </c>
      <c r="I521">
        <f>IFERROR(__xludf.DUMMYFUNCTION("""COMPUTED_VALUE"""),34.99)</f>
        <v>34.99</v>
      </c>
      <c r="BD521" s="2006"/>
      <c r="LM521" s="2007"/>
    </row>
    <row r="522">
      <c r="A522" s="2005">
        <f>IFERROR(__xludf.DUMMYFUNCTION("""COMPUTED_VALUE"""),1010493.0)</f>
        <v>1010493</v>
      </c>
      <c r="B522" s="2005">
        <f>IFERROR(__xludf.DUMMYFUNCTION("""COMPUTED_VALUE"""),2503005.0)</f>
        <v>2503005</v>
      </c>
      <c r="C522" s="2005" t="str">
        <f>IFERROR(__xludf.DUMMYFUNCTION("""COMPUTED_VALUE"""),"Enceinte")</f>
        <v>Enceinte</v>
      </c>
      <c r="D522" s="2005" t="str">
        <f>IFERROR(__xludf.DUMMYFUNCTION("""COMPUTED_VALUE"""),"Z200 Black 2.0")</f>
        <v>Z200 Black 2.0</v>
      </c>
      <c r="E522" s="2005" t="str">
        <f>IFERROR(__xludf.DUMMYFUNCTION("""COMPUTED_VALUE"""),"LOGITECH")</f>
        <v>LOGITECH</v>
      </c>
      <c r="F522" s="2005" t="str">
        <f>IFERROR(__xludf.DUMMYFUNCTION("""COMPUTED_VALUE"""),"B")</f>
        <v>B</v>
      </c>
      <c r="G522" s="2005" t="str">
        <f>IFERROR(__xludf.DUMMYFUNCTION("""COMPUTED_VALUE"""),"AC")</f>
        <v>AC</v>
      </c>
      <c r="H522" s="2005">
        <f>IFERROR(__xludf.DUMMYFUNCTION("""COMPUTED_VALUE"""),49.99)</f>
        <v>49.99</v>
      </c>
      <c r="I522" s="2005">
        <f>IFERROR(__xludf.DUMMYFUNCTION("""COMPUTED_VALUE"""),49.99)</f>
        <v>49.99</v>
      </c>
      <c r="BD522" s="2006"/>
      <c r="LM522" s="2007"/>
    </row>
    <row r="523">
      <c r="A523" s="2005">
        <f>IFERROR(__xludf.DUMMYFUNCTION("""COMPUTED_VALUE"""),1012228.0)</f>
        <v>1012228</v>
      </c>
      <c r="B523" s="2005">
        <f>IFERROR(__xludf.DUMMYFUNCTION("""COMPUTED_VALUE"""),2402015.0)</f>
        <v>2402015</v>
      </c>
      <c r="C523" s="2005" t="str">
        <f>IFERROR(__xludf.DUMMYFUNCTION("""COMPUTED_VALUE"""),"Papier")</f>
        <v>Papier</v>
      </c>
      <c r="D523" s="2005" t="str">
        <f>IFERROR(__xludf.DUMMYFUNCTION("""COMPUTED_VALUE"""),"BTE 50FL A3 210G PHOT BRILLANT")</f>
        <v>BTE 50FL A3 210G PHOT BRILLANT</v>
      </c>
      <c r="E523" s="2005" t="str">
        <f>IFERROR(__xludf.DUMMYFUNCTION("""COMPUTED_VALUE"""),"CANSON")</f>
        <v>CANSON</v>
      </c>
      <c r="F523" s="2005" t="str">
        <f>IFERROR(__xludf.DUMMYFUNCTION("""COMPUTED_VALUE"""),"H")</f>
        <v>H</v>
      </c>
      <c r="G523" s="2005" t="str">
        <f>IFERROR(__xludf.DUMMYFUNCTION("""COMPUTED_VALUE"""),"NN")</f>
        <v>NN</v>
      </c>
      <c r="H523" s="2005">
        <f>IFERROR(__xludf.DUMMYFUNCTION("""COMPUTED_VALUE"""),49.9)</f>
        <v>49.9</v>
      </c>
      <c r="I523" s="2005">
        <f>IFERROR(__xludf.DUMMYFUNCTION("""COMPUTED_VALUE"""),49.9)</f>
        <v>49.9</v>
      </c>
      <c r="BD523" s="2006"/>
      <c r="LM523" s="2007"/>
    </row>
    <row r="524">
      <c r="A524" s="2005">
        <f>IFERROR(__xludf.DUMMYFUNCTION("""COMPUTED_VALUE"""),1012350.0)</f>
        <v>1012350</v>
      </c>
      <c r="B524" s="2005">
        <f>IFERROR(__xludf.DUMMYFUNCTION("""COMPUTED_VALUE"""),2403005.0)</f>
        <v>2403005</v>
      </c>
      <c r="C524" s="2005" t="str">
        <f>IFERROR(__xludf.DUMMYFUNCTION("""COMPUTED_VALUE"""),"Pack")</f>
        <v>Pack</v>
      </c>
      <c r="D524" s="2005" t="str">
        <f>IFERROR(__xludf.DUMMYFUNCTION("""COMPUTED_VALUE"""),"E18XL Noir + Couleurs Série Améthyste")</f>
        <v>E18XL Noir + Couleurs Série Améthyste</v>
      </c>
      <c r="E524" s="2005" t="str">
        <f>IFERROR(__xludf.DUMMYFUNCTION("""COMPUTED_VALUE"""),"ESSENTIELB")</f>
        <v>ESSENTIELB</v>
      </c>
      <c r="F524" s="2005" t="str">
        <f>IFERROR(__xludf.DUMMYFUNCTION("""COMPUTED_VALUE"""),"B")</f>
        <v>B</v>
      </c>
      <c r="G524" s="2005" t="str">
        <f>IFERROR(__xludf.DUMMYFUNCTION("""COMPUTED_VALUE"""),"NN")</f>
        <v>NN</v>
      </c>
      <c r="H524" s="2005">
        <f>IFERROR(__xludf.DUMMYFUNCTION("""COMPUTED_VALUE"""),39.99)</f>
        <v>39.99</v>
      </c>
      <c r="I524" s="2005">
        <f>IFERROR(__xludf.DUMMYFUNCTION("""COMPUTED_VALUE"""),39.99)</f>
        <v>39.99</v>
      </c>
      <c r="BD524" s="2006"/>
      <c r="LL524" s="2007"/>
      <c r="LM524" s="2008"/>
      <c r="MX524" s="2007"/>
      <c r="ND524" s="2007"/>
    </row>
    <row r="525">
      <c r="A525" s="2005">
        <f>IFERROR(__xludf.DUMMYFUNCTION("""COMPUTED_VALUE"""),1012406.0)</f>
        <v>1012406</v>
      </c>
      <c r="B525" s="2005">
        <f>IFERROR(__xludf.DUMMYFUNCTION("""COMPUTED_VALUE"""),2403005.0)</f>
        <v>2403005</v>
      </c>
      <c r="C525" s="2005" t="str">
        <f>IFERROR(__xludf.DUMMYFUNCTION("""COMPUTED_VALUE"""),"Pack")</f>
        <v>Pack</v>
      </c>
      <c r="D525" s="2005" t="str">
        <f>IFERROR(__xludf.DUMMYFUNCTION("""COMPUTED_VALUE"""),"E26XL Série Plume N/C/M/J")</f>
        <v>E26XL Série Plume N/C/M/J</v>
      </c>
      <c r="E525" s="2005" t="str">
        <f>IFERROR(__xludf.DUMMYFUNCTION("""COMPUTED_VALUE"""),"ESSENTIELB")</f>
        <v>ESSENTIELB</v>
      </c>
      <c r="F525" s="2005" t="str">
        <f>IFERROR(__xludf.DUMMYFUNCTION("""COMPUTED_VALUE"""),"B")</f>
        <v>B</v>
      </c>
      <c r="G525" s="2005" t="str">
        <f>IFERROR(__xludf.DUMMYFUNCTION("""COMPUTED_VALUE"""),"NN")</f>
        <v>NN</v>
      </c>
      <c r="H525" s="2005">
        <f>IFERROR(__xludf.DUMMYFUNCTION("""COMPUTED_VALUE"""),16.99)</f>
        <v>16.99</v>
      </c>
      <c r="I525" s="2005">
        <f>IFERROR(__xludf.DUMMYFUNCTION("""COMPUTED_VALUE"""),16.99)</f>
        <v>16.99</v>
      </c>
      <c r="BD525" s="2006"/>
      <c r="LM525" s="2008"/>
    </row>
    <row r="526">
      <c r="A526" s="2005">
        <f>IFERROR(__xludf.DUMMYFUNCTION("""COMPUTED_VALUE"""),1012426.0)</f>
        <v>1012426</v>
      </c>
      <c r="B526" s="2005">
        <f>IFERROR(__xludf.DUMMYFUNCTION("""COMPUTED_VALUE"""),2403005.0)</f>
        <v>2403005</v>
      </c>
      <c r="C526" s="2005" t="str">
        <f>IFERROR(__xludf.DUMMYFUNCTION("""COMPUTED_VALUE"""),"Cartouche")</f>
        <v>Cartouche</v>
      </c>
      <c r="D526" s="2005" t="str">
        <f>IFERROR(__xludf.DUMMYFUNCTION("""COMPUTED_VALUE"""),"971XL CYAN")</f>
        <v>971XL CYAN</v>
      </c>
      <c r="E526" s="2005" t="str">
        <f>IFERROR(__xludf.DUMMYFUNCTION("""COMPUTED_VALUE"""),"HP")</f>
        <v>HP</v>
      </c>
      <c r="F526" s="2005" t="str">
        <f>IFERROR(__xludf.DUMMYFUNCTION("""COMPUTED_VALUE"""),"H")</f>
        <v>H</v>
      </c>
      <c r="G526" s="2005" t="str">
        <f>IFERROR(__xludf.DUMMYFUNCTION("""COMPUTED_VALUE"""),"FF")</f>
        <v>FF</v>
      </c>
      <c r="H526" s="2005">
        <f>IFERROR(__xludf.DUMMYFUNCTION("""COMPUTED_VALUE"""),100.99)</f>
        <v>100.99</v>
      </c>
      <c r="I526" s="2005">
        <f>IFERROR(__xludf.DUMMYFUNCTION("""COMPUTED_VALUE"""),100.99)</f>
        <v>100.99</v>
      </c>
      <c r="BD526" s="2006"/>
      <c r="LM526" s="2008"/>
    </row>
    <row r="527">
      <c r="A527" s="2005">
        <f>IFERROR(__xludf.DUMMYFUNCTION("""COMPUTED_VALUE"""),1012428.0)</f>
        <v>1012428</v>
      </c>
      <c r="B527" s="2005">
        <f>IFERROR(__xludf.DUMMYFUNCTION("""COMPUTED_VALUE"""),2403005.0)</f>
        <v>2403005</v>
      </c>
      <c r="C527" s="2005" t="str">
        <f>IFERROR(__xludf.DUMMYFUNCTION("""COMPUTED_VALUE"""),"Cartouche")</f>
        <v>Cartouche</v>
      </c>
      <c r="D527" s="2005" t="str">
        <f>IFERROR(__xludf.DUMMYFUNCTION("""COMPUTED_VALUE"""),"971XL Jaune")</f>
        <v>971XL Jaune</v>
      </c>
      <c r="E527" s="2005" t="str">
        <f>IFERROR(__xludf.DUMMYFUNCTION("""COMPUTED_VALUE"""),"HP")</f>
        <v>HP</v>
      </c>
      <c r="F527" s="2005" t="str">
        <f>IFERROR(__xludf.DUMMYFUNCTION("""COMPUTED_VALUE"""),"H")</f>
        <v>H</v>
      </c>
      <c r="G527" s="2005" t="str">
        <f>IFERROR(__xludf.DUMMYFUNCTION("""COMPUTED_VALUE"""),"FR")</f>
        <v>FR</v>
      </c>
      <c r="H527" s="2005">
        <f>IFERROR(__xludf.DUMMYFUNCTION("""COMPUTED_VALUE"""),100.99)</f>
        <v>100.99</v>
      </c>
      <c r="I527" s="2005">
        <f>IFERROR(__xludf.DUMMYFUNCTION("""COMPUTED_VALUE"""),100.99)</f>
        <v>100.99</v>
      </c>
      <c r="BD527" s="2006"/>
      <c r="LM527" s="2008"/>
    </row>
    <row r="528">
      <c r="A528" s="2005">
        <f>IFERROR(__xludf.DUMMYFUNCTION("""COMPUTED_VALUE"""),1012440.0)</f>
        <v>1012440</v>
      </c>
      <c r="B528" s="2005">
        <f>IFERROR(__xludf.DUMMYFUNCTION("""COMPUTED_VALUE"""),2502010.0)</f>
        <v>2502010</v>
      </c>
      <c r="C528" s="2005" t="str">
        <f>IFERROR(__xludf.DUMMYFUNCTION("""COMPUTED_VALUE"""),"Présenteur")</f>
        <v>Présenteur</v>
      </c>
      <c r="D528" s="2005" t="str">
        <f>IFERROR(__xludf.DUMMYFUNCTION("""COMPUTED_VALUE"""),"Laser Omega")</f>
        <v>Laser Omega</v>
      </c>
      <c r="E528" s="2005" t="str">
        <f>IFERROR(__xludf.DUMMYFUNCTION("""COMPUTED_VALUE"""),"ESSENTIELB")</f>
        <v>ESSENTIELB</v>
      </c>
      <c r="F528" s="2005" t="str">
        <f>IFERROR(__xludf.DUMMYFUNCTION("""COMPUTED_VALUE"""),"A")</f>
        <v>A</v>
      </c>
      <c r="G528" s="2005" t="str">
        <f>IFERROR(__xludf.DUMMYFUNCTION("""COMPUTED_VALUE"""),"NN")</f>
        <v>NN</v>
      </c>
      <c r="H528">
        <f>IFERROR(__xludf.DUMMYFUNCTION("""COMPUTED_VALUE"""),31.99)</f>
        <v>31.99</v>
      </c>
      <c r="I528">
        <f>IFERROR(__xludf.DUMMYFUNCTION("""COMPUTED_VALUE"""),31.99)</f>
        <v>31.99</v>
      </c>
      <c r="BD528" s="2006"/>
      <c r="LM528" s="2008"/>
    </row>
    <row r="529">
      <c r="A529" s="2005">
        <f>IFERROR(__xludf.DUMMYFUNCTION("""COMPUTED_VALUE"""),1014464.0)</f>
        <v>1014464</v>
      </c>
      <c r="B529" s="2005">
        <f>IFERROR(__xludf.DUMMYFUNCTION("""COMPUTED_VALUE"""),2403005.0)</f>
        <v>2403005</v>
      </c>
      <c r="C529" s="2005" t="str">
        <f>IFERROR(__xludf.DUMMYFUNCTION("""COMPUTED_VALUE"""),"Cartouche")</f>
        <v>Cartouche</v>
      </c>
      <c r="D529" s="2005" t="str">
        <f>IFERROR(__xludf.DUMMYFUNCTION("""COMPUTED_VALUE"""),"LC129XL Noire")</f>
        <v>LC129XL Noire</v>
      </c>
      <c r="E529" s="2005" t="str">
        <f>IFERROR(__xludf.DUMMYFUNCTION("""COMPUTED_VALUE"""),"BROTHER")</f>
        <v>BROTHER</v>
      </c>
      <c r="F529" s="2005" t="str">
        <f>IFERROR(__xludf.DUMMYFUNCTION("""COMPUTED_VALUE"""),"D")</f>
        <v>D</v>
      </c>
      <c r="G529" s="2005" t="str">
        <f>IFERROR(__xludf.DUMMYFUNCTION("""COMPUTED_VALUE"""),"FF")</f>
        <v>FF</v>
      </c>
      <c r="H529" s="2005">
        <f>IFERROR(__xludf.DUMMYFUNCTION("""COMPUTED_VALUE"""),40.99)</f>
        <v>40.99</v>
      </c>
      <c r="I529" s="2005">
        <f>IFERROR(__xludf.DUMMYFUNCTION("""COMPUTED_VALUE"""),40.99)</f>
        <v>40.99</v>
      </c>
      <c r="BD529" s="2006"/>
      <c r="LM529" s="2008"/>
    </row>
    <row r="530">
      <c r="A530" s="2005">
        <f>IFERROR(__xludf.DUMMYFUNCTION("""COMPUTED_VALUE"""),1014466.0)</f>
        <v>1014466</v>
      </c>
      <c r="B530" s="2005">
        <f>IFERROR(__xludf.DUMMYFUNCTION("""COMPUTED_VALUE"""),2403005.0)</f>
        <v>2403005</v>
      </c>
      <c r="C530" s="2005" t="str">
        <f>IFERROR(__xludf.DUMMYFUNCTION("""COMPUTED_VALUE"""),"Pack")</f>
        <v>Pack</v>
      </c>
      <c r="D530" s="2005" t="str">
        <f>IFERROR(__xludf.DUMMYFUNCTION("""COMPUTED_VALUE"""),"4CL LC129XL")</f>
        <v>4CL LC129XL</v>
      </c>
      <c r="E530" s="2005" t="str">
        <f>IFERROR(__xludf.DUMMYFUNCTION("""COMPUTED_VALUE"""),"BROTHER")</f>
        <v>BROTHER</v>
      </c>
      <c r="F530" s="2005" t="str">
        <f>IFERROR(__xludf.DUMMYFUNCTION("""COMPUTED_VALUE"""),"C")</f>
        <v>C</v>
      </c>
      <c r="G530" s="2005" t="str">
        <f>IFERROR(__xludf.DUMMYFUNCTION("""COMPUTED_VALUE"""),"NN")</f>
        <v>NN</v>
      </c>
      <c r="H530" s="2005">
        <f>IFERROR(__xludf.DUMMYFUNCTION("""COMPUTED_VALUE"""),114.99)</f>
        <v>114.99</v>
      </c>
      <c r="I530" s="2005">
        <f>IFERROR(__xludf.DUMMYFUNCTION("""COMPUTED_VALUE"""),114.99)</f>
        <v>114.99</v>
      </c>
      <c r="BD530" s="2006"/>
      <c r="LL530" s="2007"/>
      <c r="LM530" s="2008"/>
      <c r="MX530" s="2007"/>
      <c r="ND530" s="2007"/>
    </row>
    <row r="531">
      <c r="A531" s="2005">
        <f>IFERROR(__xludf.DUMMYFUNCTION("""COMPUTED_VALUE"""),1015069.0)</f>
        <v>1015069</v>
      </c>
      <c r="B531" s="2005">
        <f>IFERROR(__xludf.DUMMYFUNCTION("""COMPUTED_VALUE"""),1103010.0)</f>
        <v>1103010</v>
      </c>
      <c r="C531" s="2005" t="str">
        <f>IFERROR(__xludf.DUMMYFUNCTION("""COMPUTED_VALUE"""),"Tél.Rép.")</f>
        <v>Tél.Rép.</v>
      </c>
      <c r="D531" s="2005" t="str">
        <f>IFERROR(__xludf.DUMMYFUNCTION("""COMPUTED_VALUE"""),"KT-TG6821")</f>
        <v>KT-TG6821</v>
      </c>
      <c r="E531" s="2005" t="str">
        <f>IFERROR(__xludf.DUMMYFUNCTION("""COMPUTED_VALUE"""),"PANASONIC")</f>
        <v>PANASONIC</v>
      </c>
      <c r="F531" s="2005" t="str">
        <f>IFERROR(__xludf.DUMMYFUNCTION("""COMPUTED_VALUE"""),"H")</f>
        <v>H</v>
      </c>
      <c r="G531" s="2005" t="str">
        <f>IFERROR(__xludf.DUMMYFUNCTION("""COMPUTED_VALUE"""),"AC")</f>
        <v>AC</v>
      </c>
      <c r="H531" s="2005">
        <f>IFERROR(__xludf.DUMMYFUNCTION("""COMPUTED_VALUE"""),44.9)</f>
        <v>44.9</v>
      </c>
      <c r="I531" s="2005">
        <f>IFERROR(__xludf.DUMMYFUNCTION("""COMPUTED_VALUE"""),44.9)</f>
        <v>44.9</v>
      </c>
      <c r="BD531" s="2006"/>
      <c r="LM531" s="2008"/>
    </row>
    <row r="532">
      <c r="A532" s="2005">
        <f>IFERROR(__xludf.DUMMYFUNCTION("""COMPUTED_VALUE"""),1015070.0)</f>
        <v>1015070</v>
      </c>
      <c r="B532" s="2005">
        <f>IFERROR(__xludf.DUMMYFUNCTION("""COMPUTED_VALUE"""),1103010.0)</f>
        <v>1103010</v>
      </c>
      <c r="C532" s="2005" t="str">
        <f>IFERROR(__xludf.DUMMYFUNCTION("""COMPUTED_VALUE"""),"Pack")</f>
        <v>Pack</v>
      </c>
      <c r="D532" s="2005" t="str">
        <f>IFERROR(__xludf.DUMMYFUNCTION("""COMPUTED_VALUE"""),"KT-TG6822")</f>
        <v>KT-TG6822</v>
      </c>
      <c r="E532" s="2005" t="str">
        <f>IFERROR(__xludf.DUMMYFUNCTION("""COMPUTED_VALUE"""),"PANASONIC")</f>
        <v>PANASONIC</v>
      </c>
      <c r="F532" s="2005" t="str">
        <f>IFERROR(__xludf.DUMMYFUNCTION("""COMPUTED_VALUE"""),"H")</f>
        <v>H</v>
      </c>
      <c r="G532" s="2005" t="str">
        <f>IFERROR(__xludf.DUMMYFUNCTION("""COMPUTED_VALUE"""),"AC")</f>
        <v>AC</v>
      </c>
      <c r="H532" s="2005">
        <f>IFERROR(__xludf.DUMMYFUNCTION("""COMPUTED_VALUE"""),74.99)</f>
        <v>74.99</v>
      </c>
      <c r="I532" s="2005">
        <f>IFERROR(__xludf.DUMMYFUNCTION("""COMPUTED_VALUE"""),74.99)</f>
        <v>74.99</v>
      </c>
      <c r="BD532" s="2006"/>
      <c r="LM532" s="2008"/>
    </row>
    <row r="533">
      <c r="A533" s="2005">
        <f>IFERROR(__xludf.DUMMYFUNCTION("""COMPUTED_VALUE"""),1015121.0)</f>
        <v>1015121</v>
      </c>
      <c r="B533" s="2005">
        <f>IFERROR(__xludf.DUMMYFUNCTION("""COMPUTED_VALUE"""),1103010.0)</f>
        <v>1103010</v>
      </c>
      <c r="C533" s="2005" t="str">
        <f>IFERROR(__xludf.DUMMYFUNCTION("""COMPUTED_VALUE"""),"Pack")</f>
        <v>Pack</v>
      </c>
      <c r="D533" s="2005" t="str">
        <f>IFERROR(__xludf.DUMMYFUNCTION("""COMPUTED_VALUE"""),"KT-TG6823")</f>
        <v>KT-TG6823</v>
      </c>
      <c r="E533" s="2005" t="str">
        <f>IFERROR(__xludf.DUMMYFUNCTION("""COMPUTED_VALUE"""),"PANASONIC")</f>
        <v>PANASONIC</v>
      </c>
      <c r="F533" s="2005" t="str">
        <f>IFERROR(__xludf.DUMMYFUNCTION("""COMPUTED_VALUE"""),"H")</f>
        <v>H</v>
      </c>
      <c r="G533" s="2005" t="str">
        <f>IFERROR(__xludf.DUMMYFUNCTION("""COMPUTED_VALUE"""),"AC")</f>
        <v>AC</v>
      </c>
      <c r="H533" s="2005">
        <f>IFERROR(__xludf.DUMMYFUNCTION("""COMPUTED_VALUE"""),99.99)</f>
        <v>99.99</v>
      </c>
      <c r="I533" s="2005">
        <f>IFERROR(__xludf.DUMMYFUNCTION("""COMPUTED_VALUE"""),79.99)</f>
        <v>79.99</v>
      </c>
      <c r="BD533" s="2006"/>
      <c r="LM533" s="2008"/>
    </row>
    <row r="534">
      <c r="A534" s="2005">
        <f>IFERROR(__xludf.DUMMYFUNCTION("""COMPUTED_VALUE"""),1015122.0)</f>
        <v>1015122</v>
      </c>
      <c r="B534" s="2005">
        <f>IFERROR(__xludf.DUMMYFUNCTION("""COMPUTED_VALUE"""),1103015.0)</f>
        <v>1103015</v>
      </c>
      <c r="C534" s="2005" t="str">
        <f>IFERROR(__xludf.DUMMYFUNCTION("""COMPUTED_VALUE"""),"Combi")</f>
        <v>Combi</v>
      </c>
      <c r="D534" s="2005" t="str">
        <f>IFERROR(__xludf.DUMMYFUNCTION("""COMPUTED_VALUE"""),"TGA681")</f>
        <v>TGA681</v>
      </c>
      <c r="E534" s="2005" t="str">
        <f>IFERROR(__xludf.DUMMYFUNCTION("""COMPUTED_VALUE"""),"PANASONIC")</f>
        <v>PANASONIC</v>
      </c>
      <c r="F534" s="2005" t="str">
        <f>IFERROR(__xludf.DUMMYFUNCTION("""COMPUTED_VALUE"""),"H")</f>
        <v>H</v>
      </c>
      <c r="G534" s="2005" t="str">
        <f>IFERROR(__xludf.DUMMYFUNCTION("""COMPUTED_VALUE"""),"NN")</f>
        <v>NN</v>
      </c>
      <c r="H534" s="2005">
        <f>IFERROR(__xludf.DUMMYFUNCTION("""COMPUTED_VALUE"""),21.99)</f>
        <v>21.99</v>
      </c>
      <c r="I534" s="2005">
        <f>IFERROR(__xludf.DUMMYFUNCTION("""COMPUTED_VALUE"""),21.99)</f>
        <v>21.99</v>
      </c>
      <c r="BD534" s="2006"/>
      <c r="LM534" s="2008"/>
    </row>
    <row r="535">
      <c r="A535" s="2005">
        <f>IFERROR(__xludf.DUMMYFUNCTION("""COMPUTED_VALUE"""),1015253.0)</f>
        <v>1015253</v>
      </c>
      <c r="B535" s="2005">
        <f>IFERROR(__xludf.DUMMYFUNCTION("""COMPUTED_VALUE"""),2402005.0)</f>
        <v>2402005</v>
      </c>
      <c r="C535" s="2005" t="str">
        <f>IFERROR(__xludf.DUMMYFUNCTION("""COMPUTED_VALUE"""),"Papier")</f>
        <v>Papier</v>
      </c>
      <c r="D535" s="2005" t="str">
        <f>IFERROR(__xludf.DUMMYFUNCTION("""COMPUTED_VALUE"""),"Papier 75g 500 feuilles")</f>
        <v>Papier 75g 500 feuilles</v>
      </c>
      <c r="E535" s="2005" t="str">
        <f>IFERROR(__xludf.DUMMYFUNCTION("""COMPUTED_VALUE"""),"ESSENTIELB")</f>
        <v>ESSENTIELB</v>
      </c>
      <c r="F535" s="2005" t="str">
        <f>IFERROR(__xludf.DUMMYFUNCTION("""COMPUTED_VALUE"""),"A")</f>
        <v>A</v>
      </c>
      <c r="G535" s="2005" t="str">
        <f>IFERROR(__xludf.DUMMYFUNCTION("""COMPUTED_VALUE"""),"AC")</f>
        <v>AC</v>
      </c>
      <c r="H535" s="2005">
        <f>IFERROR(__xludf.DUMMYFUNCTION("""COMPUTED_VALUE"""),6.99)</f>
        <v>6.99</v>
      </c>
      <c r="I535" s="2005">
        <f>IFERROR(__xludf.DUMMYFUNCTION("""COMPUTED_VALUE"""),6.99)</f>
        <v>6.99</v>
      </c>
      <c r="BD535" s="2006"/>
      <c r="LM535" s="2008"/>
    </row>
    <row r="536">
      <c r="A536" s="2005">
        <f>IFERROR(__xludf.DUMMYFUNCTION("""COMPUTED_VALUE"""),1015254.0)</f>
        <v>1015254</v>
      </c>
      <c r="B536" s="2005">
        <f>IFERROR(__xludf.DUMMYFUNCTION("""COMPUTED_VALUE"""),2402005.0)</f>
        <v>2402005</v>
      </c>
      <c r="C536" s="2005" t="str">
        <f>IFERROR(__xludf.DUMMYFUNCTION("""COMPUTED_VALUE"""),"Papier")</f>
        <v>Papier</v>
      </c>
      <c r="D536" s="2005" t="str">
        <f>IFERROR(__xludf.DUMMYFUNCTION("""COMPUTED_VALUE"""),"Papier 90g 500 feuilles")</f>
        <v>Papier 90g 500 feuilles</v>
      </c>
      <c r="E536" s="2005" t="str">
        <f>IFERROR(__xludf.DUMMYFUNCTION("""COMPUTED_VALUE"""),"ESSENTIELB")</f>
        <v>ESSENTIELB</v>
      </c>
      <c r="F536" s="2005" t="str">
        <f>IFERROR(__xludf.DUMMYFUNCTION("""COMPUTED_VALUE"""),"A")</f>
        <v>A</v>
      </c>
      <c r="G536" s="2005" t="str">
        <f>IFERROR(__xludf.DUMMYFUNCTION("""COMPUTED_VALUE"""),"AC")</f>
        <v>AC</v>
      </c>
      <c r="H536">
        <f>IFERROR(__xludf.DUMMYFUNCTION("""COMPUTED_VALUE"""),8.99)</f>
        <v>8.99</v>
      </c>
      <c r="I536">
        <f>IFERROR(__xludf.DUMMYFUNCTION("""COMPUTED_VALUE"""),8.99)</f>
        <v>8.99</v>
      </c>
      <c r="BD536" s="2006"/>
      <c r="LM536" s="2008"/>
    </row>
    <row r="537">
      <c r="A537" s="2005">
        <f>IFERROR(__xludf.DUMMYFUNCTION("""COMPUTED_VALUE"""),1015262.0)</f>
        <v>1015262</v>
      </c>
      <c r="B537" s="2005">
        <f>IFERROR(__xludf.DUMMYFUNCTION("""COMPUTED_VALUE"""),2403005.0)</f>
        <v>2403005</v>
      </c>
      <c r="C537" s="2005" t="str">
        <f>IFERROR(__xludf.DUMMYFUNCTION("""COMPUTED_VALUE"""),"Cartouche")</f>
        <v>Cartouche</v>
      </c>
      <c r="D537" s="2005" t="str">
        <f>IFERROR(__xludf.DUMMYFUNCTION("""COMPUTED_VALUE"""),"E71/89 Pack Noir + couleurs Série Canapé")</f>
        <v>E71/89 Pack Noir + couleurs Série Canapé</v>
      </c>
      <c r="E537" s="2005" t="str">
        <f>IFERROR(__xludf.DUMMYFUNCTION("""COMPUTED_VALUE"""),"ESSENTIELB")</f>
        <v>ESSENTIELB</v>
      </c>
      <c r="F537" s="2005" t="str">
        <f>IFERROR(__xludf.DUMMYFUNCTION("""COMPUTED_VALUE"""),"B")</f>
        <v>B</v>
      </c>
      <c r="G537" s="2005" t="str">
        <f>IFERROR(__xludf.DUMMYFUNCTION("""COMPUTED_VALUE"""),"FR")</f>
        <v>FR</v>
      </c>
      <c r="H537" s="2005">
        <f>IFERROR(__xludf.DUMMYFUNCTION("""COMPUTED_VALUE"""),29.99)</f>
        <v>29.99</v>
      </c>
      <c r="I537" s="2005">
        <f>IFERROR(__xludf.DUMMYFUNCTION("""COMPUTED_VALUE"""),29.99)</f>
        <v>29.99</v>
      </c>
      <c r="BD537" s="2006"/>
      <c r="LM537" s="2008"/>
    </row>
    <row r="538">
      <c r="A538" s="2005">
        <f>IFERROR(__xludf.DUMMYFUNCTION("""COMPUTED_VALUE"""),1015964.0)</f>
        <v>1015964</v>
      </c>
      <c r="B538" s="2005">
        <f>IFERROR(__xludf.DUMMYFUNCTION("""COMPUTED_VALUE"""),2203015.0)</f>
        <v>2203015</v>
      </c>
      <c r="C538" s="2005" t="str">
        <f>IFERROR(__xludf.DUMMYFUNCTION("""COMPUTED_VALUE"""),"Scanner")</f>
        <v>Scanner</v>
      </c>
      <c r="D538" s="2005" t="str">
        <f>IFERROR(__xludf.DUMMYFUNCTION("""COMPUTED_VALUE"""),"3D Sense")</f>
        <v>3D Sense</v>
      </c>
      <c r="E538" s="2005" t="str">
        <f>IFERROR(__xludf.DUMMYFUNCTION("""COMPUTED_VALUE"""),"CUBE")</f>
        <v>CUBE</v>
      </c>
      <c r="F538" s="2005" t="str">
        <f>IFERROR(__xludf.DUMMYFUNCTION("""COMPUTED_VALUE"""),"H")</f>
        <v>H</v>
      </c>
      <c r="G538" s="2005" t="str">
        <f>IFERROR(__xludf.DUMMYFUNCTION("""COMPUTED_VALUE"""),"NN")</f>
        <v>NN</v>
      </c>
      <c r="H538">
        <f>IFERROR(__xludf.DUMMYFUNCTION("""COMPUTED_VALUE"""),266.99)</f>
        <v>266.99</v>
      </c>
      <c r="I538">
        <f>IFERROR(__xludf.DUMMYFUNCTION("""COMPUTED_VALUE"""),266.99)</f>
        <v>266.99</v>
      </c>
      <c r="BD538" s="2006"/>
      <c r="LM538" s="2008"/>
    </row>
    <row r="539">
      <c r="A539" s="2005">
        <f>IFERROR(__xludf.DUMMYFUNCTION("""COMPUTED_VALUE"""),1016899.0)</f>
        <v>1016899</v>
      </c>
      <c r="B539" s="2005">
        <f>IFERROR(__xludf.DUMMYFUNCTION("""COMPUTED_VALUE"""),2403010.0)</f>
        <v>2403010</v>
      </c>
      <c r="C539" s="2005" t="str">
        <f>IFERROR(__xludf.DUMMYFUNCTION("""COMPUTED_VALUE"""),"Toner")</f>
        <v>Toner</v>
      </c>
      <c r="D539" s="2005" t="str">
        <f>IFERROR(__xludf.DUMMYFUNCTION("""COMPUTED_VALUE"""),"TN1050")</f>
        <v>TN1050</v>
      </c>
      <c r="E539" s="2005" t="str">
        <f>IFERROR(__xludf.DUMMYFUNCTION("""COMPUTED_VALUE"""),"BROTHER")</f>
        <v>BROTHER</v>
      </c>
      <c r="F539" s="2005" t="str">
        <f>IFERROR(__xludf.DUMMYFUNCTION("""COMPUTED_VALUE"""),"A")</f>
        <v>A</v>
      </c>
      <c r="G539" s="2005" t="str">
        <f>IFERROR(__xludf.DUMMYFUNCTION("""COMPUTED_VALUE"""),"AC")</f>
        <v>AC</v>
      </c>
      <c r="H539" s="2005">
        <f>IFERROR(__xludf.DUMMYFUNCTION("""COMPUTED_VALUE"""),55.05)</f>
        <v>55.05</v>
      </c>
      <c r="I539" s="2005">
        <f>IFERROR(__xludf.DUMMYFUNCTION("""COMPUTED_VALUE"""),55.05)</f>
        <v>55.05</v>
      </c>
      <c r="BD539" s="2006"/>
      <c r="LL539" s="2007"/>
      <c r="LM539" s="2008"/>
      <c r="MX539" s="2007"/>
      <c r="ND539" s="2007"/>
    </row>
    <row r="540">
      <c r="A540" s="2005">
        <f>IFERROR(__xludf.DUMMYFUNCTION("""COMPUTED_VALUE"""),1016900.0)</f>
        <v>1016900</v>
      </c>
      <c r="B540" s="2005">
        <f>IFERROR(__xludf.DUMMYFUNCTION("""COMPUTED_VALUE"""),2403010.0)</f>
        <v>2403010</v>
      </c>
      <c r="C540" s="2005" t="str">
        <f>IFERROR(__xludf.DUMMYFUNCTION("""COMPUTED_VALUE"""),"Toner")</f>
        <v>Toner</v>
      </c>
      <c r="D540" s="2005" t="str">
        <f>IFERROR(__xludf.DUMMYFUNCTION("""COMPUTED_VALUE"""),"TN241 Cyan")</f>
        <v>TN241 Cyan</v>
      </c>
      <c r="E540" s="2005" t="str">
        <f>IFERROR(__xludf.DUMMYFUNCTION("""COMPUTED_VALUE"""),"BROTHER")</f>
        <v>BROTHER</v>
      </c>
      <c r="F540" s="2005" t="str">
        <f>IFERROR(__xludf.DUMMYFUNCTION("""COMPUTED_VALUE"""),"D")</f>
        <v>D</v>
      </c>
      <c r="G540" s="2005" t="str">
        <f>IFERROR(__xludf.DUMMYFUNCTION("""COMPUTED_VALUE"""),"FF")</f>
        <v>FF</v>
      </c>
      <c r="H540" s="2005">
        <f>IFERROR(__xludf.DUMMYFUNCTION("""COMPUTED_VALUE"""),92.05)</f>
        <v>92.05</v>
      </c>
      <c r="I540" s="2005">
        <f>IFERROR(__xludf.DUMMYFUNCTION("""COMPUTED_VALUE"""),92.05)</f>
        <v>92.05</v>
      </c>
      <c r="BD540" s="2006"/>
      <c r="LM540" s="2008"/>
    </row>
    <row r="541">
      <c r="A541" s="2005">
        <f>IFERROR(__xludf.DUMMYFUNCTION("""COMPUTED_VALUE"""),1016911.0)</f>
        <v>1016911</v>
      </c>
      <c r="B541" s="2005">
        <f>IFERROR(__xludf.DUMMYFUNCTION("""COMPUTED_VALUE"""),2403010.0)</f>
        <v>2403010</v>
      </c>
      <c r="C541" s="2005" t="str">
        <f>IFERROR(__xludf.DUMMYFUNCTION("""COMPUTED_VALUE"""),"Toner")</f>
        <v>Toner</v>
      </c>
      <c r="D541" s="2005" t="str">
        <f>IFERROR(__xludf.DUMMYFUNCTION("""COMPUTED_VALUE"""),"TN241 Magenta")</f>
        <v>TN241 Magenta</v>
      </c>
      <c r="E541" s="2005" t="str">
        <f>IFERROR(__xludf.DUMMYFUNCTION("""COMPUTED_VALUE"""),"BROTHER")</f>
        <v>BROTHER</v>
      </c>
      <c r="F541" s="2005" t="str">
        <f>IFERROR(__xludf.DUMMYFUNCTION("""COMPUTED_VALUE"""),"W")</f>
        <v>W</v>
      </c>
      <c r="G541" s="2005" t="str">
        <f>IFERROR(__xludf.DUMMYFUNCTION("""COMPUTED_VALUE"""),"AC")</f>
        <v>AC</v>
      </c>
      <c r="H541" s="2005">
        <f>IFERROR(__xludf.DUMMYFUNCTION("""COMPUTED_VALUE"""),92.05)</f>
        <v>92.05</v>
      </c>
      <c r="I541" s="2005">
        <f>IFERROR(__xludf.DUMMYFUNCTION("""COMPUTED_VALUE"""),66.44)</f>
        <v>66.44</v>
      </c>
      <c r="BD541" s="2006"/>
      <c r="LM541" s="2008"/>
    </row>
    <row r="542">
      <c r="A542" s="2005">
        <f>IFERROR(__xludf.DUMMYFUNCTION("""COMPUTED_VALUE"""),1016912.0)</f>
        <v>1016912</v>
      </c>
      <c r="B542" s="2005">
        <f>IFERROR(__xludf.DUMMYFUNCTION("""COMPUTED_VALUE"""),2403010.0)</f>
        <v>2403010</v>
      </c>
      <c r="C542" s="2005" t="str">
        <f>IFERROR(__xludf.DUMMYFUNCTION("""COMPUTED_VALUE"""),"Toner")</f>
        <v>Toner</v>
      </c>
      <c r="D542" s="2005" t="str">
        <f>IFERROR(__xludf.DUMMYFUNCTION("""COMPUTED_VALUE"""),"TN241 Jaune")</f>
        <v>TN241 Jaune</v>
      </c>
      <c r="E542" s="2005" t="str">
        <f>IFERROR(__xludf.DUMMYFUNCTION("""COMPUTED_VALUE"""),"BROTHER")</f>
        <v>BROTHER</v>
      </c>
      <c r="F542" s="2005" t="str">
        <f>IFERROR(__xludf.DUMMYFUNCTION("""COMPUTED_VALUE"""),"D")</f>
        <v>D</v>
      </c>
      <c r="G542" s="2005" t="str">
        <f>IFERROR(__xludf.DUMMYFUNCTION("""COMPUTED_VALUE"""),"NN")</f>
        <v>NN</v>
      </c>
      <c r="H542" s="2005">
        <f>IFERROR(__xludf.DUMMYFUNCTION("""COMPUTED_VALUE"""),92.05)</f>
        <v>92.05</v>
      </c>
      <c r="I542" s="2005">
        <f>IFERROR(__xludf.DUMMYFUNCTION("""COMPUTED_VALUE"""),92.05)</f>
        <v>92.05</v>
      </c>
      <c r="BD542" s="2006"/>
      <c r="LM542" s="2007"/>
    </row>
    <row r="543">
      <c r="A543" s="2005">
        <f>IFERROR(__xludf.DUMMYFUNCTION("""COMPUTED_VALUE"""),1017490.0)</f>
        <v>1017490</v>
      </c>
      <c r="B543" s="2005">
        <f>IFERROR(__xludf.DUMMYFUNCTION("""COMPUTED_VALUE"""),2203005.0)</f>
        <v>2203005</v>
      </c>
      <c r="C543" s="2005" t="str">
        <f>IFERROR(__xludf.DUMMYFUNCTION("""COMPUTED_VALUE"""),"Scanner")</f>
        <v>Scanner</v>
      </c>
      <c r="D543" s="2005" t="str">
        <f>IFERROR(__xludf.DUMMYFUNCTION("""COMPUTED_VALUE"""),"Perfection V370 photo")</f>
        <v>Perfection V370 photo</v>
      </c>
      <c r="E543" s="2005" t="str">
        <f>IFERROR(__xludf.DUMMYFUNCTION("""COMPUTED_VALUE"""),"EPSON")</f>
        <v>EPSON</v>
      </c>
      <c r="F543" s="2005" t="str">
        <f>IFERROR(__xludf.DUMMYFUNCTION("""COMPUTED_VALUE"""),"C")</f>
        <v>C</v>
      </c>
      <c r="G543" s="2005" t="str">
        <f>IFERROR(__xludf.DUMMYFUNCTION("""COMPUTED_VALUE"""),"NN")</f>
        <v>NN</v>
      </c>
      <c r="H543">
        <f>IFERROR(__xludf.DUMMYFUNCTION("""COMPUTED_VALUE"""),139.9)</f>
        <v>139.9</v>
      </c>
      <c r="I543">
        <f>IFERROR(__xludf.DUMMYFUNCTION("""COMPUTED_VALUE"""),109.99)</f>
        <v>109.99</v>
      </c>
      <c r="BD543" s="2006"/>
      <c r="LM543" s="2007"/>
    </row>
    <row r="544">
      <c r="A544" s="2005">
        <f>IFERROR(__xludf.DUMMYFUNCTION("""COMPUTED_VALUE"""),1018535.0)</f>
        <v>1018535</v>
      </c>
      <c r="B544" s="2005">
        <f>IFERROR(__xludf.DUMMYFUNCTION("""COMPUTED_VALUE"""),2402015.0)</f>
        <v>2402015</v>
      </c>
      <c r="C544" s="2005" t="str">
        <f>IFERROR(__xludf.DUMMYFUNCTION("""COMPUTED_VALUE"""),"Papier")</f>
        <v>Papier</v>
      </c>
      <c r="D544" s="2005" t="str">
        <f>IFERROR(__xludf.DUMMYFUNCTION("""COMPUTED_VALUE"""),"Photo Maxi Pack 10x15 Brillant 200g 180f")</f>
        <v>Photo Maxi Pack 10x15 Brillant 200g 180f</v>
      </c>
      <c r="E544" s="2005" t="str">
        <f>IFERROR(__xludf.DUMMYFUNCTION("""COMPUTED_VALUE"""),"MICRO APPLICATION")</f>
        <v>MICRO APPLICATION</v>
      </c>
      <c r="F544" s="2005" t="str">
        <f>IFERROR(__xludf.DUMMYFUNCTION("""COMPUTED_VALUE"""),"H")</f>
        <v>H</v>
      </c>
      <c r="G544" s="2005" t="str">
        <f>IFERROR(__xludf.DUMMYFUNCTION("""COMPUTED_VALUE"""),"AC")</f>
        <v>AC</v>
      </c>
      <c r="H544">
        <f>IFERROR(__xludf.DUMMYFUNCTION("""COMPUTED_VALUE"""),9.99)</f>
        <v>9.99</v>
      </c>
      <c r="I544">
        <f>IFERROR(__xludf.DUMMYFUNCTION("""COMPUTED_VALUE"""),9.99)</f>
        <v>9.99</v>
      </c>
      <c r="BD544" s="2006"/>
      <c r="LM544" s="2007"/>
    </row>
    <row r="545">
      <c r="A545" s="2005">
        <f>IFERROR(__xludf.DUMMYFUNCTION("""COMPUTED_VALUE"""),1018538.0)</f>
        <v>1018538</v>
      </c>
      <c r="B545" s="2005">
        <f>IFERROR(__xludf.DUMMYFUNCTION("""COMPUTED_VALUE"""),2402015.0)</f>
        <v>2402015</v>
      </c>
      <c r="C545" s="2005" t="str">
        <f>IFERROR(__xludf.DUMMYFUNCTION("""COMPUTED_VALUE"""),"Papier")</f>
        <v>Papier</v>
      </c>
      <c r="D545" s="2005" t="str">
        <f>IFERROR(__xludf.DUMMYFUNCTION("""COMPUTED_VALUE"""),"Photo 1=2 A4 Brillant 255g/m2 20f+20f")</f>
        <v>Photo 1=2 A4 Brillant 255g/m2 20f+20f</v>
      </c>
      <c r="E545" s="2005" t="str">
        <f>IFERROR(__xludf.DUMMYFUNCTION("""COMPUTED_VALUE"""),"MICRO APPLICATION")</f>
        <v>MICRO APPLICATION</v>
      </c>
      <c r="F545" s="2005" t="str">
        <f>IFERROR(__xludf.DUMMYFUNCTION("""COMPUTED_VALUE"""),"H")</f>
        <v>H</v>
      </c>
      <c r="G545" s="2005" t="str">
        <f>IFERROR(__xludf.DUMMYFUNCTION("""COMPUTED_VALUE"""),"NN")</f>
        <v>NN</v>
      </c>
      <c r="H545" s="2005">
        <f>IFERROR(__xludf.DUMMYFUNCTION("""COMPUTED_VALUE"""),9.99)</f>
        <v>9.99</v>
      </c>
      <c r="I545" s="2005">
        <f>IFERROR(__xludf.DUMMYFUNCTION("""COMPUTED_VALUE"""),9.99)</f>
        <v>9.99</v>
      </c>
      <c r="BD545" s="2006"/>
      <c r="LM545" s="2008"/>
    </row>
    <row r="546">
      <c r="A546" s="2005">
        <f>IFERROR(__xludf.DUMMYFUNCTION("""COMPUTED_VALUE"""),1018542.0)</f>
        <v>1018542</v>
      </c>
      <c r="B546" s="2005">
        <f>IFERROR(__xludf.DUMMYFUNCTION("""COMPUTED_VALUE"""),2402015.0)</f>
        <v>2402015</v>
      </c>
      <c r="C546" s="2005" t="str">
        <f>IFERROR(__xludf.DUMMYFUNCTION("""COMPUTED_VALUE"""),"Papier")</f>
        <v>Papier</v>
      </c>
      <c r="D546" s="2005" t="str">
        <f>IFERROR(__xludf.DUMMYFUNCTION("""COMPUTED_VALUE"""),"Photo Maxi Pack A4 Brillant 170g/m2 50f")</f>
        <v>Photo Maxi Pack A4 Brillant 170g/m2 50f</v>
      </c>
      <c r="E546" s="2005" t="str">
        <f>IFERROR(__xludf.DUMMYFUNCTION("""COMPUTED_VALUE"""),"MICRO APPLICATION")</f>
        <v>MICRO APPLICATION</v>
      </c>
      <c r="F546" s="2005" t="str">
        <f>IFERROR(__xludf.DUMMYFUNCTION("""COMPUTED_VALUE"""),"H")</f>
        <v>H</v>
      </c>
      <c r="G546" s="2005" t="str">
        <f>IFERROR(__xludf.DUMMYFUNCTION("""COMPUTED_VALUE"""),"AC")</f>
        <v>AC</v>
      </c>
      <c r="H546" s="2005">
        <f>IFERROR(__xludf.DUMMYFUNCTION("""COMPUTED_VALUE"""),9.99)</f>
        <v>9.99</v>
      </c>
      <c r="I546" s="2005">
        <f>IFERROR(__xludf.DUMMYFUNCTION("""COMPUTED_VALUE"""),9.99)</f>
        <v>9.99</v>
      </c>
      <c r="BD546" s="2006"/>
      <c r="LM546" s="2008"/>
    </row>
    <row r="547">
      <c r="A547" s="2005">
        <f>IFERROR(__xludf.DUMMYFUNCTION("""COMPUTED_VALUE"""),1020450.0)</f>
        <v>1020450</v>
      </c>
      <c r="B547" s="2005">
        <f>IFERROR(__xludf.DUMMYFUNCTION("""COMPUTED_VALUE"""),2403005.0)</f>
        <v>2403005</v>
      </c>
      <c r="C547" s="2005" t="str">
        <f>IFERROR(__xludf.DUMMYFUNCTION("""COMPUTED_VALUE"""),"Pack")</f>
        <v>Pack</v>
      </c>
      <c r="D547" s="2005" t="str">
        <f>IFERROR(__xludf.DUMMYFUNCTION("""COMPUTED_VALUE"""),"Pack H300 XL Noir + Couleurs Série Kiwi")</f>
        <v>Pack H300 XL Noir + Couleurs Série Kiwi</v>
      </c>
      <c r="E547" s="2005" t="str">
        <f>IFERROR(__xludf.DUMMYFUNCTION("""COMPUTED_VALUE"""),"ESSENTIELB")</f>
        <v>ESSENTIELB</v>
      </c>
      <c r="F547" s="2005" t="str">
        <f>IFERROR(__xludf.DUMMYFUNCTION("""COMPUTED_VALUE"""),"B")</f>
        <v>B</v>
      </c>
      <c r="G547" s="2005" t="str">
        <f>IFERROR(__xludf.DUMMYFUNCTION("""COMPUTED_VALUE"""),"NN")</f>
        <v>NN</v>
      </c>
      <c r="H547" s="2005">
        <f>IFERROR(__xludf.DUMMYFUNCTION("""COMPUTED_VALUE"""),39.99)</f>
        <v>39.99</v>
      </c>
      <c r="I547" s="2005">
        <f>IFERROR(__xludf.DUMMYFUNCTION("""COMPUTED_VALUE"""),39.99)</f>
        <v>39.99</v>
      </c>
      <c r="BD547" s="2006"/>
      <c r="LM547" s="2008"/>
    </row>
    <row r="548">
      <c r="A548" s="2005">
        <f>IFERROR(__xludf.DUMMYFUNCTION("""COMPUTED_VALUE"""),1020631.0)</f>
        <v>1020631</v>
      </c>
      <c r="B548" s="2005">
        <f>IFERROR(__xludf.DUMMYFUNCTION("""COMPUTED_VALUE"""),2403005.0)</f>
        <v>2403005</v>
      </c>
      <c r="C548" s="2005" t="str">
        <f>IFERROR(__xludf.DUMMYFUNCTION("""COMPUTED_VALUE"""),"Cartouche")</f>
        <v>Cartouche</v>
      </c>
      <c r="D548" s="2005" t="str">
        <f>IFERROR(__xludf.DUMMYFUNCTION("""COMPUTED_VALUE"""),"H350/351 Noir+Couleurs Série Grenouille")</f>
        <v>H350/351 Noir+Couleurs Série Grenouille</v>
      </c>
      <c r="E548" s="2005" t="str">
        <f>IFERROR(__xludf.DUMMYFUNCTION("""COMPUTED_VALUE"""),"ESSENTIELB")</f>
        <v>ESSENTIELB</v>
      </c>
      <c r="F548" s="2005" t="str">
        <f>IFERROR(__xludf.DUMMYFUNCTION("""COMPUTED_VALUE"""),"B")</f>
        <v>B</v>
      </c>
      <c r="G548" s="2005" t="str">
        <f>IFERROR(__xludf.DUMMYFUNCTION("""COMPUTED_VALUE"""),"NN")</f>
        <v>NN</v>
      </c>
      <c r="H548" s="2005">
        <f>IFERROR(__xludf.DUMMYFUNCTION("""COMPUTED_VALUE"""),32.99)</f>
        <v>32.99</v>
      </c>
      <c r="I548" s="2005">
        <f>IFERROR(__xludf.DUMMYFUNCTION("""COMPUTED_VALUE"""),32.99)</f>
        <v>32.99</v>
      </c>
      <c r="BD548" s="2006"/>
      <c r="LM548" s="2007"/>
    </row>
    <row r="549">
      <c r="A549" s="2005">
        <f>IFERROR(__xludf.DUMMYFUNCTION("""COMPUTED_VALUE"""),1020932.0)</f>
        <v>1020932</v>
      </c>
      <c r="B549" s="2005">
        <f>IFERROR(__xludf.DUMMYFUNCTION("""COMPUTED_VALUE"""),2403005.0)</f>
        <v>2403005</v>
      </c>
      <c r="C549" s="2005" t="str">
        <f>IFERROR(__xludf.DUMMYFUNCTION("""COMPUTED_VALUE"""),"Pack")</f>
        <v>Pack</v>
      </c>
      <c r="D549" s="2005" t="str">
        <f>IFERROR(__xludf.DUMMYFUNCTION("""COMPUTED_VALUE"""),"N°932XL +N°933XL (N/C/M/J)")</f>
        <v>N°932XL +N°933XL (N/C/M/J)</v>
      </c>
      <c r="E549" s="2005" t="str">
        <f>IFERROR(__xludf.DUMMYFUNCTION("""COMPUTED_VALUE"""),"HP")</f>
        <v>HP</v>
      </c>
      <c r="F549" s="2005" t="str">
        <f>IFERROR(__xludf.DUMMYFUNCTION("""COMPUTED_VALUE"""),"A")</f>
        <v>A</v>
      </c>
      <c r="G549" s="2005" t="str">
        <f>IFERROR(__xludf.DUMMYFUNCTION("""COMPUTED_VALUE"""),"NN")</f>
        <v>NN</v>
      </c>
      <c r="H549" s="2005">
        <f>IFERROR(__xludf.DUMMYFUNCTION("""COMPUTED_VALUE"""),73.99)</f>
        <v>73.99</v>
      </c>
      <c r="I549">
        <f>IFERROR(__xludf.DUMMYFUNCTION("""COMPUTED_VALUE"""),73.99)</f>
        <v>73.99</v>
      </c>
      <c r="BD549" s="2006"/>
      <c r="LM549" s="2007"/>
    </row>
    <row r="550">
      <c r="A550" s="2005">
        <f>IFERROR(__xludf.DUMMYFUNCTION("""COMPUTED_VALUE"""),1020933.0)</f>
        <v>1020933</v>
      </c>
      <c r="B550" s="2005">
        <f>IFERROR(__xludf.DUMMYFUNCTION("""COMPUTED_VALUE"""),2403005.0)</f>
        <v>2403005</v>
      </c>
      <c r="C550" s="2005" t="str">
        <f>IFERROR(__xludf.DUMMYFUNCTION("""COMPUTED_VALUE"""),"Pack")</f>
        <v>Pack</v>
      </c>
      <c r="D550" s="2005" t="str">
        <f>IFERROR(__xludf.DUMMYFUNCTION("""COMPUTED_VALUE"""),"951XL/950XL (N/C/M/J)")</f>
        <v>951XL/950XL (N/C/M/J)</v>
      </c>
      <c r="E550" s="2005" t="str">
        <f>IFERROR(__xludf.DUMMYFUNCTION("""COMPUTED_VALUE"""),"HP")</f>
        <v>HP</v>
      </c>
      <c r="F550" s="2005" t="str">
        <f>IFERROR(__xludf.DUMMYFUNCTION("""COMPUTED_VALUE"""),"A")</f>
        <v>A</v>
      </c>
      <c r="G550" s="2005" t="str">
        <f>IFERROR(__xludf.DUMMYFUNCTION("""COMPUTED_VALUE"""),"NN")</f>
        <v>NN</v>
      </c>
      <c r="H550" s="2005">
        <f>IFERROR(__xludf.DUMMYFUNCTION("""COMPUTED_VALUE"""),110.99)</f>
        <v>110.99</v>
      </c>
      <c r="I550" s="2005">
        <f>IFERROR(__xludf.DUMMYFUNCTION("""COMPUTED_VALUE"""),110.99)</f>
        <v>110.99</v>
      </c>
      <c r="BD550" s="2006"/>
      <c r="LM550" s="2007"/>
    </row>
    <row r="551">
      <c r="A551" s="2005">
        <f>IFERROR(__xludf.DUMMYFUNCTION("""COMPUTED_VALUE"""),1021696.0)</f>
        <v>1021696</v>
      </c>
      <c r="B551" s="2005">
        <f>IFERROR(__xludf.DUMMYFUNCTION("""COMPUTED_VALUE"""),2402015.0)</f>
        <v>2402015</v>
      </c>
      <c r="C551" s="2005" t="str">
        <f>IFERROR(__xludf.DUMMYFUNCTION("""COMPUTED_VALUE"""),"Papier")</f>
        <v>Papier</v>
      </c>
      <c r="D551" s="2005" t="str">
        <f>IFERROR(__xludf.DUMMYFUNCTION("""COMPUTED_VALUE"""),"PS2203 Pocket Photo 3x10F")</f>
        <v>PS2203 Pocket Photo 3x10F</v>
      </c>
      <c r="E551" s="2005" t="str">
        <f>IFERROR(__xludf.DUMMYFUNCTION("""COMPUTED_VALUE"""),"LG")</f>
        <v>LG</v>
      </c>
      <c r="F551" s="2005" t="str">
        <f>IFERROR(__xludf.DUMMYFUNCTION("""COMPUTED_VALUE"""),"A")</f>
        <v>A</v>
      </c>
      <c r="G551" s="2005" t="str">
        <f>IFERROR(__xludf.DUMMYFUNCTION("""COMPUTED_VALUE"""),"NN")</f>
        <v>NN</v>
      </c>
      <c r="H551" s="2005">
        <f>IFERROR(__xludf.DUMMYFUNCTION("""COMPUTED_VALUE"""),9.99)</f>
        <v>9.99</v>
      </c>
      <c r="I551" s="2005">
        <f>IFERROR(__xludf.DUMMYFUNCTION("""COMPUTED_VALUE"""),9.99)</f>
        <v>9.99</v>
      </c>
      <c r="BD551" s="2006"/>
      <c r="LM551" s="2007"/>
    </row>
    <row r="552">
      <c r="A552" s="2005">
        <f>IFERROR(__xludf.DUMMYFUNCTION("""COMPUTED_VALUE"""),1021762.0)</f>
        <v>1021762</v>
      </c>
      <c r="B552" s="2005">
        <f>IFERROR(__xludf.DUMMYFUNCTION("""COMPUTED_VALUE"""),2402015.0)</f>
        <v>2402015</v>
      </c>
      <c r="C552" s="2005" t="str">
        <f>IFERROR(__xludf.DUMMYFUNCTION("""COMPUTED_VALUE"""),"Papier")</f>
        <v>Papier</v>
      </c>
      <c r="D552" s="2005" t="str">
        <f>IFERROR(__xludf.DUMMYFUNCTION("""COMPUTED_VALUE"""),"glacé 200g 10x15 50feuilles")</f>
        <v>glacé 200g 10x15 50feuilles</v>
      </c>
      <c r="E552" s="2005" t="str">
        <f>IFERROR(__xludf.DUMMYFUNCTION("""COMPUTED_VALUE"""),"EPSON")</f>
        <v>EPSON</v>
      </c>
      <c r="F552" s="2005" t="str">
        <f>IFERROR(__xludf.DUMMYFUNCTION("""COMPUTED_VALUE"""),"C")</f>
        <v>C</v>
      </c>
      <c r="G552" s="2005" t="str">
        <f>IFERROR(__xludf.DUMMYFUNCTION("""COMPUTED_VALUE"""),"AC")</f>
        <v>AC</v>
      </c>
      <c r="H552" s="2005">
        <f>IFERROR(__xludf.DUMMYFUNCTION("""COMPUTED_VALUE"""),10.98)</f>
        <v>10.98</v>
      </c>
      <c r="I552" s="2005">
        <f>IFERROR(__xludf.DUMMYFUNCTION("""COMPUTED_VALUE"""),10.98)</f>
        <v>10.98</v>
      </c>
      <c r="BD552" s="2006"/>
      <c r="LM552" s="2007"/>
    </row>
    <row r="553">
      <c r="A553" s="2005">
        <f>IFERROR(__xludf.DUMMYFUNCTION("""COMPUTED_VALUE"""),1021763.0)</f>
        <v>1021763</v>
      </c>
      <c r="B553" s="2005">
        <f>IFERROR(__xludf.DUMMYFUNCTION("""COMPUTED_VALUE"""),2402015.0)</f>
        <v>2402015</v>
      </c>
      <c r="C553" s="2005" t="str">
        <f>IFERROR(__xludf.DUMMYFUNCTION("""COMPUTED_VALUE"""),"Papier")</f>
        <v>Papier</v>
      </c>
      <c r="D553" s="2005" t="str">
        <f>IFERROR(__xludf.DUMMYFUNCTION("""COMPUTED_VALUE"""),"glacé 200g 13x18 50feuilles")</f>
        <v>glacé 200g 13x18 50feuilles</v>
      </c>
      <c r="E553" s="2005" t="str">
        <f>IFERROR(__xludf.DUMMYFUNCTION("""COMPUTED_VALUE"""),"EPSON")</f>
        <v>EPSON</v>
      </c>
      <c r="F553" s="2005" t="str">
        <f>IFERROR(__xludf.DUMMYFUNCTION("""COMPUTED_VALUE"""),"C")</f>
        <v>C</v>
      </c>
      <c r="G553" s="2005" t="str">
        <f>IFERROR(__xludf.DUMMYFUNCTION("""COMPUTED_VALUE"""),"AC")</f>
        <v>AC</v>
      </c>
      <c r="H553" s="2005">
        <f>IFERROR(__xludf.DUMMYFUNCTION("""COMPUTED_VALUE"""),12.98)</f>
        <v>12.98</v>
      </c>
      <c r="I553" s="2005">
        <f>IFERROR(__xludf.DUMMYFUNCTION("""COMPUTED_VALUE"""),12.98)</f>
        <v>12.98</v>
      </c>
      <c r="BD553" s="2006"/>
      <c r="LM553" s="2007"/>
    </row>
    <row r="554">
      <c r="A554" s="2005">
        <f>IFERROR(__xludf.DUMMYFUNCTION("""COMPUTED_VALUE"""),1021764.0)</f>
        <v>1021764</v>
      </c>
      <c r="B554" s="2005">
        <f>IFERROR(__xludf.DUMMYFUNCTION("""COMPUTED_VALUE"""),2402015.0)</f>
        <v>2402015</v>
      </c>
      <c r="C554" s="2005" t="str">
        <f>IFERROR(__xludf.DUMMYFUNCTION("""COMPUTED_VALUE"""),"Papier")</f>
        <v>Papier</v>
      </c>
      <c r="D554" s="2005" t="str">
        <f>IFERROR(__xludf.DUMMYFUNCTION("""COMPUTED_VALUE"""),"glacé 200g A4 20 feuilles")</f>
        <v>glacé 200g A4 20 feuilles</v>
      </c>
      <c r="E554" s="2005" t="str">
        <f>IFERROR(__xludf.DUMMYFUNCTION("""COMPUTED_VALUE"""),"EPSON")</f>
        <v>EPSON</v>
      </c>
      <c r="F554" s="2005" t="str">
        <f>IFERROR(__xludf.DUMMYFUNCTION("""COMPUTED_VALUE"""),"D")</f>
        <v>D</v>
      </c>
      <c r="G554" s="2005" t="str">
        <f>IFERROR(__xludf.DUMMYFUNCTION("""COMPUTED_VALUE"""),"FF")</f>
        <v>FF</v>
      </c>
      <c r="H554">
        <f>IFERROR(__xludf.DUMMYFUNCTION("""COMPUTED_VALUE"""),14.98)</f>
        <v>14.98</v>
      </c>
      <c r="I554">
        <f>IFERROR(__xludf.DUMMYFUNCTION("""COMPUTED_VALUE"""),14.98)</f>
        <v>14.98</v>
      </c>
      <c r="BD554" s="2006"/>
      <c r="LM554" s="2007"/>
    </row>
    <row r="555">
      <c r="A555" s="2005">
        <f>IFERROR(__xludf.DUMMYFUNCTION("""COMPUTED_VALUE"""),1021765.0)</f>
        <v>1021765</v>
      </c>
      <c r="B555" s="2005">
        <f>IFERROR(__xludf.DUMMYFUNCTION("""COMPUTED_VALUE"""),2402015.0)</f>
        <v>2402015</v>
      </c>
      <c r="C555" s="2005" t="str">
        <f>IFERROR(__xludf.DUMMYFUNCTION("""COMPUTED_VALUE"""),"Papier")</f>
        <v>Papier</v>
      </c>
      <c r="D555" s="2005" t="str">
        <f>IFERROR(__xludf.DUMMYFUNCTION("""COMPUTED_VALUE"""),"mat archival A4 50 feuilles 192g")</f>
        <v>mat archival A4 50 feuilles 192g</v>
      </c>
      <c r="E555" s="2005" t="str">
        <f>IFERROR(__xludf.DUMMYFUNCTION("""COMPUTED_VALUE"""),"EPSON")</f>
        <v>EPSON</v>
      </c>
      <c r="F555" s="2005" t="str">
        <f>IFERROR(__xludf.DUMMYFUNCTION("""COMPUTED_VALUE"""),"A")</f>
        <v>A</v>
      </c>
      <c r="G555" s="2005" t="str">
        <f>IFERROR(__xludf.DUMMYFUNCTION("""COMPUTED_VALUE"""),"AC")</f>
        <v>AC</v>
      </c>
      <c r="H555" s="2005">
        <f>IFERROR(__xludf.DUMMYFUNCTION("""COMPUTED_VALUE"""),22.98)</f>
        <v>22.98</v>
      </c>
      <c r="I555" s="2005">
        <f>IFERROR(__xludf.DUMMYFUNCTION("""COMPUTED_VALUE"""),22.98)</f>
        <v>22.98</v>
      </c>
      <c r="BD555" s="2006"/>
      <c r="LM555" s="2007"/>
    </row>
    <row r="556">
      <c r="A556" s="2005">
        <f>IFERROR(__xludf.DUMMYFUNCTION("""COMPUTED_VALUE"""),1022497.0)</f>
        <v>1022497</v>
      </c>
      <c r="B556" s="2005">
        <f>IFERROR(__xludf.DUMMYFUNCTION("""COMPUTED_VALUE"""),2203010.0)</f>
        <v>2203010</v>
      </c>
      <c r="C556" s="2005" t="str">
        <f>IFERROR(__xludf.DUMMYFUNCTION("""COMPUTED_VALUE"""),"Scanner")</f>
        <v>Scanner</v>
      </c>
      <c r="D556" s="2005" t="str">
        <f>IFERROR(__xludf.DUMMYFUNCTION("""COMPUTED_VALUE"""),"IRIScan Mouse Executive 2")</f>
        <v>IRIScan Mouse Executive 2</v>
      </c>
      <c r="E556" s="2005" t="str">
        <f>IFERROR(__xludf.DUMMYFUNCTION("""COMPUTED_VALUE"""),"IRIS")</f>
        <v>IRIS</v>
      </c>
      <c r="F556" s="2005" t="str">
        <f>IFERROR(__xludf.DUMMYFUNCTION("""COMPUTED_VALUE"""),"A")</f>
        <v>A</v>
      </c>
      <c r="G556" s="2005" t="str">
        <f>IFERROR(__xludf.DUMMYFUNCTION("""COMPUTED_VALUE"""),"NN")</f>
        <v>NN</v>
      </c>
      <c r="H556" s="2005">
        <f>IFERROR(__xludf.DUMMYFUNCTION("""COMPUTED_VALUE"""),99.0)</f>
        <v>99</v>
      </c>
      <c r="I556" s="2005">
        <f>IFERROR(__xludf.DUMMYFUNCTION("""COMPUTED_VALUE"""),99.0)</f>
        <v>99</v>
      </c>
      <c r="BD556" s="2006"/>
      <c r="LM556" s="2007"/>
    </row>
    <row r="557">
      <c r="A557" s="2005">
        <f>IFERROR(__xludf.DUMMYFUNCTION("""COMPUTED_VALUE"""),1022569.0)</f>
        <v>1022569</v>
      </c>
      <c r="B557" s="2005">
        <f>IFERROR(__xludf.DUMMYFUNCTION("""COMPUTED_VALUE"""),2503005.0)</f>
        <v>2503005</v>
      </c>
      <c r="C557" s="2005" t="str">
        <f>IFERROR(__xludf.DUMMYFUNCTION("""COMPUTED_VALUE"""),"Enceinte")</f>
        <v>Enceinte</v>
      </c>
      <c r="D557" s="2005" t="str">
        <f>IFERROR(__xludf.DUMMYFUNCTION("""COMPUTED_VALUE"""),"2.0 Melody")</f>
        <v>2.0 Melody</v>
      </c>
      <c r="E557" s="2005" t="str">
        <f>IFERROR(__xludf.DUMMYFUNCTION("""COMPUTED_VALUE"""),"ESSENTIELB")</f>
        <v>ESSENTIELB</v>
      </c>
      <c r="F557" s="2005" t="str">
        <f>IFERROR(__xludf.DUMMYFUNCTION("""COMPUTED_VALUE"""),"A")</f>
        <v>A</v>
      </c>
      <c r="G557" s="2005" t="str">
        <f>IFERROR(__xludf.DUMMYFUNCTION("""COMPUTED_VALUE"""),"NN")</f>
        <v>NN</v>
      </c>
      <c r="H557" s="2005">
        <f>IFERROR(__xludf.DUMMYFUNCTION("""COMPUTED_VALUE"""),9.99)</f>
        <v>9.99</v>
      </c>
      <c r="I557" s="2005">
        <f>IFERROR(__xludf.DUMMYFUNCTION("""COMPUTED_VALUE"""),9.99)</f>
        <v>9.99</v>
      </c>
      <c r="BD557" s="2006"/>
      <c r="LM557" s="2007"/>
    </row>
    <row r="558">
      <c r="A558" s="2005">
        <f>IFERROR(__xludf.DUMMYFUNCTION("""COMPUTED_VALUE"""),1023321.0)</f>
        <v>1023321</v>
      </c>
      <c r="B558" s="2005">
        <f>IFERROR(__xludf.DUMMYFUNCTION("""COMPUTED_VALUE"""),2403005.0)</f>
        <v>2403005</v>
      </c>
      <c r="C558" s="2005" t="str">
        <f>IFERROR(__xludf.DUMMYFUNCTION("""COMPUTED_VALUE"""),"Cartouche")</f>
        <v>Cartouche</v>
      </c>
      <c r="D558" s="2005" t="str">
        <f>IFERROR(__xludf.DUMMYFUNCTION("""COMPUTED_VALUE"""),"79XL Noire Série Tour de Pise")</f>
        <v>79XL Noire Série Tour de Pise</v>
      </c>
      <c r="E558" s="2005" t="str">
        <f>IFERROR(__xludf.DUMMYFUNCTION("""COMPUTED_VALUE"""),"EPSON")</f>
        <v>EPSON</v>
      </c>
      <c r="F558" s="2005" t="str">
        <f>IFERROR(__xludf.DUMMYFUNCTION("""COMPUTED_VALUE"""),"C")</f>
        <v>C</v>
      </c>
      <c r="G558" s="2005" t="str">
        <f>IFERROR(__xludf.DUMMYFUNCTION("""COMPUTED_VALUE"""),"NN")</f>
        <v>NN</v>
      </c>
      <c r="H558">
        <f>IFERROR(__xludf.DUMMYFUNCTION("""COMPUTED_VALUE"""),47.98)</f>
        <v>47.98</v>
      </c>
      <c r="I558">
        <f>IFERROR(__xludf.DUMMYFUNCTION("""COMPUTED_VALUE"""),47.98)</f>
        <v>47.98</v>
      </c>
      <c r="BD558" s="2006"/>
      <c r="LM558" s="2007"/>
    </row>
    <row r="559">
      <c r="A559" s="2005">
        <f>IFERROR(__xludf.DUMMYFUNCTION("""COMPUTED_VALUE"""),1023322.0)</f>
        <v>1023322</v>
      </c>
      <c r="B559" s="2005">
        <f>IFERROR(__xludf.DUMMYFUNCTION("""COMPUTED_VALUE"""),2403005.0)</f>
        <v>2403005</v>
      </c>
      <c r="C559" s="2005" t="str">
        <f>IFERROR(__xludf.DUMMYFUNCTION("""COMPUTED_VALUE"""),"Cartouche")</f>
        <v>Cartouche</v>
      </c>
      <c r="D559" s="2005" t="str">
        <f>IFERROR(__xludf.DUMMYFUNCTION("""COMPUTED_VALUE"""),"79XL Cyan Tour de Pise")</f>
        <v>79XL Cyan Tour de Pise</v>
      </c>
      <c r="E559" s="2005" t="str">
        <f>IFERROR(__xludf.DUMMYFUNCTION("""COMPUTED_VALUE"""),"EPSON")</f>
        <v>EPSON</v>
      </c>
      <c r="F559" s="2005" t="str">
        <f>IFERROR(__xludf.DUMMYFUNCTION("""COMPUTED_VALUE"""),"D")</f>
        <v>D</v>
      </c>
      <c r="G559" s="2005" t="str">
        <f>IFERROR(__xludf.DUMMYFUNCTION("""COMPUTED_VALUE"""),"FF")</f>
        <v>FF</v>
      </c>
      <c r="H559" s="2005">
        <f>IFERROR(__xludf.DUMMYFUNCTION("""COMPUTED_VALUE"""),40.98)</f>
        <v>40.98</v>
      </c>
      <c r="I559" s="2005">
        <f>IFERROR(__xludf.DUMMYFUNCTION("""COMPUTED_VALUE"""),40.98)</f>
        <v>40.98</v>
      </c>
      <c r="BD559" s="2006"/>
      <c r="LM559" s="2007"/>
    </row>
    <row r="560">
      <c r="A560" s="2005">
        <f>IFERROR(__xludf.DUMMYFUNCTION("""COMPUTED_VALUE"""),1023323.0)</f>
        <v>1023323</v>
      </c>
      <c r="B560" s="2005">
        <f>IFERROR(__xludf.DUMMYFUNCTION("""COMPUTED_VALUE"""),2403005.0)</f>
        <v>2403005</v>
      </c>
      <c r="C560" s="2005" t="str">
        <f>IFERROR(__xludf.DUMMYFUNCTION("""COMPUTED_VALUE"""),"Cartouche")</f>
        <v>Cartouche</v>
      </c>
      <c r="D560" s="2005" t="str">
        <f>IFERROR(__xludf.DUMMYFUNCTION("""COMPUTED_VALUE"""),"79XL Magenta Tour de Pise")</f>
        <v>79XL Magenta Tour de Pise</v>
      </c>
      <c r="E560" s="2005" t="str">
        <f>IFERROR(__xludf.DUMMYFUNCTION("""COMPUTED_VALUE"""),"EPSON")</f>
        <v>EPSON</v>
      </c>
      <c r="F560" s="2005" t="str">
        <f>IFERROR(__xludf.DUMMYFUNCTION("""COMPUTED_VALUE"""),"D")</f>
        <v>D</v>
      </c>
      <c r="G560" s="2005" t="str">
        <f>IFERROR(__xludf.DUMMYFUNCTION("""COMPUTED_VALUE"""),"FF")</f>
        <v>FF</v>
      </c>
      <c r="H560" s="2005">
        <f>IFERROR(__xludf.DUMMYFUNCTION("""COMPUTED_VALUE"""),40.98)</f>
        <v>40.98</v>
      </c>
      <c r="I560" s="2005">
        <f>IFERROR(__xludf.DUMMYFUNCTION("""COMPUTED_VALUE"""),40.98)</f>
        <v>40.98</v>
      </c>
      <c r="BD560" s="2006"/>
      <c r="LM560" s="2007"/>
    </row>
    <row r="561">
      <c r="A561" s="2005">
        <f>IFERROR(__xludf.DUMMYFUNCTION("""COMPUTED_VALUE"""),1023324.0)</f>
        <v>1023324</v>
      </c>
      <c r="B561" s="2005">
        <f>IFERROR(__xludf.DUMMYFUNCTION("""COMPUTED_VALUE"""),2403005.0)</f>
        <v>2403005</v>
      </c>
      <c r="C561" s="2005" t="str">
        <f>IFERROR(__xludf.DUMMYFUNCTION("""COMPUTED_VALUE"""),"Cartouche")</f>
        <v>Cartouche</v>
      </c>
      <c r="D561" s="2005" t="str">
        <f>IFERROR(__xludf.DUMMYFUNCTION("""COMPUTED_VALUE"""),"79XL Jaune Tour de Pise")</f>
        <v>79XL Jaune Tour de Pise</v>
      </c>
      <c r="E561" s="2005" t="str">
        <f>IFERROR(__xludf.DUMMYFUNCTION("""COMPUTED_VALUE"""),"EPSON")</f>
        <v>EPSON</v>
      </c>
      <c r="F561" s="2005" t="str">
        <f>IFERROR(__xludf.DUMMYFUNCTION("""COMPUTED_VALUE"""),"D")</f>
        <v>D</v>
      </c>
      <c r="G561" s="2005" t="str">
        <f>IFERROR(__xludf.DUMMYFUNCTION("""COMPUTED_VALUE"""),"FF")</f>
        <v>FF</v>
      </c>
      <c r="H561" s="2005">
        <f>IFERROR(__xludf.DUMMYFUNCTION("""COMPUTED_VALUE"""),40.98)</f>
        <v>40.98</v>
      </c>
      <c r="I561" s="2005">
        <f>IFERROR(__xludf.DUMMYFUNCTION("""COMPUTED_VALUE"""),40.98)</f>
        <v>40.98</v>
      </c>
      <c r="BD561" s="2006"/>
      <c r="LM561" s="2007"/>
    </row>
    <row r="562">
      <c r="A562" s="2005">
        <f>IFERROR(__xludf.DUMMYFUNCTION("""COMPUTED_VALUE"""),1023817.0)</f>
        <v>1023817</v>
      </c>
      <c r="B562" s="2005">
        <f>IFERROR(__xludf.DUMMYFUNCTION("""COMPUTED_VALUE"""),2203010.0)</f>
        <v>2203010</v>
      </c>
      <c r="C562" s="2005" t="str">
        <f>IFERROR(__xludf.DUMMYFUNCTION("""COMPUTED_VALUE"""),"Etui")</f>
        <v>Etui</v>
      </c>
      <c r="D562" s="2005" t="str">
        <f>IFERROR(__xludf.DUMMYFUNCTION("""COMPUTED_VALUE"""),"de Transport IrisScan Book")</f>
        <v>de Transport IrisScan Book</v>
      </c>
      <c r="E562" s="2005" t="str">
        <f>IFERROR(__xludf.DUMMYFUNCTION("""COMPUTED_VALUE"""),"IRIS")</f>
        <v>IRIS</v>
      </c>
      <c r="F562" s="2005" t="str">
        <f>IFERROR(__xludf.DUMMYFUNCTION("""COMPUTED_VALUE"""),"W")</f>
        <v>W</v>
      </c>
      <c r="G562" s="2005" t="str">
        <f>IFERROR(__xludf.DUMMYFUNCTION("""COMPUTED_VALUE"""),"AC")</f>
        <v>AC</v>
      </c>
      <c r="H562">
        <f>IFERROR(__xludf.DUMMYFUNCTION("""COMPUTED_VALUE"""),24.99)</f>
        <v>24.99</v>
      </c>
      <c r="I562">
        <f>IFERROR(__xludf.DUMMYFUNCTION("""COMPUTED_VALUE"""),24.99)</f>
        <v>24.99</v>
      </c>
      <c r="BD562" s="2006"/>
      <c r="LM562" s="2007"/>
    </row>
    <row r="563">
      <c r="A563" s="2005">
        <f>IFERROR(__xludf.DUMMYFUNCTION("""COMPUTED_VALUE"""),1024262.0)</f>
        <v>1024262</v>
      </c>
      <c r="B563" s="2005">
        <f>IFERROR(__xludf.DUMMYFUNCTION("""COMPUTED_VALUE"""),2403005.0)</f>
        <v>2403005</v>
      </c>
      <c r="C563" s="2005" t="str">
        <f>IFERROR(__xludf.DUMMYFUNCTION("""COMPUTED_VALUE"""),"Pack")</f>
        <v>Pack</v>
      </c>
      <c r="D563" s="2005" t="str">
        <f>IFERROR(__xludf.DUMMYFUNCTION("""COMPUTED_VALUE"""),"T2636 XL (N/C/M/J) Ours Polaire")</f>
        <v>T2636 XL (N/C/M/J) Ours Polaire</v>
      </c>
      <c r="E563" s="2005" t="str">
        <f>IFERROR(__xludf.DUMMYFUNCTION("""COMPUTED_VALUE"""),"EPSON")</f>
        <v>EPSON</v>
      </c>
      <c r="F563" s="2005" t="str">
        <f>IFERROR(__xludf.DUMMYFUNCTION("""COMPUTED_VALUE"""),"A")</f>
        <v>A</v>
      </c>
      <c r="G563" s="2005" t="str">
        <f>IFERROR(__xludf.DUMMYFUNCTION("""COMPUTED_VALUE"""),"FF")</f>
        <v>FF</v>
      </c>
      <c r="H563" s="2005">
        <f>IFERROR(__xludf.DUMMYFUNCTION("""COMPUTED_VALUE"""),103.0)</f>
        <v>103</v>
      </c>
      <c r="I563" s="2005">
        <f>IFERROR(__xludf.DUMMYFUNCTION("""COMPUTED_VALUE"""),103.0)</f>
        <v>103</v>
      </c>
      <c r="BD563" s="2006"/>
      <c r="LM563" s="2007"/>
    </row>
    <row r="564">
      <c r="A564" s="2005">
        <f>IFERROR(__xludf.DUMMYFUNCTION("""COMPUTED_VALUE"""),1024446.0)</f>
        <v>1024446</v>
      </c>
      <c r="B564" s="2005">
        <f>IFERROR(__xludf.DUMMYFUNCTION("""COMPUTED_VALUE"""),2502520.0)</f>
        <v>2502520</v>
      </c>
      <c r="C564" s="2005" t="str">
        <f>IFERROR(__xludf.DUMMYFUNCTION("""COMPUTED_VALUE"""),"Syst. sécurité")</f>
        <v>Syst. sécurité</v>
      </c>
      <c r="D564" s="2005" t="str">
        <f>IFERROR(__xludf.DUMMYFUNCTION("""COMPUTED_VALUE"""),"Proximo Balise add. iOs/Andoïd")</f>
        <v>Proximo Balise add. iOs/Andoïd</v>
      </c>
      <c r="E564" s="2005" t="str">
        <f>IFERROR(__xludf.DUMMYFUNCTION("""COMPUTED_VALUE"""),"KENSINGTON")</f>
        <v>KENSINGTON</v>
      </c>
      <c r="F564" s="2005" t="str">
        <f>IFERROR(__xludf.DUMMYFUNCTION("""COMPUTED_VALUE"""),"E")</f>
        <v>E</v>
      </c>
      <c r="G564" s="2005" t="str">
        <f>IFERROR(__xludf.DUMMYFUNCTION("""COMPUTED_VALUE"""),"NN")</f>
        <v>NN</v>
      </c>
      <c r="H564" s="2005">
        <f>IFERROR(__xludf.DUMMYFUNCTION("""COMPUTED_VALUE"""),24.99)</f>
        <v>24.99</v>
      </c>
      <c r="I564" s="2005">
        <f>IFERROR(__xludf.DUMMYFUNCTION("""COMPUTED_VALUE"""),24.99)</f>
        <v>24.99</v>
      </c>
      <c r="BD564" s="2006"/>
      <c r="LM564" s="2007"/>
    </row>
    <row r="565">
      <c r="A565" s="2005">
        <f>IFERROR(__xludf.DUMMYFUNCTION("""COMPUTED_VALUE"""),1026813.0)</f>
        <v>1026813</v>
      </c>
      <c r="B565" s="2005">
        <f>IFERROR(__xludf.DUMMYFUNCTION("""COMPUTED_VALUE"""),2704515.0)</f>
        <v>2704515</v>
      </c>
      <c r="C565" s="2005" t="str">
        <f>IFERROR(__xludf.DUMMYFUNCTION("""COMPUTED_VALUE"""),"Calc.")</f>
        <v>Calc.</v>
      </c>
      <c r="D565" s="2005" t="str">
        <f>IFERROR(__xludf.DUMMYFUNCTION("""COMPUTED_VALUE"""),"SC500FR")</f>
        <v>SC500FR</v>
      </c>
      <c r="E565" s="2005" t="str">
        <f>IFERROR(__xludf.DUMMYFUNCTION("""COMPUTED_VALUE"""),"LEXIBOOK")</f>
        <v>LEXIBOOK</v>
      </c>
      <c r="F565" s="2005" t="str">
        <f>IFERROR(__xludf.DUMMYFUNCTION("""COMPUTED_VALUE"""),"B")</f>
        <v>B</v>
      </c>
      <c r="G565" s="2005" t="str">
        <f>IFERROR(__xludf.DUMMYFUNCTION("""COMPUTED_VALUE"""),"NN")</f>
        <v>NN</v>
      </c>
      <c r="H565" s="2005">
        <f>IFERROR(__xludf.DUMMYFUNCTION("""COMPUTED_VALUE"""),12.99)</f>
        <v>12.99</v>
      </c>
      <c r="I565" s="2005">
        <f>IFERROR(__xludf.DUMMYFUNCTION("""COMPUTED_VALUE"""),12.99)</f>
        <v>12.99</v>
      </c>
      <c r="BD565" s="2006"/>
      <c r="LM565" s="2007"/>
    </row>
    <row r="566">
      <c r="A566" s="2005">
        <f>IFERROR(__xludf.DUMMYFUNCTION("""COMPUTED_VALUE"""),1026840.0)</f>
        <v>1026840</v>
      </c>
      <c r="B566" s="2005">
        <f>IFERROR(__xludf.DUMMYFUNCTION("""COMPUTED_VALUE"""),2502510.0)</f>
        <v>2502510</v>
      </c>
      <c r="C566" s="2005" t="str">
        <f>IFERROR(__xludf.DUMMYFUNCTION("""COMPUTED_VALUE"""),"Dock")</f>
        <v>Dock</v>
      </c>
      <c r="D566" s="2005" t="str">
        <f>IFERROR(__xludf.DUMMYFUNCTION("""COMPUTED_VALUE"""),"pour Surface Pro 3")</f>
        <v>pour Surface Pro 3</v>
      </c>
      <c r="E566" s="2005" t="str">
        <f>IFERROR(__xludf.DUMMYFUNCTION("""COMPUTED_VALUE"""),"MICROSOFT")</f>
        <v>MICROSOFT</v>
      </c>
      <c r="F566" s="2005" t="str">
        <f>IFERROR(__xludf.DUMMYFUNCTION("""COMPUTED_VALUE"""),"C")</f>
        <v>C</v>
      </c>
      <c r="G566" s="2005" t="str">
        <f>IFERROR(__xludf.DUMMYFUNCTION("""COMPUTED_VALUE"""),"NN")</f>
        <v>NN</v>
      </c>
      <c r="H566" s="2005">
        <f>IFERROR(__xludf.DUMMYFUNCTION("""COMPUTED_VALUE"""),199.98)</f>
        <v>199.98</v>
      </c>
      <c r="I566" s="2005">
        <f>IFERROR(__xludf.DUMMYFUNCTION("""COMPUTED_VALUE"""),199.98)</f>
        <v>199.98</v>
      </c>
      <c r="BD566" s="2006"/>
      <c r="LM566" s="2007"/>
    </row>
    <row r="567">
      <c r="A567" s="2005">
        <f>IFERROR(__xludf.DUMMYFUNCTION("""COMPUTED_VALUE"""),1026913.0)</f>
        <v>1026913</v>
      </c>
      <c r="B567" s="2005">
        <f>IFERROR(__xludf.DUMMYFUNCTION("""COMPUTED_VALUE"""),2403010.0)</f>
        <v>2403010</v>
      </c>
      <c r="C567" s="2005" t="str">
        <f>IFERROR(__xludf.DUMMYFUNCTION("""COMPUTED_VALUE"""),"Pack")</f>
        <v>Pack</v>
      </c>
      <c r="D567" s="2005" t="str">
        <f>IFERROR(__xludf.DUMMYFUNCTION("""COMPUTED_VALUE"""),"CLT406P N/C/M/J")</f>
        <v>CLT406P N/C/M/J</v>
      </c>
      <c r="E567" s="2005" t="str">
        <f>IFERROR(__xludf.DUMMYFUNCTION("""COMPUTED_VALUE"""),"SAMSUNG")</f>
        <v>SAMSUNG</v>
      </c>
      <c r="F567" s="2005" t="str">
        <f>IFERROR(__xludf.DUMMYFUNCTION("""COMPUTED_VALUE"""),"B")</f>
        <v>B</v>
      </c>
      <c r="G567" s="2005" t="str">
        <f>IFERROR(__xludf.DUMMYFUNCTION("""COMPUTED_VALUE"""),"NN")</f>
        <v>NN</v>
      </c>
      <c r="H567">
        <f>IFERROR(__xludf.DUMMYFUNCTION("""COMPUTED_VALUE"""),209.99)</f>
        <v>209.99</v>
      </c>
      <c r="I567">
        <f>IFERROR(__xludf.DUMMYFUNCTION("""COMPUTED_VALUE"""),209.99)</f>
        <v>209.99</v>
      </c>
      <c r="BD567" s="2006"/>
      <c r="LM567" s="2007"/>
    </row>
    <row r="568">
      <c r="A568" s="2005">
        <f>IFERROR(__xludf.DUMMYFUNCTION("""COMPUTED_VALUE"""),1027033.0)</f>
        <v>1027033</v>
      </c>
      <c r="B568" s="2005">
        <f>IFERROR(__xludf.DUMMYFUNCTION("""COMPUTED_VALUE"""),2704515.0)</f>
        <v>2704515</v>
      </c>
      <c r="C568" s="2005" t="str">
        <f>IFERROR(__xludf.DUMMYFUNCTION("""COMPUTED_VALUE"""),"Calc.")</f>
        <v>Calc.</v>
      </c>
      <c r="D568" s="2005" t="str">
        <f>IFERROR(__xludf.DUMMYFUNCTION("""COMPUTED_VALUE"""),"GC143FR ROSE")</f>
        <v>GC143FR ROSE</v>
      </c>
      <c r="E568" s="2005" t="str">
        <f>IFERROR(__xludf.DUMMYFUNCTION("""COMPUTED_VALUE"""),"LEXIBOOK")</f>
        <v>LEXIBOOK</v>
      </c>
      <c r="F568" s="2005" t="str">
        <f>IFERROR(__xludf.DUMMYFUNCTION("""COMPUTED_VALUE"""),"H")</f>
        <v>H</v>
      </c>
      <c r="G568" s="2005" t="str">
        <f>IFERROR(__xludf.DUMMYFUNCTION("""COMPUTED_VALUE"""),"FR")</f>
        <v>FR</v>
      </c>
      <c r="H568" s="2005">
        <f>IFERROR(__xludf.DUMMYFUNCTION("""COMPUTED_VALUE"""),49.99)</f>
        <v>49.99</v>
      </c>
      <c r="I568" s="2005">
        <f>IFERROR(__xludf.DUMMYFUNCTION("""COMPUTED_VALUE"""),49.99)</f>
        <v>49.99</v>
      </c>
      <c r="BD568" s="2006"/>
      <c r="LM568" s="2007"/>
    </row>
    <row r="569">
      <c r="A569" s="2005">
        <f>IFERROR(__xludf.DUMMYFUNCTION("""COMPUTED_VALUE"""),1028877.0)</f>
        <v>1028877</v>
      </c>
      <c r="B569" s="2005">
        <f>IFERROR(__xludf.DUMMYFUNCTION("""COMPUTED_VALUE"""),2502015.0)</f>
        <v>2502015</v>
      </c>
      <c r="C569" s="2005" t="str">
        <f>IFERROR(__xludf.DUMMYFUNCTION("""COMPUTED_VALUE"""),"Clavier + Etui")</f>
        <v>Clavier + Etui</v>
      </c>
      <c r="D569" s="2005" t="str">
        <f>IFERROR(__xludf.DUMMYFUNCTION("""COMPUTED_VALUE"""),"pour Galaxy tab S 10.5'")</f>
        <v>pour Galaxy tab S 10.5'</v>
      </c>
      <c r="E569" s="2005" t="str">
        <f>IFERROR(__xludf.DUMMYFUNCTION("""COMPUTED_VALUE"""),"LOGITECH")</f>
        <v>LOGITECH</v>
      </c>
      <c r="F569" s="2005" t="str">
        <f>IFERROR(__xludf.DUMMYFUNCTION("""COMPUTED_VALUE"""),"B")</f>
        <v>B</v>
      </c>
      <c r="G569" s="2005" t="str">
        <f>IFERROR(__xludf.DUMMYFUNCTION("""COMPUTED_VALUE"""),"NN")</f>
        <v>NN</v>
      </c>
      <c r="H569">
        <f>IFERROR(__xludf.DUMMYFUNCTION("""COMPUTED_VALUE"""),119.0)</f>
        <v>119</v>
      </c>
      <c r="I569">
        <f>IFERROR(__xludf.DUMMYFUNCTION("""COMPUTED_VALUE"""),119.0)</f>
        <v>119</v>
      </c>
      <c r="BD569" s="2006"/>
      <c r="LM569" s="2007"/>
    </row>
    <row r="570">
      <c r="A570" s="2005">
        <f>IFERROR(__xludf.DUMMYFUNCTION("""COMPUTED_VALUE"""),1030885.0)</f>
        <v>1030885</v>
      </c>
      <c r="B570" s="2005">
        <f>IFERROR(__xludf.DUMMYFUNCTION("""COMPUTED_VALUE"""),2403005.0)</f>
        <v>2403005</v>
      </c>
      <c r="C570" s="2005" t="str">
        <f>IFERROR(__xludf.DUMMYFUNCTION("""COMPUTED_VALUE"""),"Cartouche")</f>
        <v>Cartouche</v>
      </c>
      <c r="D570" s="2005" t="str">
        <f>IFERROR(__xludf.DUMMYFUNCTION("""COMPUTED_VALUE"""),"T1812 Cyan XL Série Pâquerette")</f>
        <v>T1812 Cyan XL Série Pâquerette</v>
      </c>
      <c r="E570" s="2005" t="str">
        <f>IFERROR(__xludf.DUMMYFUNCTION("""COMPUTED_VALUE"""),"EPSON")</f>
        <v>EPSON</v>
      </c>
      <c r="F570" s="2005" t="str">
        <f>IFERROR(__xludf.DUMMYFUNCTION("""COMPUTED_VALUE"""),"H")</f>
        <v>H</v>
      </c>
      <c r="G570" s="2005" t="str">
        <f>IFERROR(__xludf.DUMMYFUNCTION("""COMPUTED_VALUE"""),"NN")</f>
        <v>NN</v>
      </c>
      <c r="H570" s="2005">
        <f>IFERROR(__xludf.DUMMYFUNCTION("""COMPUTED_VALUE"""),21.99)</f>
        <v>21.99</v>
      </c>
      <c r="I570" s="2005">
        <f>IFERROR(__xludf.DUMMYFUNCTION("""COMPUTED_VALUE"""),21.99)</f>
        <v>21.99</v>
      </c>
      <c r="BD570" s="2006"/>
      <c r="LM570" s="2007"/>
    </row>
    <row r="571">
      <c r="A571" s="2005">
        <f>IFERROR(__xludf.DUMMYFUNCTION("""COMPUTED_VALUE"""),1030886.0)</f>
        <v>1030886</v>
      </c>
      <c r="B571" s="2005">
        <f>IFERROR(__xludf.DUMMYFUNCTION("""COMPUTED_VALUE"""),2403005.0)</f>
        <v>2403005</v>
      </c>
      <c r="C571" s="2005" t="str">
        <f>IFERROR(__xludf.DUMMYFUNCTION("""COMPUTED_VALUE"""),"Cartouche")</f>
        <v>Cartouche</v>
      </c>
      <c r="D571" s="2005" t="str">
        <f>IFERROR(__xludf.DUMMYFUNCTION("""COMPUTED_VALUE"""),"T1813 Magenta XL Série Pâquerette")</f>
        <v>T1813 Magenta XL Série Pâquerette</v>
      </c>
      <c r="E571" s="2005" t="str">
        <f>IFERROR(__xludf.DUMMYFUNCTION("""COMPUTED_VALUE"""),"EPSON")</f>
        <v>EPSON</v>
      </c>
      <c r="F571" s="2005" t="str">
        <f>IFERROR(__xludf.DUMMYFUNCTION("""COMPUTED_VALUE"""),"H")</f>
        <v>H</v>
      </c>
      <c r="G571" s="2005" t="str">
        <f>IFERROR(__xludf.DUMMYFUNCTION("""COMPUTED_VALUE"""),"NN")</f>
        <v>NN</v>
      </c>
      <c r="H571" s="2005">
        <f>IFERROR(__xludf.DUMMYFUNCTION("""COMPUTED_VALUE"""),21.99)</f>
        <v>21.99</v>
      </c>
      <c r="I571" s="2005">
        <f>IFERROR(__xludf.DUMMYFUNCTION("""COMPUTED_VALUE"""),21.99)</f>
        <v>21.99</v>
      </c>
      <c r="BD571" s="2006"/>
      <c r="LM571" s="2007"/>
    </row>
    <row r="572">
      <c r="A572" s="2005">
        <f>IFERROR(__xludf.DUMMYFUNCTION("""COMPUTED_VALUE"""),1030887.0)</f>
        <v>1030887</v>
      </c>
      <c r="B572" s="2005">
        <f>IFERROR(__xludf.DUMMYFUNCTION("""COMPUTED_VALUE"""),2403005.0)</f>
        <v>2403005</v>
      </c>
      <c r="C572" s="2005" t="str">
        <f>IFERROR(__xludf.DUMMYFUNCTION("""COMPUTED_VALUE"""),"Cartouche")</f>
        <v>Cartouche</v>
      </c>
      <c r="D572" s="2005" t="str">
        <f>IFERROR(__xludf.DUMMYFUNCTION("""COMPUTED_VALUE"""),"T1814 Jaune XL Série Pâquerette")</f>
        <v>T1814 Jaune XL Série Pâquerette</v>
      </c>
      <c r="E572" s="2005" t="str">
        <f>IFERROR(__xludf.DUMMYFUNCTION("""COMPUTED_VALUE"""),"EPSON")</f>
        <v>EPSON</v>
      </c>
      <c r="F572" s="2005" t="str">
        <f>IFERROR(__xludf.DUMMYFUNCTION("""COMPUTED_VALUE"""),"H")</f>
        <v>H</v>
      </c>
      <c r="G572" s="2005" t="str">
        <f>IFERROR(__xludf.DUMMYFUNCTION("""COMPUTED_VALUE"""),"FR")</f>
        <v>FR</v>
      </c>
      <c r="H572" s="2005">
        <f>IFERROR(__xludf.DUMMYFUNCTION("""COMPUTED_VALUE"""),21.99)</f>
        <v>21.99</v>
      </c>
      <c r="I572" s="2005">
        <f>IFERROR(__xludf.DUMMYFUNCTION("""COMPUTED_VALUE"""),21.99)</f>
        <v>21.99</v>
      </c>
      <c r="BD572" s="2006"/>
      <c r="LM572" s="2007"/>
    </row>
    <row r="573">
      <c r="A573" s="2005">
        <f>IFERROR(__xludf.DUMMYFUNCTION("""COMPUTED_VALUE"""),1032303.0)</f>
        <v>1032303</v>
      </c>
      <c r="B573" s="2005">
        <f>IFERROR(__xludf.DUMMYFUNCTION("""COMPUTED_VALUE"""),2403010.0)</f>
        <v>2403010</v>
      </c>
      <c r="C573" s="2005" t="str">
        <f>IFERROR(__xludf.DUMMYFUNCTION("""COMPUTED_VALUE"""),"Toner")</f>
        <v>Toner</v>
      </c>
      <c r="D573" s="2005" t="str">
        <f>IFERROR(__xludf.DUMMYFUNCTION("""COMPUTED_VALUE"""),"Cyan TN321")</f>
        <v>Cyan TN321</v>
      </c>
      <c r="E573" s="2005" t="str">
        <f>IFERROR(__xludf.DUMMYFUNCTION("""COMPUTED_VALUE"""),"BROTHER")</f>
        <v>BROTHER</v>
      </c>
      <c r="F573" s="2005" t="str">
        <f>IFERROR(__xludf.DUMMYFUNCTION("""COMPUTED_VALUE"""),"H")</f>
        <v>H</v>
      </c>
      <c r="G573" s="2005" t="str">
        <f>IFERROR(__xludf.DUMMYFUNCTION("""COMPUTED_VALUE"""),"FR")</f>
        <v>FR</v>
      </c>
      <c r="H573">
        <f>IFERROR(__xludf.DUMMYFUNCTION("""COMPUTED_VALUE"""),89.99)</f>
        <v>89.99</v>
      </c>
      <c r="I573">
        <f>IFERROR(__xludf.DUMMYFUNCTION("""COMPUTED_VALUE"""),89.99)</f>
        <v>89.99</v>
      </c>
      <c r="BD573" s="2006"/>
      <c r="LM573" s="2007"/>
    </row>
    <row r="574">
      <c r="A574" s="2005">
        <f>IFERROR(__xludf.DUMMYFUNCTION("""COMPUTED_VALUE"""),1032305.0)</f>
        <v>1032305</v>
      </c>
      <c r="B574" s="2005">
        <f>IFERROR(__xludf.DUMMYFUNCTION("""COMPUTED_VALUE"""),2403010.0)</f>
        <v>2403010</v>
      </c>
      <c r="C574" s="2005" t="str">
        <f>IFERROR(__xludf.DUMMYFUNCTION("""COMPUTED_VALUE"""),"Toner")</f>
        <v>Toner</v>
      </c>
      <c r="D574" s="2005" t="str">
        <f>IFERROR(__xludf.DUMMYFUNCTION("""COMPUTED_VALUE"""),"Magenta TN321")</f>
        <v>Magenta TN321</v>
      </c>
      <c r="E574" s="2005" t="str">
        <f>IFERROR(__xludf.DUMMYFUNCTION("""COMPUTED_VALUE"""),"BROTHER")</f>
        <v>BROTHER</v>
      </c>
      <c r="F574" s="2005" t="str">
        <f>IFERROR(__xludf.DUMMYFUNCTION("""COMPUTED_VALUE"""),"H")</f>
        <v>H</v>
      </c>
      <c r="G574" s="2005" t="str">
        <f>IFERROR(__xludf.DUMMYFUNCTION("""COMPUTED_VALUE"""),"FR")</f>
        <v>FR</v>
      </c>
      <c r="H574" s="2005">
        <f>IFERROR(__xludf.DUMMYFUNCTION("""COMPUTED_VALUE"""),71.99)</f>
        <v>71.99</v>
      </c>
      <c r="I574" s="2005">
        <f>IFERROR(__xludf.DUMMYFUNCTION("""COMPUTED_VALUE"""),71.99)</f>
        <v>71.99</v>
      </c>
      <c r="BD574" s="2006"/>
      <c r="LM574" s="2007"/>
    </row>
    <row r="575">
      <c r="A575" s="2005">
        <f>IFERROR(__xludf.DUMMYFUNCTION("""COMPUTED_VALUE"""),1032307.0)</f>
        <v>1032307</v>
      </c>
      <c r="B575" s="2005">
        <f>IFERROR(__xludf.DUMMYFUNCTION("""COMPUTED_VALUE"""),2403010.0)</f>
        <v>2403010</v>
      </c>
      <c r="C575" s="2005" t="str">
        <f>IFERROR(__xludf.DUMMYFUNCTION("""COMPUTED_VALUE"""),"Toner")</f>
        <v>Toner</v>
      </c>
      <c r="D575" s="2005" t="str">
        <f>IFERROR(__xludf.DUMMYFUNCTION("""COMPUTED_VALUE"""),"Jaune TN321")</f>
        <v>Jaune TN321</v>
      </c>
      <c r="E575" s="2005" t="str">
        <f>IFERROR(__xludf.DUMMYFUNCTION("""COMPUTED_VALUE"""),"BROTHER")</f>
        <v>BROTHER</v>
      </c>
      <c r="F575" s="2005" t="str">
        <f>IFERROR(__xludf.DUMMYFUNCTION("""COMPUTED_VALUE"""),"H")</f>
        <v>H</v>
      </c>
      <c r="G575" s="2005" t="str">
        <f>IFERROR(__xludf.DUMMYFUNCTION("""COMPUTED_VALUE"""),"NN")</f>
        <v>NN</v>
      </c>
      <c r="H575" s="2005">
        <f>IFERROR(__xludf.DUMMYFUNCTION("""COMPUTED_VALUE"""),71.99)</f>
        <v>71.99</v>
      </c>
      <c r="I575" s="2005">
        <f>IFERROR(__xludf.DUMMYFUNCTION("""COMPUTED_VALUE"""),71.99)</f>
        <v>71.99</v>
      </c>
      <c r="BD575" s="2006"/>
      <c r="LM575" s="2007"/>
    </row>
    <row r="576">
      <c r="A576" s="2005">
        <f>IFERROR(__xludf.DUMMYFUNCTION("""COMPUTED_VALUE"""),1032364.0)</f>
        <v>1032364</v>
      </c>
      <c r="B576" s="2005">
        <f>IFERROR(__xludf.DUMMYFUNCTION("""COMPUTED_VALUE"""),2403010.0)</f>
        <v>2403010</v>
      </c>
      <c r="C576" s="2005" t="str">
        <f>IFERROR(__xludf.DUMMYFUNCTION("""COMPUTED_VALUE"""),"Toner")</f>
        <v>Toner</v>
      </c>
      <c r="D576" s="2005" t="str">
        <f>IFERROR(__xludf.DUMMYFUNCTION("""COMPUTED_VALUE"""),"Noire XL TN326")</f>
        <v>Noire XL TN326</v>
      </c>
      <c r="E576" s="2005" t="str">
        <f>IFERROR(__xludf.DUMMYFUNCTION("""COMPUTED_VALUE"""),"BROTHER")</f>
        <v>BROTHER</v>
      </c>
      <c r="F576" s="2005" t="str">
        <f>IFERROR(__xludf.DUMMYFUNCTION("""COMPUTED_VALUE"""),"H")</f>
        <v>H</v>
      </c>
      <c r="G576" s="2005" t="str">
        <f>IFERROR(__xludf.DUMMYFUNCTION("""COMPUTED_VALUE"""),"NN")</f>
        <v>NN</v>
      </c>
      <c r="H576">
        <f>IFERROR(__xludf.DUMMYFUNCTION("""COMPUTED_VALUE"""),91.99)</f>
        <v>91.99</v>
      </c>
      <c r="I576">
        <f>IFERROR(__xludf.DUMMYFUNCTION("""COMPUTED_VALUE"""),69.99)</f>
        <v>69.99</v>
      </c>
      <c r="BD576" s="2006"/>
      <c r="LM576" s="2007"/>
    </row>
    <row r="577">
      <c r="A577" s="2005">
        <f>IFERROR(__xludf.DUMMYFUNCTION("""COMPUTED_VALUE"""),1032372.0)</f>
        <v>1032372</v>
      </c>
      <c r="B577" s="2005">
        <f>IFERROR(__xludf.DUMMYFUNCTION("""COMPUTED_VALUE"""),2403010.0)</f>
        <v>2403010</v>
      </c>
      <c r="C577" s="2005" t="str">
        <f>IFERROR(__xludf.DUMMYFUNCTION("""COMPUTED_VALUE"""),"Toner")</f>
        <v>Toner</v>
      </c>
      <c r="D577" s="2005" t="str">
        <f>IFERROR(__xludf.DUMMYFUNCTION("""COMPUTED_VALUE"""),"TN2320")</f>
        <v>TN2320</v>
      </c>
      <c r="E577" s="2005" t="str">
        <f>IFERROR(__xludf.DUMMYFUNCTION("""COMPUTED_VALUE"""),"BROTHER")</f>
        <v>BROTHER</v>
      </c>
      <c r="F577" s="2005" t="str">
        <f>IFERROR(__xludf.DUMMYFUNCTION("""COMPUTED_VALUE"""),"C")</f>
        <v>C</v>
      </c>
      <c r="G577" s="2005" t="str">
        <f>IFERROR(__xludf.DUMMYFUNCTION("""COMPUTED_VALUE"""),"NN")</f>
        <v>NN</v>
      </c>
      <c r="H577">
        <f>IFERROR(__xludf.DUMMYFUNCTION("""COMPUTED_VALUE"""),94.11)</f>
        <v>94.11</v>
      </c>
      <c r="I577">
        <f>IFERROR(__xludf.DUMMYFUNCTION("""COMPUTED_VALUE"""),94.11)</f>
        <v>94.11</v>
      </c>
      <c r="BD577" s="2006"/>
      <c r="LM577" s="2007"/>
    </row>
    <row r="578">
      <c r="A578" s="2005">
        <f>IFERROR(__xludf.DUMMYFUNCTION("""COMPUTED_VALUE"""),1033109.0)</f>
        <v>1033109</v>
      </c>
      <c r="B578" s="2005">
        <f>IFERROR(__xludf.DUMMYFUNCTION("""COMPUTED_VALUE"""),2403005.0)</f>
        <v>2403005</v>
      </c>
      <c r="C578" s="2005" t="str">
        <f>IFERROR(__xludf.DUMMYFUNCTION("""COMPUTED_VALUE"""),"Cartouche")</f>
        <v>Cartouche</v>
      </c>
      <c r="D578" s="2005" t="str">
        <f>IFERROR(__xludf.DUMMYFUNCTION("""COMPUTED_VALUE"""),"62  3 couleurs")</f>
        <v>62  3 couleurs</v>
      </c>
      <c r="E578" s="2005" t="str">
        <f>IFERROR(__xludf.DUMMYFUNCTION("""COMPUTED_VALUE"""),"HP")</f>
        <v>HP</v>
      </c>
      <c r="F578" s="2005" t="str">
        <f>IFERROR(__xludf.DUMMYFUNCTION("""COMPUTED_VALUE"""),"A")</f>
        <v>A</v>
      </c>
      <c r="G578" s="2005" t="str">
        <f>IFERROR(__xludf.DUMMYFUNCTION("""COMPUTED_VALUE"""),"AC")</f>
        <v>AC</v>
      </c>
      <c r="H578" s="2005">
        <f>IFERROR(__xludf.DUMMYFUNCTION("""COMPUTED_VALUE"""),29.99)</f>
        <v>29.99</v>
      </c>
      <c r="I578" s="2005">
        <f>IFERROR(__xludf.DUMMYFUNCTION("""COMPUTED_VALUE"""),29.99)</f>
        <v>29.99</v>
      </c>
      <c r="BD578" s="2006"/>
      <c r="LM578" s="2007"/>
    </row>
    <row r="579">
      <c r="A579" s="2005">
        <f>IFERROR(__xludf.DUMMYFUNCTION("""COMPUTED_VALUE"""),1033110.0)</f>
        <v>1033110</v>
      </c>
      <c r="B579" s="2005">
        <f>IFERROR(__xludf.DUMMYFUNCTION("""COMPUTED_VALUE"""),2403005.0)</f>
        <v>2403005</v>
      </c>
      <c r="C579" s="2005" t="str">
        <f>IFERROR(__xludf.DUMMYFUNCTION("""COMPUTED_VALUE"""),"Cartouche")</f>
        <v>Cartouche</v>
      </c>
      <c r="D579" s="2005" t="str">
        <f>IFERROR(__xludf.DUMMYFUNCTION("""COMPUTED_VALUE"""),"N°934 Noire")</f>
        <v>N°934 Noire</v>
      </c>
      <c r="E579" s="2005" t="str">
        <f>IFERROR(__xludf.DUMMYFUNCTION("""COMPUTED_VALUE"""),"HP")</f>
        <v>HP</v>
      </c>
      <c r="F579" s="2005" t="str">
        <f>IFERROR(__xludf.DUMMYFUNCTION("""COMPUTED_VALUE"""),"B")</f>
        <v>B</v>
      </c>
      <c r="G579" s="2005" t="str">
        <f>IFERROR(__xludf.DUMMYFUNCTION("""COMPUTED_VALUE"""),"NN")</f>
        <v>NN</v>
      </c>
      <c r="H579" s="2005">
        <f>IFERROR(__xludf.DUMMYFUNCTION("""COMPUTED_VALUE"""),22.99)</f>
        <v>22.99</v>
      </c>
      <c r="I579" s="2005">
        <f>IFERROR(__xludf.DUMMYFUNCTION("""COMPUTED_VALUE"""),22.99)</f>
        <v>22.99</v>
      </c>
      <c r="BD579" s="2006"/>
      <c r="LM579" s="2007"/>
    </row>
    <row r="580">
      <c r="A580" s="2005">
        <f>IFERROR(__xludf.DUMMYFUNCTION("""COMPUTED_VALUE"""),1033148.0)</f>
        <v>1033148</v>
      </c>
      <c r="B580" s="2005">
        <f>IFERROR(__xludf.DUMMYFUNCTION("""COMPUTED_VALUE"""),2403005.0)</f>
        <v>2403005</v>
      </c>
      <c r="C580" s="2005" t="str">
        <f>IFERROR(__xludf.DUMMYFUNCTION("""COMPUTED_VALUE"""),"Cartouche")</f>
        <v>Cartouche</v>
      </c>
      <c r="D580" s="2005" t="str">
        <f>IFERROR(__xludf.DUMMYFUNCTION("""COMPUTED_VALUE"""),"62 noire")</f>
        <v>62 noire</v>
      </c>
      <c r="E580" s="2005" t="str">
        <f>IFERROR(__xludf.DUMMYFUNCTION("""COMPUTED_VALUE"""),"HP")</f>
        <v>HP</v>
      </c>
      <c r="F580" s="2005" t="str">
        <f>IFERROR(__xludf.DUMMYFUNCTION("""COMPUTED_VALUE"""),"A")</f>
        <v>A</v>
      </c>
      <c r="G580" s="2005" t="str">
        <f>IFERROR(__xludf.DUMMYFUNCTION("""COMPUTED_VALUE"""),"AC")</f>
        <v>AC</v>
      </c>
      <c r="H580" s="2005">
        <f>IFERROR(__xludf.DUMMYFUNCTION("""COMPUTED_VALUE"""),23.99)</f>
        <v>23.99</v>
      </c>
      <c r="I580" s="2005">
        <f>IFERROR(__xludf.DUMMYFUNCTION("""COMPUTED_VALUE"""),23.99)</f>
        <v>23.99</v>
      </c>
      <c r="BD580" s="2006"/>
      <c r="LM580" s="2007"/>
    </row>
    <row r="581">
      <c r="A581" s="2005">
        <f>IFERROR(__xludf.DUMMYFUNCTION("""COMPUTED_VALUE"""),1033152.0)</f>
        <v>1033152</v>
      </c>
      <c r="B581" s="2005">
        <f>IFERROR(__xludf.DUMMYFUNCTION("""COMPUTED_VALUE"""),2403005.0)</f>
        <v>2403005</v>
      </c>
      <c r="C581" s="2005" t="str">
        <f>IFERROR(__xludf.DUMMYFUNCTION("""COMPUTED_VALUE"""),"Cartouche")</f>
        <v>Cartouche</v>
      </c>
      <c r="D581" s="2005" t="str">
        <f>IFERROR(__xludf.DUMMYFUNCTION("""COMPUTED_VALUE"""),"N°934XL noire")</f>
        <v>N°934XL noire</v>
      </c>
      <c r="E581" s="2005" t="str">
        <f>IFERROR(__xludf.DUMMYFUNCTION("""COMPUTED_VALUE"""),"HP")</f>
        <v>HP</v>
      </c>
      <c r="F581" s="2005" t="str">
        <f>IFERROR(__xludf.DUMMYFUNCTION("""COMPUTED_VALUE"""),"A")</f>
        <v>A</v>
      </c>
      <c r="G581" s="2005" t="str">
        <f>IFERROR(__xludf.DUMMYFUNCTION("""COMPUTED_VALUE"""),"FF")</f>
        <v>FF</v>
      </c>
      <c r="H581" s="2005">
        <f>IFERROR(__xludf.DUMMYFUNCTION("""COMPUTED_VALUE"""),45.99)</f>
        <v>45.99</v>
      </c>
      <c r="I581">
        <f>IFERROR(__xludf.DUMMYFUNCTION("""COMPUTED_VALUE"""),45.99)</f>
        <v>45.99</v>
      </c>
      <c r="BD581" s="2006"/>
      <c r="LM581" s="2007"/>
    </row>
    <row r="582">
      <c r="A582" s="2005">
        <f>IFERROR(__xludf.DUMMYFUNCTION("""COMPUTED_VALUE"""),1033154.0)</f>
        <v>1033154</v>
      </c>
      <c r="B582" s="2005">
        <f>IFERROR(__xludf.DUMMYFUNCTION("""COMPUTED_VALUE"""),2403005.0)</f>
        <v>2403005</v>
      </c>
      <c r="C582" s="2005" t="str">
        <f>IFERROR(__xludf.DUMMYFUNCTION("""COMPUTED_VALUE"""),"Cartouche")</f>
        <v>Cartouche</v>
      </c>
      <c r="D582" s="2005" t="str">
        <f>IFERROR(__xludf.DUMMYFUNCTION("""COMPUTED_VALUE"""),"N°935 Cyan")</f>
        <v>N°935 Cyan</v>
      </c>
      <c r="E582" s="2005" t="str">
        <f>IFERROR(__xludf.DUMMYFUNCTION("""COMPUTED_VALUE"""),"HP")</f>
        <v>HP</v>
      </c>
      <c r="F582" s="2005" t="str">
        <f>IFERROR(__xludf.DUMMYFUNCTION("""COMPUTED_VALUE"""),"C")</f>
        <v>C</v>
      </c>
      <c r="G582" s="2005" t="str">
        <f>IFERROR(__xludf.DUMMYFUNCTION("""COMPUTED_VALUE"""),"NN")</f>
        <v>NN</v>
      </c>
      <c r="H582">
        <f>IFERROR(__xludf.DUMMYFUNCTION("""COMPUTED_VALUE"""),16.99)</f>
        <v>16.99</v>
      </c>
      <c r="I582">
        <f>IFERROR(__xludf.DUMMYFUNCTION("""COMPUTED_VALUE"""),16.99)</f>
        <v>16.99</v>
      </c>
      <c r="BD582" s="2006"/>
      <c r="LM582" s="2007"/>
    </row>
    <row r="583">
      <c r="A583">
        <f>IFERROR(__xludf.DUMMYFUNCTION("""COMPUTED_VALUE"""),1033156.0)</f>
        <v>1033156</v>
      </c>
      <c r="B583">
        <f>IFERROR(__xludf.DUMMYFUNCTION("""COMPUTED_VALUE"""),2403005.0)</f>
        <v>2403005</v>
      </c>
      <c r="C583" t="str">
        <f>IFERROR(__xludf.DUMMYFUNCTION("""COMPUTED_VALUE"""),"Cartouche")</f>
        <v>Cartouche</v>
      </c>
      <c r="D583" t="str">
        <f>IFERROR(__xludf.DUMMYFUNCTION("""COMPUTED_VALUE"""),"N°935 Magenta")</f>
        <v>N°935 Magenta</v>
      </c>
      <c r="E583" t="str">
        <f>IFERROR(__xludf.DUMMYFUNCTION("""COMPUTED_VALUE"""),"HP")</f>
        <v>HP</v>
      </c>
      <c r="F583" t="str">
        <f>IFERROR(__xludf.DUMMYFUNCTION("""COMPUTED_VALUE"""),"C")</f>
        <v>C</v>
      </c>
      <c r="G583" t="str">
        <f>IFERROR(__xludf.DUMMYFUNCTION("""COMPUTED_VALUE"""),"NN")</f>
        <v>NN</v>
      </c>
      <c r="H583">
        <f>IFERROR(__xludf.DUMMYFUNCTION("""COMPUTED_VALUE"""),16.99)</f>
        <v>16.99</v>
      </c>
      <c r="I583">
        <f>IFERROR(__xludf.DUMMYFUNCTION("""COMPUTED_VALUE"""),16.99)</f>
        <v>16.99</v>
      </c>
      <c r="BD583" s="2006"/>
      <c r="LM583" s="2007"/>
    </row>
    <row r="584">
      <c r="A584" s="2005">
        <f>IFERROR(__xludf.DUMMYFUNCTION("""COMPUTED_VALUE"""),1033160.0)</f>
        <v>1033160</v>
      </c>
      <c r="B584" s="2005">
        <f>IFERROR(__xludf.DUMMYFUNCTION("""COMPUTED_VALUE"""),2403005.0)</f>
        <v>2403005</v>
      </c>
      <c r="C584" s="2005" t="str">
        <f>IFERROR(__xludf.DUMMYFUNCTION("""COMPUTED_VALUE"""),"Cartouche")</f>
        <v>Cartouche</v>
      </c>
      <c r="D584" s="2005" t="str">
        <f>IFERROR(__xludf.DUMMYFUNCTION("""COMPUTED_VALUE"""),"N°935 Jaune")</f>
        <v>N°935 Jaune</v>
      </c>
      <c r="E584" s="2005" t="str">
        <f>IFERROR(__xludf.DUMMYFUNCTION("""COMPUTED_VALUE"""),"HP")</f>
        <v>HP</v>
      </c>
      <c r="F584" s="2005" t="str">
        <f>IFERROR(__xludf.DUMMYFUNCTION("""COMPUTED_VALUE"""),"C")</f>
        <v>C</v>
      </c>
      <c r="G584" s="2005" t="str">
        <f>IFERROR(__xludf.DUMMYFUNCTION("""COMPUTED_VALUE"""),"NN")</f>
        <v>NN</v>
      </c>
      <c r="H584" s="2005">
        <f>IFERROR(__xludf.DUMMYFUNCTION("""COMPUTED_VALUE"""),16.99)</f>
        <v>16.99</v>
      </c>
      <c r="I584">
        <f>IFERROR(__xludf.DUMMYFUNCTION("""COMPUTED_VALUE"""),16.99)</f>
        <v>16.99</v>
      </c>
      <c r="BD584" s="2006"/>
      <c r="LM584" s="2007"/>
    </row>
    <row r="585">
      <c r="A585" s="2005">
        <f>IFERROR(__xludf.DUMMYFUNCTION("""COMPUTED_VALUE"""),1033217.0)</f>
        <v>1033217</v>
      </c>
      <c r="B585" s="2005">
        <f>IFERROR(__xludf.DUMMYFUNCTION("""COMPUTED_VALUE"""),2403005.0)</f>
        <v>2403005</v>
      </c>
      <c r="C585" s="2005" t="str">
        <f>IFERROR(__xludf.DUMMYFUNCTION("""COMPUTED_VALUE"""),"Cartouche")</f>
        <v>Cartouche</v>
      </c>
      <c r="D585" s="2005" t="str">
        <f>IFERROR(__xludf.DUMMYFUNCTION("""COMPUTED_VALUE"""),"LC223 Noire")</f>
        <v>LC223 Noire</v>
      </c>
      <c r="E585" s="2005" t="str">
        <f>IFERROR(__xludf.DUMMYFUNCTION("""COMPUTED_VALUE"""),"BROTHER")</f>
        <v>BROTHER</v>
      </c>
      <c r="F585" s="2005" t="str">
        <f>IFERROR(__xludf.DUMMYFUNCTION("""COMPUTED_VALUE"""),"B")</f>
        <v>B</v>
      </c>
      <c r="G585" s="2005" t="str">
        <f>IFERROR(__xludf.DUMMYFUNCTION("""COMPUTED_VALUE"""),"NN")</f>
        <v>NN</v>
      </c>
      <c r="H585" s="2005">
        <f>IFERROR(__xludf.DUMMYFUNCTION("""COMPUTED_VALUE"""),26.99)</f>
        <v>26.99</v>
      </c>
      <c r="I585" s="2005">
        <f>IFERROR(__xludf.DUMMYFUNCTION("""COMPUTED_VALUE"""),26.99)</f>
        <v>26.99</v>
      </c>
      <c r="BD585" s="2006"/>
      <c r="LM585" s="2007"/>
      <c r="MX585" s="2007"/>
      <c r="ND585" s="2007"/>
    </row>
    <row r="586">
      <c r="A586" s="2005">
        <f>IFERROR(__xludf.DUMMYFUNCTION("""COMPUTED_VALUE"""),1033218.0)</f>
        <v>1033218</v>
      </c>
      <c r="B586" s="2005">
        <f>IFERROR(__xludf.DUMMYFUNCTION("""COMPUTED_VALUE"""),2403005.0)</f>
        <v>2403005</v>
      </c>
      <c r="C586" s="2005" t="str">
        <f>IFERROR(__xludf.DUMMYFUNCTION("""COMPUTED_VALUE"""),"Cartouche")</f>
        <v>Cartouche</v>
      </c>
      <c r="D586" s="2005" t="str">
        <f>IFERROR(__xludf.DUMMYFUNCTION("""COMPUTED_VALUE"""),"LC223 Cyan")</f>
        <v>LC223 Cyan</v>
      </c>
      <c r="E586" s="2005" t="str">
        <f>IFERROR(__xludf.DUMMYFUNCTION("""COMPUTED_VALUE"""),"BROTHER")</f>
        <v>BROTHER</v>
      </c>
      <c r="F586" s="2005" t="str">
        <f>IFERROR(__xludf.DUMMYFUNCTION("""COMPUTED_VALUE"""),"B")</f>
        <v>B</v>
      </c>
      <c r="G586" s="2005" t="str">
        <f>IFERROR(__xludf.DUMMYFUNCTION("""COMPUTED_VALUE"""),"NN")</f>
        <v>NN</v>
      </c>
      <c r="H586">
        <f>IFERROR(__xludf.DUMMYFUNCTION("""COMPUTED_VALUE"""),18.0)</f>
        <v>18</v>
      </c>
      <c r="I586">
        <f>IFERROR(__xludf.DUMMYFUNCTION("""COMPUTED_VALUE"""),18.0)</f>
        <v>18</v>
      </c>
      <c r="BD586" s="2006"/>
      <c r="LM586" s="2007"/>
    </row>
    <row r="587">
      <c r="A587" s="2005">
        <f>IFERROR(__xludf.DUMMYFUNCTION("""COMPUTED_VALUE"""),1033219.0)</f>
        <v>1033219</v>
      </c>
      <c r="B587" s="2005">
        <f>IFERROR(__xludf.DUMMYFUNCTION("""COMPUTED_VALUE"""),2403005.0)</f>
        <v>2403005</v>
      </c>
      <c r="C587" s="2005" t="str">
        <f>IFERROR(__xludf.DUMMYFUNCTION("""COMPUTED_VALUE"""),"Cartouche")</f>
        <v>Cartouche</v>
      </c>
      <c r="D587" s="2005" t="str">
        <f>IFERROR(__xludf.DUMMYFUNCTION("""COMPUTED_VALUE"""),"LC223 Magenta")</f>
        <v>LC223 Magenta</v>
      </c>
      <c r="E587" s="2005" t="str">
        <f>IFERROR(__xludf.DUMMYFUNCTION("""COMPUTED_VALUE"""),"BROTHER")</f>
        <v>BROTHER</v>
      </c>
      <c r="F587" s="2005" t="str">
        <f>IFERROR(__xludf.DUMMYFUNCTION("""COMPUTED_VALUE"""),"B")</f>
        <v>B</v>
      </c>
      <c r="G587" s="2005" t="str">
        <f>IFERROR(__xludf.DUMMYFUNCTION("""COMPUTED_VALUE"""),"NN")</f>
        <v>NN</v>
      </c>
      <c r="H587" s="2005">
        <f>IFERROR(__xludf.DUMMYFUNCTION("""COMPUTED_VALUE"""),18.0)</f>
        <v>18</v>
      </c>
      <c r="I587" s="2005">
        <f>IFERROR(__xludf.DUMMYFUNCTION("""COMPUTED_VALUE"""),18.0)</f>
        <v>18</v>
      </c>
      <c r="BD587" s="2006"/>
      <c r="LM587" s="2007"/>
    </row>
    <row r="588">
      <c r="A588" s="2005">
        <f>IFERROR(__xludf.DUMMYFUNCTION("""COMPUTED_VALUE"""),1033220.0)</f>
        <v>1033220</v>
      </c>
      <c r="B588" s="2005">
        <f>IFERROR(__xludf.DUMMYFUNCTION("""COMPUTED_VALUE"""),2403005.0)</f>
        <v>2403005</v>
      </c>
      <c r="C588" s="2005" t="str">
        <f>IFERROR(__xludf.DUMMYFUNCTION("""COMPUTED_VALUE"""),"Cartouche")</f>
        <v>Cartouche</v>
      </c>
      <c r="D588" s="2005" t="str">
        <f>IFERROR(__xludf.DUMMYFUNCTION("""COMPUTED_VALUE"""),"LC223 Jaune")</f>
        <v>LC223 Jaune</v>
      </c>
      <c r="E588" s="2005" t="str">
        <f>IFERROR(__xludf.DUMMYFUNCTION("""COMPUTED_VALUE"""),"BROTHER")</f>
        <v>BROTHER</v>
      </c>
      <c r="F588" s="2005" t="str">
        <f>IFERROR(__xludf.DUMMYFUNCTION("""COMPUTED_VALUE"""),"B")</f>
        <v>B</v>
      </c>
      <c r="G588" s="2005" t="str">
        <f>IFERROR(__xludf.DUMMYFUNCTION("""COMPUTED_VALUE"""),"NN")</f>
        <v>NN</v>
      </c>
      <c r="H588" s="2005">
        <f>IFERROR(__xludf.DUMMYFUNCTION("""COMPUTED_VALUE"""),17.99)</f>
        <v>17.99</v>
      </c>
      <c r="I588" s="2005">
        <f>IFERROR(__xludf.DUMMYFUNCTION("""COMPUTED_VALUE"""),17.99)</f>
        <v>17.99</v>
      </c>
      <c r="BD588" s="2006"/>
      <c r="LM588" s="2007"/>
    </row>
    <row r="589">
      <c r="A589" s="2005">
        <f>IFERROR(__xludf.DUMMYFUNCTION("""COMPUTED_VALUE"""),1033301.0)</f>
        <v>1033301</v>
      </c>
      <c r="B589" s="2005">
        <f>IFERROR(__xludf.DUMMYFUNCTION("""COMPUTED_VALUE"""),2403005.0)</f>
        <v>2403005</v>
      </c>
      <c r="C589" s="2005" t="str">
        <f>IFERROR(__xludf.DUMMYFUNCTION("""COMPUTED_VALUE"""),"Pack")</f>
        <v>Pack</v>
      </c>
      <c r="D589" s="2005" t="str">
        <f>IFERROR(__xludf.DUMMYFUNCTION("""COMPUTED_VALUE"""),"LC223 N/C/M/J")</f>
        <v>LC223 N/C/M/J</v>
      </c>
      <c r="E589" s="2005" t="str">
        <f>IFERROR(__xludf.DUMMYFUNCTION("""COMPUTED_VALUE"""),"BROTHER")</f>
        <v>BROTHER</v>
      </c>
      <c r="F589" s="2005" t="str">
        <f>IFERROR(__xludf.DUMMYFUNCTION("""COMPUTED_VALUE"""),"B")</f>
        <v>B</v>
      </c>
      <c r="G589" s="2005" t="str">
        <f>IFERROR(__xludf.DUMMYFUNCTION("""COMPUTED_VALUE"""),"AC")</f>
        <v>AC</v>
      </c>
      <c r="H589" s="2005">
        <f>IFERROR(__xludf.DUMMYFUNCTION("""COMPUTED_VALUE"""),80.05)</f>
        <v>80.05</v>
      </c>
      <c r="I589" s="2005">
        <f>IFERROR(__xludf.DUMMYFUNCTION("""COMPUTED_VALUE"""),80.05)</f>
        <v>80.05</v>
      </c>
      <c r="BD589" s="2006"/>
      <c r="LM589" s="2007"/>
    </row>
    <row r="590">
      <c r="A590" s="2005">
        <f>IFERROR(__xludf.DUMMYFUNCTION("""COMPUTED_VALUE"""),1033302.0)</f>
        <v>1033302</v>
      </c>
      <c r="B590" s="2005">
        <f>IFERROR(__xludf.DUMMYFUNCTION("""COMPUTED_VALUE"""),2403005.0)</f>
        <v>2403005</v>
      </c>
      <c r="C590" s="2005" t="str">
        <f>IFERROR(__xludf.DUMMYFUNCTION("""COMPUTED_VALUE"""),"Cartouche")</f>
        <v>Cartouche</v>
      </c>
      <c r="D590" s="2005" t="str">
        <f>IFERROR(__xludf.DUMMYFUNCTION("""COMPUTED_VALUE"""),"LC227 XL Noire")</f>
        <v>LC227 XL Noire</v>
      </c>
      <c r="E590" s="2005" t="str">
        <f>IFERROR(__xludf.DUMMYFUNCTION("""COMPUTED_VALUE"""),"BROTHER")</f>
        <v>BROTHER</v>
      </c>
      <c r="F590" s="2005" t="str">
        <f>IFERROR(__xludf.DUMMYFUNCTION("""COMPUTED_VALUE"""),"C")</f>
        <v>C</v>
      </c>
      <c r="G590" s="2005" t="str">
        <f>IFERROR(__xludf.DUMMYFUNCTION("""COMPUTED_VALUE"""),"FF")</f>
        <v>FF</v>
      </c>
      <c r="H590">
        <f>IFERROR(__xludf.DUMMYFUNCTION("""COMPUTED_VALUE"""),39.01)</f>
        <v>39.01</v>
      </c>
      <c r="I590">
        <f>IFERROR(__xludf.DUMMYFUNCTION("""COMPUTED_VALUE"""),39.01)</f>
        <v>39.01</v>
      </c>
      <c r="BD590" s="2006"/>
      <c r="LM590" s="2007"/>
    </row>
    <row r="591">
      <c r="A591" s="2005">
        <f>IFERROR(__xludf.DUMMYFUNCTION("""COMPUTED_VALUE"""),1034061.0)</f>
        <v>1034061</v>
      </c>
      <c r="B591" s="2005">
        <f>IFERROR(__xludf.DUMMYFUNCTION("""COMPUTED_VALUE"""),2502015.0)</f>
        <v>2502015</v>
      </c>
      <c r="C591" s="2005" t="str">
        <f>IFERROR(__xludf.DUMMYFUNCTION("""COMPUTED_VALUE"""),"Clavier")</f>
        <v>Clavier</v>
      </c>
      <c r="D591" s="2005" t="str">
        <f>IFERROR(__xludf.DUMMYFUNCTION("""COMPUTED_VALUE"""),"K480 Bluetooth Black")</f>
        <v>K480 Bluetooth Black</v>
      </c>
      <c r="E591" s="2005" t="str">
        <f>IFERROR(__xludf.DUMMYFUNCTION("""COMPUTED_VALUE"""),"LOGITECH")</f>
        <v>LOGITECH</v>
      </c>
      <c r="F591" s="2005" t="str">
        <f>IFERROR(__xludf.DUMMYFUNCTION("""COMPUTED_VALUE"""),"A")</f>
        <v>A</v>
      </c>
      <c r="G591" s="2005" t="str">
        <f>IFERROR(__xludf.DUMMYFUNCTION("""COMPUTED_VALUE"""),"NN")</f>
        <v>NN</v>
      </c>
      <c r="H591">
        <f>IFERROR(__xludf.DUMMYFUNCTION("""COMPUTED_VALUE"""),54.99)</f>
        <v>54.99</v>
      </c>
      <c r="I591">
        <f>IFERROR(__xludf.DUMMYFUNCTION("""COMPUTED_VALUE"""),54.99)</f>
        <v>54.99</v>
      </c>
      <c r="BD591" s="2006"/>
      <c r="LL591" s="2007"/>
      <c r="LM591" s="2007"/>
      <c r="MX591" s="2007"/>
      <c r="ND591" s="2007"/>
    </row>
    <row r="592">
      <c r="A592" s="2005">
        <f>IFERROR(__xludf.DUMMYFUNCTION("""COMPUTED_VALUE"""),1034178.0)</f>
        <v>1034178</v>
      </c>
      <c r="B592" s="2005">
        <f>IFERROR(__xludf.DUMMYFUNCTION("""COMPUTED_VALUE"""),2403005.0)</f>
        <v>2403005</v>
      </c>
      <c r="C592" s="2005" t="str">
        <f>IFERROR(__xludf.DUMMYFUNCTION("""COMPUTED_VALUE"""),"Cartouche")</f>
        <v>Cartouche</v>
      </c>
      <c r="D592" s="2005" t="str">
        <f>IFERROR(__xludf.DUMMYFUNCTION("""COMPUTED_VALUE"""),"LC229XL Noire")</f>
        <v>LC229XL Noire</v>
      </c>
      <c r="E592" s="2005" t="str">
        <f>IFERROR(__xludf.DUMMYFUNCTION("""COMPUTED_VALUE"""),"BROTHER")</f>
        <v>BROTHER</v>
      </c>
      <c r="F592" s="2005" t="str">
        <f>IFERROR(__xludf.DUMMYFUNCTION("""COMPUTED_VALUE"""),"D")</f>
        <v>D</v>
      </c>
      <c r="G592" s="2005" t="str">
        <f>IFERROR(__xludf.DUMMYFUNCTION("""COMPUTED_VALUE"""),"FR")</f>
        <v>FR</v>
      </c>
      <c r="H592" s="2005">
        <f>IFERROR(__xludf.DUMMYFUNCTION("""COMPUTED_VALUE"""),30.01)</f>
        <v>30.01</v>
      </c>
      <c r="I592" s="2005">
        <f>IFERROR(__xludf.DUMMYFUNCTION("""COMPUTED_VALUE"""),30.01)</f>
        <v>30.01</v>
      </c>
      <c r="BD592" s="2006"/>
      <c r="LL592" s="2008"/>
      <c r="LM592" s="2007"/>
      <c r="MX592" s="2007"/>
      <c r="ND592" s="2007"/>
    </row>
    <row r="593">
      <c r="A593" s="2005">
        <f>IFERROR(__xludf.DUMMYFUNCTION("""COMPUTED_VALUE"""),1034179.0)</f>
        <v>1034179</v>
      </c>
      <c r="B593" s="2005">
        <f>IFERROR(__xludf.DUMMYFUNCTION("""COMPUTED_VALUE"""),2403005.0)</f>
        <v>2403005</v>
      </c>
      <c r="C593" s="2005" t="str">
        <f>IFERROR(__xludf.DUMMYFUNCTION("""COMPUTED_VALUE"""),"Pack")</f>
        <v>Pack</v>
      </c>
      <c r="D593" s="2005" t="str">
        <f>IFERROR(__xludf.DUMMYFUNCTION("""COMPUTED_VALUE"""),"LC229XL N/C/M/J")</f>
        <v>LC229XL N/C/M/J</v>
      </c>
      <c r="E593" s="2005" t="str">
        <f>IFERROR(__xludf.DUMMYFUNCTION("""COMPUTED_VALUE"""),"BROTHER")</f>
        <v>BROTHER</v>
      </c>
      <c r="F593" s="2005" t="str">
        <f>IFERROR(__xludf.DUMMYFUNCTION("""COMPUTED_VALUE"""),"D")</f>
        <v>D</v>
      </c>
      <c r="G593" s="2005" t="str">
        <f>IFERROR(__xludf.DUMMYFUNCTION("""COMPUTED_VALUE"""),"NN")</f>
        <v>NN</v>
      </c>
      <c r="H593">
        <f>IFERROR(__xludf.DUMMYFUNCTION("""COMPUTED_VALUE"""),106.99)</f>
        <v>106.99</v>
      </c>
      <c r="I593">
        <f>IFERROR(__xludf.DUMMYFUNCTION("""COMPUTED_VALUE"""),106.99)</f>
        <v>106.99</v>
      </c>
      <c r="BD593" s="2006"/>
      <c r="LM593" s="2007"/>
    </row>
    <row r="594">
      <c r="A594" s="2005">
        <f>IFERROR(__xludf.DUMMYFUNCTION("""COMPUTED_VALUE"""),1034901.0)</f>
        <v>1034901</v>
      </c>
      <c r="B594" s="2005">
        <f>IFERROR(__xludf.DUMMYFUNCTION("""COMPUTED_VALUE"""),2403005.0)</f>
        <v>2403005</v>
      </c>
      <c r="C594" s="2005" t="str">
        <f>IFERROR(__xludf.DUMMYFUNCTION("""COMPUTED_VALUE"""),"Cartouche")</f>
        <v>Cartouche</v>
      </c>
      <c r="D594" s="2005" t="str">
        <f>IFERROR(__xludf.DUMMYFUNCTION("""COMPUTED_VALUE"""),"62 XL noire")</f>
        <v>62 XL noire</v>
      </c>
      <c r="E594" s="2005" t="str">
        <f>IFERROR(__xludf.DUMMYFUNCTION("""COMPUTED_VALUE"""),"HP")</f>
        <v>HP</v>
      </c>
      <c r="F594" s="2005" t="str">
        <f>IFERROR(__xludf.DUMMYFUNCTION("""COMPUTED_VALUE"""),"A")</f>
        <v>A</v>
      </c>
      <c r="G594" s="2005" t="str">
        <f>IFERROR(__xludf.DUMMYFUNCTION("""COMPUTED_VALUE"""),"AC")</f>
        <v>AC</v>
      </c>
      <c r="H594">
        <f>IFERROR(__xludf.DUMMYFUNCTION("""COMPUTED_VALUE"""),52.99)</f>
        <v>52.99</v>
      </c>
      <c r="I594">
        <f>IFERROR(__xludf.DUMMYFUNCTION("""COMPUTED_VALUE"""),52.99)</f>
        <v>52.99</v>
      </c>
      <c r="BD594" s="2006"/>
      <c r="LM594" s="2007"/>
    </row>
    <row r="595">
      <c r="A595" s="2005">
        <f>IFERROR(__xludf.DUMMYFUNCTION("""COMPUTED_VALUE"""),1034903.0)</f>
        <v>1034903</v>
      </c>
      <c r="B595" s="2005">
        <f>IFERROR(__xludf.DUMMYFUNCTION("""COMPUTED_VALUE"""),2403005.0)</f>
        <v>2403005</v>
      </c>
      <c r="C595" s="2005" t="str">
        <f>IFERROR(__xludf.DUMMYFUNCTION("""COMPUTED_VALUE"""),"Cartouche")</f>
        <v>Cartouche</v>
      </c>
      <c r="D595" s="2005" t="str">
        <f>IFERROR(__xludf.DUMMYFUNCTION("""COMPUTED_VALUE"""),"62 XL 3 couleurs")</f>
        <v>62 XL 3 couleurs</v>
      </c>
      <c r="E595" s="2005" t="str">
        <f>IFERROR(__xludf.DUMMYFUNCTION("""COMPUTED_VALUE"""),"HP")</f>
        <v>HP</v>
      </c>
      <c r="F595" s="2005" t="str">
        <f>IFERROR(__xludf.DUMMYFUNCTION("""COMPUTED_VALUE"""),"A")</f>
        <v>A</v>
      </c>
      <c r="G595" s="2005" t="str">
        <f>IFERROR(__xludf.DUMMYFUNCTION("""COMPUTED_VALUE"""),"AC")</f>
        <v>AC</v>
      </c>
      <c r="H595" s="2005">
        <f>IFERROR(__xludf.DUMMYFUNCTION("""COMPUTED_VALUE"""),57.99)</f>
        <v>57.99</v>
      </c>
      <c r="I595" s="2005">
        <f>IFERROR(__xludf.DUMMYFUNCTION("""COMPUTED_VALUE"""),57.99)</f>
        <v>57.99</v>
      </c>
      <c r="BD595" s="2006"/>
      <c r="LM595" s="2007"/>
    </row>
    <row r="596">
      <c r="A596" s="2005">
        <f>IFERROR(__xludf.DUMMYFUNCTION("""COMPUTED_VALUE"""),1034905.0)</f>
        <v>1034905</v>
      </c>
      <c r="B596" s="2005">
        <f>IFERROR(__xludf.DUMMYFUNCTION("""COMPUTED_VALUE"""),2403005.0)</f>
        <v>2403005</v>
      </c>
      <c r="C596" s="2005" t="str">
        <f>IFERROR(__xludf.DUMMYFUNCTION("""COMPUTED_VALUE"""),"Pack")</f>
        <v>Pack</v>
      </c>
      <c r="D596" s="2005" t="str">
        <f>IFERROR(__xludf.DUMMYFUNCTION("""COMPUTED_VALUE"""),"62 noire + 3 couleurs")</f>
        <v>62 noire + 3 couleurs</v>
      </c>
      <c r="E596" s="2005" t="str">
        <f>IFERROR(__xludf.DUMMYFUNCTION("""COMPUTED_VALUE"""),"HP")</f>
        <v>HP</v>
      </c>
      <c r="F596" s="2005" t="str">
        <f>IFERROR(__xludf.DUMMYFUNCTION("""COMPUTED_VALUE"""),"A")</f>
        <v>A</v>
      </c>
      <c r="G596" s="2005" t="str">
        <f>IFERROR(__xludf.DUMMYFUNCTION("""COMPUTED_VALUE"""),"AC")</f>
        <v>AC</v>
      </c>
      <c r="H596" s="2005">
        <f>IFERROR(__xludf.DUMMYFUNCTION("""COMPUTED_VALUE"""),49.99)</f>
        <v>49.99</v>
      </c>
      <c r="I596" s="2005">
        <f>IFERROR(__xludf.DUMMYFUNCTION("""COMPUTED_VALUE"""),49.99)</f>
        <v>49.99</v>
      </c>
      <c r="BD596" s="2006"/>
      <c r="LM596" s="2007"/>
    </row>
    <row r="597">
      <c r="A597" s="2005">
        <f>IFERROR(__xludf.DUMMYFUNCTION("""COMPUTED_VALUE"""),1035649.0)</f>
        <v>1035649</v>
      </c>
      <c r="B597" s="2005">
        <f>IFERROR(__xludf.DUMMYFUNCTION("""COMPUTED_VALUE"""),2403005.0)</f>
        <v>2403005</v>
      </c>
      <c r="C597" s="2005" t="str">
        <f>IFERROR(__xludf.DUMMYFUNCTION("""COMPUTED_VALUE"""),"Pack")</f>
        <v>Pack</v>
      </c>
      <c r="D597" s="2005" t="str">
        <f>IFERROR(__xludf.DUMMYFUNCTION("""COMPUTED_VALUE"""),"301 noire + 3 couleurs")</f>
        <v>301 noire + 3 couleurs</v>
      </c>
      <c r="E597" s="2005" t="str">
        <f>IFERROR(__xludf.DUMMYFUNCTION("""COMPUTED_VALUE"""),"HP")</f>
        <v>HP</v>
      </c>
      <c r="F597" s="2005" t="str">
        <f>IFERROR(__xludf.DUMMYFUNCTION("""COMPUTED_VALUE"""),"A")</f>
        <v>A</v>
      </c>
      <c r="G597" s="2005" t="str">
        <f>IFERROR(__xludf.DUMMYFUNCTION("""COMPUTED_VALUE"""),"AC")</f>
        <v>AC</v>
      </c>
      <c r="H597" s="2005">
        <f>IFERROR(__xludf.DUMMYFUNCTION("""COMPUTED_VALUE"""),48.99)</f>
        <v>48.99</v>
      </c>
      <c r="I597" s="2005">
        <f>IFERROR(__xludf.DUMMYFUNCTION("""COMPUTED_VALUE"""),48.99)</f>
        <v>48.99</v>
      </c>
      <c r="BD597" s="2006"/>
      <c r="LM597" s="2007"/>
    </row>
    <row r="598">
      <c r="A598" s="2005">
        <f>IFERROR(__xludf.DUMMYFUNCTION("""COMPUTED_VALUE"""),1035650.0)</f>
        <v>1035650</v>
      </c>
      <c r="B598" s="2005">
        <f>IFERROR(__xludf.DUMMYFUNCTION("""COMPUTED_VALUE"""),2403005.0)</f>
        <v>2403005</v>
      </c>
      <c r="C598" s="2005" t="str">
        <f>IFERROR(__xludf.DUMMYFUNCTION("""COMPUTED_VALUE"""),"Pack")</f>
        <v>Pack</v>
      </c>
      <c r="D598" s="2005" t="str">
        <f>IFERROR(__xludf.DUMMYFUNCTION("""COMPUTED_VALUE"""),"364 (N/C/M/J)")</f>
        <v>364 (N/C/M/J)</v>
      </c>
      <c r="E598" s="2005" t="str">
        <f>IFERROR(__xludf.DUMMYFUNCTION("""COMPUTED_VALUE"""),"HP")</f>
        <v>HP</v>
      </c>
      <c r="F598" s="2005" t="str">
        <f>IFERROR(__xludf.DUMMYFUNCTION("""COMPUTED_VALUE"""),"A")</f>
        <v>A</v>
      </c>
      <c r="G598" s="2005" t="str">
        <f>IFERROR(__xludf.DUMMYFUNCTION("""COMPUTED_VALUE"""),"AC")</f>
        <v>AC</v>
      </c>
      <c r="H598" s="2005">
        <f>IFERROR(__xludf.DUMMYFUNCTION("""COMPUTED_VALUE"""),64.99)</f>
        <v>64.99</v>
      </c>
      <c r="I598" s="2005">
        <f>IFERROR(__xludf.DUMMYFUNCTION("""COMPUTED_VALUE"""),64.99)</f>
        <v>64.99</v>
      </c>
      <c r="BD598" s="2006"/>
      <c r="LM598" s="2007"/>
    </row>
    <row r="599">
      <c r="A599" s="2005">
        <f>IFERROR(__xludf.DUMMYFUNCTION("""COMPUTED_VALUE"""),1035681.0)</f>
        <v>1035681</v>
      </c>
      <c r="B599" s="2005">
        <f>IFERROR(__xludf.DUMMYFUNCTION("""COMPUTED_VALUE"""),2403005.0)</f>
        <v>2403005</v>
      </c>
      <c r="C599" s="2005" t="str">
        <f>IFERROR(__xludf.DUMMYFUNCTION("""COMPUTED_VALUE"""),"Pack")</f>
        <v>Pack</v>
      </c>
      <c r="D599" s="2005" t="str">
        <f>IFERROR(__xludf.DUMMYFUNCTION("""COMPUTED_VALUE"""),"N°364XL (N/C/M/J)")</f>
        <v>N°364XL (N/C/M/J)</v>
      </c>
      <c r="E599" s="2005" t="str">
        <f>IFERROR(__xludf.DUMMYFUNCTION("""COMPUTED_VALUE"""),"HP")</f>
        <v>HP</v>
      </c>
      <c r="F599" s="2005" t="str">
        <f>IFERROR(__xludf.DUMMYFUNCTION("""COMPUTED_VALUE"""),"A")</f>
        <v>A</v>
      </c>
      <c r="G599" s="2005" t="str">
        <f>IFERROR(__xludf.DUMMYFUNCTION("""COMPUTED_VALUE"""),"NN")</f>
        <v>NN</v>
      </c>
      <c r="H599">
        <f>IFERROR(__xludf.DUMMYFUNCTION("""COMPUTED_VALUE"""),77.99)</f>
        <v>77.99</v>
      </c>
      <c r="I599">
        <f>IFERROR(__xludf.DUMMYFUNCTION("""COMPUTED_VALUE"""),77.99)</f>
        <v>77.99</v>
      </c>
      <c r="BD599" s="2006"/>
      <c r="LM599" s="2007"/>
    </row>
    <row r="600">
      <c r="A600" s="2005">
        <f>IFERROR(__xludf.DUMMYFUNCTION("""COMPUTED_VALUE"""),1036211.0)</f>
        <v>1036211</v>
      </c>
      <c r="B600" s="2005">
        <f>IFERROR(__xludf.DUMMYFUNCTION("""COMPUTED_VALUE"""),2502010.0)</f>
        <v>2502010</v>
      </c>
      <c r="C600" s="2005" t="str">
        <f>IFERROR(__xludf.DUMMYFUNCTION("""COMPUTED_VALUE"""),"Souris")</f>
        <v>Souris</v>
      </c>
      <c r="D600" s="2005" t="str">
        <f>IFERROR(__xludf.DUMMYFUNCTION("""COMPUTED_VALUE"""),"Z4000 Wireless Noir")</f>
        <v>Z4000 Wireless Noir</v>
      </c>
      <c r="E600" s="2005" t="str">
        <f>IFERROR(__xludf.DUMMYFUNCTION("""COMPUTED_VALUE"""),"HP")</f>
        <v>HP</v>
      </c>
      <c r="F600" s="2005" t="str">
        <f>IFERROR(__xludf.DUMMYFUNCTION("""COMPUTED_VALUE"""),"W")</f>
        <v>W</v>
      </c>
      <c r="G600" s="2005" t="str">
        <f>IFERROR(__xludf.DUMMYFUNCTION("""COMPUTED_VALUE"""),"AC")</f>
        <v>AC</v>
      </c>
      <c r="H600">
        <f>IFERROR(__xludf.DUMMYFUNCTION("""COMPUTED_VALUE"""),44.99)</f>
        <v>44.99</v>
      </c>
      <c r="I600">
        <f>IFERROR(__xludf.DUMMYFUNCTION("""COMPUTED_VALUE"""),26.84)</f>
        <v>26.84</v>
      </c>
      <c r="BD600" s="2006"/>
      <c r="LL600" s="2007"/>
      <c r="LM600" s="2007"/>
      <c r="MX600" s="2007"/>
      <c r="ND600" s="2007"/>
    </row>
    <row r="601">
      <c r="A601" s="2005">
        <f>IFERROR(__xludf.DUMMYFUNCTION("""COMPUTED_VALUE"""),1039184.0)</f>
        <v>1039184</v>
      </c>
      <c r="B601" s="2005">
        <f>IFERROR(__xludf.DUMMYFUNCTION("""COMPUTED_VALUE"""),2403005.0)</f>
        <v>2403005</v>
      </c>
      <c r="C601" s="2005" t="str">
        <f>IFERROR(__xludf.DUMMYFUNCTION("""COMPUTED_VALUE"""),"Cartouche")</f>
        <v>Cartouche</v>
      </c>
      <c r="D601" s="2005" t="str">
        <f>IFERROR(__xludf.DUMMYFUNCTION("""COMPUTED_VALUE"""),"N°935XL CYAN")</f>
        <v>N°935XL CYAN</v>
      </c>
      <c r="E601" s="2005" t="str">
        <f>IFERROR(__xludf.DUMMYFUNCTION("""COMPUTED_VALUE"""),"HP")</f>
        <v>HP</v>
      </c>
      <c r="F601" s="2005" t="str">
        <f>IFERROR(__xludf.DUMMYFUNCTION("""COMPUTED_VALUE"""),"B")</f>
        <v>B</v>
      </c>
      <c r="G601" s="2005" t="str">
        <f>IFERROR(__xludf.DUMMYFUNCTION("""COMPUTED_VALUE"""),"FI")</f>
        <v>FI</v>
      </c>
      <c r="H601">
        <f>IFERROR(__xludf.DUMMYFUNCTION("""COMPUTED_VALUE"""),27.99)</f>
        <v>27.99</v>
      </c>
      <c r="I601">
        <f>IFERROR(__xludf.DUMMYFUNCTION("""COMPUTED_VALUE"""),27.99)</f>
        <v>27.99</v>
      </c>
      <c r="BD601" s="2006"/>
      <c r="LL601" s="2007"/>
      <c r="LM601" s="2007"/>
      <c r="MX601" s="2007"/>
      <c r="ND601" s="2007"/>
    </row>
    <row r="602">
      <c r="A602" s="2005">
        <f>IFERROR(__xludf.DUMMYFUNCTION("""COMPUTED_VALUE"""),1039185.0)</f>
        <v>1039185</v>
      </c>
      <c r="B602" s="2005">
        <f>IFERROR(__xludf.DUMMYFUNCTION("""COMPUTED_VALUE"""),2403005.0)</f>
        <v>2403005</v>
      </c>
      <c r="C602" s="2005" t="str">
        <f>IFERROR(__xludf.DUMMYFUNCTION("""COMPUTED_VALUE"""),"Cartouche")</f>
        <v>Cartouche</v>
      </c>
      <c r="D602" s="2005" t="str">
        <f>IFERROR(__xludf.DUMMYFUNCTION("""COMPUTED_VALUE"""),"N°935XL  magenta")</f>
        <v>N°935XL  magenta</v>
      </c>
      <c r="E602" s="2005" t="str">
        <f>IFERROR(__xludf.DUMMYFUNCTION("""COMPUTED_VALUE"""),"HP")</f>
        <v>HP</v>
      </c>
      <c r="F602" s="2005" t="str">
        <f>IFERROR(__xludf.DUMMYFUNCTION("""COMPUTED_VALUE"""),"B")</f>
        <v>B</v>
      </c>
      <c r="G602" s="2005" t="str">
        <f>IFERROR(__xludf.DUMMYFUNCTION("""COMPUTED_VALUE"""),"FI")</f>
        <v>FI</v>
      </c>
      <c r="H602">
        <f>IFERROR(__xludf.DUMMYFUNCTION("""COMPUTED_VALUE"""),27.99)</f>
        <v>27.99</v>
      </c>
      <c r="I602">
        <f>IFERROR(__xludf.DUMMYFUNCTION("""COMPUTED_VALUE"""),27.99)</f>
        <v>27.99</v>
      </c>
      <c r="BD602" s="2006"/>
      <c r="LM602" s="2007"/>
    </row>
    <row r="603">
      <c r="A603" s="2005">
        <f>IFERROR(__xludf.DUMMYFUNCTION("""COMPUTED_VALUE"""),1039186.0)</f>
        <v>1039186</v>
      </c>
      <c r="B603" s="2005">
        <f>IFERROR(__xludf.DUMMYFUNCTION("""COMPUTED_VALUE"""),2403005.0)</f>
        <v>2403005</v>
      </c>
      <c r="C603" s="2005" t="str">
        <f>IFERROR(__xludf.DUMMYFUNCTION("""COMPUTED_VALUE"""),"Cartouche")</f>
        <v>Cartouche</v>
      </c>
      <c r="D603" s="2005" t="str">
        <f>IFERROR(__xludf.DUMMYFUNCTION("""COMPUTED_VALUE"""),"N°935XL jaune")</f>
        <v>N°935XL jaune</v>
      </c>
      <c r="E603" s="2005" t="str">
        <f>IFERROR(__xludf.DUMMYFUNCTION("""COMPUTED_VALUE"""),"HP")</f>
        <v>HP</v>
      </c>
      <c r="F603" s="2005" t="str">
        <f>IFERROR(__xludf.DUMMYFUNCTION("""COMPUTED_VALUE"""),"B")</f>
        <v>B</v>
      </c>
      <c r="G603" s="2005" t="str">
        <f>IFERROR(__xludf.DUMMYFUNCTION("""COMPUTED_VALUE"""),"FI")</f>
        <v>FI</v>
      </c>
      <c r="H603" s="2005">
        <f>IFERROR(__xludf.DUMMYFUNCTION("""COMPUTED_VALUE"""),27.99)</f>
        <v>27.99</v>
      </c>
      <c r="I603">
        <f>IFERROR(__xludf.DUMMYFUNCTION("""COMPUTED_VALUE"""),27.99)</f>
        <v>27.99</v>
      </c>
      <c r="BD603" s="2006"/>
      <c r="LM603" s="2007"/>
    </row>
    <row r="604">
      <c r="A604" s="2005">
        <f>IFERROR(__xludf.DUMMYFUNCTION("""COMPUTED_VALUE"""),1041973.0)</f>
        <v>1041973</v>
      </c>
      <c r="B604" s="2005">
        <f>IFERROR(__xludf.DUMMYFUNCTION("""COMPUTED_VALUE"""),2203005.0)</f>
        <v>2203005</v>
      </c>
      <c r="C604" s="2005" t="str">
        <f>IFERROR(__xludf.DUMMYFUNCTION("""COMPUTED_VALUE"""),"Scanner")</f>
        <v>Scanner</v>
      </c>
      <c r="D604" s="2005" t="str">
        <f>IFERROR(__xludf.DUMMYFUNCTION("""COMPUTED_VALUE"""),"Perfection V850 Pro")</f>
        <v>Perfection V850 Pro</v>
      </c>
      <c r="E604" s="2005" t="str">
        <f>IFERROR(__xludf.DUMMYFUNCTION("""COMPUTED_VALUE"""),"EPSON")</f>
        <v>EPSON</v>
      </c>
      <c r="F604" s="2005" t="str">
        <f>IFERROR(__xludf.DUMMYFUNCTION("""COMPUTED_VALUE"""),"H")</f>
        <v>H</v>
      </c>
      <c r="G604" s="2005" t="str">
        <f>IFERROR(__xludf.DUMMYFUNCTION("""COMPUTED_VALUE"""),"AC")</f>
        <v>AC</v>
      </c>
      <c r="H604" s="2005">
        <f>IFERROR(__xludf.DUMMYFUNCTION("""COMPUTED_VALUE"""),1249.99)</f>
        <v>1249.99</v>
      </c>
      <c r="I604" s="2005">
        <f>IFERROR(__xludf.DUMMYFUNCTION("""COMPUTED_VALUE"""),1089.99)</f>
        <v>1089.99</v>
      </c>
      <c r="BD604" s="2006"/>
      <c r="LM604" s="2007"/>
    </row>
    <row r="605">
      <c r="A605" s="2005">
        <f>IFERROR(__xludf.DUMMYFUNCTION("""COMPUTED_VALUE"""),1042279.0)</f>
        <v>1042279</v>
      </c>
      <c r="B605" s="2005">
        <f>IFERROR(__xludf.DUMMYFUNCTION("""COMPUTED_VALUE"""),2502015.0)</f>
        <v>2502015</v>
      </c>
      <c r="C605" s="2005" t="str">
        <f>IFERROR(__xludf.DUMMYFUNCTION("""COMPUTED_VALUE"""),"Clavier")</f>
        <v>Clavier</v>
      </c>
      <c r="D605" s="2005" t="str">
        <f>IFERROR(__xludf.DUMMYFUNCTION("""COMPUTED_VALUE"""),"Keys To Go - Noir")</f>
        <v>Keys To Go - Noir</v>
      </c>
      <c r="E605" s="2005" t="str">
        <f>IFERROR(__xludf.DUMMYFUNCTION("""COMPUTED_VALUE"""),"LOGITECH")</f>
        <v>LOGITECH</v>
      </c>
      <c r="F605" s="2005" t="str">
        <f>IFERROR(__xludf.DUMMYFUNCTION("""COMPUTED_VALUE"""),"E")</f>
        <v>E</v>
      </c>
      <c r="G605" s="2005" t="str">
        <f>IFERROR(__xludf.DUMMYFUNCTION("""COMPUTED_VALUE"""),"FF")</f>
        <v>FF</v>
      </c>
      <c r="H605">
        <f>IFERROR(__xludf.DUMMYFUNCTION("""COMPUTED_VALUE"""),69.99)</f>
        <v>69.99</v>
      </c>
      <c r="I605">
        <f>IFERROR(__xludf.DUMMYFUNCTION("""COMPUTED_VALUE"""),69.99)</f>
        <v>69.99</v>
      </c>
      <c r="BD605" s="2006"/>
      <c r="LM605" s="2007"/>
    </row>
    <row r="606">
      <c r="A606" s="2005">
        <f>IFERROR(__xludf.DUMMYFUNCTION("""COMPUTED_VALUE"""),1042358.0)</f>
        <v>1042358</v>
      </c>
      <c r="B606" s="2005">
        <f>IFERROR(__xludf.DUMMYFUNCTION("""COMPUTED_VALUE"""),2202008.0)</f>
        <v>2202008</v>
      </c>
      <c r="C606" s="2005" t="str">
        <f>IFERROR(__xludf.DUMMYFUNCTION("""COMPUTED_VALUE"""),"Multi Laser")</f>
        <v>Multi Laser</v>
      </c>
      <c r="D606" s="2005" t="str">
        <f>IFERROR(__xludf.DUMMYFUNCTION("""COMPUTED_VALUE"""),"MFC-1910W")</f>
        <v>MFC-1910W</v>
      </c>
      <c r="E606" s="2005" t="str">
        <f>IFERROR(__xludf.DUMMYFUNCTION("""COMPUTED_VALUE"""),"BROTHER")</f>
        <v>BROTHER</v>
      </c>
      <c r="F606" s="2005" t="str">
        <f>IFERROR(__xludf.DUMMYFUNCTION("""COMPUTED_VALUE"""),"B")</f>
        <v>B</v>
      </c>
      <c r="G606" s="2005" t="str">
        <f>IFERROR(__xludf.DUMMYFUNCTION("""COMPUTED_VALUE"""),"AC")</f>
        <v>AC</v>
      </c>
      <c r="H606" s="2005">
        <f>IFERROR(__xludf.DUMMYFUNCTION("""COMPUTED_VALUE"""),226.8)</f>
        <v>226.8</v>
      </c>
      <c r="I606" s="2005">
        <f>IFERROR(__xludf.DUMMYFUNCTION("""COMPUTED_VALUE"""),226.8)</f>
        <v>226.8</v>
      </c>
      <c r="BD606" s="2006"/>
      <c r="LM606" s="2007"/>
    </row>
    <row r="607">
      <c r="A607" s="2005">
        <f>IFERROR(__xludf.DUMMYFUNCTION("""COMPUTED_VALUE"""),1042900.0)</f>
        <v>1042900</v>
      </c>
      <c r="B607" s="2005">
        <f>IFERROR(__xludf.DUMMYFUNCTION("""COMPUTED_VALUE"""),2704515.0)</f>
        <v>2704515</v>
      </c>
      <c r="C607" s="2005" t="str">
        <f>IFERROR(__xludf.DUMMYFUNCTION("""COMPUTED_VALUE"""),"Calc-4OP")</f>
        <v>Calc-4OP</v>
      </c>
      <c r="D607" s="2005" t="str">
        <f>IFERROR(__xludf.DUMMYFUNCTION("""COMPUTED_VALUE"""),"DF 120TER II")</f>
        <v>DF 120TER II</v>
      </c>
      <c r="E607" s="2005" t="str">
        <f>IFERROR(__xludf.DUMMYFUNCTION("""COMPUTED_VALUE"""),"CASIO")</f>
        <v>CASIO</v>
      </c>
      <c r="F607" s="2005" t="str">
        <f>IFERROR(__xludf.DUMMYFUNCTION("""COMPUTED_VALUE"""),"A")</f>
        <v>A</v>
      </c>
      <c r="G607" s="2005" t="str">
        <f>IFERROR(__xludf.DUMMYFUNCTION("""COMPUTED_VALUE"""),"NN")</f>
        <v>NN</v>
      </c>
      <c r="H607">
        <f>IFERROR(__xludf.DUMMYFUNCTION("""COMPUTED_VALUE"""),20.99)</f>
        <v>20.99</v>
      </c>
      <c r="I607">
        <f>IFERROR(__xludf.DUMMYFUNCTION("""COMPUTED_VALUE"""),20.99)</f>
        <v>20.99</v>
      </c>
      <c r="BD607" s="2006"/>
      <c r="LM607" s="2007"/>
    </row>
    <row r="608">
      <c r="A608" s="2005">
        <f>IFERROR(__xludf.DUMMYFUNCTION("""COMPUTED_VALUE"""),1046270.0)</f>
        <v>1046270</v>
      </c>
      <c r="B608" s="2005">
        <f>IFERROR(__xludf.DUMMYFUNCTION("""COMPUTED_VALUE"""),1103005.0)</f>
        <v>1103005</v>
      </c>
      <c r="C608" s="2005" t="str">
        <f>IFERROR(__xludf.DUMMYFUNCTION("""COMPUTED_VALUE"""),"Tél.")</f>
        <v>Tél.</v>
      </c>
      <c r="D608" s="2005" t="str">
        <f>IFERROR(__xludf.DUMMYFUNCTION("""COMPUTED_VALUE"""),"Sculpture CL750 Blanc Champagne")</f>
        <v>Sculpture CL750 Blanc Champagne</v>
      </c>
      <c r="E608" s="2005" t="str">
        <f>IFERROR(__xludf.DUMMYFUNCTION("""COMPUTED_VALUE"""),"GIGASET")</f>
        <v>GIGASET</v>
      </c>
      <c r="F608" s="2005" t="str">
        <f>IFERROR(__xludf.DUMMYFUNCTION("""COMPUTED_VALUE"""),"A")</f>
        <v>A</v>
      </c>
      <c r="G608" s="2005" t="str">
        <f>IFERROR(__xludf.DUMMYFUNCTION("""COMPUTED_VALUE"""),"NN")</f>
        <v>NN</v>
      </c>
      <c r="H608">
        <f>IFERROR(__xludf.DUMMYFUNCTION("""COMPUTED_VALUE"""),35.09)</f>
        <v>35.09</v>
      </c>
      <c r="I608">
        <f>IFERROR(__xludf.DUMMYFUNCTION("""COMPUTED_VALUE"""),35.09)</f>
        <v>35.09</v>
      </c>
      <c r="BD608" s="2006"/>
      <c r="LM608" s="2007"/>
    </row>
    <row r="609">
      <c r="A609" s="2005">
        <f>IFERROR(__xludf.DUMMYFUNCTION("""COMPUTED_VALUE"""),1046690.0)</f>
        <v>1046690</v>
      </c>
      <c r="B609" s="2005">
        <f>IFERROR(__xludf.DUMMYFUNCTION("""COMPUTED_VALUE"""),2201010.0)</f>
        <v>2201010</v>
      </c>
      <c r="C609" s="2005" t="str">
        <f>IFERROR(__xludf.DUMMYFUNCTION("""COMPUTED_VALUE"""),"Multi Jet d'enc")</f>
        <v>Multi Jet d'enc</v>
      </c>
      <c r="D609" s="2005" t="str">
        <f>IFERROR(__xludf.DUMMYFUNCTION("""COMPUTED_VALUE"""),"PIXMA PRO 100 S")</f>
        <v>PIXMA PRO 100 S</v>
      </c>
      <c r="E609" s="2005" t="str">
        <f>IFERROR(__xludf.DUMMYFUNCTION("""COMPUTED_VALUE"""),"CANON")</f>
        <v>CANON</v>
      </c>
      <c r="F609" s="2005" t="str">
        <f>IFERROR(__xludf.DUMMYFUNCTION("""COMPUTED_VALUE"""),"H")</f>
        <v>H</v>
      </c>
      <c r="G609" s="2005" t="str">
        <f>IFERROR(__xludf.DUMMYFUNCTION("""COMPUTED_VALUE"""),"NN")</f>
        <v>NN</v>
      </c>
      <c r="H609">
        <f>IFERROR(__xludf.DUMMYFUNCTION("""COMPUTED_VALUE"""),419.99)</f>
        <v>419.99</v>
      </c>
      <c r="I609">
        <f>IFERROR(__xludf.DUMMYFUNCTION("""COMPUTED_VALUE"""),419.99)</f>
        <v>419.99</v>
      </c>
      <c r="BD609" s="2006"/>
      <c r="LM609" s="2007"/>
    </row>
    <row r="610">
      <c r="A610" s="2005">
        <f>IFERROR(__xludf.DUMMYFUNCTION("""COMPUTED_VALUE"""),1047766.0)</f>
        <v>1047766</v>
      </c>
      <c r="B610" s="2005">
        <f>IFERROR(__xludf.DUMMYFUNCTION("""COMPUTED_VALUE"""),2503005.0)</f>
        <v>2503005</v>
      </c>
      <c r="C610" s="2005" t="str">
        <f>IFERROR(__xludf.DUMMYFUNCTION("""COMPUTED_VALUE"""),"Enceinte")</f>
        <v>Enceinte</v>
      </c>
      <c r="D610" s="2005" t="str">
        <f>IFERROR(__xludf.DUMMYFUNCTION("""COMPUTED_VALUE"""),"Companion 50")</f>
        <v>Companion 50</v>
      </c>
      <c r="E610" s="2005" t="str">
        <f>IFERROR(__xludf.DUMMYFUNCTION("""COMPUTED_VALUE"""),"BOSE")</f>
        <v>BOSE</v>
      </c>
      <c r="F610" s="2005" t="str">
        <f>IFERROR(__xludf.DUMMYFUNCTION("""COMPUTED_VALUE"""),"H")</f>
        <v>H</v>
      </c>
      <c r="G610" s="2005" t="str">
        <f>IFERROR(__xludf.DUMMYFUNCTION("""COMPUTED_VALUE"""),"NN")</f>
        <v>NN</v>
      </c>
      <c r="H610">
        <f>IFERROR(__xludf.DUMMYFUNCTION("""COMPUTED_VALUE"""),287.99)</f>
        <v>287.99</v>
      </c>
      <c r="I610">
        <f>IFERROR(__xludf.DUMMYFUNCTION("""COMPUTED_VALUE"""),287.99)</f>
        <v>287.99</v>
      </c>
      <c r="BD610" s="2006"/>
      <c r="LM610" s="2007"/>
    </row>
    <row r="611">
      <c r="A611" s="2005">
        <f>IFERROR(__xludf.DUMMYFUNCTION("""COMPUTED_VALUE"""),1048354.0)</f>
        <v>1048354</v>
      </c>
      <c r="B611" s="2005">
        <f>IFERROR(__xludf.DUMMYFUNCTION("""COMPUTED_VALUE"""),2201020.0)</f>
        <v>2201020</v>
      </c>
      <c r="C611" s="2005" t="str">
        <f>IFERROR(__xludf.DUMMYFUNCTION("""COMPUTED_VALUE"""),"Mono Laser")</f>
        <v>Mono Laser</v>
      </c>
      <c r="D611" s="2005" t="str">
        <f>IFERROR(__xludf.DUMMYFUNCTION("""COMPUTED_VALUE"""),"HL-1212W")</f>
        <v>HL-1212W</v>
      </c>
      <c r="E611" s="2005" t="str">
        <f>IFERROR(__xludf.DUMMYFUNCTION("""COMPUTED_VALUE"""),"BROTHER")</f>
        <v>BROTHER</v>
      </c>
      <c r="F611" s="2005" t="str">
        <f>IFERROR(__xludf.DUMMYFUNCTION("""COMPUTED_VALUE"""),"W")</f>
        <v>W</v>
      </c>
      <c r="G611" s="2005" t="str">
        <f>IFERROR(__xludf.DUMMYFUNCTION("""COMPUTED_VALUE"""),"AC")</f>
        <v>AC</v>
      </c>
      <c r="H611" s="2005">
        <f>IFERROR(__xludf.DUMMYFUNCTION("""COMPUTED_VALUE"""),130.8)</f>
        <v>130.8</v>
      </c>
      <c r="I611" s="2005">
        <f>IFERROR(__xludf.DUMMYFUNCTION("""COMPUTED_VALUE"""),130.8)</f>
        <v>130.8</v>
      </c>
      <c r="BD611" s="2006"/>
      <c r="LM611" s="2007"/>
    </row>
    <row r="612">
      <c r="A612" s="2005">
        <f>IFERROR(__xludf.DUMMYFUNCTION("""COMPUTED_VALUE"""),1049027.0)</f>
        <v>1049027</v>
      </c>
      <c r="B612" s="2005">
        <f>IFERROR(__xludf.DUMMYFUNCTION("""COMPUTED_VALUE"""),2502510.0)</f>
        <v>2502510</v>
      </c>
      <c r="C612" s="2005" t="str">
        <f>IFERROR(__xludf.DUMMYFUNCTION("""COMPUTED_VALUE"""),"SUPPORT")</f>
        <v>SUPPORT</v>
      </c>
      <c r="D612" s="2005" t="str">
        <f>IFERROR(__xludf.DUMMYFUNCTION("""COMPUTED_VALUE"""),"tablette ajustable universel Bleu")</f>
        <v>tablette ajustable universel Bleu</v>
      </c>
      <c r="E612" s="2005" t="str">
        <f>IFERROR(__xludf.DUMMYFUNCTION("""COMPUTED_VALUE"""),"WE")</f>
        <v>WE</v>
      </c>
      <c r="F612" s="2005" t="str">
        <f>IFERROR(__xludf.DUMMYFUNCTION("""COMPUTED_VALUE"""),"A")</f>
        <v>A</v>
      </c>
      <c r="G612" s="2005" t="str">
        <f>IFERROR(__xludf.DUMMYFUNCTION("""COMPUTED_VALUE"""),"FI")</f>
        <v>FI</v>
      </c>
      <c r="H612">
        <f>IFERROR(__xludf.DUMMYFUNCTION("""COMPUTED_VALUE"""),14.99)</f>
        <v>14.99</v>
      </c>
      <c r="I612">
        <f>IFERROR(__xludf.DUMMYFUNCTION("""COMPUTED_VALUE"""),14.99)</f>
        <v>14.99</v>
      </c>
      <c r="BD612" s="2006"/>
      <c r="LM612" s="2007"/>
    </row>
    <row r="613">
      <c r="A613" s="2005">
        <f>IFERROR(__xludf.DUMMYFUNCTION("""COMPUTED_VALUE"""),1049048.0)</f>
        <v>1049048</v>
      </c>
      <c r="B613" s="2005">
        <f>IFERROR(__xludf.DUMMYFUNCTION("""COMPUTED_VALUE"""),2403010.0)</f>
        <v>2403010</v>
      </c>
      <c r="C613" s="2005" t="str">
        <f>IFERROR(__xludf.DUMMYFUNCTION("""COMPUTED_VALUE"""),"Toner")</f>
        <v>Toner</v>
      </c>
      <c r="D613" s="2005" t="str">
        <f>IFERROR(__xludf.DUMMYFUNCTION("""COMPUTED_VALUE"""),"CF283A")</f>
        <v>CF283A</v>
      </c>
      <c r="E613" s="2005" t="str">
        <f>IFERROR(__xludf.DUMMYFUNCTION("""COMPUTED_VALUE"""),"HP")</f>
        <v>HP</v>
      </c>
      <c r="F613" s="2005" t="str">
        <f>IFERROR(__xludf.DUMMYFUNCTION("""COMPUTED_VALUE"""),"W")</f>
        <v>W</v>
      </c>
      <c r="G613" s="2005" t="str">
        <f>IFERROR(__xludf.DUMMYFUNCTION("""COMPUTED_VALUE"""),"AC")</f>
        <v>AC</v>
      </c>
      <c r="H613">
        <f>IFERROR(__xludf.DUMMYFUNCTION("""COMPUTED_VALUE"""),94.99)</f>
        <v>94.99</v>
      </c>
      <c r="I613">
        <f>IFERROR(__xludf.DUMMYFUNCTION("""COMPUTED_VALUE"""),79.94)</f>
        <v>79.94</v>
      </c>
      <c r="BD613" s="2006"/>
      <c r="LM613" s="2007"/>
    </row>
    <row r="614">
      <c r="A614" s="2005">
        <f>IFERROR(__xludf.DUMMYFUNCTION("""COMPUTED_VALUE"""),1049050.0)</f>
        <v>1049050</v>
      </c>
      <c r="B614" s="2005">
        <f>IFERROR(__xludf.DUMMYFUNCTION("""COMPUTED_VALUE"""),2403010.0)</f>
        <v>2403010</v>
      </c>
      <c r="C614" s="2005" t="str">
        <f>IFERROR(__xludf.DUMMYFUNCTION("""COMPUTED_VALUE"""),"Toner")</f>
        <v>Toner</v>
      </c>
      <c r="D614" s="2005" t="str">
        <f>IFERROR(__xludf.DUMMYFUNCTION("""COMPUTED_VALUE"""),"130A CYAN")</f>
        <v>130A CYAN</v>
      </c>
      <c r="E614" s="2005" t="str">
        <f>IFERROR(__xludf.DUMMYFUNCTION("""COMPUTED_VALUE"""),"HP")</f>
        <v>HP</v>
      </c>
      <c r="F614" s="2005" t="str">
        <f>IFERROR(__xludf.DUMMYFUNCTION("""COMPUTED_VALUE"""),"H")</f>
        <v>H</v>
      </c>
      <c r="G614" s="2005" t="str">
        <f>IFERROR(__xludf.DUMMYFUNCTION("""COMPUTED_VALUE"""),"NN")</f>
        <v>NN</v>
      </c>
      <c r="H614">
        <f>IFERROR(__xludf.DUMMYFUNCTION("""COMPUTED_VALUE"""),85.99)</f>
        <v>85.99</v>
      </c>
      <c r="I614">
        <f>IFERROR(__xludf.DUMMYFUNCTION("""COMPUTED_VALUE"""),85.99)</f>
        <v>85.99</v>
      </c>
      <c r="BD614" s="2006"/>
      <c r="LM614" s="2007"/>
    </row>
    <row r="615">
      <c r="A615" s="2005">
        <f>IFERROR(__xludf.DUMMYFUNCTION("""COMPUTED_VALUE"""),1049081.0)</f>
        <v>1049081</v>
      </c>
      <c r="B615" s="2005">
        <f>IFERROR(__xludf.DUMMYFUNCTION("""COMPUTED_VALUE"""),2403010.0)</f>
        <v>2403010</v>
      </c>
      <c r="C615" s="2005" t="str">
        <f>IFERROR(__xludf.DUMMYFUNCTION("""COMPUTED_VALUE"""),"Toner")</f>
        <v>Toner</v>
      </c>
      <c r="D615" s="2005" t="str">
        <f>IFERROR(__xludf.DUMMYFUNCTION("""COMPUTED_VALUE"""),"130 A JAUNE")</f>
        <v>130 A JAUNE</v>
      </c>
      <c r="E615" s="2005" t="str">
        <f>IFERROR(__xludf.DUMMYFUNCTION("""COMPUTED_VALUE"""),"HP")</f>
        <v>HP</v>
      </c>
      <c r="F615" s="2005" t="str">
        <f>IFERROR(__xludf.DUMMYFUNCTION("""COMPUTED_VALUE"""),"H")</f>
        <v>H</v>
      </c>
      <c r="G615" s="2005" t="str">
        <f>IFERROR(__xludf.DUMMYFUNCTION("""COMPUTED_VALUE"""),"NN")</f>
        <v>NN</v>
      </c>
      <c r="H615">
        <f>IFERROR(__xludf.DUMMYFUNCTION("""COMPUTED_VALUE"""),85.99)</f>
        <v>85.99</v>
      </c>
      <c r="I615">
        <f>IFERROR(__xludf.DUMMYFUNCTION("""COMPUTED_VALUE"""),85.99)</f>
        <v>85.99</v>
      </c>
      <c r="BD615" s="2006"/>
      <c r="LL615" s="2007"/>
      <c r="LM615" s="2007"/>
      <c r="MX615" s="2007"/>
      <c r="ND615" s="2007"/>
    </row>
    <row r="616">
      <c r="A616" s="2005">
        <f>IFERROR(__xludf.DUMMYFUNCTION("""COMPUTED_VALUE"""),1049082.0)</f>
        <v>1049082</v>
      </c>
      <c r="B616" s="2005">
        <f>IFERROR(__xludf.DUMMYFUNCTION("""COMPUTED_VALUE"""),2403010.0)</f>
        <v>2403010</v>
      </c>
      <c r="C616" s="2005" t="str">
        <f>IFERROR(__xludf.DUMMYFUNCTION("""COMPUTED_VALUE"""),"Toner")</f>
        <v>Toner</v>
      </c>
      <c r="D616" s="2005" t="str">
        <f>IFERROR(__xludf.DUMMYFUNCTION("""COMPUTED_VALUE"""),"130A MAGENTA")</f>
        <v>130A MAGENTA</v>
      </c>
      <c r="E616" s="2005" t="str">
        <f>IFERROR(__xludf.DUMMYFUNCTION("""COMPUTED_VALUE"""),"HP")</f>
        <v>HP</v>
      </c>
      <c r="F616" s="2005" t="str">
        <f>IFERROR(__xludf.DUMMYFUNCTION("""COMPUTED_VALUE"""),"H")</f>
        <v>H</v>
      </c>
      <c r="G616" s="2005" t="str">
        <f>IFERROR(__xludf.DUMMYFUNCTION("""COMPUTED_VALUE"""),"NN")</f>
        <v>NN</v>
      </c>
      <c r="H616" s="2005">
        <f>IFERROR(__xludf.DUMMYFUNCTION("""COMPUTED_VALUE"""),85.99)</f>
        <v>85.99</v>
      </c>
      <c r="I616" s="2005">
        <f>IFERROR(__xludf.DUMMYFUNCTION("""COMPUTED_VALUE"""),85.99)</f>
        <v>85.99</v>
      </c>
      <c r="BD616" s="2006"/>
      <c r="LL616" s="2007"/>
      <c r="LM616" s="2007"/>
      <c r="MX616" s="2007"/>
      <c r="ND616" s="2007"/>
    </row>
    <row r="617">
      <c r="A617" s="2005">
        <f>IFERROR(__xludf.DUMMYFUNCTION("""COMPUTED_VALUE"""),1049468.0)</f>
        <v>1049468</v>
      </c>
      <c r="B617" s="2005">
        <f>IFERROR(__xludf.DUMMYFUNCTION("""COMPUTED_VALUE"""),2403010.0)</f>
        <v>2403010</v>
      </c>
      <c r="C617" s="2005" t="str">
        <f>IFERROR(__xludf.DUMMYFUNCTION("""COMPUTED_VALUE"""),"Toner")</f>
        <v>Toner</v>
      </c>
      <c r="D617" s="2005" t="str">
        <f>IFERROR(__xludf.DUMMYFUNCTION("""COMPUTED_VALUE"""),"130 A NOIR")</f>
        <v>130 A NOIR</v>
      </c>
      <c r="E617" s="2005" t="str">
        <f>IFERROR(__xludf.DUMMYFUNCTION("""COMPUTED_VALUE"""),"HP")</f>
        <v>HP</v>
      </c>
      <c r="F617" s="2005" t="str">
        <f>IFERROR(__xludf.DUMMYFUNCTION("""COMPUTED_VALUE"""),"H")</f>
        <v>H</v>
      </c>
      <c r="G617" s="2005" t="str">
        <f>IFERROR(__xludf.DUMMYFUNCTION("""COMPUTED_VALUE"""),"NN")</f>
        <v>NN</v>
      </c>
      <c r="H617">
        <f>IFERROR(__xludf.DUMMYFUNCTION("""COMPUTED_VALUE"""),69.99)</f>
        <v>69.99</v>
      </c>
      <c r="I617">
        <f>IFERROR(__xludf.DUMMYFUNCTION("""COMPUTED_VALUE"""),69.99)</f>
        <v>69.99</v>
      </c>
      <c r="BD617" s="2006"/>
      <c r="LL617" s="2007"/>
      <c r="LM617" s="2007"/>
      <c r="MX617" s="2007"/>
      <c r="ND617" s="2007"/>
    </row>
    <row r="618">
      <c r="A618" s="2005">
        <f>IFERROR(__xludf.DUMMYFUNCTION("""COMPUTED_VALUE"""),1049469.0)</f>
        <v>1049469</v>
      </c>
      <c r="B618" s="2005">
        <f>IFERROR(__xludf.DUMMYFUNCTION("""COMPUTED_VALUE"""),2403010.0)</f>
        <v>2403010</v>
      </c>
      <c r="C618" s="2005" t="str">
        <f>IFERROR(__xludf.DUMMYFUNCTION("""COMPUTED_VALUE"""),"Toner")</f>
        <v>Toner</v>
      </c>
      <c r="D618" s="2005" t="str">
        <f>IFERROR(__xludf.DUMMYFUNCTION("""COMPUTED_VALUE"""),"312 A TONER NOIR")</f>
        <v>312 A TONER NOIR</v>
      </c>
      <c r="E618" s="2005" t="str">
        <f>IFERROR(__xludf.DUMMYFUNCTION("""COMPUTED_VALUE"""),"HP")</f>
        <v>HP</v>
      </c>
      <c r="F618" s="2005" t="str">
        <f>IFERROR(__xludf.DUMMYFUNCTION("""COMPUTED_VALUE"""),"W")</f>
        <v>W</v>
      </c>
      <c r="G618" s="2005" t="str">
        <f>IFERROR(__xludf.DUMMYFUNCTION("""COMPUTED_VALUE"""),"NN")</f>
        <v>NN</v>
      </c>
      <c r="H618">
        <f>IFERROR(__xludf.DUMMYFUNCTION("""COMPUTED_VALUE"""),94.99)</f>
        <v>94.99</v>
      </c>
      <c r="I618">
        <f>IFERROR(__xludf.DUMMYFUNCTION("""COMPUTED_VALUE"""),94.99)</f>
        <v>94.99</v>
      </c>
      <c r="BD618" s="2006"/>
      <c r="LL618" s="2007"/>
      <c r="LM618" s="2007"/>
      <c r="MX618" s="2007"/>
      <c r="ND618" s="2007"/>
    </row>
    <row r="619">
      <c r="A619" s="2005">
        <f>IFERROR(__xludf.DUMMYFUNCTION("""COMPUTED_VALUE"""),1049470.0)</f>
        <v>1049470</v>
      </c>
      <c r="B619" s="2005">
        <f>IFERROR(__xludf.DUMMYFUNCTION("""COMPUTED_VALUE"""),2403010.0)</f>
        <v>2403010</v>
      </c>
      <c r="C619" s="2005" t="str">
        <f>IFERROR(__xludf.DUMMYFUNCTION("""COMPUTED_VALUE"""),"Toner")</f>
        <v>Toner</v>
      </c>
      <c r="D619" s="2005" t="str">
        <f>IFERROR(__xludf.DUMMYFUNCTION("""COMPUTED_VALUE"""),"312 A TONER CYAN")</f>
        <v>312 A TONER CYAN</v>
      </c>
      <c r="E619" s="2005" t="str">
        <f>IFERROR(__xludf.DUMMYFUNCTION("""COMPUTED_VALUE"""),"HP")</f>
        <v>HP</v>
      </c>
      <c r="F619" s="2005" t="str">
        <f>IFERROR(__xludf.DUMMYFUNCTION("""COMPUTED_VALUE"""),"W")</f>
        <v>W</v>
      </c>
      <c r="G619" s="2005" t="str">
        <f>IFERROR(__xludf.DUMMYFUNCTION("""COMPUTED_VALUE"""),"NN")</f>
        <v>NN</v>
      </c>
      <c r="H619">
        <f>IFERROR(__xludf.DUMMYFUNCTION("""COMPUTED_VALUE"""),139.99)</f>
        <v>139.99</v>
      </c>
      <c r="I619">
        <f>IFERROR(__xludf.DUMMYFUNCTION("""COMPUTED_VALUE"""),139.99)</f>
        <v>139.99</v>
      </c>
      <c r="BD619" s="2006"/>
      <c r="LL619" s="2007"/>
      <c r="LM619" s="2007"/>
      <c r="MX619" s="2007"/>
      <c r="ND619" s="2007"/>
    </row>
    <row r="620">
      <c r="A620" s="2005">
        <f>IFERROR(__xludf.DUMMYFUNCTION("""COMPUTED_VALUE"""),1049491.0)</f>
        <v>1049491</v>
      </c>
      <c r="B620" s="2005">
        <f>IFERROR(__xludf.DUMMYFUNCTION("""COMPUTED_VALUE"""),2403010.0)</f>
        <v>2403010</v>
      </c>
      <c r="C620" s="2005" t="str">
        <f>IFERROR(__xludf.DUMMYFUNCTION("""COMPUTED_VALUE"""),"Toner")</f>
        <v>Toner</v>
      </c>
      <c r="D620" s="2005" t="str">
        <f>IFERROR(__xludf.DUMMYFUNCTION("""COMPUTED_VALUE"""),"312 A TONER JAUNE")</f>
        <v>312 A TONER JAUNE</v>
      </c>
      <c r="E620" s="2005" t="str">
        <f>IFERROR(__xludf.DUMMYFUNCTION("""COMPUTED_VALUE"""),"HP")</f>
        <v>HP</v>
      </c>
      <c r="F620" s="2005" t="str">
        <f>IFERROR(__xludf.DUMMYFUNCTION("""COMPUTED_VALUE"""),"W")</f>
        <v>W</v>
      </c>
      <c r="G620" s="2005" t="str">
        <f>IFERROR(__xludf.DUMMYFUNCTION("""COMPUTED_VALUE"""),"NN")</f>
        <v>NN</v>
      </c>
      <c r="H620">
        <f>IFERROR(__xludf.DUMMYFUNCTION("""COMPUTED_VALUE"""),139.99)</f>
        <v>139.99</v>
      </c>
      <c r="I620">
        <f>IFERROR(__xludf.DUMMYFUNCTION("""COMPUTED_VALUE"""),139.99)</f>
        <v>139.99</v>
      </c>
      <c r="BD620" s="2006"/>
      <c r="LL620" s="2007"/>
      <c r="LM620" s="2007"/>
      <c r="MX620" s="2007"/>
      <c r="ND620" s="2007"/>
    </row>
    <row r="621">
      <c r="A621" s="2005">
        <f>IFERROR(__xludf.DUMMYFUNCTION("""COMPUTED_VALUE"""),1049492.0)</f>
        <v>1049492</v>
      </c>
      <c r="B621" s="2005">
        <f>IFERROR(__xludf.DUMMYFUNCTION("""COMPUTED_VALUE"""),2403010.0)</f>
        <v>2403010</v>
      </c>
      <c r="C621" s="2005" t="str">
        <f>IFERROR(__xludf.DUMMYFUNCTION("""COMPUTED_VALUE"""),"Toner")</f>
        <v>Toner</v>
      </c>
      <c r="D621" s="2005" t="str">
        <f>IFERROR(__xludf.DUMMYFUNCTION("""COMPUTED_VALUE"""),"312 A TONER MAGENTA")</f>
        <v>312 A TONER MAGENTA</v>
      </c>
      <c r="E621" s="2005" t="str">
        <f>IFERROR(__xludf.DUMMYFUNCTION("""COMPUTED_VALUE"""),"HP")</f>
        <v>HP</v>
      </c>
      <c r="F621" s="2005" t="str">
        <f>IFERROR(__xludf.DUMMYFUNCTION("""COMPUTED_VALUE"""),"W")</f>
        <v>W</v>
      </c>
      <c r="G621" s="2005" t="str">
        <f>IFERROR(__xludf.DUMMYFUNCTION("""COMPUTED_VALUE"""),"NN")</f>
        <v>NN</v>
      </c>
      <c r="H621" s="2005">
        <f>IFERROR(__xludf.DUMMYFUNCTION("""COMPUTED_VALUE"""),139.99)</f>
        <v>139.99</v>
      </c>
      <c r="I621" s="2005">
        <f>IFERROR(__xludf.DUMMYFUNCTION("""COMPUTED_VALUE"""),139.99)</f>
        <v>139.99</v>
      </c>
      <c r="BD621" s="2006"/>
      <c r="LL621" s="2007"/>
      <c r="LM621" s="2007"/>
      <c r="MX621" s="2007"/>
      <c r="ND621" s="2007"/>
    </row>
    <row r="622">
      <c r="A622" s="2005">
        <f>IFERROR(__xludf.DUMMYFUNCTION("""COMPUTED_VALUE"""),1049637.0)</f>
        <v>1049637</v>
      </c>
      <c r="B622" s="2005">
        <f>IFERROR(__xludf.DUMMYFUNCTION("""COMPUTED_VALUE"""),2409805.0)</f>
        <v>2409805</v>
      </c>
      <c r="C622" s="2005" t="str">
        <f>IFERROR(__xludf.DUMMYFUNCTION("""COMPUTED_VALUE"""),"Lot")</f>
        <v>Lot</v>
      </c>
      <c r="D622" s="2005" t="str">
        <f>IFERROR(__xludf.DUMMYFUNCTION("""COMPUTED_VALUE"""),"Pack cartouche n°364 +10feuill +5env")</f>
        <v>Pack cartouche n°364 +10feuill +5env</v>
      </c>
      <c r="E622" s="2005" t="str">
        <f>IFERROR(__xludf.DUMMYFUNCTION("""COMPUTED_VALUE"""),"HP")</f>
        <v>HP</v>
      </c>
      <c r="F622" s="2005" t="str">
        <f>IFERROR(__xludf.DUMMYFUNCTION("""COMPUTED_VALUE"""),"H")</f>
        <v>H</v>
      </c>
      <c r="G622" s="2005" t="str">
        <f>IFERROR(__xludf.DUMMYFUNCTION("""COMPUTED_VALUE"""),"AC")</f>
        <v>AC</v>
      </c>
      <c r="H622">
        <f>IFERROR(__xludf.DUMMYFUNCTION("""COMPUTED_VALUE"""),97.45)</f>
        <v>97.45</v>
      </c>
      <c r="I622">
        <f>IFERROR(__xludf.DUMMYFUNCTION("""COMPUTED_VALUE"""),97.45)</f>
        <v>97.45</v>
      </c>
      <c r="BD622" s="2006"/>
      <c r="LL622" s="2007"/>
      <c r="LM622" s="2007"/>
      <c r="MX622" s="2007"/>
      <c r="ND622" s="2007"/>
    </row>
    <row r="623">
      <c r="A623" s="2005">
        <f>IFERROR(__xludf.DUMMYFUNCTION("""COMPUTED_VALUE"""),1050208.0)</f>
        <v>1050208</v>
      </c>
      <c r="B623" s="2005">
        <f>IFERROR(__xludf.DUMMYFUNCTION("""COMPUTED_VALUE"""),2403010.0)</f>
        <v>2403010</v>
      </c>
      <c r="C623" s="2005" t="str">
        <f>IFERROR(__xludf.DUMMYFUNCTION("""COMPUTED_VALUE"""),"Toner")</f>
        <v>Toner</v>
      </c>
      <c r="D623" s="2005" t="str">
        <f>IFERROR(__xludf.DUMMYFUNCTION("""COMPUTED_VALUE"""),"201 X TONER NOIR")</f>
        <v>201 X TONER NOIR</v>
      </c>
      <c r="E623" s="2005" t="str">
        <f>IFERROR(__xludf.DUMMYFUNCTION("""COMPUTED_VALUE"""),"HP")</f>
        <v>HP</v>
      </c>
      <c r="F623" s="2005" t="str">
        <f>IFERROR(__xludf.DUMMYFUNCTION("""COMPUTED_VALUE"""),"H")</f>
        <v>H</v>
      </c>
      <c r="G623" s="2005" t="str">
        <f>IFERROR(__xludf.DUMMYFUNCTION("""COMPUTED_VALUE"""),"AC")</f>
        <v>AC</v>
      </c>
      <c r="H623">
        <f>IFERROR(__xludf.DUMMYFUNCTION("""COMPUTED_VALUE"""),135.99)</f>
        <v>135.99</v>
      </c>
      <c r="I623">
        <f>IFERROR(__xludf.DUMMYFUNCTION("""COMPUTED_VALUE"""),135.99)</f>
        <v>135.99</v>
      </c>
      <c r="BD623" s="2006"/>
      <c r="LL623" s="2008"/>
      <c r="LM623" s="2007"/>
      <c r="MX623" s="2007"/>
      <c r="ND623" s="2007"/>
    </row>
    <row r="624">
      <c r="A624" s="2005">
        <f>IFERROR(__xludf.DUMMYFUNCTION("""COMPUTED_VALUE"""),1050231.0)</f>
        <v>1050231</v>
      </c>
      <c r="B624" s="2005">
        <f>IFERROR(__xludf.DUMMYFUNCTION("""COMPUTED_VALUE"""),2403010.0)</f>
        <v>2403010</v>
      </c>
      <c r="C624" s="2005" t="str">
        <f>IFERROR(__xludf.DUMMYFUNCTION("""COMPUTED_VALUE"""),"Toner")</f>
        <v>Toner</v>
      </c>
      <c r="D624" s="2005" t="str">
        <f>IFERROR(__xludf.DUMMYFUNCTION("""COMPUTED_VALUE"""),"201 X TONER CYAN")</f>
        <v>201 X TONER CYAN</v>
      </c>
      <c r="E624" s="2005" t="str">
        <f>IFERROR(__xludf.DUMMYFUNCTION("""COMPUTED_VALUE"""),"HP")</f>
        <v>HP</v>
      </c>
      <c r="F624" s="2005" t="str">
        <f>IFERROR(__xludf.DUMMYFUNCTION("""COMPUTED_VALUE"""),"H")</f>
        <v>H</v>
      </c>
      <c r="G624" s="2005" t="str">
        <f>IFERROR(__xludf.DUMMYFUNCTION("""COMPUTED_VALUE"""),"NN")</f>
        <v>NN</v>
      </c>
      <c r="H624">
        <f>IFERROR(__xludf.DUMMYFUNCTION("""COMPUTED_VALUE"""),150.99)</f>
        <v>150.99</v>
      </c>
      <c r="I624">
        <f>IFERROR(__xludf.DUMMYFUNCTION("""COMPUTED_VALUE"""),150.99)</f>
        <v>150.99</v>
      </c>
      <c r="BD624" s="2006"/>
      <c r="LL624" s="2008"/>
      <c r="LM624" s="2007"/>
      <c r="MX624" s="2007"/>
      <c r="ND624" s="2007"/>
    </row>
    <row r="625">
      <c r="A625" s="2005">
        <f>IFERROR(__xludf.DUMMYFUNCTION("""COMPUTED_VALUE"""),1050232.0)</f>
        <v>1050232</v>
      </c>
      <c r="B625" s="2005">
        <f>IFERROR(__xludf.DUMMYFUNCTION("""COMPUTED_VALUE"""),2403010.0)</f>
        <v>2403010</v>
      </c>
      <c r="C625" s="2005" t="str">
        <f>IFERROR(__xludf.DUMMYFUNCTION("""COMPUTED_VALUE"""),"Toner")</f>
        <v>Toner</v>
      </c>
      <c r="D625" s="2005" t="str">
        <f>IFERROR(__xludf.DUMMYFUNCTION("""COMPUTED_VALUE"""),"201 X TONER JAUNE")</f>
        <v>201 X TONER JAUNE</v>
      </c>
      <c r="E625" s="2005" t="str">
        <f>IFERROR(__xludf.DUMMYFUNCTION("""COMPUTED_VALUE"""),"HP")</f>
        <v>HP</v>
      </c>
      <c r="F625" s="2005" t="str">
        <f>IFERROR(__xludf.DUMMYFUNCTION("""COMPUTED_VALUE"""),"H")</f>
        <v>H</v>
      </c>
      <c r="G625" s="2005" t="str">
        <f>IFERROR(__xludf.DUMMYFUNCTION("""COMPUTED_VALUE"""),"NN")</f>
        <v>NN</v>
      </c>
      <c r="H625">
        <f>IFERROR(__xludf.DUMMYFUNCTION("""COMPUTED_VALUE"""),150.99)</f>
        <v>150.99</v>
      </c>
      <c r="I625">
        <f>IFERROR(__xludf.DUMMYFUNCTION("""COMPUTED_VALUE"""),150.99)</f>
        <v>150.99</v>
      </c>
      <c r="BD625" s="2006"/>
      <c r="LL625" s="2008"/>
      <c r="LM625" s="2007"/>
      <c r="MX625" s="2007"/>
      <c r="ND625" s="2007"/>
    </row>
    <row r="626">
      <c r="A626" s="2005">
        <f>IFERROR(__xludf.DUMMYFUNCTION("""COMPUTED_VALUE"""),1050233.0)</f>
        <v>1050233</v>
      </c>
      <c r="B626" s="2005">
        <f>IFERROR(__xludf.DUMMYFUNCTION("""COMPUTED_VALUE"""),2403010.0)</f>
        <v>2403010</v>
      </c>
      <c r="C626" s="2005" t="str">
        <f>IFERROR(__xludf.DUMMYFUNCTION("""COMPUTED_VALUE"""),"Toner")</f>
        <v>Toner</v>
      </c>
      <c r="D626" s="2005" t="str">
        <f>IFERROR(__xludf.DUMMYFUNCTION("""COMPUTED_VALUE"""),"201 X TONER  MAGENTA")</f>
        <v>201 X TONER  MAGENTA</v>
      </c>
      <c r="E626" s="2005" t="str">
        <f>IFERROR(__xludf.DUMMYFUNCTION("""COMPUTED_VALUE"""),"HP")</f>
        <v>HP</v>
      </c>
      <c r="F626" s="2005" t="str">
        <f>IFERROR(__xludf.DUMMYFUNCTION("""COMPUTED_VALUE"""),"H")</f>
        <v>H</v>
      </c>
      <c r="G626" s="2005" t="str">
        <f>IFERROR(__xludf.DUMMYFUNCTION("""COMPUTED_VALUE"""),"NN")</f>
        <v>NN</v>
      </c>
      <c r="H626" s="2005">
        <f>IFERROR(__xludf.DUMMYFUNCTION("""COMPUTED_VALUE"""),150.99)</f>
        <v>150.99</v>
      </c>
      <c r="I626" s="2005">
        <f>IFERROR(__xludf.DUMMYFUNCTION("""COMPUTED_VALUE"""),150.99)</f>
        <v>150.99</v>
      </c>
      <c r="BD626" s="2006"/>
      <c r="LL626" s="2007"/>
      <c r="LM626" s="2007"/>
      <c r="MX626" s="2007"/>
      <c r="ND626" s="2007"/>
    </row>
    <row r="627">
      <c r="A627" s="2005">
        <f>IFERROR(__xludf.DUMMYFUNCTION("""COMPUTED_VALUE"""),1051376.0)</f>
        <v>1051376</v>
      </c>
      <c r="B627" s="2005">
        <f>IFERROR(__xludf.DUMMYFUNCTION("""COMPUTED_VALUE"""),1101005.0)</f>
        <v>1101005</v>
      </c>
      <c r="C627" s="2005" t="str">
        <f>IFERROR(__xludf.DUMMYFUNCTION("""COMPUTED_VALUE"""),"Tél.")</f>
        <v>Tél.</v>
      </c>
      <c r="D627" s="2005" t="str">
        <f>IFERROR(__xludf.DUMMYFUNCTION("""COMPUTED_VALUE"""),"Comfort 3000 Noir")</f>
        <v>Comfort 3000 Noir</v>
      </c>
      <c r="E627" s="2005" t="str">
        <f>IFERROR(__xludf.DUMMYFUNCTION("""COMPUTED_VALUE"""),"DORO")</f>
        <v>DORO</v>
      </c>
      <c r="F627" s="2005" t="str">
        <f>IFERROR(__xludf.DUMMYFUNCTION("""COMPUTED_VALUE"""),"H")</f>
        <v>H</v>
      </c>
      <c r="G627" s="2005" t="str">
        <f>IFERROR(__xludf.DUMMYFUNCTION("""COMPUTED_VALUE"""),"NN")</f>
        <v>NN</v>
      </c>
      <c r="H627" s="2005">
        <f>IFERROR(__xludf.DUMMYFUNCTION("""COMPUTED_VALUE"""),44.99)</f>
        <v>44.99</v>
      </c>
      <c r="I627" s="2005">
        <f>IFERROR(__xludf.DUMMYFUNCTION("""COMPUTED_VALUE"""),44.99)</f>
        <v>44.99</v>
      </c>
      <c r="BD627" s="2006"/>
      <c r="LL627" s="2007"/>
      <c r="LM627" s="2007"/>
      <c r="MX627" s="2007"/>
      <c r="ND627" s="2007"/>
    </row>
    <row r="628">
      <c r="A628" s="2005">
        <f>IFERROR(__xludf.DUMMYFUNCTION("""COMPUTED_VALUE"""),1051385.0)</f>
        <v>1051385</v>
      </c>
      <c r="B628" s="2005">
        <f>IFERROR(__xludf.DUMMYFUNCTION("""COMPUTED_VALUE"""),1103010.0)</f>
        <v>1103010</v>
      </c>
      <c r="C628" s="2005" t="str">
        <f>IFERROR(__xludf.DUMMYFUNCTION("""COMPUTED_VALUE"""),"Tél.")</f>
        <v>Tél.</v>
      </c>
      <c r="D628" s="2005" t="str">
        <f>IFERROR(__xludf.DUMMYFUNCTION("""COMPUTED_VALUE"""),"Phone Easy 110 Blanc")</f>
        <v>Phone Easy 110 Blanc</v>
      </c>
      <c r="E628" s="2005" t="str">
        <f>IFERROR(__xludf.DUMMYFUNCTION("""COMPUTED_VALUE"""),"DORO")</f>
        <v>DORO</v>
      </c>
      <c r="F628" s="2005" t="str">
        <f>IFERROR(__xludf.DUMMYFUNCTION("""COMPUTED_VALUE"""),"H")</f>
        <v>H</v>
      </c>
      <c r="G628" s="2005" t="str">
        <f>IFERROR(__xludf.DUMMYFUNCTION("""COMPUTED_VALUE"""),"AC")</f>
        <v>AC</v>
      </c>
      <c r="H628">
        <f>IFERROR(__xludf.DUMMYFUNCTION("""COMPUTED_VALUE"""),49.99)</f>
        <v>49.99</v>
      </c>
      <c r="I628">
        <f>IFERROR(__xludf.DUMMYFUNCTION("""COMPUTED_VALUE"""),49.99)</f>
        <v>49.99</v>
      </c>
      <c r="BD628" s="2006"/>
      <c r="LL628" s="2007"/>
      <c r="LM628" s="2007"/>
      <c r="MX628" s="2007"/>
      <c r="ND628" s="2007"/>
    </row>
    <row r="629">
      <c r="A629" s="2005">
        <f>IFERROR(__xludf.DUMMYFUNCTION("""COMPUTED_VALUE"""),1051499.0)</f>
        <v>1051499</v>
      </c>
      <c r="B629" s="2005">
        <f>IFERROR(__xludf.DUMMYFUNCTION("""COMPUTED_VALUE"""),2203010.0)</f>
        <v>2203010</v>
      </c>
      <c r="C629" s="2005" t="str">
        <f>IFERROR(__xludf.DUMMYFUNCTION("""COMPUTED_VALUE"""),"Scanner")</f>
        <v>Scanner</v>
      </c>
      <c r="D629" s="2005" t="str">
        <f>IFERROR(__xludf.DUMMYFUNCTION("""COMPUTED_VALUE"""),"IRISPen Executive 7")</f>
        <v>IRISPen Executive 7</v>
      </c>
      <c r="E629" s="2005" t="str">
        <f>IFERROR(__xludf.DUMMYFUNCTION("""COMPUTED_VALUE"""),"IRIS")</f>
        <v>IRIS</v>
      </c>
      <c r="F629" s="2005" t="str">
        <f>IFERROR(__xludf.DUMMYFUNCTION("""COMPUTED_VALUE"""),"H")</f>
        <v>H</v>
      </c>
      <c r="G629" s="2005" t="str">
        <f>IFERROR(__xludf.DUMMYFUNCTION("""COMPUTED_VALUE"""),"NN")</f>
        <v>NN</v>
      </c>
      <c r="H629">
        <f>IFERROR(__xludf.DUMMYFUNCTION("""COMPUTED_VALUE"""),64.99)</f>
        <v>64.99</v>
      </c>
      <c r="I629">
        <f>IFERROR(__xludf.DUMMYFUNCTION("""COMPUTED_VALUE"""),64.99)</f>
        <v>64.99</v>
      </c>
      <c r="BD629" s="2006"/>
      <c r="LL629" s="2007"/>
      <c r="LM629" s="2007"/>
      <c r="MX629" s="2007"/>
      <c r="ND629" s="2007"/>
    </row>
    <row r="630">
      <c r="A630" s="2005">
        <f>IFERROR(__xludf.DUMMYFUNCTION("""COMPUTED_VALUE"""),1051508.0)</f>
        <v>1051508</v>
      </c>
      <c r="B630" s="2005">
        <f>IFERROR(__xludf.DUMMYFUNCTION("""COMPUTED_VALUE"""),2503005.0)</f>
        <v>2503005</v>
      </c>
      <c r="C630" s="2005" t="str">
        <f>IFERROR(__xludf.DUMMYFUNCTION("""COMPUTED_VALUE"""),"Enceinte")</f>
        <v>Enceinte</v>
      </c>
      <c r="D630" s="2005" t="str">
        <f>IFERROR(__xludf.DUMMYFUNCTION("""COMPUTED_VALUE"""),"GXT 38")</f>
        <v>GXT 38</v>
      </c>
      <c r="E630" s="2005" t="str">
        <f>IFERROR(__xludf.DUMMYFUNCTION("""COMPUTED_VALUE"""),"TRUST")</f>
        <v>TRUST</v>
      </c>
      <c r="F630" s="2005" t="str">
        <f>IFERROR(__xludf.DUMMYFUNCTION("""COMPUTED_VALUE"""),"A")</f>
        <v>A</v>
      </c>
      <c r="G630" s="2005" t="str">
        <f>IFERROR(__xludf.DUMMYFUNCTION("""COMPUTED_VALUE"""),"AC")</f>
        <v>AC</v>
      </c>
      <c r="H630">
        <f>IFERROR(__xludf.DUMMYFUNCTION("""COMPUTED_VALUE"""),99.99)</f>
        <v>99.99</v>
      </c>
      <c r="I630">
        <f>IFERROR(__xludf.DUMMYFUNCTION("""COMPUTED_VALUE"""),99.99)</f>
        <v>99.99</v>
      </c>
      <c r="BD630" s="2006"/>
      <c r="LM630" s="2007"/>
    </row>
    <row r="631">
      <c r="A631" s="2005">
        <f>IFERROR(__xludf.DUMMYFUNCTION("""COMPUTED_VALUE"""),1052397.0)</f>
        <v>1052397</v>
      </c>
      <c r="B631" s="2005">
        <f>IFERROR(__xludf.DUMMYFUNCTION("""COMPUTED_VALUE"""),2403010.0)</f>
        <v>2403010</v>
      </c>
      <c r="C631" s="2005" t="str">
        <f>IFERROR(__xludf.DUMMYFUNCTION("""COMPUTED_VALUE"""),"Toner")</f>
        <v>Toner</v>
      </c>
      <c r="D631" s="2005" t="str">
        <f>IFERROR(__xludf.DUMMYFUNCTION("""COMPUTED_VALUE"""),"TN-3330")</f>
        <v>TN-3330</v>
      </c>
      <c r="E631" s="2005" t="str">
        <f>IFERROR(__xludf.DUMMYFUNCTION("""COMPUTED_VALUE"""),"BROTHER")</f>
        <v>BROTHER</v>
      </c>
      <c r="F631" s="2005" t="str">
        <f>IFERROR(__xludf.DUMMYFUNCTION("""COMPUTED_VALUE"""),"H")</f>
        <v>H</v>
      </c>
      <c r="G631" s="2005" t="str">
        <f>IFERROR(__xludf.DUMMYFUNCTION("""COMPUTED_VALUE"""),"AC")</f>
        <v>AC</v>
      </c>
      <c r="H631">
        <f>IFERROR(__xludf.DUMMYFUNCTION("""COMPUTED_VALUE"""),109.99)</f>
        <v>109.99</v>
      </c>
      <c r="I631">
        <f>IFERROR(__xludf.DUMMYFUNCTION("""COMPUTED_VALUE"""),109.99)</f>
        <v>109.99</v>
      </c>
      <c r="BD631" s="2006"/>
      <c r="LM631" s="2007"/>
    </row>
    <row r="632">
      <c r="A632" s="2005">
        <f>IFERROR(__xludf.DUMMYFUNCTION("""COMPUTED_VALUE"""),1052399.0)</f>
        <v>1052399</v>
      </c>
      <c r="B632" s="2005">
        <f>IFERROR(__xludf.DUMMYFUNCTION("""COMPUTED_VALUE"""),2403010.0)</f>
        <v>2403010</v>
      </c>
      <c r="C632" s="2005" t="str">
        <f>IFERROR(__xludf.DUMMYFUNCTION("""COMPUTED_VALUE"""),"Cartouche")</f>
        <v>Cartouche</v>
      </c>
      <c r="D632" s="2005" t="str">
        <f>IFERROR(__xludf.DUMMYFUNCTION("""COMPUTED_VALUE"""),"JAUNE XL TN326")</f>
        <v>JAUNE XL TN326</v>
      </c>
      <c r="E632" s="2005" t="str">
        <f>IFERROR(__xludf.DUMMYFUNCTION("""COMPUTED_VALUE"""),"BROTHER")</f>
        <v>BROTHER</v>
      </c>
      <c r="F632" s="2005" t="str">
        <f>IFERROR(__xludf.DUMMYFUNCTION("""COMPUTED_VALUE"""),"H")</f>
        <v>H</v>
      </c>
      <c r="G632" s="2005" t="str">
        <f>IFERROR(__xludf.DUMMYFUNCTION("""COMPUTED_VALUE"""),"NN")</f>
        <v>NN</v>
      </c>
      <c r="H632">
        <f>IFERROR(__xludf.DUMMYFUNCTION("""COMPUTED_VALUE"""),188.99)</f>
        <v>188.99</v>
      </c>
      <c r="I632">
        <f>IFERROR(__xludf.DUMMYFUNCTION("""COMPUTED_VALUE"""),188.99)</f>
        <v>188.99</v>
      </c>
      <c r="BD632" s="2006"/>
      <c r="LL632" s="2007"/>
      <c r="LM632" s="2007"/>
      <c r="MX632" s="2007"/>
      <c r="ND632" s="2008"/>
    </row>
    <row r="633">
      <c r="A633" s="2005">
        <f>IFERROR(__xludf.DUMMYFUNCTION("""COMPUTED_VALUE"""),1052400.0)</f>
        <v>1052400</v>
      </c>
      <c r="B633" s="2005">
        <f>IFERROR(__xludf.DUMMYFUNCTION("""COMPUTED_VALUE"""),2403010.0)</f>
        <v>2403010</v>
      </c>
      <c r="C633" s="2005" t="str">
        <f>IFERROR(__xludf.DUMMYFUNCTION("""COMPUTED_VALUE"""),"Cartouche")</f>
        <v>Cartouche</v>
      </c>
      <c r="D633" s="2005" t="str">
        <f>IFERROR(__xludf.DUMMYFUNCTION("""COMPUTED_VALUE"""),"MAGENTA XL TN326")</f>
        <v>MAGENTA XL TN326</v>
      </c>
      <c r="E633" s="2005" t="str">
        <f>IFERROR(__xludf.DUMMYFUNCTION("""COMPUTED_VALUE"""),"BROTHER")</f>
        <v>BROTHER</v>
      </c>
      <c r="F633" s="2005" t="str">
        <f>IFERROR(__xludf.DUMMYFUNCTION("""COMPUTED_VALUE"""),"H")</f>
        <v>H</v>
      </c>
      <c r="G633" s="2005" t="str">
        <f>IFERROR(__xludf.DUMMYFUNCTION("""COMPUTED_VALUE"""),"NN")</f>
        <v>NN</v>
      </c>
      <c r="H633">
        <f>IFERROR(__xludf.DUMMYFUNCTION("""COMPUTED_VALUE"""),188.99)</f>
        <v>188.99</v>
      </c>
      <c r="I633">
        <f>IFERROR(__xludf.DUMMYFUNCTION("""COMPUTED_VALUE"""),129.99)</f>
        <v>129.99</v>
      </c>
      <c r="BD633" s="2006"/>
      <c r="LL633" s="2007"/>
      <c r="LM633" s="2007"/>
      <c r="MX633" s="2007"/>
      <c r="ND633" s="2007"/>
    </row>
    <row r="634">
      <c r="A634" s="2005">
        <f>IFERROR(__xludf.DUMMYFUNCTION("""COMPUTED_VALUE"""),1053157.0)</f>
        <v>1053157</v>
      </c>
      <c r="B634" s="2005">
        <f>IFERROR(__xludf.DUMMYFUNCTION("""COMPUTED_VALUE"""),2403010.0)</f>
        <v>2403010</v>
      </c>
      <c r="C634" s="2005" t="str">
        <f>IFERROR(__xludf.DUMMYFUNCTION("""COMPUTED_VALUE"""),"Toner")</f>
        <v>Toner</v>
      </c>
      <c r="D634" s="2005" t="str">
        <f>IFERROR(__xludf.DUMMYFUNCTION("""COMPUTED_VALUE"""),"Noir MLT-D116S")</f>
        <v>Noir MLT-D116S</v>
      </c>
      <c r="E634" s="2005" t="str">
        <f>IFERROR(__xludf.DUMMYFUNCTION("""COMPUTED_VALUE"""),"SAMSUNG")</f>
        <v>SAMSUNG</v>
      </c>
      <c r="F634" s="2005" t="str">
        <f>IFERROR(__xludf.DUMMYFUNCTION("""COMPUTED_VALUE"""),"H")</f>
        <v>H</v>
      </c>
      <c r="G634" s="2005" t="str">
        <f>IFERROR(__xludf.DUMMYFUNCTION("""COMPUTED_VALUE"""),"NN")</f>
        <v>NN</v>
      </c>
      <c r="H634">
        <f>IFERROR(__xludf.DUMMYFUNCTION("""COMPUTED_VALUE"""),69.99)</f>
        <v>69.99</v>
      </c>
      <c r="I634">
        <f>IFERROR(__xludf.DUMMYFUNCTION("""COMPUTED_VALUE"""),69.99)</f>
        <v>69.99</v>
      </c>
      <c r="BD634" s="2006"/>
      <c r="LL634" s="2007"/>
      <c r="LM634" s="2007"/>
      <c r="MX634" s="2007"/>
      <c r="ND634" s="2007"/>
    </row>
    <row r="635">
      <c r="A635" s="2005">
        <f>IFERROR(__xludf.DUMMYFUNCTION("""COMPUTED_VALUE"""),1053158.0)</f>
        <v>1053158</v>
      </c>
      <c r="B635" s="2005">
        <f>IFERROR(__xludf.DUMMYFUNCTION("""COMPUTED_VALUE"""),2403010.0)</f>
        <v>2403010</v>
      </c>
      <c r="C635" s="2005" t="str">
        <f>IFERROR(__xludf.DUMMYFUNCTION("""COMPUTED_VALUE"""),"Toner")</f>
        <v>Toner</v>
      </c>
      <c r="D635" s="2005" t="str">
        <f>IFERROR(__xludf.DUMMYFUNCTION("""COMPUTED_VALUE"""),"Noir MLT-D203S")</f>
        <v>Noir MLT-D203S</v>
      </c>
      <c r="E635" s="2005" t="str">
        <f>IFERROR(__xludf.DUMMYFUNCTION("""COMPUTED_VALUE"""),"SAMSUNG")</f>
        <v>SAMSUNG</v>
      </c>
      <c r="F635" s="2005" t="str">
        <f>IFERROR(__xludf.DUMMYFUNCTION("""COMPUTED_VALUE"""),"H")</f>
        <v>H</v>
      </c>
      <c r="G635" s="2005" t="str">
        <f>IFERROR(__xludf.DUMMYFUNCTION("""COMPUTED_VALUE"""),"NN")</f>
        <v>NN</v>
      </c>
      <c r="H635">
        <f>IFERROR(__xludf.DUMMYFUNCTION("""COMPUTED_VALUE"""),81.99)</f>
        <v>81.99</v>
      </c>
      <c r="I635">
        <f>IFERROR(__xludf.DUMMYFUNCTION("""COMPUTED_VALUE"""),81.99)</f>
        <v>81.99</v>
      </c>
      <c r="BD635" s="2006"/>
      <c r="LL635" s="2007"/>
      <c r="LM635" s="2007"/>
      <c r="MX635" s="2007"/>
      <c r="ND635" s="2007"/>
    </row>
    <row r="636">
      <c r="A636" s="2005">
        <f>IFERROR(__xludf.DUMMYFUNCTION("""COMPUTED_VALUE"""),1053793.0)</f>
        <v>1053793</v>
      </c>
      <c r="B636" s="2005">
        <f>IFERROR(__xludf.DUMMYFUNCTION("""COMPUTED_VALUE"""),2502015.0)</f>
        <v>2502015</v>
      </c>
      <c r="C636" s="2005" t="str">
        <f>IFERROR(__xludf.DUMMYFUNCTION("""COMPUTED_VALUE"""),"Clavier")</f>
        <v>Clavier</v>
      </c>
      <c r="D636" s="2005" t="str">
        <f>IFERROR(__xludf.DUMMYFUNCTION("""COMPUTED_VALUE"""),"K400 Plus Black")</f>
        <v>K400 Plus Black</v>
      </c>
      <c r="E636" s="2005" t="str">
        <f>IFERROR(__xludf.DUMMYFUNCTION("""COMPUTED_VALUE"""),"LOGITECH")</f>
        <v>LOGITECH</v>
      </c>
      <c r="F636" s="2005" t="str">
        <f>IFERROR(__xludf.DUMMYFUNCTION("""COMPUTED_VALUE"""),"B")</f>
        <v>B</v>
      </c>
      <c r="G636" s="2005" t="str">
        <f>IFERROR(__xludf.DUMMYFUNCTION("""COMPUTED_VALUE"""),"AC")</f>
        <v>AC</v>
      </c>
      <c r="H636" s="2005">
        <f>IFERROR(__xludf.DUMMYFUNCTION("""COMPUTED_VALUE"""),54.99)</f>
        <v>54.99</v>
      </c>
      <c r="I636" s="2005">
        <f>IFERROR(__xludf.DUMMYFUNCTION("""COMPUTED_VALUE"""),54.99)</f>
        <v>54.99</v>
      </c>
      <c r="BD636" s="2006"/>
      <c r="LL636" s="2007"/>
      <c r="LM636" s="2007"/>
      <c r="MX636" s="2007"/>
      <c r="ND636" s="2008"/>
    </row>
    <row r="637">
      <c r="A637" s="2005">
        <f>IFERROR(__xludf.DUMMYFUNCTION("""COMPUTED_VALUE"""),1054266.0)</f>
        <v>1054266</v>
      </c>
      <c r="B637" s="2005">
        <f>IFERROR(__xludf.DUMMYFUNCTION("""COMPUTED_VALUE"""),2207005.0)</f>
        <v>2207005</v>
      </c>
      <c r="C637" s="2005" t="str">
        <f>IFERROR(__xludf.DUMMYFUNCTION("""COMPUTED_VALUE"""),"Imprimante")</f>
        <v>Imprimante</v>
      </c>
      <c r="D637" s="2005" t="str">
        <f>IFERROR(__xludf.DUMMYFUNCTION("""COMPUTED_VALUE"""),"Da Vinci 2.0A Double tête")</f>
        <v>Da Vinci 2.0A Double tête</v>
      </c>
      <c r="E637" s="2005" t="str">
        <f>IFERROR(__xludf.DUMMYFUNCTION("""COMPUTED_VALUE"""),"XYZ PRINTING")</f>
        <v>XYZ PRINTING</v>
      </c>
      <c r="F637" s="2005" t="str">
        <f>IFERROR(__xludf.DUMMYFUNCTION("""COMPUTED_VALUE"""),"H")</f>
        <v>H</v>
      </c>
      <c r="G637" s="2005" t="str">
        <f>IFERROR(__xludf.DUMMYFUNCTION("""COMPUTED_VALUE"""),"NN")</f>
        <v>NN</v>
      </c>
      <c r="H637" s="2005">
        <f>IFERROR(__xludf.DUMMYFUNCTION("""COMPUTED_VALUE"""),749.0)</f>
        <v>749</v>
      </c>
      <c r="I637" s="2005">
        <f>IFERROR(__xludf.DUMMYFUNCTION("""COMPUTED_VALUE"""),749.0)</f>
        <v>749</v>
      </c>
      <c r="BD637" s="2006"/>
      <c r="LL637" s="2007"/>
      <c r="LM637" s="2007"/>
      <c r="MX637" s="2007"/>
      <c r="ND637" s="2008"/>
    </row>
    <row r="638">
      <c r="A638" s="2005">
        <f>IFERROR(__xludf.DUMMYFUNCTION("""COMPUTED_VALUE"""),1054285.0)</f>
        <v>1054285</v>
      </c>
      <c r="B638" s="2005">
        <f>IFERROR(__xludf.DUMMYFUNCTION("""COMPUTED_VALUE"""),2403006.0)</f>
        <v>2403006</v>
      </c>
      <c r="C638" s="2005" t="str">
        <f>IFERROR(__xludf.DUMMYFUNCTION("""COMPUTED_VALUE"""),"Cartouche")</f>
        <v>Cartouche</v>
      </c>
      <c r="D638" s="2005" t="str">
        <f>IFERROR(__xludf.DUMMYFUNCTION("""COMPUTED_VALUE"""),"PLA JUNIOR NATUREL")</f>
        <v>PLA JUNIOR NATUREL</v>
      </c>
      <c r="E638" s="2005" t="str">
        <f>IFERROR(__xludf.DUMMYFUNCTION("""COMPUTED_VALUE"""),"XYZ PRINTING")</f>
        <v>XYZ PRINTING</v>
      </c>
      <c r="F638" s="2005" t="str">
        <f>IFERROR(__xludf.DUMMYFUNCTION("""COMPUTED_VALUE"""),"H")</f>
        <v>H</v>
      </c>
      <c r="G638" s="2005" t="str">
        <f>IFERROR(__xludf.DUMMYFUNCTION("""COMPUTED_VALUE"""),"NN")</f>
        <v>NN</v>
      </c>
      <c r="H638" s="2005">
        <f>IFERROR(__xludf.DUMMYFUNCTION("""COMPUTED_VALUE"""),29.9)</f>
        <v>29.9</v>
      </c>
      <c r="I638" s="2005">
        <f>IFERROR(__xludf.DUMMYFUNCTION("""COMPUTED_VALUE"""),29.9)</f>
        <v>29.9</v>
      </c>
      <c r="BD638" s="2006"/>
      <c r="LL638" s="2007"/>
      <c r="LM638" s="2007"/>
      <c r="MX638" s="2007"/>
      <c r="ND638" s="2008"/>
    </row>
    <row r="639">
      <c r="A639" s="2005">
        <f>IFERROR(__xludf.DUMMYFUNCTION("""COMPUTED_VALUE"""),1054622.0)</f>
        <v>1054622</v>
      </c>
      <c r="B639" s="2005">
        <f>IFERROR(__xludf.DUMMYFUNCTION("""COMPUTED_VALUE"""),2403006.0)</f>
        <v>2403006</v>
      </c>
      <c r="C639" s="2005" t="str">
        <f>IFERROR(__xludf.DUMMYFUNCTION("""COMPUTED_VALUE"""),"Cartouche")</f>
        <v>Cartouche</v>
      </c>
      <c r="D639" s="2005" t="str">
        <f>IFERROR(__xludf.DUMMYFUNCTION("""COMPUTED_VALUE"""),"PLA JUNIOR JAUNE")</f>
        <v>PLA JUNIOR JAUNE</v>
      </c>
      <c r="E639" s="2005" t="str">
        <f>IFERROR(__xludf.DUMMYFUNCTION("""COMPUTED_VALUE"""),"XYZ PRINTING")</f>
        <v>XYZ PRINTING</v>
      </c>
      <c r="F639" s="2005" t="str">
        <f>IFERROR(__xludf.DUMMYFUNCTION("""COMPUTED_VALUE"""),"H")</f>
        <v>H</v>
      </c>
      <c r="G639" s="2005" t="str">
        <f>IFERROR(__xludf.DUMMYFUNCTION("""COMPUTED_VALUE"""),"NN")</f>
        <v>NN</v>
      </c>
      <c r="H639" s="2005">
        <f>IFERROR(__xludf.DUMMYFUNCTION("""COMPUTED_VALUE"""),30.5)</f>
        <v>30.5</v>
      </c>
      <c r="I639" s="2005">
        <f>IFERROR(__xludf.DUMMYFUNCTION("""COMPUTED_VALUE"""),30.5)</f>
        <v>30.5</v>
      </c>
      <c r="BD639" s="2006"/>
      <c r="LM639" s="2007"/>
    </row>
    <row r="640">
      <c r="A640" s="2005">
        <f>IFERROR(__xludf.DUMMYFUNCTION("""COMPUTED_VALUE"""),1054623.0)</f>
        <v>1054623</v>
      </c>
      <c r="B640" s="2005">
        <f>IFERROR(__xludf.DUMMYFUNCTION("""COMPUTED_VALUE"""),2403006.0)</f>
        <v>2403006</v>
      </c>
      <c r="C640" s="2005" t="str">
        <f>IFERROR(__xludf.DUMMYFUNCTION("""COMPUTED_VALUE"""),"Cartouche")</f>
        <v>Cartouche</v>
      </c>
      <c r="D640" s="2005" t="str">
        <f>IFERROR(__xludf.DUMMYFUNCTION("""COMPUTED_VALUE"""),"PLA JUNIOR NOIR")</f>
        <v>PLA JUNIOR NOIR</v>
      </c>
      <c r="E640" s="2005" t="str">
        <f>IFERROR(__xludf.DUMMYFUNCTION("""COMPUTED_VALUE"""),"XYZ PRINTING")</f>
        <v>XYZ PRINTING</v>
      </c>
      <c r="F640" s="2005" t="str">
        <f>IFERROR(__xludf.DUMMYFUNCTION("""COMPUTED_VALUE"""),"H")</f>
        <v>H</v>
      </c>
      <c r="G640" s="2005" t="str">
        <f>IFERROR(__xludf.DUMMYFUNCTION("""COMPUTED_VALUE"""),"NN")</f>
        <v>NN</v>
      </c>
      <c r="H640">
        <f>IFERROR(__xludf.DUMMYFUNCTION("""COMPUTED_VALUE"""),29.9)</f>
        <v>29.9</v>
      </c>
      <c r="I640">
        <f>IFERROR(__xludf.DUMMYFUNCTION("""COMPUTED_VALUE"""),29.9)</f>
        <v>29.9</v>
      </c>
      <c r="BD640" s="2006"/>
      <c r="LM640" s="2007"/>
    </row>
    <row r="641">
      <c r="A641" s="2005">
        <f>IFERROR(__xludf.DUMMYFUNCTION("""COMPUTED_VALUE"""),1054625.0)</f>
        <v>1054625</v>
      </c>
      <c r="B641" s="2005">
        <f>IFERROR(__xludf.DUMMYFUNCTION("""COMPUTED_VALUE"""),2403006.0)</f>
        <v>2403006</v>
      </c>
      <c r="C641" s="2005" t="str">
        <f>IFERROR(__xludf.DUMMYFUNCTION("""COMPUTED_VALUE"""),"Cartouche")</f>
        <v>Cartouche</v>
      </c>
      <c r="D641" s="2005" t="str">
        <f>IFERROR(__xludf.DUMMYFUNCTION("""COMPUTED_VALUE"""),"Bobine recharge ABS Noir")</f>
        <v>Bobine recharge ABS Noir</v>
      </c>
      <c r="E641" s="2005" t="str">
        <f>IFERROR(__xludf.DUMMYFUNCTION("""COMPUTED_VALUE"""),"XYZ PRINTING")</f>
        <v>XYZ PRINTING</v>
      </c>
      <c r="F641" s="2005" t="str">
        <f>IFERROR(__xludf.DUMMYFUNCTION("""COMPUTED_VALUE"""),"W")</f>
        <v>W</v>
      </c>
      <c r="G641" s="2005" t="str">
        <f>IFERROR(__xludf.DUMMYFUNCTION("""COMPUTED_VALUE"""),"NN")</f>
        <v>NN</v>
      </c>
      <c r="H641" s="2005">
        <f>IFERROR(__xludf.DUMMYFUNCTION("""COMPUTED_VALUE"""),29.9)</f>
        <v>29.9</v>
      </c>
      <c r="I641" s="2005">
        <f>IFERROR(__xludf.DUMMYFUNCTION("""COMPUTED_VALUE"""),29.9)</f>
        <v>29.9</v>
      </c>
      <c r="BD641" s="2006"/>
      <c r="LM641" s="2007"/>
    </row>
    <row r="642">
      <c r="A642" s="2005">
        <f>IFERROR(__xludf.DUMMYFUNCTION("""COMPUTED_VALUE"""),1055162.0)</f>
        <v>1055162</v>
      </c>
      <c r="B642" s="2005">
        <f>IFERROR(__xludf.DUMMYFUNCTION("""COMPUTED_VALUE"""),2201010.0)</f>
        <v>2201010</v>
      </c>
      <c r="C642" s="2005" t="str">
        <f>IFERROR(__xludf.DUMMYFUNCTION("""COMPUTED_VALUE"""),"Mono Jet d'encr")</f>
        <v>Mono Jet d'encr</v>
      </c>
      <c r="D642" s="2005" t="str">
        <f>IFERROR(__xludf.DUMMYFUNCTION("""COMPUTED_VALUE"""),"Expression Photo XP-55")</f>
        <v>Expression Photo XP-55</v>
      </c>
      <c r="E642" s="2005" t="str">
        <f>IFERROR(__xludf.DUMMYFUNCTION("""COMPUTED_VALUE"""),"EPSON")</f>
        <v>EPSON</v>
      </c>
      <c r="F642" s="2005" t="str">
        <f>IFERROR(__xludf.DUMMYFUNCTION("""COMPUTED_VALUE"""),"H")</f>
        <v>H</v>
      </c>
      <c r="G642" s="2005" t="str">
        <f>IFERROR(__xludf.DUMMYFUNCTION("""COMPUTED_VALUE"""),"NN")</f>
        <v>NN</v>
      </c>
      <c r="H642" s="2005">
        <f>IFERROR(__xludf.DUMMYFUNCTION("""COMPUTED_VALUE"""),115.99)</f>
        <v>115.99</v>
      </c>
      <c r="I642" s="2005">
        <f>IFERROR(__xludf.DUMMYFUNCTION("""COMPUTED_VALUE"""),115.99)</f>
        <v>115.99</v>
      </c>
      <c r="BD642" s="2006"/>
      <c r="LM642" s="2007"/>
    </row>
    <row r="643">
      <c r="A643" s="2005">
        <f>IFERROR(__xludf.DUMMYFUNCTION("""COMPUTED_VALUE"""),1055166.0)</f>
        <v>1055166</v>
      </c>
      <c r="B643" s="2005">
        <f>IFERROR(__xludf.DUMMYFUNCTION("""COMPUTED_VALUE"""),2403005.0)</f>
        <v>2403005</v>
      </c>
      <c r="C643" s="2005" t="str">
        <f>IFERROR(__xludf.DUMMYFUNCTION("""COMPUTED_VALUE"""),"Cartouche")</f>
        <v>Cartouche</v>
      </c>
      <c r="D643" s="2005" t="str">
        <f>IFERROR(__xludf.DUMMYFUNCTION("""COMPUTED_VALUE"""),"266 noir")</f>
        <v>266 noir</v>
      </c>
      <c r="E643" s="2005" t="str">
        <f>IFERROR(__xludf.DUMMYFUNCTION("""COMPUTED_VALUE"""),"EPSON")</f>
        <v>EPSON</v>
      </c>
      <c r="F643" s="2005" t="str">
        <f>IFERROR(__xludf.DUMMYFUNCTION("""COMPUTED_VALUE"""),"B")</f>
        <v>B</v>
      </c>
      <c r="G643" s="2005" t="str">
        <f>IFERROR(__xludf.DUMMYFUNCTION("""COMPUTED_VALUE"""),"AC")</f>
        <v>AC</v>
      </c>
      <c r="H643" s="2005">
        <f>IFERROR(__xludf.DUMMYFUNCTION("""COMPUTED_VALUE"""),22.99)</f>
        <v>22.99</v>
      </c>
      <c r="I643" s="2005">
        <f>IFERROR(__xludf.DUMMYFUNCTION("""COMPUTED_VALUE"""),22.99)</f>
        <v>22.99</v>
      </c>
      <c r="BD643" s="2006"/>
      <c r="LM643" s="2007"/>
    </row>
    <row r="644">
      <c r="A644" s="2005">
        <f>IFERROR(__xludf.DUMMYFUNCTION("""COMPUTED_VALUE"""),1055179.0)</f>
        <v>1055179</v>
      </c>
      <c r="B644" s="2005">
        <f>IFERROR(__xludf.DUMMYFUNCTION("""COMPUTED_VALUE"""),2403005.0)</f>
        <v>2403005</v>
      </c>
      <c r="C644" s="2005" t="str">
        <f>IFERROR(__xludf.DUMMYFUNCTION("""COMPUTED_VALUE"""),"Cartouche")</f>
        <v>Cartouche</v>
      </c>
      <c r="D644" s="2005" t="str">
        <f>IFERROR(__xludf.DUMMYFUNCTION("""COMPUTED_VALUE"""),"267  3 couleurs")</f>
        <v>267  3 couleurs</v>
      </c>
      <c r="E644" s="2005" t="str">
        <f>IFERROR(__xludf.DUMMYFUNCTION("""COMPUTED_VALUE"""),"EPSON")</f>
        <v>EPSON</v>
      </c>
      <c r="F644" s="2005" t="str">
        <f>IFERROR(__xludf.DUMMYFUNCTION("""COMPUTED_VALUE"""),"C")</f>
        <v>C</v>
      </c>
      <c r="G644" s="2005" t="str">
        <f>IFERROR(__xludf.DUMMYFUNCTION("""COMPUTED_VALUE"""),"AC")</f>
        <v>AC</v>
      </c>
      <c r="H644" s="2005">
        <f>IFERROR(__xludf.DUMMYFUNCTION("""COMPUTED_VALUE"""),18.99)</f>
        <v>18.99</v>
      </c>
      <c r="I644" s="2005">
        <f>IFERROR(__xludf.DUMMYFUNCTION("""COMPUTED_VALUE"""),18.99)</f>
        <v>18.99</v>
      </c>
      <c r="BD644" s="2006"/>
      <c r="LM644" s="2007"/>
    </row>
    <row r="645">
      <c r="A645" s="2005">
        <f>IFERROR(__xludf.DUMMYFUNCTION("""COMPUTED_VALUE"""),1055190.0)</f>
        <v>1055190</v>
      </c>
      <c r="B645" s="2005">
        <f>IFERROR(__xludf.DUMMYFUNCTION("""COMPUTED_VALUE"""),2403005.0)</f>
        <v>2403005</v>
      </c>
      <c r="C645" s="2005" t="str">
        <f>IFERROR(__xludf.DUMMYFUNCTION("""COMPUTED_VALUE"""),"Cartouche")</f>
        <v>Cartouche</v>
      </c>
      <c r="D645" s="2005" t="str">
        <f>IFERROR(__xludf.DUMMYFUNCTION("""COMPUTED_VALUE"""),"T7607 noir clair Orque")</f>
        <v>T7607 noir clair Orque</v>
      </c>
      <c r="E645" s="2005" t="str">
        <f>IFERROR(__xludf.DUMMYFUNCTION("""COMPUTED_VALUE"""),"EPSON")</f>
        <v>EPSON</v>
      </c>
      <c r="F645" s="2005" t="str">
        <f>IFERROR(__xludf.DUMMYFUNCTION("""COMPUTED_VALUE"""),"H")</f>
        <v>H</v>
      </c>
      <c r="G645" s="2005" t="str">
        <f>IFERROR(__xludf.DUMMYFUNCTION("""COMPUTED_VALUE"""),"NN")</f>
        <v>NN</v>
      </c>
      <c r="H645" s="2005">
        <f>IFERROR(__xludf.DUMMYFUNCTION("""COMPUTED_VALUE"""),30.99)</f>
        <v>30.99</v>
      </c>
      <c r="I645" s="2005">
        <f>IFERROR(__xludf.DUMMYFUNCTION("""COMPUTED_VALUE"""),30.99)</f>
        <v>30.99</v>
      </c>
      <c r="BD645" s="2006"/>
      <c r="LL645" s="2007"/>
      <c r="LM645" s="2007"/>
      <c r="MX645" s="2007"/>
      <c r="ND645" s="2007"/>
    </row>
    <row r="646">
      <c r="A646" s="2005">
        <f>IFERROR(__xludf.DUMMYFUNCTION("""COMPUTED_VALUE"""),1055192.0)</f>
        <v>1055192</v>
      </c>
      <c r="B646" s="2005">
        <f>IFERROR(__xludf.DUMMYFUNCTION("""COMPUTED_VALUE"""),2403005.0)</f>
        <v>2403005</v>
      </c>
      <c r="C646" s="2005" t="str">
        <f>IFERROR(__xludf.DUMMYFUNCTION("""COMPUTED_VALUE"""),"Cartouche")</f>
        <v>Cartouche</v>
      </c>
      <c r="D646" s="2005" t="str">
        <f>IFERROR(__xludf.DUMMYFUNCTION("""COMPUTED_VALUE"""),"T7608 noir mat Orque")</f>
        <v>T7608 noir mat Orque</v>
      </c>
      <c r="E646" s="2005" t="str">
        <f>IFERROR(__xludf.DUMMYFUNCTION("""COMPUTED_VALUE"""),"EPSON")</f>
        <v>EPSON</v>
      </c>
      <c r="F646" s="2005" t="str">
        <f>IFERROR(__xludf.DUMMYFUNCTION("""COMPUTED_VALUE"""),"H")</f>
        <v>H</v>
      </c>
      <c r="G646" s="2005" t="str">
        <f>IFERROR(__xludf.DUMMYFUNCTION("""COMPUTED_VALUE"""),"NN")</f>
        <v>NN</v>
      </c>
      <c r="H646" s="2005">
        <f>IFERROR(__xludf.DUMMYFUNCTION("""COMPUTED_VALUE"""),30.99)</f>
        <v>30.99</v>
      </c>
      <c r="I646" s="2005">
        <f>IFERROR(__xludf.DUMMYFUNCTION("""COMPUTED_VALUE"""),30.99)</f>
        <v>30.99</v>
      </c>
      <c r="BD646" s="2006"/>
      <c r="LL646" s="2007"/>
      <c r="LM646" s="2007"/>
      <c r="MX646" s="2007"/>
      <c r="ND646" s="2007"/>
    </row>
    <row r="647">
      <c r="A647" s="2005">
        <f>IFERROR(__xludf.DUMMYFUNCTION("""COMPUTED_VALUE"""),1055194.0)</f>
        <v>1055194</v>
      </c>
      <c r="B647" s="2005">
        <f>IFERROR(__xludf.DUMMYFUNCTION("""COMPUTED_VALUE"""),2403005.0)</f>
        <v>2403005</v>
      </c>
      <c r="C647" s="2005" t="str">
        <f>IFERROR(__xludf.DUMMYFUNCTION("""COMPUTED_VALUE"""),"Cartouche")</f>
        <v>Cartouche</v>
      </c>
      <c r="D647" s="2005" t="str">
        <f>IFERROR(__xludf.DUMMYFUNCTION("""COMPUTED_VALUE"""),"T7609 noir TCL Orque")</f>
        <v>T7609 noir TCL Orque</v>
      </c>
      <c r="E647" s="2005" t="str">
        <f>IFERROR(__xludf.DUMMYFUNCTION("""COMPUTED_VALUE"""),"EPSON")</f>
        <v>EPSON</v>
      </c>
      <c r="F647" s="2005" t="str">
        <f>IFERROR(__xludf.DUMMYFUNCTION("""COMPUTED_VALUE"""),"H")</f>
        <v>H</v>
      </c>
      <c r="G647" s="2005" t="str">
        <f>IFERROR(__xludf.DUMMYFUNCTION("""COMPUTED_VALUE"""),"NN")</f>
        <v>NN</v>
      </c>
      <c r="H647" s="2005">
        <f>IFERROR(__xludf.DUMMYFUNCTION("""COMPUTED_VALUE"""),30.99)</f>
        <v>30.99</v>
      </c>
      <c r="I647" s="2005">
        <f>IFERROR(__xludf.DUMMYFUNCTION("""COMPUTED_VALUE"""),30.99)</f>
        <v>30.99</v>
      </c>
      <c r="BD647" s="2006"/>
      <c r="LL647" s="2007"/>
      <c r="LM647" s="2007"/>
      <c r="MX647" s="2007"/>
      <c r="ND647" s="2007"/>
    </row>
    <row r="648">
      <c r="A648" s="2005">
        <f>IFERROR(__xludf.DUMMYFUNCTION("""COMPUTED_VALUE"""),1055205.0)</f>
        <v>1055205</v>
      </c>
      <c r="B648" s="2005">
        <f>IFERROR(__xludf.DUMMYFUNCTION("""COMPUTED_VALUE"""),2403005.0)</f>
        <v>2403005</v>
      </c>
      <c r="C648" s="2005" t="str">
        <f>IFERROR(__xludf.DUMMYFUNCTION("""COMPUTED_VALUE"""),"Cartouche")</f>
        <v>Cartouche</v>
      </c>
      <c r="D648" s="2005" t="str">
        <f>IFERROR(__xludf.DUMMYFUNCTION("""COMPUTED_VALUE"""),"PGI1500 XL Noire")</f>
        <v>PGI1500 XL Noire</v>
      </c>
      <c r="E648" s="2005" t="str">
        <f>IFERROR(__xludf.DUMMYFUNCTION("""COMPUTED_VALUE"""),"CANON")</f>
        <v>CANON</v>
      </c>
      <c r="F648" s="2005" t="str">
        <f>IFERROR(__xludf.DUMMYFUNCTION("""COMPUTED_VALUE"""),"D")</f>
        <v>D</v>
      </c>
      <c r="G648" s="2005" t="str">
        <f>IFERROR(__xludf.DUMMYFUNCTION("""COMPUTED_VALUE"""),"AC")</f>
        <v>AC</v>
      </c>
      <c r="H648" s="2005">
        <f>IFERROR(__xludf.DUMMYFUNCTION("""COMPUTED_VALUE"""),30.51)</f>
        <v>30.51</v>
      </c>
      <c r="I648" s="2005">
        <f>IFERROR(__xludf.DUMMYFUNCTION("""COMPUTED_VALUE"""),30.51)</f>
        <v>30.51</v>
      </c>
      <c r="BD648" s="2006"/>
      <c r="LL648" s="2007"/>
      <c r="LM648" s="2007"/>
      <c r="MX648" s="2007"/>
      <c r="ND648" s="2007"/>
    </row>
    <row r="649">
      <c r="A649" s="2005">
        <f>IFERROR(__xludf.DUMMYFUNCTION("""COMPUTED_VALUE"""),1055206.0)</f>
        <v>1055206</v>
      </c>
      <c r="B649" s="2005">
        <f>IFERROR(__xludf.DUMMYFUNCTION("""COMPUTED_VALUE"""),2403005.0)</f>
        <v>2403005</v>
      </c>
      <c r="C649" s="2005" t="str">
        <f>IFERROR(__xludf.DUMMYFUNCTION("""COMPUTED_VALUE"""),"Cartouche")</f>
        <v>Cartouche</v>
      </c>
      <c r="D649" s="2005" t="str">
        <f>IFERROR(__xludf.DUMMYFUNCTION("""COMPUTED_VALUE"""),"PGI1500 XL Cyan")</f>
        <v>PGI1500 XL Cyan</v>
      </c>
      <c r="E649" s="2005" t="str">
        <f>IFERROR(__xludf.DUMMYFUNCTION("""COMPUTED_VALUE"""),"CANON")</f>
        <v>CANON</v>
      </c>
      <c r="F649" s="2005" t="str">
        <f>IFERROR(__xludf.DUMMYFUNCTION("""COMPUTED_VALUE"""),"D")</f>
        <v>D</v>
      </c>
      <c r="G649" s="2005" t="str">
        <f>IFERROR(__xludf.DUMMYFUNCTION("""COMPUTED_VALUE"""),"AC")</f>
        <v>AC</v>
      </c>
      <c r="H649">
        <f>IFERROR(__xludf.DUMMYFUNCTION("""COMPUTED_VALUE"""),19.0)</f>
        <v>19</v>
      </c>
      <c r="I649">
        <f>IFERROR(__xludf.DUMMYFUNCTION("""COMPUTED_VALUE"""),19.0)</f>
        <v>19</v>
      </c>
      <c r="BD649" s="2006"/>
      <c r="LL649" s="2007"/>
      <c r="LM649" s="2007"/>
      <c r="MX649" s="2007"/>
      <c r="ND649" s="2007"/>
    </row>
    <row r="650">
      <c r="A650" s="2005">
        <f>IFERROR(__xludf.DUMMYFUNCTION("""COMPUTED_VALUE"""),1055207.0)</f>
        <v>1055207</v>
      </c>
      <c r="B650" s="2005">
        <f>IFERROR(__xludf.DUMMYFUNCTION("""COMPUTED_VALUE"""),2403005.0)</f>
        <v>2403005</v>
      </c>
      <c r="C650" s="2005" t="str">
        <f>IFERROR(__xludf.DUMMYFUNCTION("""COMPUTED_VALUE"""),"Cartouche")</f>
        <v>Cartouche</v>
      </c>
      <c r="D650" s="2005" t="str">
        <f>IFERROR(__xludf.DUMMYFUNCTION("""COMPUTED_VALUE"""),"PGI1500 XL Magenta")</f>
        <v>PGI1500 XL Magenta</v>
      </c>
      <c r="E650" s="2005" t="str">
        <f>IFERROR(__xludf.DUMMYFUNCTION("""COMPUTED_VALUE"""),"CANON")</f>
        <v>CANON</v>
      </c>
      <c r="F650" s="2005" t="str">
        <f>IFERROR(__xludf.DUMMYFUNCTION("""COMPUTED_VALUE"""),"C")</f>
        <v>C</v>
      </c>
      <c r="G650" s="2005" t="str">
        <f>IFERROR(__xludf.DUMMYFUNCTION("""COMPUTED_VALUE"""),"FI")</f>
        <v>FI</v>
      </c>
      <c r="H650">
        <f>IFERROR(__xludf.DUMMYFUNCTION("""COMPUTED_VALUE"""),18.99)</f>
        <v>18.99</v>
      </c>
      <c r="I650">
        <f>IFERROR(__xludf.DUMMYFUNCTION("""COMPUTED_VALUE"""),18.99)</f>
        <v>18.99</v>
      </c>
      <c r="BD650" s="2006"/>
      <c r="LL650" s="2007"/>
      <c r="LM650" s="2007"/>
      <c r="MX650" s="2007"/>
      <c r="ND650" s="2007"/>
    </row>
    <row r="651">
      <c r="A651" s="2005">
        <f>IFERROR(__xludf.DUMMYFUNCTION("""COMPUTED_VALUE"""),1055208.0)</f>
        <v>1055208</v>
      </c>
      <c r="B651" s="2005">
        <f>IFERROR(__xludf.DUMMYFUNCTION("""COMPUTED_VALUE"""),2403005.0)</f>
        <v>2403005</v>
      </c>
      <c r="C651" s="2005" t="str">
        <f>IFERROR(__xludf.DUMMYFUNCTION("""COMPUTED_VALUE"""),"Cartouche")</f>
        <v>Cartouche</v>
      </c>
      <c r="D651" s="2005" t="str">
        <f>IFERROR(__xludf.DUMMYFUNCTION("""COMPUTED_VALUE"""),"PGI1500 XL Jaune")</f>
        <v>PGI1500 XL Jaune</v>
      </c>
      <c r="E651" s="2005" t="str">
        <f>IFERROR(__xludf.DUMMYFUNCTION("""COMPUTED_VALUE"""),"CANON")</f>
        <v>CANON</v>
      </c>
      <c r="F651" s="2005" t="str">
        <f>IFERROR(__xludf.DUMMYFUNCTION("""COMPUTED_VALUE"""),"C")</f>
        <v>C</v>
      </c>
      <c r="G651" s="2005" t="str">
        <f>IFERROR(__xludf.DUMMYFUNCTION("""COMPUTED_VALUE"""),"NN")</f>
        <v>NN</v>
      </c>
      <c r="H651">
        <f>IFERROR(__xludf.DUMMYFUNCTION("""COMPUTED_VALUE"""),18.99)</f>
        <v>18.99</v>
      </c>
      <c r="I651">
        <f>IFERROR(__xludf.DUMMYFUNCTION("""COMPUTED_VALUE"""),18.99)</f>
        <v>18.99</v>
      </c>
      <c r="BD651" s="2006"/>
      <c r="LL651" s="2007"/>
      <c r="LM651" s="2007"/>
      <c r="MX651" s="2007"/>
      <c r="ND651" s="2007"/>
    </row>
    <row r="652">
      <c r="A652" s="2005">
        <f>IFERROR(__xludf.DUMMYFUNCTION("""COMPUTED_VALUE"""),1055259.0)</f>
        <v>1055259</v>
      </c>
      <c r="B652" s="2005">
        <f>IFERROR(__xludf.DUMMYFUNCTION("""COMPUTED_VALUE"""),2503005.0)</f>
        <v>2503005</v>
      </c>
      <c r="C652" s="2005" t="str">
        <f>IFERROR(__xludf.DUMMYFUNCTION("""COMPUTED_VALUE"""),"Enceinte")</f>
        <v>Enceinte</v>
      </c>
      <c r="D652" s="2005" t="str">
        <f>IFERROR(__xludf.DUMMYFUNCTION("""COMPUTED_VALUE"""),"Z333 2.1")</f>
        <v>Z333 2.1</v>
      </c>
      <c r="E652" s="2005" t="str">
        <f>IFERROR(__xludf.DUMMYFUNCTION("""COMPUTED_VALUE"""),"LOGITECH")</f>
        <v>LOGITECH</v>
      </c>
      <c r="F652" s="2005" t="str">
        <f>IFERROR(__xludf.DUMMYFUNCTION("""COMPUTED_VALUE"""),"A")</f>
        <v>A</v>
      </c>
      <c r="G652" s="2005" t="str">
        <f>IFERROR(__xludf.DUMMYFUNCTION("""COMPUTED_VALUE"""),"FF")</f>
        <v>FF</v>
      </c>
      <c r="H652" s="2005">
        <f>IFERROR(__xludf.DUMMYFUNCTION("""COMPUTED_VALUE"""),79.99)</f>
        <v>79.99</v>
      </c>
      <c r="I652" s="2005">
        <f>IFERROR(__xludf.DUMMYFUNCTION("""COMPUTED_VALUE"""),79.99)</f>
        <v>79.99</v>
      </c>
      <c r="BD652" s="2006"/>
      <c r="LL652" s="2007"/>
      <c r="LM652" s="2007"/>
      <c r="MX652" s="2007"/>
      <c r="ND652" s="2007"/>
    </row>
    <row r="653">
      <c r="A653" s="2005">
        <f>IFERROR(__xludf.DUMMYFUNCTION("""COMPUTED_VALUE"""),1055395.0)</f>
        <v>1055395</v>
      </c>
      <c r="B653" s="2005">
        <f>IFERROR(__xludf.DUMMYFUNCTION("""COMPUTED_VALUE"""),2403010.0)</f>
        <v>2403010</v>
      </c>
      <c r="C653" s="2005" t="str">
        <f>IFERROR(__xludf.DUMMYFUNCTION("""COMPUTED_VALUE"""),"Toner")</f>
        <v>Toner</v>
      </c>
      <c r="D653" s="2005" t="str">
        <f>IFERROR(__xludf.DUMMYFUNCTION("""COMPUTED_VALUE"""),"CLT-404S Noir")</f>
        <v>CLT-404S Noir</v>
      </c>
      <c r="E653" s="2005" t="str">
        <f>IFERROR(__xludf.DUMMYFUNCTION("""COMPUTED_VALUE"""),"SAMSUNG")</f>
        <v>SAMSUNG</v>
      </c>
      <c r="F653" s="2005" t="str">
        <f>IFERROR(__xludf.DUMMYFUNCTION("""COMPUTED_VALUE"""),"D")</f>
        <v>D</v>
      </c>
      <c r="G653" s="2005" t="str">
        <f>IFERROR(__xludf.DUMMYFUNCTION("""COMPUTED_VALUE"""),"AC")</f>
        <v>AC</v>
      </c>
      <c r="H653" s="2005">
        <f>IFERROR(__xludf.DUMMYFUNCTION("""COMPUTED_VALUE"""),81.99)</f>
        <v>81.99</v>
      </c>
      <c r="I653" s="2005">
        <f>IFERROR(__xludf.DUMMYFUNCTION("""COMPUTED_VALUE"""),81.99)</f>
        <v>81.99</v>
      </c>
      <c r="BD653" s="2006"/>
      <c r="LL653" s="2007"/>
      <c r="LM653" s="2007"/>
      <c r="MX653" s="2007"/>
      <c r="ND653" s="2007"/>
    </row>
    <row r="654">
      <c r="A654" s="2005">
        <f>IFERROR(__xludf.DUMMYFUNCTION("""COMPUTED_VALUE"""),1055396.0)</f>
        <v>1055396</v>
      </c>
      <c r="B654" s="2005">
        <f>IFERROR(__xludf.DUMMYFUNCTION("""COMPUTED_VALUE"""),2403010.0)</f>
        <v>2403010</v>
      </c>
      <c r="C654" s="2005" t="str">
        <f>IFERROR(__xludf.DUMMYFUNCTION("""COMPUTED_VALUE"""),"Toner")</f>
        <v>Toner</v>
      </c>
      <c r="D654" s="2005" t="str">
        <f>IFERROR(__xludf.DUMMYFUNCTION("""COMPUTED_VALUE"""),"CLT-404S Cyan")</f>
        <v>CLT-404S Cyan</v>
      </c>
      <c r="E654" s="2005" t="str">
        <f>IFERROR(__xludf.DUMMYFUNCTION("""COMPUTED_VALUE"""),"SAMSUNG")</f>
        <v>SAMSUNG</v>
      </c>
      <c r="F654" s="2005" t="str">
        <f>IFERROR(__xludf.DUMMYFUNCTION("""COMPUTED_VALUE"""),"H")</f>
        <v>H</v>
      </c>
      <c r="G654" s="2005" t="str">
        <f>IFERROR(__xludf.DUMMYFUNCTION("""COMPUTED_VALUE"""),"AC")</f>
        <v>AC</v>
      </c>
      <c r="H654" s="2005">
        <f>IFERROR(__xludf.DUMMYFUNCTION("""COMPUTED_VALUE"""),81.99)</f>
        <v>81.99</v>
      </c>
      <c r="I654" s="2005">
        <f>IFERROR(__xludf.DUMMYFUNCTION("""COMPUTED_VALUE"""),81.99)</f>
        <v>81.99</v>
      </c>
      <c r="BD654" s="2006"/>
      <c r="LL654" s="2007"/>
      <c r="LM654" s="2007"/>
      <c r="MX654" s="2007"/>
      <c r="ND654" s="2007"/>
    </row>
    <row r="655">
      <c r="A655" s="2005">
        <f>IFERROR(__xludf.DUMMYFUNCTION("""COMPUTED_VALUE"""),1055398.0)</f>
        <v>1055398</v>
      </c>
      <c r="B655" s="2005">
        <f>IFERROR(__xludf.DUMMYFUNCTION("""COMPUTED_VALUE"""),2403010.0)</f>
        <v>2403010</v>
      </c>
      <c r="C655" s="2005" t="str">
        <f>IFERROR(__xludf.DUMMYFUNCTION("""COMPUTED_VALUE"""),"Toner")</f>
        <v>Toner</v>
      </c>
      <c r="D655" s="2005" t="str">
        <f>IFERROR(__xludf.DUMMYFUNCTION("""COMPUTED_VALUE"""),"CLT-404S Magenta")</f>
        <v>CLT-404S Magenta</v>
      </c>
      <c r="E655" s="2005" t="str">
        <f>IFERROR(__xludf.DUMMYFUNCTION("""COMPUTED_VALUE"""),"SAMSUNG")</f>
        <v>SAMSUNG</v>
      </c>
      <c r="F655" s="2005" t="str">
        <f>IFERROR(__xludf.DUMMYFUNCTION("""COMPUTED_VALUE"""),"H")</f>
        <v>H</v>
      </c>
      <c r="G655" s="2005" t="str">
        <f>IFERROR(__xludf.DUMMYFUNCTION("""COMPUTED_VALUE"""),"AC")</f>
        <v>AC</v>
      </c>
      <c r="H655" s="2005">
        <f>IFERROR(__xludf.DUMMYFUNCTION("""COMPUTED_VALUE"""),81.99)</f>
        <v>81.99</v>
      </c>
      <c r="I655" s="2005">
        <f>IFERROR(__xludf.DUMMYFUNCTION("""COMPUTED_VALUE"""),81.99)</f>
        <v>81.99</v>
      </c>
      <c r="BD655" s="2006"/>
      <c r="LL655" s="2007"/>
      <c r="LM655" s="2007"/>
      <c r="MX655" s="2007"/>
      <c r="ND655" s="2007"/>
    </row>
    <row r="656">
      <c r="A656" s="2005">
        <f>IFERROR(__xludf.DUMMYFUNCTION("""COMPUTED_VALUE"""),1055399.0)</f>
        <v>1055399</v>
      </c>
      <c r="B656" s="2005">
        <f>IFERROR(__xludf.DUMMYFUNCTION("""COMPUTED_VALUE"""),2403010.0)</f>
        <v>2403010</v>
      </c>
      <c r="C656" s="2005" t="str">
        <f>IFERROR(__xludf.DUMMYFUNCTION("""COMPUTED_VALUE"""),"Toner")</f>
        <v>Toner</v>
      </c>
      <c r="D656" s="2005" t="str">
        <f>IFERROR(__xludf.DUMMYFUNCTION("""COMPUTED_VALUE"""),"CLT-404S Jaune")</f>
        <v>CLT-404S Jaune</v>
      </c>
      <c r="E656" s="2005" t="str">
        <f>IFERROR(__xludf.DUMMYFUNCTION("""COMPUTED_VALUE"""),"SAMSUNG")</f>
        <v>SAMSUNG</v>
      </c>
      <c r="F656" s="2005" t="str">
        <f>IFERROR(__xludf.DUMMYFUNCTION("""COMPUTED_VALUE"""),"C")</f>
        <v>C</v>
      </c>
      <c r="G656" s="2005" t="str">
        <f>IFERROR(__xludf.DUMMYFUNCTION("""COMPUTED_VALUE"""),"FI")</f>
        <v>FI</v>
      </c>
      <c r="H656" s="2005">
        <f>IFERROR(__xludf.DUMMYFUNCTION("""COMPUTED_VALUE"""),81.99)</f>
        <v>81.99</v>
      </c>
      <c r="I656" s="2005">
        <f>IFERROR(__xludf.DUMMYFUNCTION("""COMPUTED_VALUE"""),81.99)</f>
        <v>81.99</v>
      </c>
      <c r="BD656" s="2006"/>
      <c r="LL656" s="2007"/>
      <c r="LM656" s="2007"/>
      <c r="MX656" s="2007"/>
      <c r="ND656" s="2007"/>
    </row>
    <row r="657">
      <c r="A657" s="2005">
        <f>IFERROR(__xludf.DUMMYFUNCTION("""COMPUTED_VALUE"""),1056891.0)</f>
        <v>1056891</v>
      </c>
      <c r="B657" s="2005">
        <f>IFERROR(__xludf.DUMMYFUNCTION("""COMPUTED_VALUE"""),2703025.0)</f>
        <v>2703025</v>
      </c>
      <c r="C657" s="2005" t="str">
        <f>IFERROR(__xludf.DUMMYFUNCTION("""COMPUTED_VALUE"""),"DESTRUCTEUR")</f>
        <v>DESTRUCTEUR</v>
      </c>
      <c r="D657" s="2005" t="str">
        <f>IFERROR(__xludf.DUMMYFUNCTION("""COMPUTED_VALUE"""),"Automax 130C")</f>
        <v>Automax 130C</v>
      </c>
      <c r="E657" s="2005" t="str">
        <f>IFERROR(__xludf.DUMMYFUNCTION("""COMPUTED_VALUE"""),"FELLOWES")</f>
        <v>FELLOWES</v>
      </c>
      <c r="F657" s="2005" t="str">
        <f>IFERROR(__xludf.DUMMYFUNCTION("""COMPUTED_VALUE"""),"W")</f>
        <v>W</v>
      </c>
      <c r="G657" s="2005" t="str">
        <f>IFERROR(__xludf.DUMMYFUNCTION("""COMPUTED_VALUE"""),"NN")</f>
        <v>NN</v>
      </c>
      <c r="H657" s="2005">
        <f>IFERROR(__xludf.DUMMYFUNCTION("""COMPUTED_VALUE"""),445.99)</f>
        <v>445.99</v>
      </c>
      <c r="I657" s="2005">
        <f>IFERROR(__xludf.DUMMYFUNCTION("""COMPUTED_VALUE"""),445.99)</f>
        <v>445.99</v>
      </c>
      <c r="BD657" s="2006"/>
      <c r="LL657" s="2007"/>
      <c r="LM657" s="2007"/>
      <c r="MX657" s="2007"/>
      <c r="ND657" s="2007"/>
    </row>
    <row r="658">
      <c r="A658" s="2005">
        <f>IFERROR(__xludf.DUMMYFUNCTION("""COMPUTED_VALUE"""),1056892.0)</f>
        <v>1056892</v>
      </c>
      <c r="B658" s="2005">
        <f>IFERROR(__xludf.DUMMYFUNCTION("""COMPUTED_VALUE"""),2703025.0)</f>
        <v>2703025</v>
      </c>
      <c r="C658" s="2005" t="str">
        <f>IFERROR(__xludf.DUMMYFUNCTION("""COMPUTED_VALUE"""),"DESTRUCTEUR")</f>
        <v>DESTRUCTEUR</v>
      </c>
      <c r="D658" s="2005" t="str">
        <f>IFERROR(__xludf.DUMMYFUNCTION("""COMPUTED_VALUE"""),"62MC")</f>
        <v>62MC</v>
      </c>
      <c r="E658" s="2005" t="str">
        <f>IFERROR(__xludf.DUMMYFUNCTION("""COMPUTED_VALUE"""),"FELLOWES")</f>
        <v>FELLOWES</v>
      </c>
      <c r="F658" s="2005" t="str">
        <f>IFERROR(__xludf.DUMMYFUNCTION("""COMPUTED_VALUE"""),"D")</f>
        <v>D</v>
      </c>
      <c r="G658" s="2005" t="str">
        <f>IFERROR(__xludf.DUMMYFUNCTION("""COMPUTED_VALUE"""),"NN")</f>
        <v>NN</v>
      </c>
      <c r="H658">
        <f>IFERROR(__xludf.DUMMYFUNCTION("""COMPUTED_VALUE"""),169.99)</f>
        <v>169.99</v>
      </c>
      <c r="I658">
        <f>IFERROR(__xludf.DUMMYFUNCTION("""COMPUTED_VALUE"""),169.99)</f>
        <v>169.99</v>
      </c>
      <c r="BD658" s="2006"/>
      <c r="LL658" s="2008"/>
      <c r="LM658" s="2007"/>
      <c r="MX658" s="2007"/>
      <c r="ND658" s="2007"/>
    </row>
    <row r="659">
      <c r="A659" s="2005">
        <f>IFERROR(__xludf.DUMMYFUNCTION("""COMPUTED_VALUE"""),1056894.0)</f>
        <v>1056894</v>
      </c>
      <c r="B659" s="2005">
        <f>IFERROR(__xludf.DUMMYFUNCTION("""COMPUTED_VALUE"""),2703025.0)</f>
        <v>2703025</v>
      </c>
      <c r="C659" s="2005" t="str">
        <f>IFERROR(__xludf.DUMMYFUNCTION("""COMPUTED_VALUE"""),"DESTRUCTEUR")</f>
        <v>DESTRUCTEUR</v>
      </c>
      <c r="D659" s="2005" t="str">
        <f>IFERROR(__xludf.DUMMYFUNCTION("""COMPUTED_VALUE"""),"53C")</f>
        <v>53C</v>
      </c>
      <c r="E659" s="2005" t="str">
        <f>IFERROR(__xludf.DUMMYFUNCTION("""COMPUTED_VALUE"""),"FELLOWES")</f>
        <v>FELLOWES</v>
      </c>
      <c r="F659" s="2005" t="str">
        <f>IFERROR(__xludf.DUMMYFUNCTION("""COMPUTED_VALUE"""),"C")</f>
        <v>C</v>
      </c>
      <c r="G659" s="2005" t="str">
        <f>IFERROR(__xludf.DUMMYFUNCTION("""COMPUTED_VALUE"""),"NN")</f>
        <v>NN</v>
      </c>
      <c r="H659" s="2005">
        <f>IFERROR(__xludf.DUMMYFUNCTION("""COMPUTED_VALUE"""),109.99)</f>
        <v>109.99</v>
      </c>
      <c r="I659" s="2005">
        <f>IFERROR(__xludf.DUMMYFUNCTION("""COMPUTED_VALUE"""),109.99)</f>
        <v>109.99</v>
      </c>
      <c r="BD659" s="2006"/>
      <c r="LL659" s="2007"/>
      <c r="LM659" s="2007"/>
      <c r="MX659" s="2007"/>
      <c r="ND659" s="2007"/>
    </row>
    <row r="660">
      <c r="A660" s="2005">
        <f>IFERROR(__xludf.DUMMYFUNCTION("""COMPUTED_VALUE"""),1056896.0)</f>
        <v>1056896</v>
      </c>
      <c r="B660" s="2005">
        <f>IFERROR(__xludf.DUMMYFUNCTION("""COMPUTED_VALUE"""),2703015.0)</f>
        <v>2703015</v>
      </c>
      <c r="C660" s="2005" t="str">
        <f>IFERROR(__xludf.DUMMYFUNCTION("""COMPUTED_VALUE"""),"Plastifieuse")</f>
        <v>Plastifieuse</v>
      </c>
      <c r="D660" s="2005" t="str">
        <f>IFERROR(__xludf.DUMMYFUNCTION("""COMPUTED_VALUE"""),"Jupiter 2 A3")</f>
        <v>Jupiter 2 A3</v>
      </c>
      <c r="E660" s="2005" t="str">
        <f>IFERROR(__xludf.DUMMYFUNCTION("""COMPUTED_VALUE"""),"FELLOWES")</f>
        <v>FELLOWES</v>
      </c>
      <c r="F660" s="2005" t="str">
        <f>IFERROR(__xludf.DUMMYFUNCTION("""COMPUTED_VALUE"""),"W")</f>
        <v>W</v>
      </c>
      <c r="G660" s="2005" t="str">
        <f>IFERROR(__xludf.DUMMYFUNCTION("""COMPUTED_VALUE"""),"NN")</f>
        <v>NN</v>
      </c>
      <c r="H660" s="2005">
        <f>IFERROR(__xludf.DUMMYFUNCTION("""COMPUTED_VALUE"""),299.98)</f>
        <v>299.98</v>
      </c>
      <c r="I660" s="2005">
        <f>IFERROR(__xludf.DUMMYFUNCTION("""COMPUTED_VALUE"""),299.98)</f>
        <v>299.98</v>
      </c>
      <c r="BD660" s="2006"/>
      <c r="LL660" s="2007"/>
      <c r="LM660" s="2007"/>
      <c r="MX660" s="2007"/>
      <c r="ND660" s="2007"/>
    </row>
    <row r="661">
      <c r="A661" s="2005">
        <f>IFERROR(__xludf.DUMMYFUNCTION("""COMPUTED_VALUE"""),1056898.0)</f>
        <v>1056898</v>
      </c>
      <c r="B661" s="2005">
        <f>IFERROR(__xludf.DUMMYFUNCTION("""COMPUTED_VALUE"""),2703015.0)</f>
        <v>2703015</v>
      </c>
      <c r="C661" s="2005" t="str">
        <f>IFERROR(__xludf.DUMMYFUNCTION("""COMPUTED_VALUE"""),"Plastifieuse")</f>
        <v>Plastifieuse</v>
      </c>
      <c r="D661" s="2005" t="str">
        <f>IFERROR(__xludf.DUMMYFUNCTION("""COMPUTED_VALUE"""),"SATURN 3I A3")</f>
        <v>SATURN 3I A3</v>
      </c>
      <c r="E661" s="2005" t="str">
        <f>IFERROR(__xludf.DUMMYFUNCTION("""COMPUTED_VALUE"""),"FELLOWES")</f>
        <v>FELLOWES</v>
      </c>
      <c r="F661" s="2005" t="str">
        <f>IFERROR(__xludf.DUMMYFUNCTION("""COMPUTED_VALUE"""),"D")</f>
        <v>D</v>
      </c>
      <c r="G661" s="2005" t="str">
        <f>IFERROR(__xludf.DUMMYFUNCTION("""COMPUTED_VALUE"""),"AC")</f>
        <v>AC</v>
      </c>
      <c r="H661" s="2005">
        <f>IFERROR(__xludf.DUMMYFUNCTION("""COMPUTED_VALUE"""),137.99)</f>
        <v>137.99</v>
      </c>
      <c r="I661" s="2005">
        <f>IFERROR(__xludf.DUMMYFUNCTION("""COMPUTED_VALUE"""),137.99)</f>
        <v>137.99</v>
      </c>
      <c r="BD661" s="2006"/>
      <c r="LL661" s="2007"/>
      <c r="LM661" s="2007"/>
      <c r="MX661" s="2007"/>
      <c r="ND661" s="2007"/>
    </row>
    <row r="662">
      <c r="A662" s="2005">
        <f>IFERROR(__xludf.DUMMYFUNCTION("""COMPUTED_VALUE"""),1056899.0)</f>
        <v>1056899</v>
      </c>
      <c r="B662" s="2005">
        <f>IFERROR(__xludf.DUMMYFUNCTION("""COMPUTED_VALUE"""),2703015.0)</f>
        <v>2703015</v>
      </c>
      <c r="C662" s="2005" t="str">
        <f>IFERROR(__xludf.DUMMYFUNCTION("""COMPUTED_VALUE"""),"Plastifieuse")</f>
        <v>Plastifieuse</v>
      </c>
      <c r="D662" s="2005" t="str">
        <f>IFERROR(__xludf.DUMMYFUNCTION("""COMPUTED_VALUE"""),"Spectra A3")</f>
        <v>Spectra A3</v>
      </c>
      <c r="E662" s="2005" t="str">
        <f>IFERROR(__xludf.DUMMYFUNCTION("""COMPUTED_VALUE"""),"FELLOWES")</f>
        <v>FELLOWES</v>
      </c>
      <c r="F662" s="2005" t="str">
        <f>IFERROR(__xludf.DUMMYFUNCTION("""COMPUTED_VALUE"""),"C")</f>
        <v>C</v>
      </c>
      <c r="G662" s="2005" t="str">
        <f>IFERROR(__xludf.DUMMYFUNCTION("""COMPUTED_VALUE"""),"AC")</f>
        <v>AC</v>
      </c>
      <c r="H662" s="2005">
        <f>IFERROR(__xludf.DUMMYFUNCTION("""COMPUTED_VALUE"""),91.98)</f>
        <v>91.98</v>
      </c>
      <c r="I662" s="2005">
        <f>IFERROR(__xludf.DUMMYFUNCTION("""COMPUTED_VALUE"""),91.98)</f>
        <v>91.98</v>
      </c>
      <c r="BD662" s="2006"/>
      <c r="LL662" s="2007"/>
      <c r="LM662" s="2007"/>
      <c r="MX662" s="2007"/>
      <c r="ND662" s="2007"/>
    </row>
    <row r="663">
      <c r="A663" s="2005">
        <f>IFERROR(__xludf.DUMMYFUNCTION("""COMPUTED_VALUE"""),1057630.0)</f>
        <v>1057630</v>
      </c>
      <c r="B663" s="2005">
        <f>IFERROR(__xludf.DUMMYFUNCTION("""COMPUTED_VALUE"""),1103005.0)</f>
        <v>1103005</v>
      </c>
      <c r="C663" s="2005" t="str">
        <f>IFERROR(__xludf.DUMMYFUNCTION("""COMPUTED_VALUE"""),"Tél.")</f>
        <v>Tél.</v>
      </c>
      <c r="D663" s="2005" t="str">
        <f>IFERROR(__xludf.DUMMYFUNCTION("""COMPUTED_VALUE"""),"SL750 Pro Anthracite")</f>
        <v>SL750 Pro Anthracite</v>
      </c>
      <c r="E663" s="2005" t="str">
        <f>IFERROR(__xludf.DUMMYFUNCTION("""COMPUTED_VALUE"""),"GIGASET")</f>
        <v>GIGASET</v>
      </c>
      <c r="F663" s="2005" t="str">
        <f>IFERROR(__xludf.DUMMYFUNCTION("""COMPUTED_VALUE"""),"H")</f>
        <v>H</v>
      </c>
      <c r="G663" s="2005" t="str">
        <f>IFERROR(__xludf.DUMMYFUNCTION("""COMPUTED_VALUE"""),"NN")</f>
        <v>NN</v>
      </c>
      <c r="H663" s="2005">
        <f>IFERROR(__xludf.DUMMYFUNCTION("""COMPUTED_VALUE"""),83.99)</f>
        <v>83.99</v>
      </c>
      <c r="I663" s="2005">
        <f>IFERROR(__xludf.DUMMYFUNCTION("""COMPUTED_VALUE"""),83.99)</f>
        <v>83.99</v>
      </c>
      <c r="BD663" s="2006"/>
      <c r="LL663" s="2007"/>
      <c r="LM663" s="2007"/>
      <c r="MX663" s="2007"/>
      <c r="ND663" s="2007"/>
    </row>
    <row r="664">
      <c r="A664" s="2005">
        <f>IFERROR(__xludf.DUMMYFUNCTION("""COMPUTED_VALUE"""),1057660.0)</f>
        <v>1057660</v>
      </c>
      <c r="B664" s="2005">
        <f>IFERROR(__xludf.DUMMYFUNCTION("""COMPUTED_VALUE"""),1103015.0)</f>
        <v>1103015</v>
      </c>
      <c r="C664" s="2005" t="str">
        <f>IFERROR(__xludf.DUMMYFUNCTION("""COMPUTED_VALUE"""),"Combi")</f>
        <v>Combi</v>
      </c>
      <c r="D664" s="2005" t="str">
        <f>IFERROR(__xludf.DUMMYFUNCTION("""COMPUTED_VALUE"""),"SL750H Anthracite")</f>
        <v>SL750H Anthracite</v>
      </c>
      <c r="E664" s="2005" t="str">
        <f>IFERROR(__xludf.DUMMYFUNCTION("""COMPUTED_VALUE"""),"GIGASET")</f>
        <v>GIGASET</v>
      </c>
      <c r="F664" s="2005" t="str">
        <f>IFERROR(__xludf.DUMMYFUNCTION("""COMPUTED_VALUE"""),"W")</f>
        <v>W</v>
      </c>
      <c r="G664" s="2005" t="str">
        <f>IFERROR(__xludf.DUMMYFUNCTION("""COMPUTED_VALUE"""),"NN")</f>
        <v>NN</v>
      </c>
      <c r="H664">
        <f>IFERROR(__xludf.DUMMYFUNCTION("""COMPUTED_VALUE"""),76.99)</f>
        <v>76.99</v>
      </c>
      <c r="I664">
        <f>IFERROR(__xludf.DUMMYFUNCTION("""COMPUTED_VALUE"""),76.99)</f>
        <v>76.99</v>
      </c>
      <c r="BD664" s="2006"/>
      <c r="LL664" s="2007"/>
      <c r="LM664" s="2007"/>
      <c r="MX664" s="2007"/>
      <c r="ND664" s="2007"/>
    </row>
    <row r="665">
      <c r="A665" s="2005">
        <f>IFERROR(__xludf.DUMMYFUNCTION("""COMPUTED_VALUE"""),1057807.0)</f>
        <v>1057807</v>
      </c>
      <c r="B665" s="2005">
        <f>IFERROR(__xludf.DUMMYFUNCTION("""COMPUTED_VALUE"""),2403005.0)</f>
        <v>2403005</v>
      </c>
      <c r="C665" s="2005" t="str">
        <f>IFERROR(__xludf.DUMMYFUNCTION("""COMPUTED_VALUE"""),"Cartouche")</f>
        <v>Cartouche</v>
      </c>
      <c r="D665" s="2005" t="str">
        <f>IFERROR(__xludf.DUMMYFUNCTION("""COMPUTED_VALUE"""),"302    3 couleurs")</f>
        <v>302    3 couleurs</v>
      </c>
      <c r="E665" s="2005" t="str">
        <f>IFERROR(__xludf.DUMMYFUNCTION("""COMPUTED_VALUE"""),"HP")</f>
        <v>HP</v>
      </c>
      <c r="F665" s="2005" t="str">
        <f>IFERROR(__xludf.DUMMYFUNCTION("""COMPUTED_VALUE"""),"A")</f>
        <v>A</v>
      </c>
      <c r="G665" s="2005" t="str">
        <f>IFERROR(__xludf.DUMMYFUNCTION("""COMPUTED_VALUE"""),"AC")</f>
        <v>AC</v>
      </c>
      <c r="H665" s="2005">
        <f>IFERROR(__xludf.DUMMYFUNCTION("""COMPUTED_VALUE"""),26.99)</f>
        <v>26.99</v>
      </c>
      <c r="I665" s="2005">
        <f>IFERROR(__xludf.DUMMYFUNCTION("""COMPUTED_VALUE"""),26.99)</f>
        <v>26.99</v>
      </c>
      <c r="BD665" s="2006"/>
      <c r="LL665" s="2007"/>
      <c r="LM665" s="2007"/>
      <c r="MX665" s="2007"/>
      <c r="ND665" s="2007"/>
    </row>
    <row r="666">
      <c r="A666" s="2005">
        <f>IFERROR(__xludf.DUMMYFUNCTION("""COMPUTED_VALUE"""),1057808.0)</f>
        <v>1057808</v>
      </c>
      <c r="B666" s="2005">
        <f>IFERROR(__xludf.DUMMYFUNCTION("""COMPUTED_VALUE"""),2403005.0)</f>
        <v>2403005</v>
      </c>
      <c r="C666" s="2005" t="str">
        <f>IFERROR(__xludf.DUMMYFUNCTION("""COMPUTED_VALUE"""),"Cartouche")</f>
        <v>Cartouche</v>
      </c>
      <c r="D666" s="2005" t="str">
        <f>IFERROR(__xludf.DUMMYFUNCTION("""COMPUTED_VALUE"""),"302 noire")</f>
        <v>302 noire</v>
      </c>
      <c r="E666" s="2005" t="str">
        <f>IFERROR(__xludf.DUMMYFUNCTION("""COMPUTED_VALUE"""),"HP")</f>
        <v>HP</v>
      </c>
      <c r="F666" s="2005" t="str">
        <f>IFERROR(__xludf.DUMMYFUNCTION("""COMPUTED_VALUE"""),"A")</f>
        <v>A</v>
      </c>
      <c r="G666" s="2005" t="str">
        <f>IFERROR(__xludf.DUMMYFUNCTION("""COMPUTED_VALUE"""),"AC")</f>
        <v>AC</v>
      </c>
      <c r="H666">
        <f>IFERROR(__xludf.DUMMYFUNCTION("""COMPUTED_VALUE"""),21.99)</f>
        <v>21.99</v>
      </c>
      <c r="I666">
        <f>IFERROR(__xludf.DUMMYFUNCTION("""COMPUTED_VALUE"""),21.99)</f>
        <v>21.99</v>
      </c>
      <c r="BD666" s="2006"/>
      <c r="LL666" s="2007"/>
      <c r="LM666" s="2007"/>
      <c r="MX666" s="2007"/>
      <c r="ND666" s="2007"/>
    </row>
    <row r="667">
      <c r="A667" s="2005">
        <f>IFERROR(__xludf.DUMMYFUNCTION("""COMPUTED_VALUE"""),1057841.0)</f>
        <v>1057841</v>
      </c>
      <c r="B667" s="2005">
        <f>IFERROR(__xludf.DUMMYFUNCTION("""COMPUTED_VALUE"""),1103015.0)</f>
        <v>1103015</v>
      </c>
      <c r="C667" s="2005" t="str">
        <f>IFERROR(__xludf.DUMMYFUNCTION("""COMPUTED_VALUE"""),"Combi")</f>
        <v>Combi</v>
      </c>
      <c r="D667" s="2005" t="str">
        <f>IFERROR(__xludf.DUMMYFUNCTION("""COMPUTED_VALUE"""),"SL450H Métal")</f>
        <v>SL450H Métal</v>
      </c>
      <c r="E667" s="2005" t="str">
        <f>IFERROR(__xludf.DUMMYFUNCTION("""COMPUTED_VALUE"""),"GIGASET")</f>
        <v>GIGASET</v>
      </c>
      <c r="F667" s="2005" t="str">
        <f>IFERROR(__xludf.DUMMYFUNCTION("""COMPUTED_VALUE"""),"H")</f>
        <v>H</v>
      </c>
      <c r="G667" s="2005" t="str">
        <f>IFERROR(__xludf.DUMMYFUNCTION("""COMPUTED_VALUE"""),"NN")</f>
        <v>NN</v>
      </c>
      <c r="H667">
        <f>IFERROR(__xludf.DUMMYFUNCTION("""COMPUTED_VALUE"""),68.99)</f>
        <v>68.99</v>
      </c>
      <c r="I667">
        <f>IFERROR(__xludf.DUMMYFUNCTION("""COMPUTED_VALUE"""),68.99)</f>
        <v>68.99</v>
      </c>
      <c r="BD667" s="2006"/>
      <c r="LL667" s="2007"/>
      <c r="LM667" s="2007"/>
      <c r="MX667" s="2007"/>
      <c r="ND667" s="2007"/>
    </row>
    <row r="668">
      <c r="A668" s="2005">
        <f>IFERROR(__xludf.DUMMYFUNCTION("""COMPUTED_VALUE"""),1058545.0)</f>
        <v>1058545</v>
      </c>
      <c r="B668" s="2005">
        <f>IFERROR(__xludf.DUMMYFUNCTION("""COMPUTED_VALUE"""),2503005.0)</f>
        <v>2503005</v>
      </c>
      <c r="C668" s="2005" t="str">
        <f>IFERROR(__xludf.DUMMYFUNCTION("""COMPUTED_VALUE"""),"Enceinte")</f>
        <v>Enceinte</v>
      </c>
      <c r="D668" s="2005" t="str">
        <f>IFERROR(__xludf.DUMMYFUNCTION("""COMPUTED_VALUE"""),"Z533 2.1 Dark")</f>
        <v>Z533 2.1 Dark</v>
      </c>
      <c r="E668" s="2005" t="str">
        <f>IFERROR(__xludf.DUMMYFUNCTION("""COMPUTED_VALUE"""),"LOGITECH")</f>
        <v>LOGITECH</v>
      </c>
      <c r="F668" s="2005" t="str">
        <f>IFERROR(__xludf.DUMMYFUNCTION("""COMPUTED_VALUE"""),"A")</f>
        <v>A</v>
      </c>
      <c r="G668" s="2005" t="str">
        <f>IFERROR(__xludf.DUMMYFUNCTION("""COMPUTED_VALUE"""),"AC")</f>
        <v>AC</v>
      </c>
      <c r="H668">
        <f>IFERROR(__xludf.DUMMYFUNCTION("""COMPUTED_VALUE"""),139.99)</f>
        <v>139.99</v>
      </c>
      <c r="I668">
        <f>IFERROR(__xludf.DUMMYFUNCTION("""COMPUTED_VALUE"""),139.99)</f>
        <v>139.99</v>
      </c>
      <c r="BD668" s="2006"/>
      <c r="LL668" s="2007"/>
      <c r="LM668" s="2007"/>
      <c r="MX668" s="2007"/>
      <c r="ND668" s="2007"/>
    </row>
    <row r="669">
      <c r="A669" s="2005">
        <f>IFERROR(__xludf.DUMMYFUNCTION("""COMPUTED_VALUE"""),1058829.0)</f>
        <v>1058829</v>
      </c>
      <c r="B669" s="2005">
        <f>IFERROR(__xludf.DUMMYFUNCTION("""COMPUTED_VALUE"""),2202005.0)</f>
        <v>2202005</v>
      </c>
      <c r="C669" s="2005" t="str">
        <f>IFERROR(__xludf.DUMMYFUNCTION("""COMPUTED_VALUE"""),"Multi Jet d'enc")</f>
        <v>Multi Jet d'enc</v>
      </c>
      <c r="D669" s="2005" t="str">
        <f>IFERROR(__xludf.DUMMYFUNCTION("""COMPUTED_VALUE"""),"MG 5750 Noir")</f>
        <v>MG 5750 Noir</v>
      </c>
      <c r="E669" s="2005" t="str">
        <f>IFERROR(__xludf.DUMMYFUNCTION("""COMPUTED_VALUE"""),"CANON")</f>
        <v>CANON</v>
      </c>
      <c r="F669" s="2005" t="str">
        <f>IFERROR(__xludf.DUMMYFUNCTION("""COMPUTED_VALUE"""),"H")</f>
        <v>H</v>
      </c>
      <c r="G669" s="2005" t="str">
        <f>IFERROR(__xludf.DUMMYFUNCTION("""COMPUTED_VALUE"""),"NN")</f>
        <v>NN</v>
      </c>
      <c r="H669">
        <f>IFERROR(__xludf.DUMMYFUNCTION("""COMPUTED_VALUE"""),42.99)</f>
        <v>42.99</v>
      </c>
      <c r="I669">
        <f>IFERROR(__xludf.DUMMYFUNCTION("""COMPUTED_VALUE"""),42.99)</f>
        <v>42.99</v>
      </c>
      <c r="BD669" s="2006"/>
      <c r="LL669" s="2007"/>
      <c r="LM669" s="2007"/>
      <c r="MX669" s="2007"/>
      <c r="ND669" s="2007"/>
    </row>
    <row r="670">
      <c r="A670" s="2005">
        <f>IFERROR(__xludf.DUMMYFUNCTION("""COMPUTED_VALUE"""),1058944.0)</f>
        <v>1058944</v>
      </c>
      <c r="B670" s="2005">
        <f>IFERROR(__xludf.DUMMYFUNCTION("""COMPUTED_VALUE"""),2403005.0)</f>
        <v>2403005</v>
      </c>
      <c r="C670" s="2005" t="str">
        <f>IFERROR(__xludf.DUMMYFUNCTION("""COMPUTED_VALUE"""),"Cartouche")</f>
        <v>Cartouche</v>
      </c>
      <c r="D670" s="2005" t="str">
        <f>IFERROR(__xludf.DUMMYFUNCTION("""COMPUTED_VALUE"""),"T2981 série Fraise noire")</f>
        <v>T2981 série Fraise noire</v>
      </c>
      <c r="E670" s="2005" t="str">
        <f>IFERROR(__xludf.DUMMYFUNCTION("""COMPUTED_VALUE"""),"EPSON")</f>
        <v>EPSON</v>
      </c>
      <c r="F670" s="2005" t="str">
        <f>IFERROR(__xludf.DUMMYFUNCTION("""COMPUTED_VALUE"""),"A")</f>
        <v>A</v>
      </c>
      <c r="G670" s="2005" t="str">
        <f>IFERROR(__xludf.DUMMYFUNCTION("""COMPUTED_VALUE"""),"AC")</f>
        <v>AC</v>
      </c>
      <c r="H670">
        <f>IFERROR(__xludf.DUMMYFUNCTION("""COMPUTED_VALUE"""),17.99)</f>
        <v>17.99</v>
      </c>
      <c r="I670">
        <f>IFERROR(__xludf.DUMMYFUNCTION("""COMPUTED_VALUE"""),17.99)</f>
        <v>17.99</v>
      </c>
      <c r="BD670" s="2006"/>
      <c r="LL670" s="2007"/>
      <c r="LM670" s="2007"/>
      <c r="MX670" s="2007"/>
      <c r="ND670" s="2007"/>
    </row>
    <row r="671">
      <c r="A671" s="2005">
        <f>IFERROR(__xludf.DUMMYFUNCTION("""COMPUTED_VALUE"""),1058945.0)</f>
        <v>1058945</v>
      </c>
      <c r="B671" s="2005">
        <f>IFERROR(__xludf.DUMMYFUNCTION("""COMPUTED_VALUE"""),2403005.0)</f>
        <v>2403005</v>
      </c>
      <c r="C671" s="2005" t="str">
        <f>IFERROR(__xludf.DUMMYFUNCTION("""COMPUTED_VALUE"""),"Cartouche")</f>
        <v>Cartouche</v>
      </c>
      <c r="D671" s="2005" t="str">
        <f>IFERROR(__xludf.DUMMYFUNCTION("""COMPUTED_VALUE"""),"T2982 Cyan Série Fraise")</f>
        <v>T2982 Cyan Série Fraise</v>
      </c>
      <c r="E671" s="2005" t="str">
        <f>IFERROR(__xludf.DUMMYFUNCTION("""COMPUTED_VALUE"""),"EPSON")</f>
        <v>EPSON</v>
      </c>
      <c r="F671" s="2005" t="str">
        <f>IFERROR(__xludf.DUMMYFUNCTION("""COMPUTED_VALUE"""),"C")</f>
        <v>C</v>
      </c>
      <c r="G671" s="2005" t="str">
        <f>IFERROR(__xludf.DUMMYFUNCTION("""COMPUTED_VALUE"""),"AC")</f>
        <v>AC</v>
      </c>
      <c r="H671" s="2005">
        <f>IFERROR(__xludf.DUMMYFUNCTION("""COMPUTED_VALUE"""),11.99)</f>
        <v>11.99</v>
      </c>
      <c r="I671" s="2005">
        <f>IFERROR(__xludf.DUMMYFUNCTION("""COMPUTED_VALUE"""),11.99)</f>
        <v>11.99</v>
      </c>
      <c r="BD671" s="2006"/>
      <c r="LL671" s="2007"/>
      <c r="LM671" s="2007"/>
      <c r="MX671" s="2007"/>
      <c r="ND671" s="2007"/>
    </row>
    <row r="672">
      <c r="A672" s="2005">
        <f>IFERROR(__xludf.DUMMYFUNCTION("""COMPUTED_VALUE"""),1058946.0)</f>
        <v>1058946</v>
      </c>
      <c r="B672" s="2005">
        <f>IFERROR(__xludf.DUMMYFUNCTION("""COMPUTED_VALUE"""),2403005.0)</f>
        <v>2403005</v>
      </c>
      <c r="C672" s="2005" t="str">
        <f>IFERROR(__xludf.DUMMYFUNCTION("""COMPUTED_VALUE"""),"Cartouche")</f>
        <v>Cartouche</v>
      </c>
      <c r="D672" s="2005" t="str">
        <f>IFERROR(__xludf.DUMMYFUNCTION("""COMPUTED_VALUE"""),"T2983 Magenta Série Fraise")</f>
        <v>T2983 Magenta Série Fraise</v>
      </c>
      <c r="E672" s="2005" t="str">
        <f>IFERROR(__xludf.DUMMYFUNCTION("""COMPUTED_VALUE"""),"EPSON")</f>
        <v>EPSON</v>
      </c>
      <c r="F672" s="2005" t="str">
        <f>IFERROR(__xludf.DUMMYFUNCTION("""COMPUTED_VALUE"""),"C")</f>
        <v>C</v>
      </c>
      <c r="G672" s="2005" t="str">
        <f>IFERROR(__xludf.DUMMYFUNCTION("""COMPUTED_VALUE"""),"AC")</f>
        <v>AC</v>
      </c>
      <c r="H672" s="2005">
        <f>IFERROR(__xludf.DUMMYFUNCTION("""COMPUTED_VALUE"""),11.99)</f>
        <v>11.99</v>
      </c>
      <c r="I672" s="2005">
        <f>IFERROR(__xludf.DUMMYFUNCTION("""COMPUTED_VALUE"""),11.99)</f>
        <v>11.99</v>
      </c>
      <c r="BD672" s="2006"/>
      <c r="LL672" s="2007"/>
      <c r="LM672" s="2007"/>
      <c r="MX672" s="2007"/>
      <c r="ND672" s="2007"/>
    </row>
    <row r="673">
      <c r="A673" s="2005">
        <f>IFERROR(__xludf.DUMMYFUNCTION("""COMPUTED_VALUE"""),1058947.0)</f>
        <v>1058947</v>
      </c>
      <c r="B673" s="2005">
        <f>IFERROR(__xludf.DUMMYFUNCTION("""COMPUTED_VALUE"""),2403005.0)</f>
        <v>2403005</v>
      </c>
      <c r="C673" s="2005" t="str">
        <f>IFERROR(__xludf.DUMMYFUNCTION("""COMPUTED_VALUE"""),"Cartouche")</f>
        <v>Cartouche</v>
      </c>
      <c r="D673" s="2005" t="str">
        <f>IFERROR(__xludf.DUMMYFUNCTION("""COMPUTED_VALUE"""),"T2984 Jaune Série Fraise")</f>
        <v>T2984 Jaune Série Fraise</v>
      </c>
      <c r="E673" s="2005" t="str">
        <f>IFERROR(__xludf.DUMMYFUNCTION("""COMPUTED_VALUE"""),"EPSON")</f>
        <v>EPSON</v>
      </c>
      <c r="F673" s="2005" t="str">
        <f>IFERROR(__xludf.DUMMYFUNCTION("""COMPUTED_VALUE"""),"C")</f>
        <v>C</v>
      </c>
      <c r="G673" s="2005" t="str">
        <f>IFERROR(__xludf.DUMMYFUNCTION("""COMPUTED_VALUE"""),"AC")</f>
        <v>AC</v>
      </c>
      <c r="H673" s="2005">
        <f>IFERROR(__xludf.DUMMYFUNCTION("""COMPUTED_VALUE"""),11.99)</f>
        <v>11.99</v>
      </c>
      <c r="I673" s="2005">
        <f>IFERROR(__xludf.DUMMYFUNCTION("""COMPUTED_VALUE"""),11.99)</f>
        <v>11.99</v>
      </c>
      <c r="BD673" s="2006"/>
      <c r="LL673" s="2007"/>
      <c r="LM673" s="2007"/>
      <c r="MX673" s="2007"/>
      <c r="ND673" s="2007"/>
    </row>
    <row r="674">
      <c r="A674" s="2005">
        <f>IFERROR(__xludf.DUMMYFUNCTION("""COMPUTED_VALUE"""),1058948.0)</f>
        <v>1058948</v>
      </c>
      <c r="B674" s="2005">
        <f>IFERROR(__xludf.DUMMYFUNCTION("""COMPUTED_VALUE"""),2403005.0)</f>
        <v>2403005</v>
      </c>
      <c r="C674" s="2005" t="str">
        <f>IFERROR(__xludf.DUMMYFUNCTION("""COMPUTED_VALUE"""),"Pack")</f>
        <v>Pack</v>
      </c>
      <c r="D674" s="2005" t="str">
        <f>IFERROR(__xludf.DUMMYFUNCTION("""COMPUTED_VALUE"""),"T2986 série Fraise (CMJ N)")</f>
        <v>T2986 série Fraise (CMJ N)</v>
      </c>
      <c r="E674" s="2005" t="str">
        <f>IFERROR(__xludf.DUMMYFUNCTION("""COMPUTED_VALUE"""),"EPSON")</f>
        <v>EPSON</v>
      </c>
      <c r="F674" s="2005" t="str">
        <f>IFERROR(__xludf.DUMMYFUNCTION("""COMPUTED_VALUE"""),"A")</f>
        <v>A</v>
      </c>
      <c r="G674" s="2005" t="str">
        <f>IFERROR(__xludf.DUMMYFUNCTION("""COMPUTED_VALUE"""),"AC")</f>
        <v>AC</v>
      </c>
      <c r="H674" s="2005">
        <f>IFERROR(__xludf.DUMMYFUNCTION("""COMPUTED_VALUE"""),51.0)</f>
        <v>51</v>
      </c>
      <c r="I674" s="2005">
        <f>IFERROR(__xludf.DUMMYFUNCTION("""COMPUTED_VALUE"""),51.0)</f>
        <v>51</v>
      </c>
      <c r="BD674" s="2006"/>
      <c r="LL674" s="2007"/>
      <c r="LM674" s="2007"/>
      <c r="MX674" s="2007"/>
      <c r="ND674" s="2007"/>
    </row>
    <row r="675">
      <c r="A675" s="2005">
        <f>IFERROR(__xludf.DUMMYFUNCTION("""COMPUTED_VALUE"""),1058949.0)</f>
        <v>1058949</v>
      </c>
      <c r="B675" s="2005">
        <f>IFERROR(__xludf.DUMMYFUNCTION("""COMPUTED_VALUE"""),2403005.0)</f>
        <v>2403005</v>
      </c>
      <c r="C675" s="2005" t="str">
        <f>IFERROR(__xludf.DUMMYFUNCTION("""COMPUTED_VALUE"""),"Cartouche")</f>
        <v>Cartouche</v>
      </c>
      <c r="D675" s="2005" t="str">
        <f>IFERROR(__xludf.DUMMYFUNCTION("""COMPUTED_VALUE"""),"T2991 Noire XL Série Fraise")</f>
        <v>T2991 Noire XL Série Fraise</v>
      </c>
      <c r="E675" s="2005" t="str">
        <f>IFERROR(__xludf.DUMMYFUNCTION("""COMPUTED_VALUE"""),"EPSON")</f>
        <v>EPSON</v>
      </c>
      <c r="F675" s="2005" t="str">
        <f>IFERROR(__xludf.DUMMYFUNCTION("""COMPUTED_VALUE"""),"C")</f>
        <v>C</v>
      </c>
      <c r="G675" s="2005" t="str">
        <f>IFERROR(__xludf.DUMMYFUNCTION("""COMPUTED_VALUE"""),"AC")</f>
        <v>AC</v>
      </c>
      <c r="H675" s="2005">
        <f>IFERROR(__xludf.DUMMYFUNCTION("""COMPUTED_VALUE"""),29.99)</f>
        <v>29.99</v>
      </c>
      <c r="I675" s="2005">
        <f>IFERROR(__xludf.DUMMYFUNCTION("""COMPUTED_VALUE"""),29.99)</f>
        <v>29.99</v>
      </c>
      <c r="BD675" s="2006"/>
      <c r="LL675" s="2007"/>
      <c r="LM675" s="2007"/>
      <c r="MX675" s="2007"/>
      <c r="ND675" s="2007"/>
    </row>
    <row r="676">
      <c r="A676" s="2005">
        <f>IFERROR(__xludf.DUMMYFUNCTION("""COMPUTED_VALUE"""),1058950.0)</f>
        <v>1058950</v>
      </c>
      <c r="B676" s="2005">
        <f>IFERROR(__xludf.DUMMYFUNCTION("""COMPUTED_VALUE"""),2403005.0)</f>
        <v>2403005</v>
      </c>
      <c r="C676" s="2005" t="str">
        <f>IFERROR(__xludf.DUMMYFUNCTION("""COMPUTED_VALUE"""),"Cartouche")</f>
        <v>Cartouche</v>
      </c>
      <c r="D676" s="2005" t="str">
        <f>IFERROR(__xludf.DUMMYFUNCTION("""COMPUTED_VALUE"""),"T2992 Cyan XL Série Fraise")</f>
        <v>T2992 Cyan XL Série Fraise</v>
      </c>
      <c r="E676" s="2005" t="str">
        <f>IFERROR(__xludf.DUMMYFUNCTION("""COMPUTED_VALUE"""),"EPSON")</f>
        <v>EPSON</v>
      </c>
      <c r="F676" s="2005" t="str">
        <f>IFERROR(__xludf.DUMMYFUNCTION("""COMPUTED_VALUE"""),"H")</f>
        <v>H</v>
      </c>
      <c r="G676" s="2005" t="str">
        <f>IFERROR(__xludf.DUMMYFUNCTION("""COMPUTED_VALUE"""),"FR")</f>
        <v>FR</v>
      </c>
      <c r="H676">
        <f>IFERROR(__xludf.DUMMYFUNCTION("""COMPUTED_VALUE"""),21.99)</f>
        <v>21.99</v>
      </c>
      <c r="I676">
        <f>IFERROR(__xludf.DUMMYFUNCTION("""COMPUTED_VALUE"""),21.99)</f>
        <v>21.99</v>
      </c>
      <c r="BD676" s="2006"/>
      <c r="LL676" s="2007"/>
      <c r="LM676" s="2007"/>
      <c r="MX676" s="2007"/>
      <c r="ND676" s="2007"/>
    </row>
    <row r="677">
      <c r="A677" s="2005">
        <f>IFERROR(__xludf.DUMMYFUNCTION("""COMPUTED_VALUE"""),1059001.0)</f>
        <v>1059001</v>
      </c>
      <c r="B677" s="2005">
        <f>IFERROR(__xludf.DUMMYFUNCTION("""COMPUTED_VALUE"""),2403005.0)</f>
        <v>2403005</v>
      </c>
      <c r="C677" s="2005" t="str">
        <f>IFERROR(__xludf.DUMMYFUNCTION("""COMPUTED_VALUE"""),"Cartouche")</f>
        <v>Cartouche</v>
      </c>
      <c r="D677" s="2005" t="str">
        <f>IFERROR(__xludf.DUMMYFUNCTION("""COMPUTED_VALUE"""),"T2993 Magenta XL Série Fraise")</f>
        <v>T2993 Magenta XL Série Fraise</v>
      </c>
      <c r="E677" s="2005" t="str">
        <f>IFERROR(__xludf.DUMMYFUNCTION("""COMPUTED_VALUE"""),"EPSON")</f>
        <v>EPSON</v>
      </c>
      <c r="F677" s="2005" t="str">
        <f>IFERROR(__xludf.DUMMYFUNCTION("""COMPUTED_VALUE"""),"H")</f>
        <v>H</v>
      </c>
      <c r="G677" s="2005" t="str">
        <f>IFERROR(__xludf.DUMMYFUNCTION("""COMPUTED_VALUE"""),"FR")</f>
        <v>FR</v>
      </c>
      <c r="H677" s="2005">
        <f>IFERROR(__xludf.DUMMYFUNCTION("""COMPUTED_VALUE"""),21.99)</f>
        <v>21.99</v>
      </c>
      <c r="I677" s="2005">
        <f>IFERROR(__xludf.DUMMYFUNCTION("""COMPUTED_VALUE"""),21.99)</f>
        <v>21.99</v>
      </c>
      <c r="BD677" s="2006"/>
      <c r="LL677" s="2007"/>
      <c r="LM677" s="2007"/>
      <c r="MX677" s="2007"/>
      <c r="ND677" s="2007"/>
    </row>
    <row r="678">
      <c r="A678" s="2005">
        <f>IFERROR(__xludf.DUMMYFUNCTION("""COMPUTED_VALUE"""),1059002.0)</f>
        <v>1059002</v>
      </c>
      <c r="B678" s="2005">
        <f>IFERROR(__xludf.DUMMYFUNCTION("""COMPUTED_VALUE"""),2403005.0)</f>
        <v>2403005</v>
      </c>
      <c r="C678" s="2005" t="str">
        <f>IFERROR(__xludf.DUMMYFUNCTION("""COMPUTED_VALUE"""),"Cartouche")</f>
        <v>Cartouche</v>
      </c>
      <c r="D678" s="2005" t="str">
        <f>IFERROR(__xludf.DUMMYFUNCTION("""COMPUTED_VALUE"""),"T2994 Jaune XL Série Fraise")</f>
        <v>T2994 Jaune XL Série Fraise</v>
      </c>
      <c r="E678" s="2005" t="str">
        <f>IFERROR(__xludf.DUMMYFUNCTION("""COMPUTED_VALUE"""),"EPSON")</f>
        <v>EPSON</v>
      </c>
      <c r="F678" s="2005" t="str">
        <f>IFERROR(__xludf.DUMMYFUNCTION("""COMPUTED_VALUE"""),"H")</f>
        <v>H</v>
      </c>
      <c r="G678" s="2005" t="str">
        <f>IFERROR(__xludf.DUMMYFUNCTION("""COMPUTED_VALUE"""),"NN")</f>
        <v>NN</v>
      </c>
      <c r="H678" s="2005">
        <f>IFERROR(__xludf.DUMMYFUNCTION("""COMPUTED_VALUE"""),21.99)</f>
        <v>21.99</v>
      </c>
      <c r="I678" s="2005">
        <f>IFERROR(__xludf.DUMMYFUNCTION("""COMPUTED_VALUE"""),21.99)</f>
        <v>21.99</v>
      </c>
      <c r="BD678" s="2006"/>
      <c r="LL678" s="2007"/>
      <c r="LM678" s="2007"/>
      <c r="MX678" s="2007"/>
      <c r="ND678" s="2007"/>
    </row>
    <row r="679">
      <c r="A679" s="2005">
        <f>IFERROR(__xludf.DUMMYFUNCTION("""COMPUTED_VALUE"""),1059003.0)</f>
        <v>1059003</v>
      </c>
      <c r="B679" s="2005">
        <f>IFERROR(__xludf.DUMMYFUNCTION("""COMPUTED_VALUE"""),2403005.0)</f>
        <v>2403005</v>
      </c>
      <c r="C679" s="2005" t="str">
        <f>IFERROR(__xludf.DUMMYFUNCTION("""COMPUTED_VALUE"""),"Cartouche")</f>
        <v>Cartouche</v>
      </c>
      <c r="D679" s="2005" t="str">
        <f>IFERROR(__xludf.DUMMYFUNCTION("""COMPUTED_VALUE"""),"T2996 (N/C/M/J) XL Série Fraise")</f>
        <v>T2996 (N/C/M/J) XL Série Fraise</v>
      </c>
      <c r="E679" s="2005" t="str">
        <f>IFERROR(__xludf.DUMMYFUNCTION("""COMPUTED_VALUE"""),"EPSON")</f>
        <v>EPSON</v>
      </c>
      <c r="F679" s="2005" t="str">
        <f>IFERROR(__xludf.DUMMYFUNCTION("""COMPUTED_VALUE"""),"H")</f>
        <v>H</v>
      </c>
      <c r="G679" s="2005" t="str">
        <f>IFERROR(__xludf.DUMMYFUNCTION("""COMPUTED_VALUE"""),"NN")</f>
        <v>NN</v>
      </c>
      <c r="H679">
        <f>IFERROR(__xludf.DUMMYFUNCTION("""COMPUTED_VALUE"""),93.0)</f>
        <v>93</v>
      </c>
      <c r="I679">
        <f>IFERROR(__xludf.DUMMYFUNCTION("""COMPUTED_VALUE"""),93.0)</f>
        <v>93</v>
      </c>
      <c r="BD679" s="2006"/>
      <c r="LL679" s="2007"/>
      <c r="LM679" s="2007"/>
      <c r="MX679" s="2007"/>
      <c r="ND679" s="2007"/>
    </row>
    <row r="680">
      <c r="A680" s="2005">
        <f>IFERROR(__xludf.DUMMYFUNCTION("""COMPUTED_VALUE"""),1059004.0)</f>
        <v>1059004</v>
      </c>
      <c r="B680" s="2005">
        <f>IFERROR(__xludf.DUMMYFUNCTION("""COMPUTED_VALUE"""),2403005.0)</f>
        <v>2403005</v>
      </c>
      <c r="C680" s="2005" t="str">
        <f>IFERROR(__xludf.DUMMYFUNCTION("""COMPUTED_VALUE"""),"Cartouche")</f>
        <v>Cartouche</v>
      </c>
      <c r="D680" s="2005" t="str">
        <f>IFERROR(__xludf.DUMMYFUNCTION("""COMPUTED_VALUE"""),"T3331 Noire Premium Série Orange")</f>
        <v>T3331 Noire Premium Série Orange</v>
      </c>
      <c r="E680" s="2005" t="str">
        <f>IFERROR(__xludf.DUMMYFUNCTION("""COMPUTED_VALUE"""),"EPSON")</f>
        <v>EPSON</v>
      </c>
      <c r="F680" s="2005" t="str">
        <f>IFERROR(__xludf.DUMMYFUNCTION("""COMPUTED_VALUE"""),"D")</f>
        <v>D</v>
      </c>
      <c r="G680" s="2005" t="str">
        <f>IFERROR(__xludf.DUMMYFUNCTION("""COMPUTED_VALUE"""),"AC")</f>
        <v>AC</v>
      </c>
      <c r="H680" s="2005">
        <f>IFERROR(__xludf.DUMMYFUNCTION("""COMPUTED_VALUE"""),20.99)</f>
        <v>20.99</v>
      </c>
      <c r="I680" s="2005">
        <f>IFERROR(__xludf.DUMMYFUNCTION("""COMPUTED_VALUE"""),20.99)</f>
        <v>20.99</v>
      </c>
      <c r="BD680" s="2006"/>
      <c r="LL680" s="2008"/>
      <c r="LM680" s="2007"/>
      <c r="MX680" s="2007"/>
      <c r="ND680" s="2007"/>
    </row>
    <row r="681">
      <c r="A681" s="2005">
        <f>IFERROR(__xludf.DUMMYFUNCTION("""COMPUTED_VALUE"""),1059005.0)</f>
        <v>1059005</v>
      </c>
      <c r="B681" s="2005">
        <f>IFERROR(__xludf.DUMMYFUNCTION("""COMPUTED_VALUE"""),2403005.0)</f>
        <v>2403005</v>
      </c>
      <c r="C681" s="2005" t="str">
        <f>IFERROR(__xludf.DUMMYFUNCTION("""COMPUTED_VALUE"""),"Cartouche")</f>
        <v>Cartouche</v>
      </c>
      <c r="D681" s="2005" t="str">
        <f>IFERROR(__xludf.DUMMYFUNCTION("""COMPUTED_VALUE"""),"T3341 Noire Photo Premium Série Orange")</f>
        <v>T3341 Noire Photo Premium Série Orange</v>
      </c>
      <c r="E681" s="2005" t="str">
        <f>IFERROR(__xludf.DUMMYFUNCTION("""COMPUTED_VALUE"""),"EPSON")</f>
        <v>EPSON</v>
      </c>
      <c r="F681" s="2005" t="str">
        <f>IFERROR(__xludf.DUMMYFUNCTION("""COMPUTED_VALUE"""),"H")</f>
        <v>H</v>
      </c>
      <c r="G681" s="2005" t="str">
        <f>IFERROR(__xludf.DUMMYFUNCTION("""COMPUTED_VALUE"""),"AC")</f>
        <v>AC</v>
      </c>
      <c r="H681" s="2005">
        <f>IFERROR(__xludf.DUMMYFUNCTION("""COMPUTED_VALUE"""),15.99)</f>
        <v>15.99</v>
      </c>
      <c r="I681" s="2005">
        <f>IFERROR(__xludf.DUMMYFUNCTION("""COMPUTED_VALUE"""),15.99)</f>
        <v>15.99</v>
      </c>
      <c r="BD681" s="2006"/>
      <c r="LL681" s="2007"/>
      <c r="LM681" s="2007"/>
      <c r="MX681" s="2007"/>
      <c r="ND681" s="2007"/>
    </row>
    <row r="682">
      <c r="A682" s="2005">
        <f>IFERROR(__xludf.DUMMYFUNCTION("""COMPUTED_VALUE"""),1059006.0)</f>
        <v>1059006</v>
      </c>
      <c r="B682" s="2005">
        <f>IFERROR(__xludf.DUMMYFUNCTION("""COMPUTED_VALUE"""),2403005.0)</f>
        <v>2403005</v>
      </c>
      <c r="C682" s="2005" t="str">
        <f>IFERROR(__xludf.DUMMYFUNCTION("""COMPUTED_VALUE"""),"Cartouche")</f>
        <v>Cartouche</v>
      </c>
      <c r="D682" s="2005" t="str">
        <f>IFERROR(__xludf.DUMMYFUNCTION("""COMPUTED_VALUE"""),"T3342 Cyan Premium Série Orange")</f>
        <v>T3342 Cyan Premium Série Orange</v>
      </c>
      <c r="E682" s="2005" t="str">
        <f>IFERROR(__xludf.DUMMYFUNCTION("""COMPUTED_VALUE"""),"EPSON")</f>
        <v>EPSON</v>
      </c>
      <c r="F682" s="2005" t="str">
        <f>IFERROR(__xludf.DUMMYFUNCTION("""COMPUTED_VALUE"""),"D")</f>
        <v>D</v>
      </c>
      <c r="G682" s="2005" t="str">
        <f>IFERROR(__xludf.DUMMYFUNCTION("""COMPUTED_VALUE"""),"AC")</f>
        <v>AC</v>
      </c>
      <c r="H682" s="2005">
        <f>IFERROR(__xludf.DUMMYFUNCTION("""COMPUTED_VALUE"""),15.99)</f>
        <v>15.99</v>
      </c>
      <c r="I682" s="2005">
        <f>IFERROR(__xludf.DUMMYFUNCTION("""COMPUTED_VALUE"""),15.99)</f>
        <v>15.99</v>
      </c>
      <c r="BD682" s="2006"/>
      <c r="LL682" s="2007"/>
      <c r="LM682" s="2007"/>
      <c r="MX682" s="2007"/>
      <c r="ND682" s="2007"/>
    </row>
    <row r="683">
      <c r="A683" s="2005">
        <f>IFERROR(__xludf.DUMMYFUNCTION("""COMPUTED_VALUE"""),1059007.0)</f>
        <v>1059007</v>
      </c>
      <c r="B683" s="2005">
        <f>IFERROR(__xludf.DUMMYFUNCTION("""COMPUTED_VALUE"""),2403005.0)</f>
        <v>2403005</v>
      </c>
      <c r="C683" s="2005" t="str">
        <f>IFERROR(__xludf.DUMMYFUNCTION("""COMPUTED_VALUE"""),"Cartouche")</f>
        <v>Cartouche</v>
      </c>
      <c r="D683" s="2005" t="str">
        <f>IFERROR(__xludf.DUMMYFUNCTION("""COMPUTED_VALUE"""),"T3343 Magenta Premium Série Orange")</f>
        <v>T3343 Magenta Premium Série Orange</v>
      </c>
      <c r="E683" s="2005" t="str">
        <f>IFERROR(__xludf.DUMMYFUNCTION("""COMPUTED_VALUE"""),"EPSON")</f>
        <v>EPSON</v>
      </c>
      <c r="F683" s="2005" t="str">
        <f>IFERROR(__xludf.DUMMYFUNCTION("""COMPUTED_VALUE"""),"H")</f>
        <v>H</v>
      </c>
      <c r="G683" s="2005" t="str">
        <f>IFERROR(__xludf.DUMMYFUNCTION("""COMPUTED_VALUE"""),"AC")</f>
        <v>AC</v>
      </c>
      <c r="H683" s="2005">
        <f>IFERROR(__xludf.DUMMYFUNCTION("""COMPUTED_VALUE"""),15.99)</f>
        <v>15.99</v>
      </c>
      <c r="I683" s="2005">
        <f>IFERROR(__xludf.DUMMYFUNCTION("""COMPUTED_VALUE"""),15.99)</f>
        <v>15.99</v>
      </c>
      <c r="BD683" s="2006"/>
      <c r="LL683" s="2007"/>
      <c r="LM683" s="2007"/>
      <c r="MX683" s="2007"/>
      <c r="ND683" s="2007"/>
    </row>
    <row r="684">
      <c r="A684" s="2005">
        <f>IFERROR(__xludf.DUMMYFUNCTION("""COMPUTED_VALUE"""),1059008.0)</f>
        <v>1059008</v>
      </c>
      <c r="B684" s="2005">
        <f>IFERROR(__xludf.DUMMYFUNCTION("""COMPUTED_VALUE"""),2403005.0)</f>
        <v>2403005</v>
      </c>
      <c r="C684" s="2005" t="str">
        <f>IFERROR(__xludf.DUMMYFUNCTION("""COMPUTED_VALUE"""),"Cartouche")</f>
        <v>Cartouche</v>
      </c>
      <c r="D684" s="2005" t="str">
        <f>IFERROR(__xludf.DUMMYFUNCTION("""COMPUTED_VALUE"""),"T3344 Jaune Premium Série Orange")</f>
        <v>T3344 Jaune Premium Série Orange</v>
      </c>
      <c r="E684" s="2005" t="str">
        <f>IFERROR(__xludf.DUMMYFUNCTION("""COMPUTED_VALUE"""),"EPSON")</f>
        <v>EPSON</v>
      </c>
      <c r="F684" s="2005" t="str">
        <f>IFERROR(__xludf.DUMMYFUNCTION("""COMPUTED_VALUE"""),"H")</f>
        <v>H</v>
      </c>
      <c r="G684" s="2005" t="str">
        <f>IFERROR(__xludf.DUMMYFUNCTION("""COMPUTED_VALUE"""),"AC")</f>
        <v>AC</v>
      </c>
      <c r="H684">
        <f>IFERROR(__xludf.DUMMYFUNCTION("""COMPUTED_VALUE"""),15.99)</f>
        <v>15.99</v>
      </c>
      <c r="I684">
        <f>IFERROR(__xludf.DUMMYFUNCTION("""COMPUTED_VALUE"""),15.99)</f>
        <v>15.99</v>
      </c>
      <c r="BD684" s="2006"/>
      <c r="LL684" s="2007"/>
      <c r="LM684" s="2007"/>
      <c r="MX684" s="2007"/>
      <c r="ND684" s="2007"/>
    </row>
    <row r="685">
      <c r="A685" s="2005">
        <f>IFERROR(__xludf.DUMMYFUNCTION("""COMPUTED_VALUE"""),1059009.0)</f>
        <v>1059009</v>
      </c>
      <c r="B685" s="2005">
        <f>IFERROR(__xludf.DUMMYFUNCTION("""COMPUTED_VALUE"""),2403005.0)</f>
        <v>2403005</v>
      </c>
      <c r="C685" s="2005" t="str">
        <f>IFERROR(__xludf.DUMMYFUNCTION("""COMPUTED_VALUE"""),"Cartouche")</f>
        <v>Cartouche</v>
      </c>
      <c r="D685" s="2005" t="str">
        <f>IFERROR(__xludf.DUMMYFUNCTION("""COMPUTED_VALUE"""),"T3337 (N/NP/C/M/J) Série Orange")</f>
        <v>T3337 (N/NP/C/M/J) Série Orange</v>
      </c>
      <c r="E685" s="2005" t="str">
        <f>IFERROR(__xludf.DUMMYFUNCTION("""COMPUTED_VALUE"""),"EPSON")</f>
        <v>EPSON</v>
      </c>
      <c r="F685" s="2005" t="str">
        <f>IFERROR(__xludf.DUMMYFUNCTION("""COMPUTED_VALUE"""),"D")</f>
        <v>D</v>
      </c>
      <c r="G685" s="2005" t="str">
        <f>IFERROR(__xludf.DUMMYFUNCTION("""COMPUTED_VALUE"""),"AC")</f>
        <v>AC</v>
      </c>
      <c r="H685" s="2005">
        <f>IFERROR(__xludf.DUMMYFUNCTION("""COMPUTED_VALUE"""),81.0)</f>
        <v>81</v>
      </c>
      <c r="I685" s="2005">
        <f>IFERROR(__xludf.DUMMYFUNCTION("""COMPUTED_VALUE"""),81.0)</f>
        <v>81</v>
      </c>
      <c r="BD685" s="2006"/>
      <c r="LL685" s="2007"/>
      <c r="LM685" s="2007"/>
      <c r="MX685" s="2007"/>
      <c r="ND685" s="2007"/>
    </row>
    <row r="686">
      <c r="A686" s="2005">
        <f>IFERROR(__xludf.DUMMYFUNCTION("""COMPUTED_VALUE"""),1059010.0)</f>
        <v>1059010</v>
      </c>
      <c r="B686" s="2005">
        <f>IFERROR(__xludf.DUMMYFUNCTION("""COMPUTED_VALUE"""),2403005.0)</f>
        <v>2403005</v>
      </c>
      <c r="C686" s="2005" t="str">
        <f>IFERROR(__xludf.DUMMYFUNCTION("""COMPUTED_VALUE"""),"Cartouche")</f>
        <v>Cartouche</v>
      </c>
      <c r="D686" s="2005" t="str">
        <f>IFERROR(__xludf.DUMMYFUNCTION("""COMPUTED_VALUE"""),"T3351 Noire XL Premium Série Orange")</f>
        <v>T3351 Noire XL Premium Série Orange</v>
      </c>
      <c r="E686" s="2005" t="str">
        <f>IFERROR(__xludf.DUMMYFUNCTION("""COMPUTED_VALUE"""),"EPSON")</f>
        <v>EPSON</v>
      </c>
      <c r="F686" s="2005" t="str">
        <f>IFERROR(__xludf.DUMMYFUNCTION("""COMPUTED_VALUE"""),"H")</f>
        <v>H</v>
      </c>
      <c r="G686" s="2005" t="str">
        <f>IFERROR(__xludf.DUMMYFUNCTION("""COMPUTED_VALUE"""),"AC")</f>
        <v>AC</v>
      </c>
      <c r="H686" s="2005">
        <f>IFERROR(__xludf.DUMMYFUNCTION("""COMPUTED_VALUE"""),30.99)</f>
        <v>30.99</v>
      </c>
      <c r="I686" s="2005">
        <f>IFERROR(__xludf.DUMMYFUNCTION("""COMPUTED_VALUE"""),30.99)</f>
        <v>30.99</v>
      </c>
      <c r="BD686" s="2006"/>
      <c r="LL686" s="2007"/>
      <c r="LM686" s="2007"/>
      <c r="MX686" s="2007"/>
      <c r="ND686" s="2007"/>
    </row>
    <row r="687">
      <c r="A687" s="2005">
        <f>IFERROR(__xludf.DUMMYFUNCTION("""COMPUTED_VALUE"""),1059011.0)</f>
        <v>1059011</v>
      </c>
      <c r="B687" s="2005">
        <f>IFERROR(__xludf.DUMMYFUNCTION("""COMPUTED_VALUE"""),2403005.0)</f>
        <v>2403005</v>
      </c>
      <c r="C687" s="2005" t="str">
        <f>IFERROR(__xludf.DUMMYFUNCTION("""COMPUTED_VALUE"""),"Cartouche")</f>
        <v>Cartouche</v>
      </c>
      <c r="D687" s="2005" t="str">
        <f>IFERROR(__xludf.DUMMYFUNCTION("""COMPUTED_VALUE"""),"T3361 Noire PhotoXL Premium Série Orange")</f>
        <v>T3361 Noire PhotoXL Premium Série Orange</v>
      </c>
      <c r="E687" s="2005" t="str">
        <f>IFERROR(__xludf.DUMMYFUNCTION("""COMPUTED_VALUE"""),"EPSON")</f>
        <v>EPSON</v>
      </c>
      <c r="F687" s="2005" t="str">
        <f>IFERROR(__xludf.DUMMYFUNCTION("""COMPUTED_VALUE"""),"H")</f>
        <v>H</v>
      </c>
      <c r="G687" s="2005" t="str">
        <f>IFERROR(__xludf.DUMMYFUNCTION("""COMPUTED_VALUE"""),"AC")</f>
        <v>AC</v>
      </c>
      <c r="H687" s="2005">
        <f>IFERROR(__xludf.DUMMYFUNCTION("""COMPUTED_VALUE"""),26.99)</f>
        <v>26.99</v>
      </c>
      <c r="I687" s="2005">
        <f>IFERROR(__xludf.DUMMYFUNCTION("""COMPUTED_VALUE"""),26.99)</f>
        <v>26.99</v>
      </c>
      <c r="BD687" s="2006"/>
      <c r="LL687" s="2007"/>
      <c r="LM687" s="2007"/>
      <c r="MX687" s="2007"/>
      <c r="ND687" s="2007"/>
    </row>
    <row r="688">
      <c r="A688" s="2005">
        <f>IFERROR(__xludf.DUMMYFUNCTION("""COMPUTED_VALUE"""),1059012.0)</f>
        <v>1059012</v>
      </c>
      <c r="B688" s="2005">
        <f>IFERROR(__xludf.DUMMYFUNCTION("""COMPUTED_VALUE"""),2403005.0)</f>
        <v>2403005</v>
      </c>
      <c r="C688" s="2005" t="str">
        <f>IFERROR(__xludf.DUMMYFUNCTION("""COMPUTED_VALUE"""),"Cartouche")</f>
        <v>Cartouche</v>
      </c>
      <c r="D688" s="2005" t="str">
        <f>IFERROR(__xludf.DUMMYFUNCTION("""COMPUTED_VALUE"""),"T3362 Cyan XL Premium Série Orange")</f>
        <v>T3362 Cyan XL Premium Série Orange</v>
      </c>
      <c r="E688" s="2005" t="str">
        <f>IFERROR(__xludf.DUMMYFUNCTION("""COMPUTED_VALUE"""),"EPSON")</f>
        <v>EPSON</v>
      </c>
      <c r="F688" s="2005" t="str">
        <f>IFERROR(__xludf.DUMMYFUNCTION("""COMPUTED_VALUE"""),"H")</f>
        <v>H</v>
      </c>
      <c r="G688" s="2005" t="str">
        <f>IFERROR(__xludf.DUMMYFUNCTION("""COMPUTED_VALUE"""),"NN")</f>
        <v>NN</v>
      </c>
      <c r="H688" s="2005">
        <f>IFERROR(__xludf.DUMMYFUNCTION("""COMPUTED_VALUE"""),23.99)</f>
        <v>23.99</v>
      </c>
      <c r="I688" s="2005">
        <f>IFERROR(__xludf.DUMMYFUNCTION("""COMPUTED_VALUE"""),23.99)</f>
        <v>23.99</v>
      </c>
      <c r="BD688" s="2006"/>
      <c r="LL688" s="2007"/>
      <c r="LM688" s="2007"/>
      <c r="MX688" s="2007"/>
      <c r="ND688" s="2007"/>
    </row>
    <row r="689">
      <c r="A689" s="2005">
        <f>IFERROR(__xludf.DUMMYFUNCTION("""COMPUTED_VALUE"""),1059013.0)</f>
        <v>1059013</v>
      </c>
      <c r="B689" s="2005">
        <f>IFERROR(__xludf.DUMMYFUNCTION("""COMPUTED_VALUE"""),2403005.0)</f>
        <v>2403005</v>
      </c>
      <c r="C689" s="2005" t="str">
        <f>IFERROR(__xludf.DUMMYFUNCTION("""COMPUTED_VALUE"""),"Cartouche")</f>
        <v>Cartouche</v>
      </c>
      <c r="D689" s="2005" t="str">
        <f>IFERROR(__xludf.DUMMYFUNCTION("""COMPUTED_VALUE"""),"T3363 Magenta XL Premium Série Orange")</f>
        <v>T3363 Magenta XL Premium Série Orange</v>
      </c>
      <c r="E689" s="2005" t="str">
        <f>IFERROR(__xludf.DUMMYFUNCTION("""COMPUTED_VALUE"""),"EPSON")</f>
        <v>EPSON</v>
      </c>
      <c r="F689" s="2005" t="str">
        <f>IFERROR(__xludf.DUMMYFUNCTION("""COMPUTED_VALUE"""),"H")</f>
        <v>H</v>
      </c>
      <c r="G689" s="2005" t="str">
        <f>IFERROR(__xludf.DUMMYFUNCTION("""COMPUTED_VALUE"""),"FR")</f>
        <v>FR</v>
      </c>
      <c r="H689" s="2005">
        <f>IFERROR(__xludf.DUMMYFUNCTION("""COMPUTED_VALUE"""),23.99)</f>
        <v>23.99</v>
      </c>
      <c r="I689" s="2005">
        <f>IFERROR(__xludf.DUMMYFUNCTION("""COMPUTED_VALUE"""),23.99)</f>
        <v>23.99</v>
      </c>
      <c r="BD689" s="2006"/>
      <c r="LL689" s="2007"/>
      <c r="LM689" s="2007"/>
      <c r="MX689" s="2007"/>
      <c r="ND689" s="2008"/>
    </row>
    <row r="690">
      <c r="A690" s="2005">
        <f>IFERROR(__xludf.DUMMYFUNCTION("""COMPUTED_VALUE"""),1059014.0)</f>
        <v>1059014</v>
      </c>
      <c r="B690" s="2005">
        <f>IFERROR(__xludf.DUMMYFUNCTION("""COMPUTED_VALUE"""),2403005.0)</f>
        <v>2403005</v>
      </c>
      <c r="C690" s="2005" t="str">
        <f>IFERROR(__xludf.DUMMYFUNCTION("""COMPUTED_VALUE"""),"Cartouche")</f>
        <v>Cartouche</v>
      </c>
      <c r="D690" s="2005" t="str">
        <f>IFERROR(__xludf.DUMMYFUNCTION("""COMPUTED_VALUE"""),"T3364 Jaune XL Premium Série Orange")</f>
        <v>T3364 Jaune XL Premium Série Orange</v>
      </c>
      <c r="E690" s="2005" t="str">
        <f>IFERROR(__xludf.DUMMYFUNCTION("""COMPUTED_VALUE"""),"EPSON")</f>
        <v>EPSON</v>
      </c>
      <c r="F690" s="2005" t="str">
        <f>IFERROR(__xludf.DUMMYFUNCTION("""COMPUTED_VALUE"""),"H")</f>
        <v>H</v>
      </c>
      <c r="G690" s="2005" t="str">
        <f>IFERROR(__xludf.DUMMYFUNCTION("""COMPUTED_VALUE"""),"NN")</f>
        <v>NN</v>
      </c>
      <c r="H690">
        <f>IFERROR(__xludf.DUMMYFUNCTION("""COMPUTED_VALUE"""),23.99)</f>
        <v>23.99</v>
      </c>
      <c r="I690">
        <f>IFERROR(__xludf.DUMMYFUNCTION("""COMPUTED_VALUE"""),23.99)</f>
        <v>23.99</v>
      </c>
      <c r="BD690" s="2006"/>
      <c r="LL690" s="2007"/>
      <c r="LM690" s="2007"/>
      <c r="MX690" s="2007"/>
      <c r="NB690" s="2007"/>
      <c r="ND690" s="2008"/>
    </row>
    <row r="691">
      <c r="A691" s="2005">
        <f>IFERROR(__xludf.DUMMYFUNCTION("""COMPUTED_VALUE"""),1059015.0)</f>
        <v>1059015</v>
      </c>
      <c r="B691" s="2005">
        <f>IFERROR(__xludf.DUMMYFUNCTION("""COMPUTED_VALUE"""),2403005.0)</f>
        <v>2403005</v>
      </c>
      <c r="C691" s="2005" t="str">
        <f>IFERROR(__xludf.DUMMYFUNCTION("""COMPUTED_VALUE"""),"Cartouche")</f>
        <v>Cartouche</v>
      </c>
      <c r="D691" s="2005" t="str">
        <f>IFERROR(__xludf.DUMMYFUNCTION("""COMPUTED_VALUE"""),"T3357 (N/NP/C/H/J) XL Série Orange")</f>
        <v>T3357 (N/NP/C/H/J) XL Série Orange</v>
      </c>
      <c r="E691" s="2005" t="str">
        <f>IFERROR(__xludf.DUMMYFUNCTION("""COMPUTED_VALUE"""),"EPSON")</f>
        <v>EPSON</v>
      </c>
      <c r="F691" s="2005" t="str">
        <f>IFERROR(__xludf.DUMMYFUNCTION("""COMPUTED_VALUE"""),"H")</f>
        <v>H</v>
      </c>
      <c r="G691" s="2005" t="str">
        <f>IFERROR(__xludf.DUMMYFUNCTION("""COMPUTED_VALUE"""),"NN")</f>
        <v>NN</v>
      </c>
      <c r="H691" s="2005">
        <f>IFERROR(__xludf.DUMMYFUNCTION("""COMPUTED_VALUE"""),126.0)</f>
        <v>126</v>
      </c>
      <c r="I691" s="2005">
        <f>IFERROR(__xludf.DUMMYFUNCTION("""COMPUTED_VALUE"""),126.0)</f>
        <v>126</v>
      </c>
      <c r="BD691" s="2006"/>
      <c r="LL691" s="2007"/>
      <c r="LM691" s="2007"/>
      <c r="MX691" s="2007"/>
      <c r="ND691" s="2007"/>
    </row>
    <row r="692">
      <c r="A692" s="2005">
        <f>IFERROR(__xludf.DUMMYFUNCTION("""COMPUTED_VALUE"""),1059189.0)</f>
        <v>1059189</v>
      </c>
      <c r="B692" s="2005">
        <f>IFERROR(__xludf.DUMMYFUNCTION("""COMPUTED_VALUE"""),2502010.0)</f>
        <v>2502010</v>
      </c>
      <c r="C692" s="2005" t="str">
        <f>IFERROR(__xludf.DUMMYFUNCTION("""COMPUTED_VALUE"""),"Souris")</f>
        <v>Souris</v>
      </c>
      <c r="D692" s="2005" t="str">
        <f>IFERROR(__xludf.DUMMYFUNCTION("""COMPUTED_VALUE"""),"M535 Grey Bluetooth")</f>
        <v>M535 Grey Bluetooth</v>
      </c>
      <c r="E692" s="2005" t="str">
        <f>IFERROR(__xludf.DUMMYFUNCTION("""COMPUTED_VALUE"""),"LOGITECH")</f>
        <v>LOGITECH</v>
      </c>
      <c r="F692" s="2005" t="str">
        <f>IFERROR(__xludf.DUMMYFUNCTION("""COMPUTED_VALUE"""),"H")</f>
        <v>H</v>
      </c>
      <c r="G692" s="2005" t="str">
        <f>IFERROR(__xludf.DUMMYFUNCTION("""COMPUTED_VALUE"""),"NN")</f>
        <v>NN</v>
      </c>
      <c r="H692">
        <f>IFERROR(__xludf.DUMMYFUNCTION("""COMPUTED_VALUE"""),49.99)</f>
        <v>49.99</v>
      </c>
      <c r="I692">
        <f>IFERROR(__xludf.DUMMYFUNCTION("""COMPUTED_VALUE"""),49.99)</f>
        <v>49.99</v>
      </c>
      <c r="BD692" s="2006"/>
      <c r="LL692" s="2007"/>
      <c r="LM692" s="2007"/>
      <c r="MX692" s="2007"/>
      <c r="ND692" s="2007"/>
    </row>
    <row r="693">
      <c r="A693">
        <f>IFERROR(__xludf.DUMMYFUNCTION("""COMPUTED_VALUE"""),1059420.0)</f>
        <v>1059420</v>
      </c>
      <c r="B693">
        <f>IFERROR(__xludf.DUMMYFUNCTION("""COMPUTED_VALUE"""),2502015.0)</f>
        <v>2502015</v>
      </c>
      <c r="C693" t="str">
        <f>IFERROR(__xludf.DUMMYFUNCTION("""COMPUTED_VALUE"""),"Clavier")</f>
        <v>Clavier</v>
      </c>
      <c r="D693" t="str">
        <f>IFERROR(__xludf.DUMMYFUNCTION("""COMPUTED_VALUE"""),"K380 Bluetooth Graphite")</f>
        <v>K380 Bluetooth Graphite</v>
      </c>
      <c r="E693" t="str">
        <f>IFERROR(__xludf.DUMMYFUNCTION("""COMPUTED_VALUE"""),"LOGITECH")</f>
        <v>LOGITECH</v>
      </c>
      <c r="F693" t="str">
        <f>IFERROR(__xludf.DUMMYFUNCTION("""COMPUTED_VALUE"""),"D")</f>
        <v>D</v>
      </c>
      <c r="G693" t="str">
        <f>IFERROR(__xludf.DUMMYFUNCTION("""COMPUTED_VALUE"""),"FF")</f>
        <v>FF</v>
      </c>
      <c r="H693">
        <f>IFERROR(__xludf.DUMMYFUNCTION("""COMPUTED_VALUE"""),54.99)</f>
        <v>54.99</v>
      </c>
      <c r="I693">
        <f>IFERROR(__xludf.DUMMYFUNCTION("""COMPUTED_VALUE"""),54.99)</f>
        <v>54.99</v>
      </c>
      <c r="BD693" s="2006"/>
      <c r="LL693" s="2007"/>
      <c r="LM693" s="2007"/>
      <c r="MX693" s="2007"/>
      <c r="ND693" s="2007"/>
    </row>
    <row r="694">
      <c r="A694" s="2005">
        <f>IFERROR(__xludf.DUMMYFUNCTION("""COMPUTED_VALUE"""),1059851.0)</f>
        <v>1059851</v>
      </c>
      <c r="B694" s="2005">
        <f>IFERROR(__xludf.DUMMYFUNCTION("""COMPUTED_VALUE"""),1103010.0)</f>
        <v>1103010</v>
      </c>
      <c r="C694" s="2005" t="str">
        <f>IFERROR(__xludf.DUMMYFUNCTION("""COMPUTED_VALUE"""),"Pack")</f>
        <v>Pack</v>
      </c>
      <c r="D694" s="2005" t="str">
        <f>IFERROR(__xludf.DUMMYFUNCTION("""COMPUTED_VALUE"""),"F330 S Gris")</f>
        <v>F330 S Gris</v>
      </c>
      <c r="E694" s="2005" t="str">
        <f>IFERROR(__xludf.DUMMYFUNCTION("""COMPUTED_VALUE"""),"ALCATEL")</f>
        <v>ALCATEL</v>
      </c>
      <c r="F694" s="2005" t="str">
        <f>IFERROR(__xludf.DUMMYFUNCTION("""COMPUTED_VALUE"""),"C")</f>
        <v>C</v>
      </c>
      <c r="G694" s="2005" t="str">
        <f>IFERROR(__xludf.DUMMYFUNCTION("""COMPUTED_VALUE"""),"NN")</f>
        <v>NN</v>
      </c>
      <c r="H694">
        <f>IFERROR(__xludf.DUMMYFUNCTION("""COMPUTED_VALUE"""),44.99)</f>
        <v>44.99</v>
      </c>
      <c r="I694">
        <f>IFERROR(__xludf.DUMMYFUNCTION("""COMPUTED_VALUE"""),44.99)</f>
        <v>44.99</v>
      </c>
      <c r="BD694" s="2006"/>
      <c r="LL694" s="2007"/>
      <c r="LM694" s="2007"/>
      <c r="MX694" s="2007"/>
      <c r="ND694" s="2007"/>
    </row>
    <row r="695">
      <c r="A695" s="2005">
        <f>IFERROR(__xludf.DUMMYFUNCTION("""COMPUTED_VALUE"""),1060346.0)</f>
        <v>1060346</v>
      </c>
      <c r="B695" s="2005">
        <f>IFERROR(__xludf.DUMMYFUNCTION("""COMPUTED_VALUE"""),2403005.0)</f>
        <v>2403005</v>
      </c>
      <c r="C695" s="2005" t="str">
        <f>IFERROR(__xludf.DUMMYFUNCTION("""COMPUTED_VALUE"""),"Cartouche")</f>
        <v>Cartouche</v>
      </c>
      <c r="D695" s="2005" t="str">
        <f>IFERROR(__xludf.DUMMYFUNCTION("""COMPUTED_VALUE"""),"PGI 570 XL Noire")</f>
        <v>PGI 570 XL Noire</v>
      </c>
      <c r="E695" s="2005" t="str">
        <f>IFERROR(__xludf.DUMMYFUNCTION("""COMPUTED_VALUE"""),"CANON")</f>
        <v>CANON</v>
      </c>
      <c r="F695" s="2005" t="str">
        <f>IFERROR(__xludf.DUMMYFUNCTION("""COMPUTED_VALUE"""),"B")</f>
        <v>B</v>
      </c>
      <c r="G695" s="2005" t="str">
        <f>IFERROR(__xludf.DUMMYFUNCTION("""COMPUTED_VALUE"""),"AC")</f>
        <v>AC</v>
      </c>
      <c r="H695" s="2005">
        <f>IFERROR(__xludf.DUMMYFUNCTION("""COMPUTED_VALUE"""),21.5)</f>
        <v>21.5</v>
      </c>
      <c r="I695" s="2005">
        <f>IFERROR(__xludf.DUMMYFUNCTION("""COMPUTED_VALUE"""),21.5)</f>
        <v>21.5</v>
      </c>
      <c r="LL695" s="2007"/>
      <c r="LM695" s="2007"/>
      <c r="MX695" s="2007"/>
      <c r="ND695" s="2007"/>
    </row>
    <row r="696">
      <c r="A696" s="2005">
        <f>IFERROR(__xludf.DUMMYFUNCTION("""COMPUTED_VALUE"""),1060348.0)</f>
        <v>1060348</v>
      </c>
      <c r="B696" s="2005">
        <f>IFERROR(__xludf.DUMMYFUNCTION("""COMPUTED_VALUE"""),2403005.0)</f>
        <v>2403005</v>
      </c>
      <c r="C696" s="2005" t="str">
        <f>IFERROR(__xludf.DUMMYFUNCTION("""COMPUTED_VALUE"""),"Cartouche")</f>
        <v>Cartouche</v>
      </c>
      <c r="D696" s="2005" t="str">
        <f>IFERROR(__xludf.DUMMYFUNCTION("""COMPUTED_VALUE"""),"PGI-570 noire pigmentée")</f>
        <v>PGI-570 noire pigmentée</v>
      </c>
      <c r="E696" s="2005" t="str">
        <f>IFERROR(__xludf.DUMMYFUNCTION("""COMPUTED_VALUE"""),"CANON")</f>
        <v>CANON</v>
      </c>
      <c r="F696" s="2005" t="str">
        <f>IFERROR(__xludf.DUMMYFUNCTION("""COMPUTED_VALUE"""),"C")</f>
        <v>C</v>
      </c>
      <c r="G696" s="2005" t="str">
        <f>IFERROR(__xludf.DUMMYFUNCTION("""COMPUTED_VALUE"""),"AC")</f>
        <v>AC</v>
      </c>
      <c r="H696" s="2005">
        <f>IFERROR(__xludf.DUMMYFUNCTION("""COMPUTED_VALUE"""),19.5)</f>
        <v>19.5</v>
      </c>
      <c r="I696" s="2005">
        <f>IFERROR(__xludf.DUMMYFUNCTION("""COMPUTED_VALUE"""),19.5)</f>
        <v>19.5</v>
      </c>
      <c r="BD696" s="2006"/>
      <c r="LL696" s="2007"/>
      <c r="LM696" s="2007"/>
      <c r="MX696" s="2008"/>
      <c r="ND696" s="2007"/>
    </row>
    <row r="697">
      <c r="A697" s="2005">
        <f>IFERROR(__xludf.DUMMYFUNCTION("""COMPUTED_VALUE"""),1060349.0)</f>
        <v>1060349</v>
      </c>
      <c r="B697" s="2005">
        <f>IFERROR(__xludf.DUMMYFUNCTION("""COMPUTED_VALUE"""),2403005.0)</f>
        <v>2403005</v>
      </c>
      <c r="C697" s="2005" t="str">
        <f>IFERROR(__xludf.DUMMYFUNCTION("""COMPUTED_VALUE"""),"Cartouche")</f>
        <v>Cartouche</v>
      </c>
      <c r="D697" s="2005" t="str">
        <f>IFERROR(__xludf.DUMMYFUNCTION("""COMPUTED_VALUE"""),"CLI571 XL NOIR")</f>
        <v>CLI571 XL NOIR</v>
      </c>
      <c r="E697" s="2005" t="str">
        <f>IFERROR(__xludf.DUMMYFUNCTION("""COMPUTED_VALUE"""),"CANON")</f>
        <v>CANON</v>
      </c>
      <c r="F697" s="2005" t="str">
        <f>IFERROR(__xludf.DUMMYFUNCTION("""COMPUTED_VALUE"""),"D")</f>
        <v>D</v>
      </c>
      <c r="G697" s="2005" t="str">
        <f>IFERROR(__xludf.DUMMYFUNCTION("""COMPUTED_VALUE"""),"AC")</f>
        <v>AC</v>
      </c>
      <c r="H697" s="2005">
        <f>IFERROR(__xludf.DUMMYFUNCTION("""COMPUTED_VALUE"""),20.5)</f>
        <v>20.5</v>
      </c>
      <c r="I697" s="2005">
        <f>IFERROR(__xludf.DUMMYFUNCTION("""COMPUTED_VALUE"""),20.5)</f>
        <v>20.5</v>
      </c>
      <c r="BD697" s="2006"/>
      <c r="LL697" s="2007"/>
      <c r="LM697" s="2007"/>
      <c r="MX697" s="2007"/>
      <c r="ND697" s="2007"/>
    </row>
    <row r="698">
      <c r="A698" s="2005">
        <f>IFERROR(__xludf.DUMMYFUNCTION("""COMPUTED_VALUE"""),1060350.0)</f>
        <v>1060350</v>
      </c>
      <c r="B698" s="2005">
        <f>IFERROR(__xludf.DUMMYFUNCTION("""COMPUTED_VALUE"""),2403005.0)</f>
        <v>2403005</v>
      </c>
      <c r="C698" s="2005" t="str">
        <f>IFERROR(__xludf.DUMMYFUNCTION("""COMPUTED_VALUE"""),"Cartouche")</f>
        <v>Cartouche</v>
      </c>
      <c r="D698" s="2005" t="str">
        <f>IFERROR(__xludf.DUMMYFUNCTION("""COMPUTED_VALUE"""),"CLI571 XL CYAN")</f>
        <v>CLI571 XL CYAN</v>
      </c>
      <c r="E698" s="2005" t="str">
        <f>IFERROR(__xludf.DUMMYFUNCTION("""COMPUTED_VALUE"""),"CANON")</f>
        <v>CANON</v>
      </c>
      <c r="F698" s="2005" t="str">
        <f>IFERROR(__xludf.DUMMYFUNCTION("""COMPUTED_VALUE"""),"D")</f>
        <v>D</v>
      </c>
      <c r="G698" s="2005" t="str">
        <f>IFERROR(__xludf.DUMMYFUNCTION("""COMPUTED_VALUE"""),"AC")</f>
        <v>AC</v>
      </c>
      <c r="H698" s="2005">
        <f>IFERROR(__xludf.DUMMYFUNCTION("""COMPUTED_VALUE"""),20.5)</f>
        <v>20.5</v>
      </c>
      <c r="I698" s="2005">
        <f>IFERROR(__xludf.DUMMYFUNCTION("""COMPUTED_VALUE"""),20.5)</f>
        <v>20.5</v>
      </c>
      <c r="BD698" s="2006"/>
      <c r="LL698" s="2007"/>
      <c r="LM698" s="2007"/>
      <c r="MX698" s="2007"/>
      <c r="ND698" s="2007"/>
    </row>
    <row r="699">
      <c r="A699" s="2005">
        <f>IFERROR(__xludf.DUMMYFUNCTION("""COMPUTED_VALUE"""),1060362.0)</f>
        <v>1060362</v>
      </c>
      <c r="B699" s="2005">
        <f>IFERROR(__xludf.DUMMYFUNCTION("""COMPUTED_VALUE"""),2403005.0)</f>
        <v>2403005</v>
      </c>
      <c r="C699" s="2005" t="str">
        <f>IFERROR(__xludf.DUMMYFUNCTION("""COMPUTED_VALUE"""),"Cartouche")</f>
        <v>Cartouche</v>
      </c>
      <c r="D699" s="2005" t="str">
        <f>IFERROR(__xludf.DUMMYFUNCTION("""COMPUTED_VALUE"""),"CLI571 XL MAGENTA")</f>
        <v>CLI571 XL MAGENTA</v>
      </c>
      <c r="E699" s="2005" t="str">
        <f>IFERROR(__xludf.DUMMYFUNCTION("""COMPUTED_VALUE"""),"CANON")</f>
        <v>CANON</v>
      </c>
      <c r="F699" s="2005" t="str">
        <f>IFERROR(__xludf.DUMMYFUNCTION("""COMPUTED_VALUE"""),"D")</f>
        <v>D</v>
      </c>
      <c r="G699" s="2005" t="str">
        <f>IFERROR(__xludf.DUMMYFUNCTION("""COMPUTED_VALUE"""),"AC")</f>
        <v>AC</v>
      </c>
      <c r="H699">
        <f>IFERROR(__xludf.DUMMYFUNCTION("""COMPUTED_VALUE"""),20.5)</f>
        <v>20.5</v>
      </c>
      <c r="I699">
        <f>IFERROR(__xludf.DUMMYFUNCTION("""COMPUTED_VALUE"""),20.5)</f>
        <v>20.5</v>
      </c>
      <c r="BD699" s="2006"/>
      <c r="LL699" s="2007"/>
      <c r="LM699" s="2007"/>
      <c r="MX699" s="2007"/>
      <c r="ND699" s="2007"/>
    </row>
    <row r="700">
      <c r="A700" s="2005">
        <f>IFERROR(__xludf.DUMMYFUNCTION("""COMPUTED_VALUE"""),1060363.0)</f>
        <v>1060363</v>
      </c>
      <c r="B700" s="2005">
        <f>IFERROR(__xludf.DUMMYFUNCTION("""COMPUTED_VALUE"""),2403005.0)</f>
        <v>2403005</v>
      </c>
      <c r="C700" s="2005" t="str">
        <f>IFERROR(__xludf.DUMMYFUNCTION("""COMPUTED_VALUE"""),"Cartouche")</f>
        <v>Cartouche</v>
      </c>
      <c r="D700" s="2005" t="str">
        <f>IFERROR(__xludf.DUMMYFUNCTION("""COMPUTED_VALUE"""),"CLI571 XL JAUNE")</f>
        <v>CLI571 XL JAUNE</v>
      </c>
      <c r="E700" s="2005" t="str">
        <f>IFERROR(__xludf.DUMMYFUNCTION("""COMPUTED_VALUE"""),"CANON")</f>
        <v>CANON</v>
      </c>
      <c r="F700" s="2005" t="str">
        <f>IFERROR(__xludf.DUMMYFUNCTION("""COMPUTED_VALUE"""),"D")</f>
        <v>D</v>
      </c>
      <c r="G700" s="2005" t="str">
        <f>IFERROR(__xludf.DUMMYFUNCTION("""COMPUTED_VALUE"""),"AC")</f>
        <v>AC</v>
      </c>
      <c r="H700" s="2005">
        <f>IFERROR(__xludf.DUMMYFUNCTION("""COMPUTED_VALUE"""),20.5)</f>
        <v>20.5</v>
      </c>
      <c r="I700" s="2005">
        <f>IFERROR(__xludf.DUMMYFUNCTION("""COMPUTED_VALUE"""),20.5)</f>
        <v>20.5</v>
      </c>
      <c r="BD700" s="2006"/>
      <c r="LL700" s="2007"/>
      <c r="LM700" s="2007"/>
      <c r="MX700" s="2007"/>
      <c r="ND700" s="2007"/>
    </row>
    <row r="701">
      <c r="A701" s="2005">
        <f>IFERROR(__xludf.DUMMYFUNCTION("""COMPUTED_VALUE"""),1060364.0)</f>
        <v>1060364</v>
      </c>
      <c r="B701" s="2005">
        <f>IFERROR(__xludf.DUMMYFUNCTION("""COMPUTED_VALUE"""),2403005.0)</f>
        <v>2403005</v>
      </c>
      <c r="C701" s="2005" t="str">
        <f>IFERROR(__xludf.DUMMYFUNCTION("""COMPUTED_VALUE"""),"Cartouche")</f>
        <v>Cartouche</v>
      </c>
      <c r="D701" s="2005" t="str">
        <f>IFERROR(__xludf.DUMMYFUNCTION("""COMPUTED_VALUE"""),"CLI571 XL GRIS")</f>
        <v>CLI571 XL GRIS</v>
      </c>
      <c r="E701" s="2005" t="str">
        <f>IFERROR(__xludf.DUMMYFUNCTION("""COMPUTED_VALUE"""),"CANON")</f>
        <v>CANON</v>
      </c>
      <c r="F701" s="2005" t="str">
        <f>IFERROR(__xludf.DUMMYFUNCTION("""COMPUTED_VALUE"""),"D")</f>
        <v>D</v>
      </c>
      <c r="G701" s="2005" t="str">
        <f>IFERROR(__xludf.DUMMYFUNCTION("""COMPUTED_VALUE"""),"AC")</f>
        <v>AC</v>
      </c>
      <c r="H701" s="2005">
        <f>IFERROR(__xludf.DUMMYFUNCTION("""COMPUTED_VALUE"""),20.5)</f>
        <v>20.5</v>
      </c>
      <c r="I701" s="2005">
        <f>IFERROR(__xludf.DUMMYFUNCTION("""COMPUTED_VALUE"""),20.5)</f>
        <v>20.5</v>
      </c>
      <c r="BD701" s="2006"/>
      <c r="LL701" s="2007"/>
      <c r="LM701" s="2007"/>
      <c r="MX701" s="2007"/>
      <c r="ND701" s="2007"/>
    </row>
    <row r="702">
      <c r="A702" s="2005">
        <f>IFERROR(__xludf.DUMMYFUNCTION("""COMPUTED_VALUE"""),1060365.0)</f>
        <v>1060365</v>
      </c>
      <c r="B702" s="2005">
        <f>IFERROR(__xludf.DUMMYFUNCTION("""COMPUTED_VALUE"""),2403005.0)</f>
        <v>2403005</v>
      </c>
      <c r="C702" s="2005" t="str">
        <f>IFERROR(__xludf.DUMMYFUNCTION("""COMPUTED_VALUE"""),"Pack")</f>
        <v>Pack</v>
      </c>
      <c r="D702" s="2005" t="str">
        <f>IFERROR(__xludf.DUMMYFUNCTION("""COMPUTED_VALUE"""),"CLI-571 (N  C/M/J)")</f>
        <v>CLI-571 (N  C/M/J)</v>
      </c>
      <c r="E702" s="2005" t="str">
        <f>IFERROR(__xludf.DUMMYFUNCTION("""COMPUTED_VALUE"""),"CANON")</f>
        <v>CANON</v>
      </c>
      <c r="F702" s="2005" t="str">
        <f>IFERROR(__xludf.DUMMYFUNCTION("""COMPUTED_VALUE"""),"A")</f>
        <v>A</v>
      </c>
      <c r="G702" s="2005" t="str">
        <f>IFERROR(__xludf.DUMMYFUNCTION("""COMPUTED_VALUE"""),"AC")</f>
        <v>AC</v>
      </c>
      <c r="H702" s="2005">
        <f>IFERROR(__xludf.DUMMYFUNCTION("""COMPUTED_VALUE"""),57.51)</f>
        <v>57.51</v>
      </c>
      <c r="I702" s="2005">
        <f>IFERROR(__xludf.DUMMYFUNCTION("""COMPUTED_VALUE"""),57.51)</f>
        <v>57.51</v>
      </c>
      <c r="BD702" s="2006"/>
      <c r="LL702" s="2007"/>
      <c r="LM702" s="2007"/>
      <c r="MX702" s="2007"/>
      <c r="ND702" s="2007"/>
    </row>
    <row r="703">
      <c r="A703" s="2005">
        <f>IFERROR(__xludf.DUMMYFUNCTION("""COMPUTED_VALUE"""),1061441.0)</f>
        <v>1061441</v>
      </c>
      <c r="B703" s="2005">
        <f>IFERROR(__xludf.DUMMYFUNCTION("""COMPUTED_VALUE"""),1103006.0)</f>
        <v>1103006</v>
      </c>
      <c r="C703" s="2005" t="str">
        <f>IFERROR(__xludf.DUMMYFUNCTION("""COMPUTED_VALUE"""),"Tél.")</f>
        <v>Tél.</v>
      </c>
      <c r="D703" s="2005" t="str">
        <f>IFERROR(__xludf.DUMMYFUNCTION("""COMPUTED_VALUE"""),"TEMPORIS 10 Noir")</f>
        <v>TEMPORIS 10 Noir</v>
      </c>
      <c r="E703" s="2005" t="str">
        <f>IFERROR(__xludf.DUMMYFUNCTION("""COMPUTED_VALUE"""),"ALCATEL")</f>
        <v>ALCATEL</v>
      </c>
      <c r="F703" s="2005" t="str">
        <f>IFERROR(__xludf.DUMMYFUNCTION("""COMPUTED_VALUE"""),"H")</f>
        <v>H</v>
      </c>
      <c r="G703" s="2005" t="str">
        <f>IFERROR(__xludf.DUMMYFUNCTION("""COMPUTED_VALUE"""),"NN")</f>
        <v>NN</v>
      </c>
      <c r="H703" s="2005">
        <f>IFERROR(__xludf.DUMMYFUNCTION("""COMPUTED_VALUE"""),14.99)</f>
        <v>14.99</v>
      </c>
      <c r="I703" s="2005">
        <f>IFERROR(__xludf.DUMMYFUNCTION("""COMPUTED_VALUE"""),14.99)</f>
        <v>14.99</v>
      </c>
      <c r="BD703" s="2006"/>
      <c r="LL703" s="2007"/>
      <c r="LM703" s="2007"/>
      <c r="MX703" s="2007"/>
      <c r="ND703" s="2007"/>
    </row>
    <row r="704">
      <c r="A704" s="2005">
        <f>IFERROR(__xludf.DUMMYFUNCTION("""COMPUTED_VALUE"""),1061793.0)</f>
        <v>1061793</v>
      </c>
      <c r="B704" s="2005">
        <f>IFERROR(__xludf.DUMMYFUNCTION("""COMPUTED_VALUE"""),2502024.0)</f>
        <v>2502024</v>
      </c>
      <c r="C704" s="2005" t="str">
        <f>IFERROR(__xludf.DUMMYFUNCTION("""COMPUTED_VALUE"""),"Stylet")</f>
        <v>Stylet</v>
      </c>
      <c r="D704" s="2005" t="str">
        <f>IFERROR(__xludf.DUMMYFUNCTION("""COMPUTED_VALUE"""),"Stylet Surface pour Surface Pro 4 argent")</f>
        <v>Stylet Surface pour Surface Pro 4 argent</v>
      </c>
      <c r="E704" s="2005" t="str">
        <f>IFERROR(__xludf.DUMMYFUNCTION("""COMPUTED_VALUE"""),"MICROSOFT")</f>
        <v>MICROSOFT</v>
      </c>
      <c r="F704" s="2005" t="str">
        <f>IFERROR(__xludf.DUMMYFUNCTION("""COMPUTED_VALUE"""),"B")</f>
        <v>B</v>
      </c>
      <c r="G704" s="2005" t="str">
        <f>IFERROR(__xludf.DUMMYFUNCTION("""COMPUTED_VALUE"""),"NN")</f>
        <v>NN</v>
      </c>
      <c r="H704" s="2005">
        <f>IFERROR(__xludf.DUMMYFUNCTION("""COMPUTED_VALUE"""),64.99)</f>
        <v>64.99</v>
      </c>
      <c r="I704" s="2005">
        <f>IFERROR(__xludf.DUMMYFUNCTION("""COMPUTED_VALUE"""),64.99)</f>
        <v>64.99</v>
      </c>
      <c r="BD704" s="2006"/>
      <c r="LL704" s="2007"/>
      <c r="LM704" s="2007"/>
      <c r="MX704" s="2007"/>
      <c r="ND704" s="2007"/>
    </row>
    <row r="705">
      <c r="A705" s="2005">
        <f>IFERROR(__xludf.DUMMYFUNCTION("""COMPUTED_VALUE"""),1061798.0)</f>
        <v>1061798</v>
      </c>
      <c r="B705" s="2005">
        <f>IFERROR(__xludf.DUMMYFUNCTION("""COMPUTED_VALUE"""),2502040.0)</f>
        <v>2502040</v>
      </c>
      <c r="C705" s="2005" t="str">
        <f>IFERROR(__xludf.DUMMYFUNCTION("""COMPUTED_VALUE"""),"Dock")</f>
        <v>Dock</v>
      </c>
      <c r="D705" s="2005" t="str">
        <f>IFERROR(__xludf.DUMMYFUNCTION("""COMPUTED_VALUE"""),"Station Surface")</f>
        <v>Station Surface</v>
      </c>
      <c r="E705" s="2005" t="str">
        <f>IFERROR(__xludf.DUMMYFUNCTION("""COMPUTED_VALUE"""),"MICROSOFT")</f>
        <v>MICROSOFT</v>
      </c>
      <c r="F705" s="2005" t="str">
        <f>IFERROR(__xludf.DUMMYFUNCTION("""COMPUTED_VALUE"""),"C")</f>
        <v>C</v>
      </c>
      <c r="G705" s="2005" t="str">
        <f>IFERROR(__xludf.DUMMYFUNCTION("""COMPUTED_VALUE"""),"NN")</f>
        <v>NN</v>
      </c>
      <c r="H705" s="2005">
        <f>IFERROR(__xludf.DUMMYFUNCTION("""COMPUTED_VALUE"""),140.11)</f>
        <v>140.11</v>
      </c>
      <c r="I705" s="2005">
        <f>IFERROR(__xludf.DUMMYFUNCTION("""COMPUTED_VALUE"""),140.11)</f>
        <v>140.11</v>
      </c>
      <c r="BD705" s="2006"/>
      <c r="LL705" s="2007"/>
      <c r="LM705" s="2007"/>
      <c r="MX705" s="2007"/>
      <c r="ND705" s="2007"/>
    </row>
    <row r="706">
      <c r="A706" s="2005">
        <f>IFERROR(__xludf.DUMMYFUNCTION("""COMPUTED_VALUE"""),1061823.0)</f>
        <v>1061823</v>
      </c>
      <c r="B706" s="2005">
        <f>IFERROR(__xludf.DUMMYFUNCTION("""COMPUTED_VALUE"""),2502024.0)</f>
        <v>2502024</v>
      </c>
      <c r="C706" s="2005" t="str">
        <f>IFERROR(__xludf.DUMMYFUNCTION("""COMPUTED_VALUE"""),"Stylet")</f>
        <v>Stylet</v>
      </c>
      <c r="D706" s="2005" t="str">
        <f>IFERROR(__xludf.DUMMYFUNCTION("""COMPUTED_VALUE"""),"Pencil 1re generation")</f>
        <v>Pencil 1re generation</v>
      </c>
      <c r="E706" s="2005" t="str">
        <f>IFERROR(__xludf.DUMMYFUNCTION("""COMPUTED_VALUE"""),"APPLE")</f>
        <v>APPLE</v>
      </c>
      <c r="F706" s="2005" t="str">
        <f>IFERROR(__xludf.DUMMYFUNCTION("""COMPUTED_VALUE"""),"B")</f>
        <v>B</v>
      </c>
      <c r="G706" s="2005" t="str">
        <f>IFERROR(__xludf.DUMMYFUNCTION("""COMPUTED_VALUE"""),"FF")</f>
        <v>FF</v>
      </c>
      <c r="H706">
        <f>IFERROR(__xludf.DUMMYFUNCTION("""COMPUTED_VALUE"""),119.0)</f>
        <v>119</v>
      </c>
      <c r="I706">
        <f>IFERROR(__xludf.DUMMYFUNCTION("""COMPUTED_VALUE"""),119.0)</f>
        <v>119</v>
      </c>
      <c r="BD706" s="2006"/>
      <c r="LL706" s="2007"/>
      <c r="LM706" s="2007"/>
      <c r="MX706" s="2007"/>
      <c r="ND706" s="2007"/>
    </row>
    <row r="707">
      <c r="A707" s="2005">
        <f>IFERROR(__xludf.DUMMYFUNCTION("""COMPUTED_VALUE"""),1061949.0)</f>
        <v>1061949</v>
      </c>
      <c r="B707" s="2005">
        <f>IFERROR(__xludf.DUMMYFUNCTION("""COMPUTED_VALUE"""),2502010.0)</f>
        <v>2502010</v>
      </c>
      <c r="C707" s="2005" t="str">
        <f>IFERROR(__xludf.DUMMYFUNCTION("""COMPUTED_VALUE"""),"Souris")</f>
        <v>Souris</v>
      </c>
      <c r="D707" s="2005" t="str">
        <f>IFERROR(__xludf.DUMMYFUNCTION("""COMPUTED_VALUE"""),"MAGIC Mouse 2")</f>
        <v>MAGIC Mouse 2</v>
      </c>
      <c r="E707" s="2005" t="str">
        <f>IFERROR(__xludf.DUMMYFUNCTION("""COMPUTED_VALUE"""),"APPLE")</f>
        <v>APPLE</v>
      </c>
      <c r="F707" s="2005" t="str">
        <f>IFERROR(__xludf.DUMMYFUNCTION("""COMPUTED_VALUE"""),"H")</f>
        <v>H</v>
      </c>
      <c r="G707" s="2005" t="str">
        <f>IFERROR(__xludf.DUMMYFUNCTION("""COMPUTED_VALUE"""),"NN")</f>
        <v>NN</v>
      </c>
      <c r="H707" s="2005">
        <f>IFERROR(__xludf.DUMMYFUNCTION("""COMPUTED_VALUE"""),65.99)</f>
        <v>65.99</v>
      </c>
      <c r="I707" s="2005">
        <f>IFERROR(__xludf.DUMMYFUNCTION("""COMPUTED_VALUE"""),65.99)</f>
        <v>65.99</v>
      </c>
      <c r="BD707" s="2006"/>
      <c r="LL707" s="2007"/>
      <c r="LM707" s="2007"/>
      <c r="MX707" s="2007"/>
      <c r="ND707" s="2008"/>
    </row>
    <row r="708">
      <c r="A708" s="2005">
        <f>IFERROR(__xludf.DUMMYFUNCTION("""COMPUTED_VALUE"""),1061950.0)</f>
        <v>1061950</v>
      </c>
      <c r="B708" s="2005">
        <f>IFERROR(__xludf.DUMMYFUNCTION("""COMPUTED_VALUE"""),2502015.0)</f>
        <v>2502015</v>
      </c>
      <c r="C708" s="2005" t="str">
        <f>IFERROR(__xludf.DUMMYFUNCTION("""COMPUTED_VALUE"""),"Clavier")</f>
        <v>Clavier</v>
      </c>
      <c r="D708" s="2005" t="str">
        <f>IFERROR(__xludf.DUMMYFUNCTION("""COMPUTED_VALUE"""),"Magic Keyboard")</f>
        <v>Magic Keyboard</v>
      </c>
      <c r="E708" s="2005" t="str">
        <f>IFERROR(__xludf.DUMMYFUNCTION("""COMPUTED_VALUE"""),"APPLE")</f>
        <v>APPLE</v>
      </c>
      <c r="F708" s="2005" t="str">
        <f>IFERROR(__xludf.DUMMYFUNCTION("""COMPUTED_VALUE"""),"E")</f>
        <v>E</v>
      </c>
      <c r="G708" s="2005" t="str">
        <f>IFERROR(__xludf.DUMMYFUNCTION("""COMPUTED_VALUE"""),"NN")</f>
        <v>NN</v>
      </c>
      <c r="H708" s="2005">
        <f>IFERROR(__xludf.DUMMYFUNCTION("""COMPUTED_VALUE"""),59.99)</f>
        <v>59.99</v>
      </c>
      <c r="I708" s="2005">
        <f>IFERROR(__xludf.DUMMYFUNCTION("""COMPUTED_VALUE"""),59.99)</f>
        <v>59.99</v>
      </c>
      <c r="BD708" s="2006"/>
      <c r="LL708" s="2007"/>
      <c r="LM708" s="2007"/>
      <c r="MX708" s="2007"/>
      <c r="ND708" s="2007"/>
    </row>
    <row r="709">
      <c r="A709" s="2005">
        <f>IFERROR(__xludf.DUMMYFUNCTION("""COMPUTED_VALUE"""),1061971.0)</f>
        <v>1061971</v>
      </c>
      <c r="B709" s="2005">
        <f>IFERROR(__xludf.DUMMYFUNCTION("""COMPUTED_VALUE"""),2502010.0)</f>
        <v>2502010</v>
      </c>
      <c r="C709" s="2005" t="str">
        <f>IFERROR(__xludf.DUMMYFUNCTION("""COMPUTED_VALUE"""),"Pavé Tactile")</f>
        <v>Pavé Tactile</v>
      </c>
      <c r="D709" s="2005" t="str">
        <f>IFERROR(__xludf.DUMMYFUNCTION("""COMPUTED_VALUE"""),"Magic Trackpad 2")</f>
        <v>Magic Trackpad 2</v>
      </c>
      <c r="E709" s="2005" t="str">
        <f>IFERROR(__xludf.DUMMYFUNCTION("""COMPUTED_VALUE"""),"APPLE")</f>
        <v>APPLE</v>
      </c>
      <c r="F709" s="2005" t="str">
        <f>IFERROR(__xludf.DUMMYFUNCTION("""COMPUTED_VALUE"""),"A")</f>
        <v>A</v>
      </c>
      <c r="G709" s="2005" t="str">
        <f>IFERROR(__xludf.DUMMYFUNCTION("""COMPUTED_VALUE"""),"NN")</f>
        <v>NN</v>
      </c>
      <c r="H709">
        <f>IFERROR(__xludf.DUMMYFUNCTION("""COMPUTED_VALUE"""),114.99)</f>
        <v>114.99</v>
      </c>
      <c r="I709">
        <f>IFERROR(__xludf.DUMMYFUNCTION("""COMPUTED_VALUE"""),114.99)</f>
        <v>114.99</v>
      </c>
      <c r="BD709" s="2006"/>
      <c r="LL709" s="2007"/>
      <c r="LM709" s="2007"/>
      <c r="MX709" s="2007"/>
      <c r="ND709" s="2007"/>
    </row>
    <row r="710">
      <c r="A710" s="2005">
        <f>IFERROR(__xludf.DUMMYFUNCTION("""COMPUTED_VALUE"""),1062186.0)</f>
        <v>1062186</v>
      </c>
      <c r="B710" s="2005">
        <f>IFERROR(__xludf.DUMMYFUNCTION("""COMPUTED_VALUE"""),2203010.0)</f>
        <v>2203010</v>
      </c>
      <c r="C710" s="2005" t="str">
        <f>IFERROR(__xludf.DUMMYFUNCTION("""COMPUTED_VALUE"""),"Scanner")</f>
        <v>Scanner</v>
      </c>
      <c r="D710" s="2005" t="str">
        <f>IFERROR(__xludf.DUMMYFUNCTION("""COMPUTED_VALUE"""),"IRISPen Air 7")</f>
        <v>IRISPen Air 7</v>
      </c>
      <c r="E710" s="2005" t="str">
        <f>IFERROR(__xludf.DUMMYFUNCTION("""COMPUTED_VALUE"""),"IRIS")</f>
        <v>IRIS</v>
      </c>
      <c r="F710" s="2005" t="str">
        <f>IFERROR(__xludf.DUMMYFUNCTION("""COMPUTED_VALUE"""),"H")</f>
        <v>H</v>
      </c>
      <c r="G710" s="2005" t="str">
        <f>IFERROR(__xludf.DUMMYFUNCTION("""COMPUTED_VALUE"""),"NN")</f>
        <v>NN</v>
      </c>
      <c r="H710" s="2005">
        <f>IFERROR(__xludf.DUMMYFUNCTION("""COMPUTED_VALUE"""),96.99)</f>
        <v>96.99</v>
      </c>
      <c r="I710" s="2005">
        <f>IFERROR(__xludf.DUMMYFUNCTION("""COMPUTED_VALUE"""),96.99)</f>
        <v>96.99</v>
      </c>
      <c r="BD710" s="2006"/>
      <c r="LL710" s="2007"/>
      <c r="LM710" s="2007"/>
      <c r="MX710" s="2007"/>
      <c r="ND710" s="2007"/>
    </row>
    <row r="711">
      <c r="A711" s="2005">
        <f>IFERROR(__xludf.DUMMYFUNCTION("""COMPUTED_VALUE"""),1062187.0)</f>
        <v>1062187</v>
      </c>
      <c r="B711" s="2005">
        <f>IFERROR(__xludf.DUMMYFUNCTION("""COMPUTED_VALUE"""),2203010.0)</f>
        <v>2203010</v>
      </c>
      <c r="C711" s="2005" t="str">
        <f>IFERROR(__xludf.DUMMYFUNCTION("""COMPUTED_VALUE"""),"Scanner")</f>
        <v>Scanner</v>
      </c>
      <c r="D711" s="2005" t="str">
        <f>IFERROR(__xludf.DUMMYFUNCTION("""COMPUTED_VALUE"""),"IRIScan Express 4")</f>
        <v>IRIScan Express 4</v>
      </c>
      <c r="E711" s="2005" t="str">
        <f>IFERROR(__xludf.DUMMYFUNCTION("""COMPUTED_VALUE"""),"IRIS")</f>
        <v>IRIS</v>
      </c>
      <c r="F711" s="2005" t="str">
        <f>IFERROR(__xludf.DUMMYFUNCTION("""COMPUTED_VALUE"""),"A")</f>
        <v>A</v>
      </c>
      <c r="G711" s="2005" t="str">
        <f>IFERROR(__xludf.DUMMYFUNCTION("""COMPUTED_VALUE"""),"AC")</f>
        <v>AC</v>
      </c>
      <c r="H711" s="2005">
        <f>IFERROR(__xludf.DUMMYFUNCTION("""COMPUTED_VALUE"""),129.99)</f>
        <v>129.99</v>
      </c>
      <c r="I711" s="2005">
        <f>IFERROR(__xludf.DUMMYFUNCTION("""COMPUTED_VALUE"""),129.99)</f>
        <v>129.99</v>
      </c>
      <c r="BD711" s="2006"/>
      <c r="LL711" s="2007"/>
      <c r="LM711" s="2007"/>
      <c r="MX711" s="2007"/>
      <c r="ND711" s="2007"/>
    </row>
    <row r="712">
      <c r="A712" s="2005">
        <f>IFERROR(__xludf.DUMMYFUNCTION("""COMPUTED_VALUE"""),1062224.0)</f>
        <v>1062224</v>
      </c>
      <c r="B712" s="2005">
        <f>IFERROR(__xludf.DUMMYFUNCTION("""COMPUTED_VALUE"""),1103010.0)</f>
        <v>1103010</v>
      </c>
      <c r="C712" s="2005" t="str">
        <f>IFERROR(__xludf.DUMMYFUNCTION("""COMPUTED_VALUE"""),"Pack")</f>
        <v>Pack</v>
      </c>
      <c r="D712" s="2005" t="str">
        <f>IFERROR(__xludf.DUMMYFUNCTION("""COMPUTED_VALUE"""),"AS405A Duo Noir")</f>
        <v>AS405A Duo Noir</v>
      </c>
      <c r="E712" s="2005" t="str">
        <f>IFERROR(__xludf.DUMMYFUNCTION("""COMPUTED_VALUE"""),"GIGASET")</f>
        <v>GIGASET</v>
      </c>
      <c r="F712" s="2005" t="str">
        <f>IFERROR(__xludf.DUMMYFUNCTION("""COMPUTED_VALUE"""),"B")</f>
        <v>B</v>
      </c>
      <c r="G712" s="2005" t="str">
        <f>IFERROR(__xludf.DUMMYFUNCTION("""COMPUTED_VALUE"""),"NN")</f>
        <v>NN</v>
      </c>
      <c r="H712" s="2005">
        <f>IFERROR(__xludf.DUMMYFUNCTION("""COMPUTED_VALUE"""),32.99)</f>
        <v>32.99</v>
      </c>
      <c r="I712" s="2005">
        <f>IFERROR(__xludf.DUMMYFUNCTION("""COMPUTED_VALUE"""),32.99)</f>
        <v>32.99</v>
      </c>
      <c r="BD712" s="2006"/>
      <c r="LL712" s="2007"/>
      <c r="LM712" s="2007"/>
      <c r="MX712" s="2007"/>
      <c r="ND712" s="2007"/>
    </row>
    <row r="713">
      <c r="A713" s="2005">
        <f>IFERROR(__xludf.DUMMYFUNCTION("""COMPUTED_VALUE"""),1062455.0)</f>
        <v>1062455</v>
      </c>
      <c r="B713" s="2005">
        <f>IFERROR(__xludf.DUMMYFUNCTION("""COMPUTED_VALUE"""),2403005.0)</f>
        <v>2403005</v>
      </c>
      <c r="C713" s="2005" t="str">
        <f>IFERROR(__xludf.DUMMYFUNCTION("""COMPUTED_VALUE"""),"Cartouche")</f>
        <v>Cartouche</v>
      </c>
      <c r="D713" s="2005" t="str">
        <f>IFERROR(__xludf.DUMMYFUNCTION("""COMPUTED_VALUE"""),"302 XL noire")</f>
        <v>302 XL noire</v>
      </c>
      <c r="E713" s="2005" t="str">
        <f>IFERROR(__xludf.DUMMYFUNCTION("""COMPUTED_VALUE"""),"HP")</f>
        <v>HP</v>
      </c>
      <c r="F713" s="2005" t="str">
        <f>IFERROR(__xludf.DUMMYFUNCTION("""COMPUTED_VALUE"""),"A")</f>
        <v>A</v>
      </c>
      <c r="G713" s="2005" t="str">
        <f>IFERROR(__xludf.DUMMYFUNCTION("""COMPUTED_VALUE"""),"AC")</f>
        <v>AC</v>
      </c>
      <c r="H713" s="2005">
        <f>IFERROR(__xludf.DUMMYFUNCTION("""COMPUTED_VALUE"""),42.99)</f>
        <v>42.99</v>
      </c>
      <c r="I713" s="2005">
        <f>IFERROR(__xludf.DUMMYFUNCTION("""COMPUTED_VALUE"""),42.99)</f>
        <v>42.99</v>
      </c>
      <c r="BD713" s="2006"/>
      <c r="LL713" s="2007"/>
      <c r="LM713" s="2007"/>
      <c r="MX713" s="2007"/>
      <c r="ND713" s="2007"/>
    </row>
    <row r="714">
      <c r="A714" s="2005">
        <f>IFERROR(__xludf.DUMMYFUNCTION("""COMPUTED_VALUE"""),1063236.0)</f>
        <v>1063236</v>
      </c>
      <c r="B714" s="2005">
        <f>IFERROR(__xludf.DUMMYFUNCTION("""COMPUTED_VALUE"""),1108005.0)</f>
        <v>1108005</v>
      </c>
      <c r="C714" s="2005" t="str">
        <f>IFERROR(__xludf.DUMMYFUNCTION("""COMPUTED_VALUE"""),"Talkie")</f>
        <v>Talkie</v>
      </c>
      <c r="D714" s="2005" t="str">
        <f>IFERROR(__xludf.DUMMYFUNCTION("""COMPUTED_VALUE"""),"XT-180")</f>
        <v>XT-180</v>
      </c>
      <c r="E714" s="2005" t="str">
        <f>IFERROR(__xludf.DUMMYFUNCTION("""COMPUTED_VALUE"""),"MOTOROLA")</f>
        <v>MOTOROLA</v>
      </c>
      <c r="F714" s="2005" t="str">
        <f>IFERROR(__xludf.DUMMYFUNCTION("""COMPUTED_VALUE"""),"W")</f>
        <v>W</v>
      </c>
      <c r="G714" s="2005" t="str">
        <f>IFERROR(__xludf.DUMMYFUNCTION("""COMPUTED_VALUE"""),"NN")</f>
        <v>NN</v>
      </c>
      <c r="H714" s="2005">
        <f>IFERROR(__xludf.DUMMYFUNCTION("""COMPUTED_VALUE"""),119.0)</f>
        <v>119</v>
      </c>
      <c r="I714" s="2005">
        <f>IFERROR(__xludf.DUMMYFUNCTION("""COMPUTED_VALUE"""),119.0)</f>
        <v>119</v>
      </c>
      <c r="BD714" s="2006"/>
      <c r="LL714" s="2007"/>
      <c r="LM714" s="2007"/>
      <c r="MX714" s="2007"/>
      <c r="ND714" s="2007"/>
    </row>
    <row r="715">
      <c r="A715" s="2005">
        <f>IFERROR(__xludf.DUMMYFUNCTION("""COMPUTED_VALUE"""),1063238.0)</f>
        <v>1063238</v>
      </c>
      <c r="B715" s="2005">
        <f>IFERROR(__xludf.DUMMYFUNCTION("""COMPUTED_VALUE"""),1108005.0)</f>
        <v>1108005</v>
      </c>
      <c r="C715" s="2005" t="str">
        <f>IFERROR(__xludf.DUMMYFUNCTION("""COMPUTED_VALUE"""),"Talkie")</f>
        <v>Talkie</v>
      </c>
      <c r="D715" s="2005" t="str">
        <f>IFERROR(__xludf.DUMMYFUNCTION("""COMPUTED_VALUE"""),"XT-420")</f>
        <v>XT-420</v>
      </c>
      <c r="E715" s="2005" t="str">
        <f>IFERROR(__xludf.DUMMYFUNCTION("""COMPUTED_VALUE"""),"MOTOROLA")</f>
        <v>MOTOROLA</v>
      </c>
      <c r="F715" s="2005" t="str">
        <f>IFERROR(__xludf.DUMMYFUNCTION("""COMPUTED_VALUE"""),"W")</f>
        <v>W</v>
      </c>
      <c r="G715" s="2005" t="str">
        <f>IFERROR(__xludf.DUMMYFUNCTION("""COMPUTED_VALUE"""),"AC")</f>
        <v>AC</v>
      </c>
      <c r="H715" s="2005">
        <f>IFERROR(__xludf.DUMMYFUNCTION("""COMPUTED_VALUE"""),251.99)</f>
        <v>251.99</v>
      </c>
      <c r="I715" s="2005">
        <f>IFERROR(__xludf.DUMMYFUNCTION("""COMPUTED_VALUE"""),176.51)</f>
        <v>176.51</v>
      </c>
      <c r="BD715" s="2006"/>
      <c r="LL715" s="2007"/>
      <c r="LM715" s="2007"/>
      <c r="MX715" s="2008"/>
      <c r="ND715" s="2007"/>
    </row>
    <row r="716">
      <c r="A716" s="2005">
        <f>IFERROR(__xludf.DUMMYFUNCTION("""COMPUTED_VALUE"""),1063239.0)</f>
        <v>1063239</v>
      </c>
      <c r="B716" s="2005">
        <f>IFERROR(__xludf.DUMMYFUNCTION("""COMPUTED_VALUE"""),1108005.0)</f>
        <v>1108005</v>
      </c>
      <c r="C716" s="2005" t="str">
        <f>IFERROR(__xludf.DUMMYFUNCTION("""COMPUTED_VALUE"""),"Talkie")</f>
        <v>Talkie</v>
      </c>
      <c r="D716" s="2005" t="str">
        <f>IFERROR(__xludf.DUMMYFUNCTION("""COMPUTED_VALUE"""),"XT-460")</f>
        <v>XT-460</v>
      </c>
      <c r="E716" s="2005" t="str">
        <f>IFERROR(__xludf.DUMMYFUNCTION("""COMPUTED_VALUE"""),"MOTOROLA")</f>
        <v>MOTOROLA</v>
      </c>
      <c r="F716" s="2005" t="str">
        <f>IFERROR(__xludf.DUMMYFUNCTION("""COMPUTED_VALUE"""),"E")</f>
        <v>E</v>
      </c>
      <c r="G716" s="2005" t="str">
        <f>IFERROR(__xludf.DUMMYFUNCTION("""COMPUTED_VALUE"""),"NN")</f>
        <v>NN</v>
      </c>
      <c r="H716" s="2005">
        <f>IFERROR(__xludf.DUMMYFUNCTION("""COMPUTED_VALUE"""),284.99)</f>
        <v>284.99</v>
      </c>
      <c r="I716" s="2005">
        <f>IFERROR(__xludf.DUMMYFUNCTION("""COMPUTED_VALUE"""),284.99)</f>
        <v>284.99</v>
      </c>
      <c r="BD716" s="2006"/>
      <c r="LM716" s="2007"/>
      <c r="MX716" s="2008"/>
      <c r="ND716" s="2007"/>
    </row>
    <row r="717">
      <c r="A717" s="2005">
        <f>IFERROR(__xludf.DUMMYFUNCTION("""COMPUTED_VALUE"""),1063240.0)</f>
        <v>1063240</v>
      </c>
      <c r="B717" s="2005">
        <f>IFERROR(__xludf.DUMMYFUNCTION("""COMPUTED_VALUE"""),2403010.0)</f>
        <v>2403010</v>
      </c>
      <c r="C717" s="2005" t="str">
        <f>IFERROR(__xludf.DUMMYFUNCTION("""COMPUTED_VALUE"""),"Toner")</f>
        <v>Toner</v>
      </c>
      <c r="D717" s="2005" t="str">
        <f>IFERROR(__xludf.DUMMYFUNCTION("""COMPUTED_VALUE"""),"N°201 Noir")</f>
        <v>N°201 Noir</v>
      </c>
      <c r="E717" s="2005" t="str">
        <f>IFERROR(__xludf.DUMMYFUNCTION("""COMPUTED_VALUE"""),"HP")</f>
        <v>HP</v>
      </c>
      <c r="F717" s="2005" t="str">
        <f>IFERROR(__xludf.DUMMYFUNCTION("""COMPUTED_VALUE"""),"H")</f>
        <v>H</v>
      </c>
      <c r="G717" s="2005" t="str">
        <f>IFERROR(__xludf.DUMMYFUNCTION("""COMPUTED_VALUE"""),"AC")</f>
        <v>AC</v>
      </c>
      <c r="H717" s="2005">
        <f>IFERROR(__xludf.DUMMYFUNCTION("""COMPUTED_VALUE"""),100.99)</f>
        <v>100.99</v>
      </c>
      <c r="I717" s="2005">
        <f>IFERROR(__xludf.DUMMYFUNCTION("""COMPUTED_VALUE"""),100.99)</f>
        <v>100.99</v>
      </c>
      <c r="BD717" s="2006"/>
      <c r="LM717" s="2007"/>
      <c r="MX717" s="2007"/>
      <c r="ND717" s="2007"/>
    </row>
    <row r="718">
      <c r="A718" s="2005">
        <f>IFERROR(__xludf.DUMMYFUNCTION("""COMPUTED_VALUE"""),1063251.0)</f>
        <v>1063251</v>
      </c>
      <c r="B718" s="2005">
        <f>IFERROR(__xludf.DUMMYFUNCTION("""COMPUTED_VALUE"""),2403010.0)</f>
        <v>2403010</v>
      </c>
      <c r="C718" s="2005" t="str">
        <f>IFERROR(__xludf.DUMMYFUNCTION("""COMPUTED_VALUE"""),"Toner")</f>
        <v>Toner</v>
      </c>
      <c r="D718" s="2005" t="str">
        <f>IFERROR(__xludf.DUMMYFUNCTION("""COMPUTED_VALUE"""),"N°201 Cyan")</f>
        <v>N°201 Cyan</v>
      </c>
      <c r="E718" s="2005" t="str">
        <f>IFERROR(__xludf.DUMMYFUNCTION("""COMPUTED_VALUE"""),"HP")</f>
        <v>HP</v>
      </c>
      <c r="F718" s="2005" t="str">
        <f>IFERROR(__xludf.DUMMYFUNCTION("""COMPUTED_VALUE"""),"H")</f>
        <v>H</v>
      </c>
      <c r="G718" s="2005" t="str">
        <f>IFERROR(__xludf.DUMMYFUNCTION("""COMPUTED_VALUE"""),"AC")</f>
        <v>AC</v>
      </c>
      <c r="H718" s="2005">
        <f>IFERROR(__xludf.DUMMYFUNCTION("""COMPUTED_VALUE"""),118.99)</f>
        <v>118.99</v>
      </c>
      <c r="I718" s="2005">
        <f>IFERROR(__xludf.DUMMYFUNCTION("""COMPUTED_VALUE"""),118.99)</f>
        <v>118.99</v>
      </c>
      <c r="BD718" s="2006"/>
      <c r="LL718" s="2007"/>
      <c r="LM718" s="2007"/>
      <c r="MX718" s="2007"/>
      <c r="ND718" s="2007"/>
    </row>
    <row r="719">
      <c r="A719" s="2005">
        <f>IFERROR(__xludf.DUMMYFUNCTION("""COMPUTED_VALUE"""),1063252.0)</f>
        <v>1063252</v>
      </c>
      <c r="B719" s="2005">
        <f>IFERROR(__xludf.DUMMYFUNCTION("""COMPUTED_VALUE"""),2403010.0)</f>
        <v>2403010</v>
      </c>
      <c r="C719" s="2005" t="str">
        <f>IFERROR(__xludf.DUMMYFUNCTION("""COMPUTED_VALUE"""),"Toner")</f>
        <v>Toner</v>
      </c>
      <c r="D719" s="2005" t="str">
        <f>IFERROR(__xludf.DUMMYFUNCTION("""COMPUTED_VALUE"""),"N°201 Jaune")</f>
        <v>N°201 Jaune</v>
      </c>
      <c r="E719" s="2005" t="str">
        <f>IFERROR(__xludf.DUMMYFUNCTION("""COMPUTED_VALUE"""),"HP")</f>
        <v>HP</v>
      </c>
      <c r="F719" s="2005" t="str">
        <f>IFERROR(__xludf.DUMMYFUNCTION("""COMPUTED_VALUE"""),"H")</f>
        <v>H</v>
      </c>
      <c r="G719" s="2005" t="str">
        <f>IFERROR(__xludf.DUMMYFUNCTION("""COMPUTED_VALUE"""),"AC")</f>
        <v>AC</v>
      </c>
      <c r="H719">
        <f>IFERROR(__xludf.DUMMYFUNCTION("""COMPUTED_VALUE"""),118.99)</f>
        <v>118.99</v>
      </c>
      <c r="I719">
        <f>IFERROR(__xludf.DUMMYFUNCTION("""COMPUTED_VALUE"""),118.99)</f>
        <v>118.99</v>
      </c>
      <c r="BD719" s="2006"/>
      <c r="LL719" s="2007"/>
      <c r="LM719" s="2007"/>
      <c r="MX719" s="2008"/>
      <c r="ND719" s="2007"/>
    </row>
    <row r="720">
      <c r="A720" s="2005">
        <f>IFERROR(__xludf.DUMMYFUNCTION("""COMPUTED_VALUE"""),1063253.0)</f>
        <v>1063253</v>
      </c>
      <c r="B720" s="2005">
        <f>IFERROR(__xludf.DUMMYFUNCTION("""COMPUTED_VALUE"""),2403010.0)</f>
        <v>2403010</v>
      </c>
      <c r="C720" s="2005" t="str">
        <f>IFERROR(__xludf.DUMMYFUNCTION("""COMPUTED_VALUE"""),"Toner")</f>
        <v>Toner</v>
      </c>
      <c r="D720" s="2005" t="str">
        <f>IFERROR(__xludf.DUMMYFUNCTION("""COMPUTED_VALUE"""),"N°201 Magenta")</f>
        <v>N°201 Magenta</v>
      </c>
      <c r="E720" s="2005" t="str">
        <f>IFERROR(__xludf.DUMMYFUNCTION("""COMPUTED_VALUE"""),"HP")</f>
        <v>HP</v>
      </c>
      <c r="F720" s="2005" t="str">
        <f>IFERROR(__xludf.DUMMYFUNCTION("""COMPUTED_VALUE"""),"H")</f>
        <v>H</v>
      </c>
      <c r="G720" s="2005" t="str">
        <f>IFERROR(__xludf.DUMMYFUNCTION("""COMPUTED_VALUE"""),"AC")</f>
        <v>AC</v>
      </c>
      <c r="H720" s="2005">
        <f>IFERROR(__xludf.DUMMYFUNCTION("""COMPUTED_VALUE"""),118.99)</f>
        <v>118.99</v>
      </c>
      <c r="I720" s="2005">
        <f>IFERROR(__xludf.DUMMYFUNCTION("""COMPUTED_VALUE"""),118.99)</f>
        <v>118.99</v>
      </c>
      <c r="BD720" s="2006"/>
      <c r="LM720" s="2007"/>
      <c r="MX720" s="2007"/>
      <c r="ND720" s="2007"/>
    </row>
    <row r="721">
      <c r="A721" s="2005">
        <f>IFERROR(__xludf.DUMMYFUNCTION("""COMPUTED_VALUE"""),1063307.0)</f>
        <v>1063307</v>
      </c>
      <c r="B721" s="2005">
        <f>IFERROR(__xludf.DUMMYFUNCTION("""COMPUTED_VALUE"""),2502010.0)</f>
        <v>2502010</v>
      </c>
      <c r="C721" s="2005" t="str">
        <f>IFERROR(__xludf.DUMMYFUNCTION("""COMPUTED_VALUE"""),"Souris")</f>
        <v>Souris</v>
      </c>
      <c r="D721" s="2005" t="str">
        <f>IFERROR(__xludf.DUMMYFUNCTION("""COMPUTED_VALUE"""),"Wireless Mobile Mouse 1850 Noir")</f>
        <v>Wireless Mobile Mouse 1850 Noir</v>
      </c>
      <c r="E721" s="2005" t="str">
        <f>IFERROR(__xludf.DUMMYFUNCTION("""COMPUTED_VALUE"""),"MICROSOFT")</f>
        <v>MICROSOFT</v>
      </c>
      <c r="F721" s="2005" t="str">
        <f>IFERROR(__xludf.DUMMYFUNCTION("""COMPUTED_VALUE"""),"W")</f>
        <v>W</v>
      </c>
      <c r="G721" s="2005" t="str">
        <f>IFERROR(__xludf.DUMMYFUNCTION("""COMPUTED_VALUE"""),"FR")</f>
        <v>FR</v>
      </c>
      <c r="H721" s="2005">
        <f>IFERROR(__xludf.DUMMYFUNCTION("""COMPUTED_VALUE"""),18.96)</f>
        <v>18.96</v>
      </c>
      <c r="I721" s="2005">
        <f>IFERROR(__xludf.DUMMYFUNCTION("""COMPUTED_VALUE"""),18.96)</f>
        <v>18.96</v>
      </c>
      <c r="BD721" s="2006"/>
      <c r="LL721" s="2007"/>
      <c r="LM721" s="2007"/>
      <c r="MX721" s="2007"/>
      <c r="ND721" s="2007"/>
    </row>
    <row r="722">
      <c r="A722" s="2005">
        <f>IFERROR(__xludf.DUMMYFUNCTION("""COMPUTED_VALUE"""),1063320.0)</f>
        <v>1063320</v>
      </c>
      <c r="B722" s="2005">
        <f>IFERROR(__xludf.DUMMYFUNCTION("""COMPUTED_VALUE"""),2502015.0)</f>
        <v>2502015</v>
      </c>
      <c r="C722" s="2005" t="str">
        <f>IFERROR(__xludf.DUMMYFUNCTION("""COMPUTED_VALUE"""),"Clavier+Souris")</f>
        <v>Clavier+Souris</v>
      </c>
      <c r="D722" s="2005" t="str">
        <f>IFERROR(__xludf.DUMMYFUNCTION("""COMPUTED_VALUE"""),"Desktop 900 sans fil")</f>
        <v>Desktop 900 sans fil</v>
      </c>
      <c r="E722" s="2005" t="str">
        <f>IFERROR(__xludf.DUMMYFUNCTION("""COMPUTED_VALUE"""),"MICROSOFT")</f>
        <v>MICROSOFT</v>
      </c>
      <c r="F722" s="2005" t="str">
        <f>IFERROR(__xludf.DUMMYFUNCTION("""COMPUTED_VALUE"""),"W")</f>
        <v>W</v>
      </c>
      <c r="G722" s="2005" t="str">
        <f>IFERROR(__xludf.DUMMYFUNCTION("""COMPUTED_VALUE"""),"FR")</f>
        <v>FR</v>
      </c>
      <c r="H722">
        <f>IFERROR(__xludf.DUMMYFUNCTION("""COMPUTED_VALUE"""),55.01)</f>
        <v>55.01</v>
      </c>
      <c r="I722">
        <f>IFERROR(__xludf.DUMMYFUNCTION("""COMPUTED_VALUE"""),49.96)</f>
        <v>49.96</v>
      </c>
      <c r="BD722" s="2006"/>
      <c r="LL722" s="2007"/>
      <c r="LM722" s="2007"/>
      <c r="MX722" s="2007"/>
      <c r="ND722" s="2007"/>
    </row>
    <row r="723">
      <c r="A723" s="2005">
        <f>IFERROR(__xludf.DUMMYFUNCTION("""COMPUTED_VALUE"""),1063326.0)</f>
        <v>1063326</v>
      </c>
      <c r="B723" s="2005">
        <f>IFERROR(__xludf.DUMMYFUNCTION("""COMPUTED_VALUE"""),2403010.0)</f>
        <v>2403010</v>
      </c>
      <c r="C723" s="2005" t="str">
        <f>IFERROR(__xludf.DUMMYFUNCTION("""COMPUTED_VALUE"""),"Toner")</f>
        <v>Toner</v>
      </c>
      <c r="D723" s="2005" t="str">
        <f>IFERROR(__xludf.DUMMYFUNCTION("""COMPUTED_VALUE"""),"CLT-506L Noir")</f>
        <v>CLT-506L Noir</v>
      </c>
      <c r="E723" s="2005" t="str">
        <f>IFERROR(__xludf.DUMMYFUNCTION("""COMPUTED_VALUE"""),"SAMSUNG")</f>
        <v>SAMSUNG</v>
      </c>
      <c r="F723" s="2005" t="str">
        <f>IFERROR(__xludf.DUMMYFUNCTION("""COMPUTED_VALUE"""),"H")</f>
        <v>H</v>
      </c>
      <c r="G723" s="2005" t="str">
        <f>IFERROR(__xludf.DUMMYFUNCTION("""COMPUTED_VALUE"""),"NN")</f>
        <v>NN</v>
      </c>
      <c r="H723" s="2005">
        <f>IFERROR(__xludf.DUMMYFUNCTION("""COMPUTED_VALUE"""),93.99)</f>
        <v>93.99</v>
      </c>
      <c r="I723" s="2005">
        <f>IFERROR(__xludf.DUMMYFUNCTION("""COMPUTED_VALUE"""),93.99)</f>
        <v>93.99</v>
      </c>
      <c r="BD723" s="2006"/>
      <c r="LL723" s="2007"/>
      <c r="LM723" s="2007"/>
      <c r="MX723" s="2007"/>
      <c r="ND723" s="2007"/>
    </row>
    <row r="724">
      <c r="A724" s="2005">
        <f>IFERROR(__xludf.DUMMYFUNCTION("""COMPUTED_VALUE"""),1063382.0)</f>
        <v>1063382</v>
      </c>
      <c r="B724" s="2005">
        <f>IFERROR(__xludf.DUMMYFUNCTION("""COMPUTED_VALUE"""),2502015.0)</f>
        <v>2502015</v>
      </c>
      <c r="C724" s="2005" t="str">
        <f>IFERROR(__xludf.DUMMYFUNCTION("""COMPUTED_VALUE"""),"Clavier")</f>
        <v>Clavier</v>
      </c>
      <c r="D724" s="2005" t="str">
        <f>IFERROR(__xludf.DUMMYFUNCTION("""COMPUTED_VALUE"""),"Sculpt Comfort Desktop")</f>
        <v>Sculpt Comfort Desktop</v>
      </c>
      <c r="E724" s="2005" t="str">
        <f>IFERROR(__xludf.DUMMYFUNCTION("""COMPUTED_VALUE"""),"MICROSOFT")</f>
        <v>MICROSOFT</v>
      </c>
      <c r="F724" s="2005" t="str">
        <f>IFERROR(__xludf.DUMMYFUNCTION("""COMPUTED_VALUE"""),"H")</f>
        <v>H</v>
      </c>
      <c r="G724" s="2005" t="str">
        <f>IFERROR(__xludf.DUMMYFUNCTION("""COMPUTED_VALUE"""),"NN")</f>
        <v>NN</v>
      </c>
      <c r="H724" s="2005">
        <f>IFERROR(__xludf.DUMMYFUNCTION("""COMPUTED_VALUE"""),61.01)</f>
        <v>61.01</v>
      </c>
      <c r="I724" s="2005">
        <f>IFERROR(__xludf.DUMMYFUNCTION("""COMPUTED_VALUE"""),61.01)</f>
        <v>61.01</v>
      </c>
      <c r="BD724" s="2006"/>
      <c r="LL724" s="2007"/>
      <c r="LM724" s="2007"/>
      <c r="MX724" s="2007"/>
      <c r="ND724" s="2007"/>
    </row>
    <row r="725">
      <c r="A725" s="2005">
        <f>IFERROR(__xludf.DUMMYFUNCTION("""COMPUTED_VALUE"""),1063383.0)</f>
        <v>1063383</v>
      </c>
      <c r="B725" s="2005">
        <f>IFERROR(__xludf.DUMMYFUNCTION("""COMPUTED_VALUE"""),2502015.0)</f>
        <v>2502015</v>
      </c>
      <c r="C725" s="2005" t="str">
        <f>IFERROR(__xludf.DUMMYFUNCTION("""COMPUTED_VALUE"""),"Clavier")</f>
        <v>Clavier</v>
      </c>
      <c r="D725" s="2005" t="str">
        <f>IFERROR(__xludf.DUMMYFUNCTION("""COMPUTED_VALUE"""),"Sculpt Ergonomic Desktop")</f>
        <v>Sculpt Ergonomic Desktop</v>
      </c>
      <c r="E725" s="2005" t="str">
        <f>IFERROR(__xludf.DUMMYFUNCTION("""COMPUTED_VALUE"""),"MICROSOFT")</f>
        <v>MICROSOFT</v>
      </c>
      <c r="F725" s="2005" t="str">
        <f>IFERROR(__xludf.DUMMYFUNCTION("""COMPUTED_VALUE"""),"W")</f>
        <v>W</v>
      </c>
      <c r="G725" s="2005" t="str">
        <f>IFERROR(__xludf.DUMMYFUNCTION("""COMPUTED_VALUE"""),"NN")</f>
        <v>NN</v>
      </c>
      <c r="H725" s="2005">
        <f>IFERROR(__xludf.DUMMYFUNCTION("""COMPUTED_VALUE"""),160.06)</f>
        <v>160.06</v>
      </c>
      <c r="I725" s="2005">
        <f>IFERROR(__xludf.DUMMYFUNCTION("""COMPUTED_VALUE"""),160.06)</f>
        <v>160.06</v>
      </c>
      <c r="BD725" s="2006"/>
      <c r="LL725" s="2007"/>
      <c r="LM725" s="2007"/>
      <c r="MX725" s="2007"/>
      <c r="ND725" s="2007"/>
    </row>
    <row r="726">
      <c r="A726" s="2005">
        <f>IFERROR(__xludf.DUMMYFUNCTION("""COMPUTED_VALUE"""),1063384.0)</f>
        <v>1063384</v>
      </c>
      <c r="B726" s="2005">
        <f>IFERROR(__xludf.DUMMYFUNCTION("""COMPUTED_VALUE"""),2502015.0)</f>
        <v>2502015</v>
      </c>
      <c r="C726" s="2005" t="str">
        <f>IFERROR(__xludf.DUMMYFUNCTION("""COMPUTED_VALUE"""),"Clavier+Souris")</f>
        <v>Clavier+Souris</v>
      </c>
      <c r="D726" s="2005" t="str">
        <f>IFERROR(__xludf.DUMMYFUNCTION("""COMPUTED_VALUE"""),"Designer Bluetooth Desktop")</f>
        <v>Designer Bluetooth Desktop</v>
      </c>
      <c r="E726" s="2005" t="str">
        <f>IFERROR(__xludf.DUMMYFUNCTION("""COMPUTED_VALUE"""),"MICROSOFT")</f>
        <v>MICROSOFT</v>
      </c>
      <c r="F726" s="2005" t="str">
        <f>IFERROR(__xludf.DUMMYFUNCTION("""COMPUTED_VALUE"""),"W")</f>
        <v>W</v>
      </c>
      <c r="G726" s="2005" t="str">
        <f>IFERROR(__xludf.DUMMYFUNCTION("""COMPUTED_VALUE"""),"NN")</f>
        <v>NN</v>
      </c>
      <c r="H726" s="2005">
        <f>IFERROR(__xludf.DUMMYFUNCTION("""COMPUTED_VALUE"""),109.99)</f>
        <v>109.99</v>
      </c>
      <c r="I726" s="2005">
        <f>IFERROR(__xludf.DUMMYFUNCTION("""COMPUTED_VALUE"""),109.99)</f>
        <v>109.99</v>
      </c>
      <c r="BD726" s="2006"/>
      <c r="LL726" s="2007"/>
      <c r="LM726" s="2007"/>
      <c r="MX726" s="2007"/>
      <c r="ND726" s="2007"/>
    </row>
    <row r="727">
      <c r="A727" s="2005">
        <f>IFERROR(__xludf.DUMMYFUNCTION("""COMPUTED_VALUE"""),1063944.0)</f>
        <v>1063944</v>
      </c>
      <c r="B727" s="2005">
        <f>IFERROR(__xludf.DUMMYFUNCTION("""COMPUTED_VALUE"""),2203010.0)</f>
        <v>2203010</v>
      </c>
      <c r="C727" s="2005" t="str">
        <f>IFERROR(__xludf.DUMMYFUNCTION("""COMPUTED_VALUE"""),"Scanner")</f>
        <v>Scanner</v>
      </c>
      <c r="D727" s="2005" t="str">
        <f>IFERROR(__xludf.DUMMYFUNCTION("""COMPUTED_VALUE"""),"DS-720D")</f>
        <v>DS-720D</v>
      </c>
      <c r="E727" s="2005" t="str">
        <f>IFERROR(__xludf.DUMMYFUNCTION("""COMPUTED_VALUE"""),"BROTHER")</f>
        <v>BROTHER</v>
      </c>
      <c r="F727" s="2005" t="str">
        <f>IFERROR(__xludf.DUMMYFUNCTION("""COMPUTED_VALUE"""),"H")</f>
        <v>H</v>
      </c>
      <c r="G727" s="2005" t="str">
        <f>IFERROR(__xludf.DUMMYFUNCTION("""COMPUTED_VALUE"""),"NN")</f>
        <v>NN</v>
      </c>
      <c r="H727" s="2005">
        <f>IFERROR(__xludf.DUMMYFUNCTION("""COMPUTED_VALUE"""),105.99)</f>
        <v>105.99</v>
      </c>
      <c r="I727">
        <f>IFERROR(__xludf.DUMMYFUNCTION("""COMPUTED_VALUE"""),105.99)</f>
        <v>105.99</v>
      </c>
      <c r="BD727" s="2006"/>
      <c r="LM727" s="2007"/>
    </row>
    <row r="728">
      <c r="A728" s="2005">
        <f>IFERROR(__xludf.DUMMYFUNCTION("""COMPUTED_VALUE"""),1065347.0)</f>
        <v>1065347</v>
      </c>
      <c r="B728" s="2005">
        <f>IFERROR(__xludf.DUMMYFUNCTION("""COMPUTED_VALUE"""),2703025.0)</f>
        <v>2703025</v>
      </c>
      <c r="C728" s="2005" t="str">
        <f>IFERROR(__xludf.DUMMYFUNCTION("""COMPUTED_VALUE"""),"DESTRUCTEUR")</f>
        <v>DESTRUCTEUR</v>
      </c>
      <c r="D728" s="2005" t="str">
        <f>IFERROR(__xludf.DUMMYFUNCTION("""COMPUTED_VALUE"""),"225 CI SHREDDER")</f>
        <v>225 CI SHREDDER</v>
      </c>
      <c r="E728" s="2005" t="str">
        <f>IFERROR(__xludf.DUMMYFUNCTION("""COMPUTED_VALUE"""),"FELLOWES")</f>
        <v>FELLOWES</v>
      </c>
      <c r="F728" s="2005" t="str">
        <f>IFERROR(__xludf.DUMMYFUNCTION("""COMPUTED_VALUE"""),"H")</f>
        <v>H</v>
      </c>
      <c r="G728" s="2005" t="str">
        <f>IFERROR(__xludf.DUMMYFUNCTION("""COMPUTED_VALUE"""),"NN")</f>
        <v>NN</v>
      </c>
      <c r="H728" s="2005">
        <f>IFERROR(__xludf.DUMMYFUNCTION("""COMPUTED_VALUE"""),859.99)</f>
        <v>859.99</v>
      </c>
      <c r="I728" s="2005">
        <f>IFERROR(__xludf.DUMMYFUNCTION("""COMPUTED_VALUE"""),859.99)</f>
        <v>859.99</v>
      </c>
      <c r="BD728" s="2006"/>
      <c r="LL728" s="2007"/>
      <c r="LM728" s="2007"/>
      <c r="MX728" s="2007"/>
      <c r="ND728" s="2007"/>
    </row>
    <row r="729">
      <c r="A729" s="2005">
        <f>IFERROR(__xludf.DUMMYFUNCTION("""COMPUTED_VALUE"""),1065611.0)</f>
        <v>1065611</v>
      </c>
      <c r="B729" s="2005">
        <f>IFERROR(__xludf.DUMMYFUNCTION("""COMPUTED_VALUE"""),2202010.0)</f>
        <v>2202010</v>
      </c>
      <c r="C729" s="2005" t="str">
        <f>IFERROR(__xludf.DUMMYFUNCTION("""COMPUTED_VALUE"""),"Multi Jet d'enc")</f>
        <v>Multi Jet d'enc</v>
      </c>
      <c r="D729" s="2005" t="str">
        <f>IFERROR(__xludf.DUMMYFUNCTION("""COMPUTED_VALUE"""),"EcoTank ET-14000")</f>
        <v>EcoTank ET-14000</v>
      </c>
      <c r="E729" s="2005" t="str">
        <f>IFERROR(__xludf.DUMMYFUNCTION("""COMPUTED_VALUE"""),"EPSON")</f>
        <v>EPSON</v>
      </c>
      <c r="F729" s="2005" t="str">
        <f>IFERROR(__xludf.DUMMYFUNCTION("""COMPUTED_VALUE"""),"E")</f>
        <v>E</v>
      </c>
      <c r="G729" s="2005" t="str">
        <f>IFERROR(__xludf.DUMMYFUNCTION("""COMPUTED_VALUE"""),"NN")</f>
        <v>NN</v>
      </c>
      <c r="H729" s="2005">
        <f>IFERROR(__xludf.DUMMYFUNCTION("""COMPUTED_VALUE"""),649.99)</f>
        <v>649.99</v>
      </c>
      <c r="I729">
        <f>IFERROR(__xludf.DUMMYFUNCTION("""COMPUTED_VALUE"""),649.99)</f>
        <v>649.99</v>
      </c>
      <c r="BD729" s="2006"/>
      <c r="LM729" s="2007"/>
    </row>
    <row r="730">
      <c r="A730" s="2005">
        <f>IFERROR(__xludf.DUMMYFUNCTION("""COMPUTED_VALUE"""),1065630.0)</f>
        <v>1065630</v>
      </c>
      <c r="B730" s="2005">
        <f>IFERROR(__xludf.DUMMYFUNCTION("""COMPUTED_VALUE"""),2203005.0)</f>
        <v>2203005</v>
      </c>
      <c r="C730" s="2005" t="str">
        <f>IFERROR(__xludf.DUMMYFUNCTION("""COMPUTED_VALUE"""),"Scanner")</f>
        <v>Scanner</v>
      </c>
      <c r="D730" s="2005" t="str">
        <f>IFERROR(__xludf.DUMMYFUNCTION("""COMPUTED_VALUE"""),"ADS-2400N")</f>
        <v>ADS-2400N</v>
      </c>
      <c r="E730" s="2005" t="str">
        <f>IFERROR(__xludf.DUMMYFUNCTION("""COMPUTED_VALUE"""),"BROTHER")</f>
        <v>BROTHER</v>
      </c>
      <c r="F730" s="2005" t="str">
        <f>IFERROR(__xludf.DUMMYFUNCTION("""COMPUTED_VALUE"""),"W")</f>
        <v>W</v>
      </c>
      <c r="G730" s="2005" t="str">
        <f>IFERROR(__xludf.DUMMYFUNCTION("""COMPUTED_VALUE"""),"NN")</f>
        <v>NN</v>
      </c>
      <c r="H730" s="2005">
        <f>IFERROR(__xludf.DUMMYFUNCTION("""COMPUTED_VALUE"""),379.99)</f>
        <v>379.99</v>
      </c>
      <c r="I730" s="2005">
        <f>IFERROR(__xludf.DUMMYFUNCTION("""COMPUTED_VALUE"""),379.99)</f>
        <v>379.99</v>
      </c>
      <c r="BD730" s="2006"/>
      <c r="LM730" s="2007"/>
    </row>
    <row r="731">
      <c r="A731" s="2005">
        <f>IFERROR(__xludf.DUMMYFUNCTION("""COMPUTED_VALUE"""),1065737.0)</f>
        <v>1065737</v>
      </c>
      <c r="B731" s="2005">
        <f>IFERROR(__xludf.DUMMYFUNCTION("""COMPUTED_VALUE"""),2403010.0)</f>
        <v>2403010</v>
      </c>
      <c r="C731" s="2005" t="str">
        <f>IFERROR(__xludf.DUMMYFUNCTION("""COMPUTED_VALUE"""),"Toner")</f>
        <v>Toner</v>
      </c>
      <c r="D731" s="2005" t="str">
        <f>IFERROR(__xludf.DUMMYFUNCTION("""COMPUTED_VALUE"""),"N°304A TONER NOIR x2")</f>
        <v>N°304A TONER NOIR x2</v>
      </c>
      <c r="E731" s="2005" t="str">
        <f>IFERROR(__xludf.DUMMYFUNCTION("""COMPUTED_VALUE"""),"HP")</f>
        <v>HP</v>
      </c>
      <c r="F731" s="2005" t="str">
        <f>IFERROR(__xludf.DUMMYFUNCTION("""COMPUTED_VALUE"""),"H")</f>
        <v>H</v>
      </c>
      <c r="G731" s="2005" t="str">
        <f>IFERROR(__xludf.DUMMYFUNCTION("""COMPUTED_VALUE"""),"NN")</f>
        <v>NN</v>
      </c>
      <c r="H731" s="2005">
        <f>IFERROR(__xludf.DUMMYFUNCTION("""COMPUTED_VALUE"""),169.99)</f>
        <v>169.99</v>
      </c>
      <c r="I731">
        <f>IFERROR(__xludf.DUMMYFUNCTION("""COMPUTED_VALUE"""),169.99)</f>
        <v>169.99</v>
      </c>
      <c r="BD731" s="2006"/>
      <c r="LM731" s="2007"/>
    </row>
    <row r="732">
      <c r="A732" s="2005">
        <f>IFERROR(__xludf.DUMMYFUNCTION("""COMPUTED_VALUE"""),1065738.0)</f>
        <v>1065738</v>
      </c>
      <c r="B732" s="2005">
        <f>IFERROR(__xludf.DUMMYFUNCTION("""COMPUTED_VALUE"""),2403010.0)</f>
        <v>2403010</v>
      </c>
      <c r="C732" s="2005" t="str">
        <f>IFERROR(__xludf.DUMMYFUNCTION("""COMPUTED_VALUE"""),"Toner")</f>
        <v>Toner</v>
      </c>
      <c r="D732" s="2005" t="str">
        <f>IFERROR(__xludf.DUMMYFUNCTION("""COMPUTED_VALUE"""),"N°504A TONER NOIR")</f>
        <v>N°504A TONER NOIR</v>
      </c>
      <c r="E732" s="2005" t="str">
        <f>IFERROR(__xludf.DUMMYFUNCTION("""COMPUTED_VALUE"""),"HP")</f>
        <v>HP</v>
      </c>
      <c r="F732" s="2005" t="str">
        <f>IFERROR(__xludf.DUMMYFUNCTION("""COMPUTED_VALUE"""),"H")</f>
        <v>H</v>
      </c>
      <c r="G732" s="2005" t="str">
        <f>IFERROR(__xludf.DUMMYFUNCTION("""COMPUTED_VALUE"""),"NN")</f>
        <v>NN</v>
      </c>
      <c r="H732" s="2005">
        <f>IFERROR(__xludf.DUMMYFUNCTION("""COMPUTED_VALUE"""),135.99)</f>
        <v>135.99</v>
      </c>
      <c r="I732" s="2005">
        <f>IFERROR(__xludf.DUMMYFUNCTION("""COMPUTED_VALUE"""),135.99)</f>
        <v>135.99</v>
      </c>
      <c r="BD732" s="2006"/>
      <c r="LM732" s="2007"/>
    </row>
    <row r="733">
      <c r="A733" s="2005">
        <f>IFERROR(__xludf.DUMMYFUNCTION("""COMPUTED_VALUE"""),1065739.0)</f>
        <v>1065739</v>
      </c>
      <c r="B733" s="2005">
        <f>IFERROR(__xludf.DUMMYFUNCTION("""COMPUTED_VALUE"""),2403010.0)</f>
        <v>2403010</v>
      </c>
      <c r="C733" s="2005" t="str">
        <f>IFERROR(__xludf.DUMMYFUNCTION("""COMPUTED_VALUE"""),"Toner")</f>
        <v>Toner</v>
      </c>
      <c r="D733" s="2005" t="str">
        <f>IFERROR(__xludf.DUMMYFUNCTION("""COMPUTED_VALUE"""),"N°504X TONER NOIR")</f>
        <v>N°504X TONER NOIR</v>
      </c>
      <c r="E733" s="2005" t="str">
        <f>IFERROR(__xludf.DUMMYFUNCTION("""COMPUTED_VALUE"""),"HP")</f>
        <v>HP</v>
      </c>
      <c r="F733" s="2005" t="str">
        <f>IFERROR(__xludf.DUMMYFUNCTION("""COMPUTED_VALUE"""),"H")</f>
        <v>H</v>
      </c>
      <c r="G733" s="2005" t="str">
        <f>IFERROR(__xludf.DUMMYFUNCTION("""COMPUTED_VALUE"""),"NN")</f>
        <v>NN</v>
      </c>
      <c r="H733" s="2005">
        <f>IFERROR(__xludf.DUMMYFUNCTION("""COMPUTED_VALUE"""),199.99)</f>
        <v>199.99</v>
      </c>
      <c r="I733" s="2005">
        <f>IFERROR(__xludf.DUMMYFUNCTION("""COMPUTED_VALUE"""),199.99)</f>
        <v>199.99</v>
      </c>
      <c r="BD733" s="2006"/>
      <c r="LM733" s="2007"/>
    </row>
    <row r="734">
      <c r="A734" s="2005">
        <f>IFERROR(__xludf.DUMMYFUNCTION("""COMPUTED_VALUE"""),1065761.0)</f>
        <v>1065761</v>
      </c>
      <c r="B734" s="2005">
        <f>IFERROR(__xludf.DUMMYFUNCTION("""COMPUTED_VALUE"""),2403010.0)</f>
        <v>2403010</v>
      </c>
      <c r="C734" s="2005" t="str">
        <f>IFERROR(__xludf.DUMMYFUNCTION("""COMPUTED_VALUE"""),"Toner")</f>
        <v>Toner</v>
      </c>
      <c r="D734" s="2005" t="str">
        <f>IFERROR(__xludf.DUMMYFUNCTION("""COMPUTED_VALUE"""),"N°504A TONER JAUNE")</f>
        <v>N°504A TONER JAUNE</v>
      </c>
      <c r="E734" s="2005" t="str">
        <f>IFERROR(__xludf.DUMMYFUNCTION("""COMPUTED_VALUE"""),"HP")</f>
        <v>HP</v>
      </c>
      <c r="F734" s="2005" t="str">
        <f>IFERROR(__xludf.DUMMYFUNCTION("""COMPUTED_VALUE"""),"H")</f>
        <v>H</v>
      </c>
      <c r="G734" s="2005" t="str">
        <f>IFERROR(__xludf.DUMMYFUNCTION("""COMPUTED_VALUE"""),"NN")</f>
        <v>NN</v>
      </c>
      <c r="H734" s="2005">
        <f>IFERROR(__xludf.DUMMYFUNCTION("""COMPUTED_VALUE"""),254.99)</f>
        <v>254.99</v>
      </c>
      <c r="I734">
        <f>IFERROR(__xludf.DUMMYFUNCTION("""COMPUTED_VALUE"""),254.99)</f>
        <v>254.99</v>
      </c>
      <c r="BD734" s="2006"/>
      <c r="LM734" s="2007"/>
    </row>
    <row r="735">
      <c r="A735" s="2005">
        <f>IFERROR(__xludf.DUMMYFUNCTION("""COMPUTED_VALUE"""),1065763.0)</f>
        <v>1065763</v>
      </c>
      <c r="B735" s="2005">
        <f>IFERROR(__xludf.DUMMYFUNCTION("""COMPUTED_VALUE"""),2403010.0)</f>
        <v>2403010</v>
      </c>
      <c r="C735" s="2005" t="str">
        <f>IFERROR(__xludf.DUMMYFUNCTION("""COMPUTED_VALUE"""),"Toner")</f>
        <v>Toner</v>
      </c>
      <c r="D735" s="2005" t="str">
        <f>IFERROR(__xludf.DUMMYFUNCTION("""COMPUTED_VALUE"""),"N°55A TONER NOIR")</f>
        <v>N°55A TONER NOIR</v>
      </c>
      <c r="E735" s="2005" t="str">
        <f>IFERROR(__xludf.DUMMYFUNCTION("""COMPUTED_VALUE"""),"HP")</f>
        <v>HP</v>
      </c>
      <c r="F735" s="2005" t="str">
        <f>IFERROR(__xludf.DUMMYFUNCTION("""COMPUTED_VALUE"""),"H")</f>
        <v>H</v>
      </c>
      <c r="G735" s="2005" t="str">
        <f>IFERROR(__xludf.DUMMYFUNCTION("""COMPUTED_VALUE"""),"NN")</f>
        <v>NN</v>
      </c>
      <c r="H735" s="2005">
        <f>IFERROR(__xludf.DUMMYFUNCTION("""COMPUTED_VALUE"""),215.99)</f>
        <v>215.99</v>
      </c>
      <c r="I735" s="2005">
        <f>IFERROR(__xludf.DUMMYFUNCTION("""COMPUTED_VALUE"""),215.99)</f>
        <v>215.99</v>
      </c>
      <c r="BD735" s="2006"/>
      <c r="LM735" s="2007"/>
    </row>
    <row r="736">
      <c r="A736" s="2005">
        <f>IFERROR(__xludf.DUMMYFUNCTION("""COMPUTED_VALUE"""),1065765.0)</f>
        <v>1065765</v>
      </c>
      <c r="B736" s="2005">
        <f>IFERROR(__xludf.DUMMYFUNCTION("""COMPUTED_VALUE"""),2403010.0)</f>
        <v>2403010</v>
      </c>
      <c r="C736" s="2005" t="str">
        <f>IFERROR(__xludf.DUMMYFUNCTION("""COMPUTED_VALUE"""),"Toner")</f>
        <v>Toner</v>
      </c>
      <c r="D736" s="2005" t="str">
        <f>IFERROR(__xludf.DUMMYFUNCTION("""COMPUTED_VALUE"""),"N°305A TONER NOIR")</f>
        <v>N°305A TONER NOIR</v>
      </c>
      <c r="E736" s="2005" t="str">
        <f>IFERROR(__xludf.DUMMYFUNCTION("""COMPUTED_VALUE"""),"HP")</f>
        <v>HP</v>
      </c>
      <c r="F736" s="2005" t="str">
        <f>IFERROR(__xludf.DUMMYFUNCTION("""COMPUTED_VALUE"""),"H")</f>
        <v>H</v>
      </c>
      <c r="G736" s="2005" t="str">
        <f>IFERROR(__xludf.DUMMYFUNCTION("""COMPUTED_VALUE"""),"NN")</f>
        <v>NN</v>
      </c>
      <c r="H736" s="2005">
        <f>IFERROR(__xludf.DUMMYFUNCTION("""COMPUTED_VALUE"""),123.99)</f>
        <v>123.99</v>
      </c>
      <c r="I736" s="2005">
        <f>IFERROR(__xludf.DUMMYFUNCTION("""COMPUTED_VALUE"""),123.99)</f>
        <v>123.99</v>
      </c>
      <c r="BD736" s="2006"/>
      <c r="LM736" s="2007"/>
    </row>
    <row r="737">
      <c r="A737" s="2005">
        <f>IFERROR(__xludf.DUMMYFUNCTION("""COMPUTED_VALUE"""),1065766.0)</f>
        <v>1065766</v>
      </c>
      <c r="B737" s="2005">
        <f>IFERROR(__xludf.DUMMYFUNCTION("""COMPUTED_VALUE"""),2403010.0)</f>
        <v>2403010</v>
      </c>
      <c r="C737" s="2005" t="str">
        <f>IFERROR(__xludf.DUMMYFUNCTION("""COMPUTED_VALUE"""),"Toner")</f>
        <v>Toner</v>
      </c>
      <c r="D737" s="2005" t="str">
        <f>IFERROR(__xludf.DUMMYFUNCTION("""COMPUTED_VALUE"""),"N°305A TONER CYAN")</f>
        <v>N°305A TONER CYAN</v>
      </c>
      <c r="E737" s="2005" t="str">
        <f>IFERROR(__xludf.DUMMYFUNCTION("""COMPUTED_VALUE"""),"HP")</f>
        <v>HP</v>
      </c>
      <c r="F737" s="2005" t="str">
        <f>IFERROR(__xludf.DUMMYFUNCTION("""COMPUTED_VALUE"""),"H")</f>
        <v>H</v>
      </c>
      <c r="G737" s="2005" t="str">
        <f>IFERROR(__xludf.DUMMYFUNCTION("""COMPUTED_VALUE"""),"NN")</f>
        <v>NN</v>
      </c>
      <c r="H737" s="2005">
        <f>IFERROR(__xludf.DUMMYFUNCTION("""COMPUTED_VALUE"""),119.99)</f>
        <v>119.99</v>
      </c>
      <c r="I737" s="2005">
        <f>IFERROR(__xludf.DUMMYFUNCTION("""COMPUTED_VALUE"""),119.99)</f>
        <v>119.99</v>
      </c>
      <c r="BD737" s="2006"/>
      <c r="LM737" s="2007"/>
    </row>
    <row r="738">
      <c r="A738" s="2005">
        <f>IFERROR(__xludf.DUMMYFUNCTION("""COMPUTED_VALUE"""),1065767.0)</f>
        <v>1065767</v>
      </c>
      <c r="B738" s="2005">
        <f>IFERROR(__xludf.DUMMYFUNCTION("""COMPUTED_VALUE"""),2403010.0)</f>
        <v>2403010</v>
      </c>
      <c r="C738" s="2005" t="str">
        <f>IFERROR(__xludf.DUMMYFUNCTION("""COMPUTED_VALUE"""),"Toner")</f>
        <v>Toner</v>
      </c>
      <c r="D738" s="2005" t="str">
        <f>IFERROR(__xludf.DUMMYFUNCTION("""COMPUTED_VALUE"""),"N°305A TONER JAUNE")</f>
        <v>N°305A TONER JAUNE</v>
      </c>
      <c r="E738" s="2005" t="str">
        <f>IFERROR(__xludf.DUMMYFUNCTION("""COMPUTED_VALUE"""),"HP")</f>
        <v>HP</v>
      </c>
      <c r="F738" s="2005" t="str">
        <f>IFERROR(__xludf.DUMMYFUNCTION("""COMPUTED_VALUE"""),"H")</f>
        <v>H</v>
      </c>
      <c r="G738" s="2005" t="str">
        <f>IFERROR(__xludf.DUMMYFUNCTION("""COMPUTED_VALUE"""),"NN")</f>
        <v>NN</v>
      </c>
      <c r="H738" s="2005">
        <f>IFERROR(__xludf.DUMMYFUNCTION("""COMPUTED_VALUE"""),119.99)</f>
        <v>119.99</v>
      </c>
      <c r="I738" s="2005">
        <f>IFERROR(__xludf.DUMMYFUNCTION("""COMPUTED_VALUE"""),119.99)</f>
        <v>119.99</v>
      </c>
      <c r="BD738" s="2006"/>
      <c r="LM738" s="2007"/>
    </row>
    <row r="739">
      <c r="A739" s="2005">
        <f>IFERROR(__xludf.DUMMYFUNCTION("""COMPUTED_VALUE"""),1065768.0)</f>
        <v>1065768</v>
      </c>
      <c r="B739" s="2005">
        <f>IFERROR(__xludf.DUMMYFUNCTION("""COMPUTED_VALUE"""),2403010.0)</f>
        <v>2403010</v>
      </c>
      <c r="C739" s="2005" t="str">
        <f>IFERROR(__xludf.DUMMYFUNCTION("""COMPUTED_VALUE"""),"Toner")</f>
        <v>Toner</v>
      </c>
      <c r="D739" s="2005" t="str">
        <f>IFERROR(__xludf.DUMMYFUNCTION("""COMPUTED_VALUE"""),"N°305A TONER MAGENTA")</f>
        <v>N°305A TONER MAGENTA</v>
      </c>
      <c r="E739" s="2005" t="str">
        <f>IFERROR(__xludf.DUMMYFUNCTION("""COMPUTED_VALUE"""),"HP")</f>
        <v>HP</v>
      </c>
      <c r="F739" s="2005" t="str">
        <f>IFERROR(__xludf.DUMMYFUNCTION("""COMPUTED_VALUE"""),"H")</f>
        <v>H</v>
      </c>
      <c r="G739" s="2005" t="str">
        <f>IFERROR(__xludf.DUMMYFUNCTION("""COMPUTED_VALUE"""),"NN")</f>
        <v>NN</v>
      </c>
      <c r="H739" s="2005">
        <f>IFERROR(__xludf.DUMMYFUNCTION("""COMPUTED_VALUE"""),119.99)</f>
        <v>119.99</v>
      </c>
      <c r="I739" s="2005">
        <f>IFERROR(__xludf.DUMMYFUNCTION("""COMPUTED_VALUE"""),119.99)</f>
        <v>119.99</v>
      </c>
      <c r="BD739" s="2006"/>
      <c r="LM739" s="2007"/>
    </row>
    <row r="740">
      <c r="A740" s="2005">
        <f>IFERROR(__xludf.DUMMYFUNCTION("""COMPUTED_VALUE"""),1065770.0)</f>
        <v>1065770</v>
      </c>
      <c r="B740" s="2005">
        <f>IFERROR(__xludf.DUMMYFUNCTION("""COMPUTED_VALUE"""),2403010.0)</f>
        <v>2403010</v>
      </c>
      <c r="C740" s="2005" t="str">
        <f>IFERROR(__xludf.DUMMYFUNCTION("""COMPUTED_VALUE"""),"Toner")</f>
        <v>Toner</v>
      </c>
      <c r="D740" s="2005" t="str">
        <f>IFERROR(__xludf.DUMMYFUNCTION("""COMPUTED_VALUE"""),"N°05X TONER NOIR x2")</f>
        <v>N°05X TONER NOIR x2</v>
      </c>
      <c r="E740" s="2005" t="str">
        <f>IFERROR(__xludf.DUMMYFUNCTION("""COMPUTED_VALUE"""),"HP")</f>
        <v>HP</v>
      </c>
      <c r="F740" s="2005" t="str">
        <f>IFERROR(__xludf.DUMMYFUNCTION("""COMPUTED_VALUE"""),"H")</f>
        <v>H</v>
      </c>
      <c r="G740" s="2005" t="str">
        <f>IFERROR(__xludf.DUMMYFUNCTION("""COMPUTED_VALUE"""),"NN")</f>
        <v>NN</v>
      </c>
      <c r="H740" s="2005">
        <f>IFERROR(__xludf.DUMMYFUNCTION("""COMPUTED_VALUE"""),20.24)</f>
        <v>20.24</v>
      </c>
      <c r="I740" s="2005">
        <f>IFERROR(__xludf.DUMMYFUNCTION("""COMPUTED_VALUE"""),20.24)</f>
        <v>20.24</v>
      </c>
      <c r="BD740" s="2006"/>
      <c r="LM740" s="2007"/>
    </row>
    <row r="741">
      <c r="A741" s="2005">
        <f>IFERROR(__xludf.DUMMYFUNCTION("""COMPUTED_VALUE"""),1065772.0)</f>
        <v>1065772</v>
      </c>
      <c r="B741" s="2005">
        <f>IFERROR(__xludf.DUMMYFUNCTION("""COMPUTED_VALUE"""),2403010.0)</f>
        <v>2403010</v>
      </c>
      <c r="C741" s="2005" t="str">
        <f>IFERROR(__xludf.DUMMYFUNCTION("""COMPUTED_VALUE"""),"Toner")</f>
        <v>Toner</v>
      </c>
      <c r="D741" s="2005" t="str">
        <f>IFERROR(__xludf.DUMMYFUNCTION("""COMPUTED_VALUE"""),"N°305A TONER JAUNE")</f>
        <v>N°305A TONER JAUNE</v>
      </c>
      <c r="E741" s="2005" t="str">
        <f>IFERROR(__xludf.DUMMYFUNCTION("""COMPUTED_VALUE"""),"HP")</f>
        <v>HP</v>
      </c>
      <c r="F741" s="2005" t="str">
        <f>IFERROR(__xludf.DUMMYFUNCTION("""COMPUTED_VALUE"""),"H")</f>
        <v>H</v>
      </c>
      <c r="G741" s="2005" t="str">
        <f>IFERROR(__xludf.DUMMYFUNCTION("""COMPUTED_VALUE"""),"NN")</f>
        <v>NN</v>
      </c>
      <c r="H741" s="2005">
        <f>IFERROR(__xludf.DUMMYFUNCTION("""COMPUTED_VALUE"""),107.99)</f>
        <v>107.99</v>
      </c>
      <c r="I741" s="2005">
        <f>IFERROR(__xludf.DUMMYFUNCTION("""COMPUTED_VALUE"""),107.99)</f>
        <v>107.99</v>
      </c>
      <c r="BD741" s="2006"/>
      <c r="LM741" s="2007"/>
    </row>
    <row r="742">
      <c r="A742" s="2005">
        <f>IFERROR(__xludf.DUMMYFUNCTION("""COMPUTED_VALUE"""),1066071.0)</f>
        <v>1066071</v>
      </c>
      <c r="B742" s="2005">
        <f>IFERROR(__xludf.DUMMYFUNCTION("""COMPUTED_VALUE"""),2502040.0)</f>
        <v>2502040</v>
      </c>
      <c r="C742" s="2005" t="str">
        <f>IFERROR(__xludf.DUMMYFUNCTION("""COMPUTED_VALUE"""),"Alim")</f>
        <v>Alim</v>
      </c>
      <c r="D742" s="2005" t="str">
        <f>IFERROR(__xludf.DUMMYFUNCTION("""COMPUTED_VALUE"""),"Bloc d'alimentation 65 W Surface")</f>
        <v>Bloc d'alimentation 65 W Surface</v>
      </c>
      <c r="E742" s="2005" t="str">
        <f>IFERROR(__xludf.DUMMYFUNCTION("""COMPUTED_VALUE"""),"MICROSOFT")</f>
        <v>MICROSOFT</v>
      </c>
      <c r="F742" s="2005" t="str">
        <f>IFERROR(__xludf.DUMMYFUNCTION("""COMPUTED_VALUE"""),"A")</f>
        <v>A</v>
      </c>
      <c r="G742" s="2005" t="str">
        <f>IFERROR(__xludf.DUMMYFUNCTION("""COMPUTED_VALUE"""),"FF")</f>
        <v>FF</v>
      </c>
      <c r="H742" s="2005">
        <f>IFERROR(__xludf.DUMMYFUNCTION("""COMPUTED_VALUE"""),89.95)</f>
        <v>89.95</v>
      </c>
      <c r="I742" s="2005">
        <f>IFERROR(__xludf.DUMMYFUNCTION("""COMPUTED_VALUE"""),89.95)</f>
        <v>89.95</v>
      </c>
      <c r="BD742" s="2006"/>
      <c r="LM742" s="2007"/>
    </row>
    <row r="743">
      <c r="A743" s="2005">
        <f>IFERROR(__xludf.DUMMYFUNCTION("""COMPUTED_VALUE"""),1066156.0)</f>
        <v>1066156</v>
      </c>
      <c r="B743" s="2005">
        <f>IFERROR(__xludf.DUMMYFUNCTION("""COMPUTED_VALUE"""),2403005.0)</f>
        <v>2403005</v>
      </c>
      <c r="C743" s="2005" t="str">
        <f>IFERROR(__xludf.DUMMYFUNCTION("""COMPUTED_VALUE"""),"Cartouche")</f>
        <v>Cartouche</v>
      </c>
      <c r="D743" s="2005" t="str">
        <f>IFERROR(__xludf.DUMMYFUNCTION("""COMPUTED_VALUE"""),"N°24 XL Pack 6 cartouches")</f>
        <v>N°24 XL Pack 6 cartouches</v>
      </c>
      <c r="E743" s="2005" t="str">
        <f>IFERROR(__xludf.DUMMYFUNCTION("""COMPUTED_VALUE"""),"EPSON")</f>
        <v>EPSON</v>
      </c>
      <c r="F743" s="2005" t="str">
        <f>IFERROR(__xludf.DUMMYFUNCTION("""COMPUTED_VALUE"""),"H")</f>
        <v>H</v>
      </c>
      <c r="G743" s="2005" t="str">
        <f>IFERROR(__xludf.DUMMYFUNCTION("""COMPUTED_VALUE"""),"AC")</f>
        <v>AC</v>
      </c>
      <c r="H743" s="2005">
        <f>IFERROR(__xludf.DUMMYFUNCTION("""COMPUTED_VALUE"""),127.0)</f>
        <v>127</v>
      </c>
      <c r="I743" s="2005">
        <f>IFERROR(__xludf.DUMMYFUNCTION("""COMPUTED_VALUE"""),127.0)</f>
        <v>127</v>
      </c>
      <c r="BD743" s="2006"/>
      <c r="LM743" s="2007"/>
    </row>
    <row r="744">
      <c r="A744" s="2005">
        <f>IFERROR(__xludf.DUMMYFUNCTION("""COMPUTED_VALUE"""),1066434.0)</f>
        <v>1066434</v>
      </c>
      <c r="B744" s="2005">
        <f>IFERROR(__xludf.DUMMYFUNCTION("""COMPUTED_VALUE"""),2403010.0)</f>
        <v>2403010</v>
      </c>
      <c r="C744" s="2005" t="str">
        <f>IFERROR(__xludf.DUMMYFUNCTION("""COMPUTED_VALUE"""),"Toner")</f>
        <v>Toner</v>
      </c>
      <c r="D744" s="2005" t="str">
        <f>IFERROR(__xludf.DUMMYFUNCTION("""COMPUTED_VALUE"""),"N°78A Noir x 2")</f>
        <v>N°78A Noir x 2</v>
      </c>
      <c r="E744" s="2005" t="str">
        <f>IFERROR(__xludf.DUMMYFUNCTION("""COMPUTED_VALUE"""),"HP")</f>
        <v>HP</v>
      </c>
      <c r="F744" s="2005" t="str">
        <f>IFERROR(__xludf.DUMMYFUNCTION("""COMPUTED_VALUE"""),"H")</f>
        <v>H</v>
      </c>
      <c r="G744" s="2005" t="str">
        <f>IFERROR(__xludf.DUMMYFUNCTION("""COMPUTED_VALUE"""),"NN")</f>
        <v>NN</v>
      </c>
      <c r="H744" s="2005">
        <f>IFERROR(__xludf.DUMMYFUNCTION("""COMPUTED_VALUE"""),169.99)</f>
        <v>169.99</v>
      </c>
      <c r="I744" s="2005">
        <f>IFERROR(__xludf.DUMMYFUNCTION("""COMPUTED_VALUE"""),169.99)</f>
        <v>169.99</v>
      </c>
      <c r="BD744" s="2006"/>
      <c r="LM744" s="2007"/>
    </row>
    <row r="745">
      <c r="A745" s="2005">
        <f>IFERROR(__xludf.DUMMYFUNCTION("""COMPUTED_VALUE"""),1066435.0)</f>
        <v>1066435</v>
      </c>
      <c r="B745" s="2005">
        <f>IFERROR(__xludf.DUMMYFUNCTION("""COMPUTED_VALUE"""),2403010.0)</f>
        <v>2403010</v>
      </c>
      <c r="C745" s="2005" t="str">
        <f>IFERROR(__xludf.DUMMYFUNCTION("""COMPUTED_VALUE"""),"Toner")</f>
        <v>Toner</v>
      </c>
      <c r="D745" s="2005" t="str">
        <f>IFERROR(__xludf.DUMMYFUNCTION("""COMPUTED_VALUE"""),"N°85A Noir x 2")</f>
        <v>N°85A Noir x 2</v>
      </c>
      <c r="E745" s="2005" t="str">
        <f>IFERROR(__xludf.DUMMYFUNCTION("""COMPUTED_VALUE"""),"HP")</f>
        <v>HP</v>
      </c>
      <c r="F745" s="2005" t="str">
        <f>IFERROR(__xludf.DUMMYFUNCTION("""COMPUTED_VALUE"""),"H")</f>
        <v>H</v>
      </c>
      <c r="G745" s="2005" t="str">
        <f>IFERROR(__xludf.DUMMYFUNCTION("""COMPUTED_VALUE"""),"NN")</f>
        <v>NN</v>
      </c>
      <c r="H745" s="2005">
        <f>IFERROR(__xludf.DUMMYFUNCTION("""COMPUTED_VALUE"""),123.99)</f>
        <v>123.99</v>
      </c>
      <c r="I745" s="2005">
        <f>IFERROR(__xludf.DUMMYFUNCTION("""COMPUTED_VALUE"""),123.99)</f>
        <v>123.99</v>
      </c>
      <c r="BD745" s="2006"/>
      <c r="LM745" s="2007"/>
    </row>
    <row r="746">
      <c r="A746" s="2005">
        <f>IFERROR(__xludf.DUMMYFUNCTION("""COMPUTED_VALUE"""),1066436.0)</f>
        <v>1066436</v>
      </c>
      <c r="B746" s="2005">
        <f>IFERROR(__xludf.DUMMYFUNCTION("""COMPUTED_VALUE"""),2403010.0)</f>
        <v>2403010</v>
      </c>
      <c r="C746" s="2005" t="str">
        <f>IFERROR(__xludf.DUMMYFUNCTION("""COMPUTED_VALUE"""),"Toner")</f>
        <v>Toner</v>
      </c>
      <c r="D746" s="2005" t="str">
        <f>IFERROR(__xludf.DUMMYFUNCTION("""COMPUTED_VALUE"""),"N°12A Noir x 2")</f>
        <v>N°12A Noir x 2</v>
      </c>
      <c r="E746" s="2005" t="str">
        <f>IFERROR(__xludf.DUMMYFUNCTION("""COMPUTED_VALUE"""),"HP")</f>
        <v>HP</v>
      </c>
      <c r="F746" s="2005" t="str">
        <f>IFERROR(__xludf.DUMMYFUNCTION("""COMPUTED_VALUE"""),"H")</f>
        <v>H</v>
      </c>
      <c r="G746" s="2005" t="str">
        <f>IFERROR(__xludf.DUMMYFUNCTION("""COMPUTED_VALUE"""),"NN")</f>
        <v>NN</v>
      </c>
      <c r="H746" s="2005">
        <f>IFERROR(__xludf.DUMMYFUNCTION("""COMPUTED_VALUE"""),206.99)</f>
        <v>206.99</v>
      </c>
      <c r="I746" s="2005">
        <f>IFERROR(__xludf.DUMMYFUNCTION("""COMPUTED_VALUE"""),206.99)</f>
        <v>206.99</v>
      </c>
      <c r="BD746" s="2006"/>
      <c r="LM746" s="2007"/>
    </row>
    <row r="747">
      <c r="A747" s="2005">
        <f>IFERROR(__xludf.DUMMYFUNCTION("""COMPUTED_VALUE"""),1066620.0)</f>
        <v>1066620</v>
      </c>
      <c r="B747" s="2005">
        <f>IFERROR(__xludf.DUMMYFUNCTION("""COMPUTED_VALUE"""),2403005.0)</f>
        <v>2403005</v>
      </c>
      <c r="C747" s="2005" t="str">
        <f>IFERROR(__xludf.DUMMYFUNCTION("""COMPUTED_VALUE"""),"Cartouche")</f>
        <v>Cartouche</v>
      </c>
      <c r="D747" s="2005" t="str">
        <f>IFERROR(__xludf.DUMMYFUNCTION("""COMPUTED_VALUE"""),"Ecotank Bouteille Noir T664")</f>
        <v>Ecotank Bouteille Noir T664</v>
      </c>
      <c r="E747" s="2005" t="str">
        <f>IFERROR(__xludf.DUMMYFUNCTION("""COMPUTED_VALUE"""),"EPSON")</f>
        <v>EPSON</v>
      </c>
      <c r="F747" s="2005" t="str">
        <f>IFERROR(__xludf.DUMMYFUNCTION("""COMPUTED_VALUE"""),"B")</f>
        <v>B</v>
      </c>
      <c r="G747" s="2005" t="str">
        <f>IFERROR(__xludf.DUMMYFUNCTION("""COMPUTED_VALUE"""),"AC")</f>
        <v>AC</v>
      </c>
      <c r="H747" s="2005">
        <f>IFERROR(__xludf.DUMMYFUNCTION("""COMPUTED_VALUE"""),10.98)</f>
        <v>10.98</v>
      </c>
      <c r="I747" s="2005">
        <f>IFERROR(__xludf.DUMMYFUNCTION("""COMPUTED_VALUE"""),10.98)</f>
        <v>10.98</v>
      </c>
      <c r="BD747" s="2006"/>
      <c r="LM747" s="2007"/>
    </row>
    <row r="748">
      <c r="A748" s="2005">
        <f>IFERROR(__xludf.DUMMYFUNCTION("""COMPUTED_VALUE"""),1066641.0)</f>
        <v>1066641</v>
      </c>
      <c r="B748" s="2005">
        <f>IFERROR(__xludf.DUMMYFUNCTION("""COMPUTED_VALUE"""),2403005.0)</f>
        <v>2403005</v>
      </c>
      <c r="C748" s="2005" t="str">
        <f>IFERROR(__xludf.DUMMYFUNCTION("""COMPUTED_VALUE"""),"Cartouche")</f>
        <v>Cartouche</v>
      </c>
      <c r="D748" s="2005" t="str">
        <f>IFERROR(__xludf.DUMMYFUNCTION("""COMPUTED_VALUE"""),"Ecotank Bouteille Cyan T6642")</f>
        <v>Ecotank Bouteille Cyan T6642</v>
      </c>
      <c r="E748" s="2005" t="str">
        <f>IFERROR(__xludf.DUMMYFUNCTION("""COMPUTED_VALUE"""),"EPSON")</f>
        <v>EPSON</v>
      </c>
      <c r="F748" s="2005" t="str">
        <f>IFERROR(__xludf.DUMMYFUNCTION("""COMPUTED_VALUE"""),"H")</f>
        <v>H</v>
      </c>
      <c r="G748" s="2005" t="str">
        <f>IFERROR(__xludf.DUMMYFUNCTION("""COMPUTED_VALUE"""),"AC")</f>
        <v>AC</v>
      </c>
      <c r="H748" s="2005">
        <f>IFERROR(__xludf.DUMMYFUNCTION("""COMPUTED_VALUE"""),10.98)</f>
        <v>10.98</v>
      </c>
      <c r="I748" s="2005">
        <f>IFERROR(__xludf.DUMMYFUNCTION("""COMPUTED_VALUE"""),10.98)</f>
        <v>10.98</v>
      </c>
      <c r="BD748" s="2006"/>
      <c r="LM748" s="2007"/>
    </row>
    <row r="749">
      <c r="A749" s="2005">
        <f>IFERROR(__xludf.DUMMYFUNCTION("""COMPUTED_VALUE"""),1066642.0)</f>
        <v>1066642</v>
      </c>
      <c r="B749" s="2005">
        <f>IFERROR(__xludf.DUMMYFUNCTION("""COMPUTED_VALUE"""),2403005.0)</f>
        <v>2403005</v>
      </c>
      <c r="C749" s="2005" t="str">
        <f>IFERROR(__xludf.DUMMYFUNCTION("""COMPUTED_VALUE"""),"Cartouche")</f>
        <v>Cartouche</v>
      </c>
      <c r="D749" s="2005" t="str">
        <f>IFERROR(__xludf.DUMMYFUNCTION("""COMPUTED_VALUE"""),"Ecotank Bouteille Magenta T6643")</f>
        <v>Ecotank Bouteille Magenta T6643</v>
      </c>
      <c r="E749" s="2005" t="str">
        <f>IFERROR(__xludf.DUMMYFUNCTION("""COMPUTED_VALUE"""),"EPSON")</f>
        <v>EPSON</v>
      </c>
      <c r="F749" s="2005" t="str">
        <f>IFERROR(__xludf.DUMMYFUNCTION("""COMPUTED_VALUE"""),"H")</f>
        <v>H</v>
      </c>
      <c r="G749" s="2005" t="str">
        <f>IFERROR(__xludf.DUMMYFUNCTION("""COMPUTED_VALUE"""),"AC")</f>
        <v>AC</v>
      </c>
      <c r="H749" s="2005">
        <f>IFERROR(__xludf.DUMMYFUNCTION("""COMPUTED_VALUE"""),10.98)</f>
        <v>10.98</v>
      </c>
      <c r="I749" s="2005">
        <f>IFERROR(__xludf.DUMMYFUNCTION("""COMPUTED_VALUE"""),10.98)</f>
        <v>10.98</v>
      </c>
      <c r="BD749" s="2006"/>
      <c r="LM749" s="2007"/>
    </row>
    <row r="750">
      <c r="A750" s="2005">
        <f>IFERROR(__xludf.DUMMYFUNCTION("""COMPUTED_VALUE"""),1066643.0)</f>
        <v>1066643</v>
      </c>
      <c r="B750" s="2005">
        <f>IFERROR(__xludf.DUMMYFUNCTION("""COMPUTED_VALUE"""),2403005.0)</f>
        <v>2403005</v>
      </c>
      <c r="C750" s="2005" t="str">
        <f>IFERROR(__xludf.DUMMYFUNCTION("""COMPUTED_VALUE"""),"Cartouche")</f>
        <v>Cartouche</v>
      </c>
      <c r="D750" s="2005" t="str">
        <f>IFERROR(__xludf.DUMMYFUNCTION("""COMPUTED_VALUE"""),"Ecotank Bouteille Jaune T6644")</f>
        <v>Ecotank Bouteille Jaune T6644</v>
      </c>
      <c r="E750" s="2005" t="str">
        <f>IFERROR(__xludf.DUMMYFUNCTION("""COMPUTED_VALUE"""),"EPSON")</f>
        <v>EPSON</v>
      </c>
      <c r="F750" s="2005" t="str">
        <f>IFERROR(__xludf.DUMMYFUNCTION("""COMPUTED_VALUE"""),"H")</f>
        <v>H</v>
      </c>
      <c r="G750" s="2005" t="str">
        <f>IFERROR(__xludf.DUMMYFUNCTION("""COMPUTED_VALUE"""),"AC")</f>
        <v>AC</v>
      </c>
      <c r="H750">
        <f>IFERROR(__xludf.DUMMYFUNCTION("""COMPUTED_VALUE"""),10.98)</f>
        <v>10.98</v>
      </c>
      <c r="I750">
        <f>IFERROR(__xludf.DUMMYFUNCTION("""COMPUTED_VALUE"""),10.98)</f>
        <v>10.98</v>
      </c>
      <c r="BD750" s="2006"/>
      <c r="LM750" s="2007"/>
    </row>
    <row r="751">
      <c r="A751" s="2005">
        <f>IFERROR(__xludf.DUMMYFUNCTION("""COMPUTED_VALUE"""),1066711.0)</f>
        <v>1066711</v>
      </c>
      <c r="B751" s="2005">
        <f>IFERROR(__xludf.DUMMYFUNCTION("""COMPUTED_VALUE"""),2403005.0)</f>
        <v>2403005</v>
      </c>
      <c r="C751" s="2005" t="str">
        <f>IFERROR(__xludf.DUMMYFUNCTION("""COMPUTED_VALUE"""),"Cartouche")</f>
        <v>Cartouche</v>
      </c>
      <c r="D751" s="2005" t="str">
        <f>IFERROR(__xludf.DUMMYFUNCTION("""COMPUTED_VALUE"""),"Ecotank Bout. Noire T7744")</f>
        <v>Ecotank Bout. Noire T7744</v>
      </c>
      <c r="E751" s="2005" t="str">
        <f>IFERROR(__xludf.DUMMYFUNCTION("""COMPUTED_VALUE"""),"EPSON")</f>
        <v>EPSON</v>
      </c>
      <c r="F751" s="2005" t="str">
        <f>IFERROR(__xludf.DUMMYFUNCTION("""COMPUTED_VALUE"""),"E")</f>
        <v>E</v>
      </c>
      <c r="G751" s="2005" t="str">
        <f>IFERROR(__xludf.DUMMYFUNCTION("""COMPUTED_VALUE"""),"NN")</f>
        <v>NN</v>
      </c>
      <c r="H751" s="2005">
        <f>IFERROR(__xludf.DUMMYFUNCTION("""COMPUTED_VALUE"""),15.98)</f>
        <v>15.98</v>
      </c>
      <c r="I751" s="2005">
        <f>IFERROR(__xludf.DUMMYFUNCTION("""COMPUTED_VALUE"""),15.98)</f>
        <v>15.98</v>
      </c>
      <c r="BD751" s="2006"/>
      <c r="LM751" s="2007"/>
    </row>
    <row r="752">
      <c r="A752" s="2005">
        <f>IFERROR(__xludf.DUMMYFUNCTION("""COMPUTED_VALUE"""),1067017.0)</f>
        <v>1067017</v>
      </c>
      <c r="B752" s="2005">
        <f>IFERROR(__xludf.DUMMYFUNCTION("""COMPUTED_VALUE"""),2403005.0)</f>
        <v>2403005</v>
      </c>
      <c r="C752" s="2005" t="str">
        <f>IFERROR(__xludf.DUMMYFUNCTION("""COMPUTED_VALUE"""),"Cartouche")</f>
        <v>Cartouche</v>
      </c>
      <c r="D752" s="2005" t="str">
        <f>IFERROR(__xludf.DUMMYFUNCTION("""COMPUTED_VALUE"""),"N°302 XL 3 couleurs")</f>
        <v>N°302 XL 3 couleurs</v>
      </c>
      <c r="E752" s="2005" t="str">
        <f>IFERROR(__xludf.DUMMYFUNCTION("""COMPUTED_VALUE"""),"HP")</f>
        <v>HP</v>
      </c>
      <c r="F752" s="2005" t="str">
        <f>IFERROR(__xludf.DUMMYFUNCTION("""COMPUTED_VALUE"""),"C")</f>
        <v>C</v>
      </c>
      <c r="G752" s="2005" t="str">
        <f>IFERROR(__xludf.DUMMYFUNCTION("""COMPUTED_VALUE"""),"AC")</f>
        <v>AC</v>
      </c>
      <c r="H752" s="2005">
        <f>IFERROR(__xludf.DUMMYFUNCTION("""COMPUTED_VALUE"""),41.99)</f>
        <v>41.99</v>
      </c>
      <c r="I752" s="2005">
        <f>IFERROR(__xludf.DUMMYFUNCTION("""COMPUTED_VALUE"""),41.99)</f>
        <v>41.99</v>
      </c>
      <c r="BD752" s="2006"/>
      <c r="LM752" s="2007"/>
    </row>
    <row r="753">
      <c r="A753" s="2005">
        <f>IFERROR(__xludf.DUMMYFUNCTION("""COMPUTED_VALUE"""),1067021.0)</f>
        <v>1067021</v>
      </c>
      <c r="B753" s="2005">
        <f>IFERROR(__xludf.DUMMYFUNCTION("""COMPUTED_VALUE"""),2403005.0)</f>
        <v>2403005</v>
      </c>
      <c r="C753" s="2005" t="str">
        <f>IFERROR(__xludf.DUMMYFUNCTION("""COMPUTED_VALUE"""),"Cartouche")</f>
        <v>Cartouche</v>
      </c>
      <c r="D753" s="2005" t="str">
        <f>IFERROR(__xludf.DUMMYFUNCTION("""COMPUTED_VALUE"""),"PGI-72 Cyan")</f>
        <v>PGI-72 Cyan</v>
      </c>
      <c r="E753" s="2005" t="str">
        <f>IFERROR(__xludf.DUMMYFUNCTION("""COMPUTED_VALUE"""),"CANON")</f>
        <v>CANON</v>
      </c>
      <c r="F753" s="2005" t="str">
        <f>IFERROR(__xludf.DUMMYFUNCTION("""COMPUTED_VALUE"""),"H")</f>
        <v>H</v>
      </c>
      <c r="G753" s="2005" t="str">
        <f>IFERROR(__xludf.DUMMYFUNCTION("""COMPUTED_VALUE"""),"NN")</f>
        <v>NN</v>
      </c>
      <c r="H753" s="2005">
        <f>IFERROR(__xludf.DUMMYFUNCTION("""COMPUTED_VALUE"""),11.99)</f>
        <v>11.99</v>
      </c>
      <c r="I753" s="2005">
        <f>IFERROR(__xludf.DUMMYFUNCTION("""COMPUTED_VALUE"""),11.99)</f>
        <v>11.99</v>
      </c>
      <c r="BD753" s="2006"/>
      <c r="LM753" s="2007"/>
    </row>
    <row r="754">
      <c r="A754" s="2005">
        <f>IFERROR(__xludf.DUMMYFUNCTION("""COMPUTED_VALUE"""),1067022.0)</f>
        <v>1067022</v>
      </c>
      <c r="B754" s="2005">
        <f>IFERROR(__xludf.DUMMYFUNCTION("""COMPUTED_VALUE"""),2403005.0)</f>
        <v>2403005</v>
      </c>
      <c r="C754" s="2005" t="str">
        <f>IFERROR(__xludf.DUMMYFUNCTION("""COMPUTED_VALUE"""),"Cartouche")</f>
        <v>Cartouche</v>
      </c>
      <c r="D754" s="2005" t="str">
        <f>IFERROR(__xludf.DUMMYFUNCTION("""COMPUTED_VALUE"""),"PGI-72 Magenta")</f>
        <v>PGI-72 Magenta</v>
      </c>
      <c r="E754" s="2005" t="str">
        <f>IFERROR(__xludf.DUMMYFUNCTION("""COMPUTED_VALUE"""),"CANON")</f>
        <v>CANON</v>
      </c>
      <c r="F754" s="2005" t="str">
        <f>IFERROR(__xludf.DUMMYFUNCTION("""COMPUTED_VALUE"""),"H")</f>
        <v>H</v>
      </c>
      <c r="G754" s="2005" t="str">
        <f>IFERROR(__xludf.DUMMYFUNCTION("""COMPUTED_VALUE"""),"NN")</f>
        <v>NN</v>
      </c>
      <c r="H754" s="2005">
        <f>IFERROR(__xludf.DUMMYFUNCTION("""COMPUTED_VALUE"""),11.99)</f>
        <v>11.99</v>
      </c>
      <c r="I754" s="2005">
        <f>IFERROR(__xludf.DUMMYFUNCTION("""COMPUTED_VALUE"""),11.99)</f>
        <v>11.99</v>
      </c>
      <c r="BD754" s="2006"/>
      <c r="LM754" s="2007"/>
    </row>
    <row r="755">
      <c r="A755" s="2005">
        <f>IFERROR(__xludf.DUMMYFUNCTION("""COMPUTED_VALUE"""),1067028.0)</f>
        <v>1067028</v>
      </c>
      <c r="B755" s="2005">
        <f>IFERROR(__xludf.DUMMYFUNCTION("""COMPUTED_VALUE"""),2403005.0)</f>
        <v>2403005</v>
      </c>
      <c r="C755" s="2005" t="str">
        <f>IFERROR(__xludf.DUMMYFUNCTION("""COMPUTED_VALUE"""),"Cartouche")</f>
        <v>Cartouche</v>
      </c>
      <c r="D755" s="2005" t="str">
        <f>IFERROR(__xludf.DUMMYFUNCTION("""COMPUTED_VALUE"""),"PGI-72 Gris")</f>
        <v>PGI-72 Gris</v>
      </c>
      <c r="E755" s="2005" t="str">
        <f>IFERROR(__xludf.DUMMYFUNCTION("""COMPUTED_VALUE"""),"CANON")</f>
        <v>CANON</v>
      </c>
      <c r="F755" s="2005" t="str">
        <f>IFERROR(__xludf.DUMMYFUNCTION("""COMPUTED_VALUE"""),"H")</f>
        <v>H</v>
      </c>
      <c r="G755" s="2005" t="str">
        <f>IFERROR(__xludf.DUMMYFUNCTION("""COMPUTED_VALUE"""),"AC")</f>
        <v>AC</v>
      </c>
      <c r="H755" s="2005">
        <f>IFERROR(__xludf.DUMMYFUNCTION("""COMPUTED_VALUE"""),11.99)</f>
        <v>11.99</v>
      </c>
      <c r="I755">
        <f>IFERROR(__xludf.DUMMYFUNCTION("""COMPUTED_VALUE"""),11.99)</f>
        <v>11.99</v>
      </c>
      <c r="BD755" s="2006"/>
      <c r="LM755" s="2007"/>
    </row>
    <row r="756">
      <c r="A756" s="2005">
        <f>IFERROR(__xludf.DUMMYFUNCTION("""COMPUTED_VALUE"""),1067031.0)</f>
        <v>1067031</v>
      </c>
      <c r="B756" s="2005">
        <f>IFERROR(__xludf.DUMMYFUNCTION("""COMPUTED_VALUE"""),2403005.0)</f>
        <v>2403005</v>
      </c>
      <c r="C756" s="2005" t="str">
        <f>IFERROR(__xludf.DUMMYFUNCTION("""COMPUTED_VALUE"""),"Cartouche")</f>
        <v>Cartouche</v>
      </c>
      <c r="D756" s="2005" t="str">
        <f>IFERROR(__xludf.DUMMYFUNCTION("""COMPUTED_VALUE"""),"PGI-72 Noir Photo")</f>
        <v>PGI-72 Noir Photo</v>
      </c>
      <c r="E756" s="2005" t="str">
        <f>IFERROR(__xludf.DUMMYFUNCTION("""COMPUTED_VALUE"""),"CANON")</f>
        <v>CANON</v>
      </c>
      <c r="F756" s="2005" t="str">
        <f>IFERROR(__xludf.DUMMYFUNCTION("""COMPUTED_VALUE"""),"H")</f>
        <v>H</v>
      </c>
      <c r="G756" s="2005" t="str">
        <f>IFERROR(__xludf.DUMMYFUNCTION("""COMPUTED_VALUE"""),"NN")</f>
        <v>NN</v>
      </c>
      <c r="H756" s="2005">
        <f>IFERROR(__xludf.DUMMYFUNCTION("""COMPUTED_VALUE"""),11.99)</f>
        <v>11.99</v>
      </c>
      <c r="I756" s="2005">
        <f>IFERROR(__xludf.DUMMYFUNCTION("""COMPUTED_VALUE"""),11.99)</f>
        <v>11.99</v>
      </c>
      <c r="BD756" s="2006"/>
      <c r="LM756" s="2007"/>
    </row>
    <row r="757">
      <c r="A757" s="2005">
        <f>IFERROR(__xludf.DUMMYFUNCTION("""COMPUTED_VALUE"""),1067033.0)</f>
        <v>1067033</v>
      </c>
      <c r="B757" s="2005">
        <f>IFERROR(__xludf.DUMMYFUNCTION("""COMPUTED_VALUE"""),2403005.0)</f>
        <v>2403005</v>
      </c>
      <c r="C757" s="2005" t="str">
        <f>IFERROR(__xludf.DUMMYFUNCTION("""COMPUTED_VALUE"""),"Cartouche")</f>
        <v>Cartouche</v>
      </c>
      <c r="D757" s="2005" t="str">
        <f>IFERROR(__xludf.DUMMYFUNCTION("""COMPUTED_VALUE"""),"PGI-72 Magenta Photo")</f>
        <v>PGI-72 Magenta Photo</v>
      </c>
      <c r="E757" s="2005" t="str">
        <f>IFERROR(__xludf.DUMMYFUNCTION("""COMPUTED_VALUE"""),"CANON")</f>
        <v>CANON</v>
      </c>
      <c r="F757" s="2005" t="str">
        <f>IFERROR(__xludf.DUMMYFUNCTION("""COMPUTED_VALUE"""),"H")</f>
        <v>H</v>
      </c>
      <c r="G757" s="2005" t="str">
        <f>IFERROR(__xludf.DUMMYFUNCTION("""COMPUTED_VALUE"""),"NN")</f>
        <v>NN</v>
      </c>
      <c r="H757" s="2005">
        <f>IFERROR(__xludf.DUMMYFUNCTION("""COMPUTED_VALUE"""),11.99)</f>
        <v>11.99</v>
      </c>
      <c r="I757">
        <f>IFERROR(__xludf.DUMMYFUNCTION("""COMPUTED_VALUE"""),11.99)</f>
        <v>11.99</v>
      </c>
      <c r="BD757" s="2006"/>
      <c r="LM757" s="2007"/>
    </row>
    <row r="758">
      <c r="A758" s="2005">
        <f>IFERROR(__xludf.DUMMYFUNCTION("""COMPUTED_VALUE"""),1067093.0)</f>
        <v>1067093</v>
      </c>
      <c r="B758" s="2005">
        <f>IFERROR(__xludf.DUMMYFUNCTION("""COMPUTED_VALUE"""),2502010.0)</f>
        <v>2502010</v>
      </c>
      <c r="C758" s="2005" t="str">
        <f>IFERROR(__xludf.DUMMYFUNCTION("""COMPUTED_VALUE"""),"Souris")</f>
        <v>Souris</v>
      </c>
      <c r="D758" s="2005" t="str">
        <f>IFERROR(__xludf.DUMMYFUNCTION("""COMPUTED_VALUE"""),"Z5000 blanche Bluetooth")</f>
        <v>Z5000 blanche Bluetooth</v>
      </c>
      <c r="E758" s="2005" t="str">
        <f>IFERROR(__xludf.DUMMYFUNCTION("""COMPUTED_VALUE"""),"HP")</f>
        <v>HP</v>
      </c>
      <c r="F758" s="2005" t="str">
        <f>IFERROR(__xludf.DUMMYFUNCTION("""COMPUTED_VALUE"""),"B")</f>
        <v>B</v>
      </c>
      <c r="G758" s="2005" t="str">
        <f>IFERROR(__xludf.DUMMYFUNCTION("""COMPUTED_VALUE"""),"FI")</f>
        <v>FI</v>
      </c>
      <c r="H758" s="2005">
        <f>IFERROR(__xludf.DUMMYFUNCTION("""COMPUTED_VALUE"""),54.9)</f>
        <v>54.9</v>
      </c>
      <c r="I758">
        <f>IFERROR(__xludf.DUMMYFUNCTION("""COMPUTED_VALUE"""),54.9)</f>
        <v>54.9</v>
      </c>
      <c r="BD758" s="2006"/>
      <c r="LM758" s="2007"/>
    </row>
    <row r="759">
      <c r="A759" s="2005">
        <f>IFERROR(__xludf.DUMMYFUNCTION("""COMPUTED_VALUE"""),1067285.0)</f>
        <v>1067285</v>
      </c>
      <c r="B759" s="2005">
        <f>IFERROR(__xludf.DUMMYFUNCTION("""COMPUTED_VALUE"""),2403099.0)</f>
        <v>2403099</v>
      </c>
      <c r="C759" s="2005" t="str">
        <f>IFERROR(__xludf.DUMMYFUNCTION("""COMPUTED_VALUE"""),"Kit")</f>
        <v>Kit</v>
      </c>
      <c r="D759" s="2005" t="str">
        <f>IFERROR(__xludf.DUMMYFUNCTION("""COMPUTED_VALUE"""),"KC18IS 18 stickers 54x54mm Selphy")</f>
        <v>KC18IS 18 stickers 54x54mm Selphy</v>
      </c>
      <c r="E759" s="2005" t="str">
        <f>IFERROR(__xludf.DUMMYFUNCTION("""COMPUTED_VALUE"""),"CANON")</f>
        <v>CANON</v>
      </c>
      <c r="F759" s="2005" t="str">
        <f>IFERROR(__xludf.DUMMYFUNCTION("""COMPUTED_VALUE"""),"H")</f>
        <v>H</v>
      </c>
      <c r="G759" s="2005" t="str">
        <f>IFERROR(__xludf.DUMMYFUNCTION("""COMPUTED_VALUE"""),"AC")</f>
        <v>AC</v>
      </c>
      <c r="H759" s="2005">
        <f>IFERROR(__xludf.DUMMYFUNCTION("""COMPUTED_VALUE"""),24.99)</f>
        <v>24.99</v>
      </c>
      <c r="I759">
        <f>IFERROR(__xludf.DUMMYFUNCTION("""COMPUTED_VALUE"""),24.99)</f>
        <v>24.99</v>
      </c>
      <c r="BD759" s="2006"/>
      <c r="LM759" s="2007"/>
    </row>
    <row r="760">
      <c r="A760" s="2005">
        <f>IFERROR(__xludf.DUMMYFUNCTION("""COMPUTED_VALUE"""),1067291.0)</f>
        <v>1067291</v>
      </c>
      <c r="B760" s="2005">
        <f>IFERROR(__xludf.DUMMYFUNCTION("""COMPUTED_VALUE"""),2403099.0)</f>
        <v>2403099</v>
      </c>
      <c r="C760" s="2005" t="str">
        <f>IFERROR(__xludf.DUMMYFUNCTION("""COMPUTED_VALUE"""),"Cassette")</f>
        <v>Cassette</v>
      </c>
      <c r="D760" s="2005" t="str">
        <f>IFERROR(__xludf.DUMMYFUNCTION("""COMPUTED_VALUE"""),"PCC-CP400 Selphy")</f>
        <v>PCC-CP400 Selphy</v>
      </c>
      <c r="E760" s="2005" t="str">
        <f>IFERROR(__xludf.DUMMYFUNCTION("""COMPUTED_VALUE"""),"CANON")</f>
        <v>CANON</v>
      </c>
      <c r="F760" s="2005" t="str">
        <f>IFERROR(__xludf.DUMMYFUNCTION("""COMPUTED_VALUE"""),"H")</f>
        <v>H</v>
      </c>
      <c r="G760" s="2005" t="str">
        <f>IFERROR(__xludf.DUMMYFUNCTION("""COMPUTED_VALUE"""),"AC")</f>
        <v>AC</v>
      </c>
      <c r="H760" s="2005">
        <f>IFERROR(__xludf.DUMMYFUNCTION("""COMPUTED_VALUE"""),19.99)</f>
        <v>19.99</v>
      </c>
      <c r="I760">
        <f>IFERROR(__xludf.DUMMYFUNCTION("""COMPUTED_VALUE"""),19.99)</f>
        <v>19.99</v>
      </c>
      <c r="BD760" s="2006"/>
      <c r="LM760" s="2007"/>
    </row>
    <row r="761">
      <c r="A761" s="2005">
        <f>IFERROR(__xludf.DUMMYFUNCTION("""COMPUTED_VALUE"""),1067374.0)</f>
        <v>1067374</v>
      </c>
      <c r="B761" s="2005">
        <f>IFERROR(__xludf.DUMMYFUNCTION("""COMPUTED_VALUE"""),2209805.0)</f>
        <v>2209805</v>
      </c>
      <c r="C761" s="2005" t="str">
        <f>IFERROR(__xludf.DUMMYFUNCTION("""COMPUTED_VALUE"""),"Lot")</f>
        <v>Lot</v>
      </c>
      <c r="D761" s="2005" t="str">
        <f>IFERROR(__xludf.DUMMYFUNCTION("""COMPUTED_VALUE"""),"MFC-1910W+TN 1050+Ramette 500f")</f>
        <v>MFC-1910W+TN 1050+Ramette 500f</v>
      </c>
      <c r="E761" s="2005" t="str">
        <f>IFERROR(__xludf.DUMMYFUNCTION("""COMPUTED_VALUE"""),"BROTHER")</f>
        <v>BROTHER</v>
      </c>
      <c r="F761" s="2005" t="str">
        <f>IFERROR(__xludf.DUMMYFUNCTION("""COMPUTED_VALUE"""),"B")</f>
        <v>B</v>
      </c>
      <c r="G761" s="2005" t="str">
        <f>IFERROR(__xludf.DUMMYFUNCTION("""COMPUTED_VALUE"""),"AC")</f>
        <v>AC</v>
      </c>
      <c r="H761" s="2005">
        <f>IFERROR(__xludf.DUMMYFUNCTION("""COMPUTED_VALUE"""),278.84)</f>
        <v>278.84</v>
      </c>
      <c r="I761">
        <f>IFERROR(__xludf.DUMMYFUNCTION("""COMPUTED_VALUE"""),276.84)</f>
        <v>276.84</v>
      </c>
      <c r="BD761" s="2006"/>
      <c r="LM761" s="2007"/>
    </row>
    <row r="762">
      <c r="A762" s="2005">
        <f>IFERROR(__xludf.DUMMYFUNCTION("""COMPUTED_VALUE"""),1067870.0)</f>
        <v>1067870</v>
      </c>
      <c r="B762" s="2005">
        <f>IFERROR(__xludf.DUMMYFUNCTION("""COMPUTED_VALUE"""),2403010.0)</f>
        <v>2403010</v>
      </c>
      <c r="C762" s="2005" t="str">
        <f>IFERROR(__xludf.DUMMYFUNCTION("""COMPUTED_VALUE"""),"Toner")</f>
        <v>Toner</v>
      </c>
      <c r="D762" s="2005" t="str">
        <f>IFERROR(__xludf.DUMMYFUNCTION("""COMPUTED_VALUE"""),"737 Noir")</f>
        <v>737 Noir</v>
      </c>
      <c r="E762" s="2005" t="str">
        <f>IFERROR(__xludf.DUMMYFUNCTION("""COMPUTED_VALUE"""),"CANON")</f>
        <v>CANON</v>
      </c>
      <c r="F762" s="2005" t="str">
        <f>IFERROR(__xludf.DUMMYFUNCTION("""COMPUTED_VALUE"""),"H")</f>
        <v>H</v>
      </c>
      <c r="G762" s="2005" t="str">
        <f>IFERROR(__xludf.DUMMYFUNCTION("""COMPUTED_VALUE"""),"NN")</f>
        <v>NN</v>
      </c>
      <c r="H762" s="2005">
        <f>IFERROR(__xludf.DUMMYFUNCTION("""COMPUTED_VALUE"""),89.99)</f>
        <v>89.99</v>
      </c>
      <c r="I762" s="2005">
        <f>IFERROR(__xludf.DUMMYFUNCTION("""COMPUTED_VALUE"""),89.99)</f>
        <v>89.99</v>
      </c>
      <c r="BD762" s="2006"/>
      <c r="LM762" s="2007"/>
    </row>
    <row r="763">
      <c r="A763" s="2005">
        <f>IFERROR(__xludf.DUMMYFUNCTION("""COMPUTED_VALUE"""),1067871.0)</f>
        <v>1067871</v>
      </c>
      <c r="B763" s="2005">
        <f>IFERROR(__xludf.DUMMYFUNCTION("""COMPUTED_VALUE"""),2403010.0)</f>
        <v>2403010</v>
      </c>
      <c r="C763" s="2005" t="str">
        <f>IFERROR(__xludf.DUMMYFUNCTION("""COMPUTED_VALUE"""),"Toner")</f>
        <v>Toner</v>
      </c>
      <c r="D763" s="2005" t="str">
        <f>IFERROR(__xludf.DUMMYFUNCTION("""COMPUTED_VALUE"""),"729 Noir")</f>
        <v>729 Noir</v>
      </c>
      <c r="E763" s="2005" t="str">
        <f>IFERROR(__xludf.DUMMYFUNCTION("""COMPUTED_VALUE"""),"CANON")</f>
        <v>CANON</v>
      </c>
      <c r="F763" s="2005" t="str">
        <f>IFERROR(__xludf.DUMMYFUNCTION("""COMPUTED_VALUE"""),"H")</f>
        <v>H</v>
      </c>
      <c r="G763" s="2005" t="str">
        <f>IFERROR(__xludf.DUMMYFUNCTION("""COMPUTED_VALUE"""),"NN")</f>
        <v>NN</v>
      </c>
      <c r="H763" s="2005">
        <f>IFERROR(__xludf.DUMMYFUNCTION("""COMPUTED_VALUE"""),45.05)</f>
        <v>45.05</v>
      </c>
      <c r="I763" s="2005">
        <f>IFERROR(__xludf.DUMMYFUNCTION("""COMPUTED_VALUE"""),45.05)</f>
        <v>45.05</v>
      </c>
      <c r="BD763" s="2006"/>
      <c r="LM763" s="2007"/>
    </row>
    <row r="764">
      <c r="A764" s="2005">
        <f>IFERROR(__xludf.DUMMYFUNCTION("""COMPUTED_VALUE"""),1067872.0)</f>
        <v>1067872</v>
      </c>
      <c r="B764" s="2005">
        <f>IFERROR(__xludf.DUMMYFUNCTION("""COMPUTED_VALUE"""),2403010.0)</f>
        <v>2403010</v>
      </c>
      <c r="C764" s="2005" t="str">
        <f>IFERROR(__xludf.DUMMYFUNCTION("""COMPUTED_VALUE"""),"Toner")</f>
        <v>Toner</v>
      </c>
      <c r="D764" s="2005" t="str">
        <f>IFERROR(__xludf.DUMMYFUNCTION("""COMPUTED_VALUE"""),"729 Jaune")</f>
        <v>729 Jaune</v>
      </c>
      <c r="E764" s="2005" t="str">
        <f>IFERROR(__xludf.DUMMYFUNCTION("""COMPUTED_VALUE"""),"CANON")</f>
        <v>CANON</v>
      </c>
      <c r="F764" s="2005" t="str">
        <f>IFERROR(__xludf.DUMMYFUNCTION("""COMPUTED_VALUE"""),"H")</f>
        <v>H</v>
      </c>
      <c r="G764" s="2005" t="str">
        <f>IFERROR(__xludf.DUMMYFUNCTION("""COMPUTED_VALUE"""),"NN")</f>
        <v>NN</v>
      </c>
      <c r="H764" s="2005">
        <f>IFERROR(__xludf.DUMMYFUNCTION("""COMPUTED_VALUE"""),59.99)</f>
        <v>59.99</v>
      </c>
      <c r="I764" s="2005">
        <f>IFERROR(__xludf.DUMMYFUNCTION("""COMPUTED_VALUE"""),59.99)</f>
        <v>59.99</v>
      </c>
      <c r="BD764" s="2006"/>
      <c r="LM764" s="2007"/>
    </row>
    <row r="765">
      <c r="A765" s="2005">
        <f>IFERROR(__xludf.DUMMYFUNCTION("""COMPUTED_VALUE"""),1067873.0)</f>
        <v>1067873</v>
      </c>
      <c r="B765" s="2005">
        <f>IFERROR(__xludf.DUMMYFUNCTION("""COMPUTED_VALUE"""),2403010.0)</f>
        <v>2403010</v>
      </c>
      <c r="C765" s="2005" t="str">
        <f>IFERROR(__xludf.DUMMYFUNCTION("""COMPUTED_VALUE"""),"Toner")</f>
        <v>Toner</v>
      </c>
      <c r="D765" s="2005" t="str">
        <f>IFERROR(__xludf.DUMMYFUNCTION("""COMPUTED_VALUE"""),"729 Magenta")</f>
        <v>729 Magenta</v>
      </c>
      <c r="E765" s="2005" t="str">
        <f>IFERROR(__xludf.DUMMYFUNCTION("""COMPUTED_VALUE"""),"CANON")</f>
        <v>CANON</v>
      </c>
      <c r="F765" s="2005" t="str">
        <f>IFERROR(__xludf.DUMMYFUNCTION("""COMPUTED_VALUE"""),"H")</f>
        <v>H</v>
      </c>
      <c r="G765" s="2005" t="str">
        <f>IFERROR(__xludf.DUMMYFUNCTION("""COMPUTED_VALUE"""),"NN")</f>
        <v>NN</v>
      </c>
      <c r="H765" s="2005">
        <f>IFERROR(__xludf.DUMMYFUNCTION("""COMPUTED_VALUE"""),51.99)</f>
        <v>51.99</v>
      </c>
      <c r="I765">
        <f>IFERROR(__xludf.DUMMYFUNCTION("""COMPUTED_VALUE"""),51.99)</f>
        <v>51.99</v>
      </c>
      <c r="BD765" s="2006"/>
      <c r="LM765" s="2007"/>
    </row>
    <row r="766">
      <c r="A766" s="2005">
        <f>IFERROR(__xludf.DUMMYFUNCTION("""COMPUTED_VALUE"""),1067874.0)</f>
        <v>1067874</v>
      </c>
      <c r="B766" s="2005">
        <f>IFERROR(__xludf.DUMMYFUNCTION("""COMPUTED_VALUE"""),2403010.0)</f>
        <v>2403010</v>
      </c>
      <c r="C766" s="2005" t="str">
        <f>IFERROR(__xludf.DUMMYFUNCTION("""COMPUTED_VALUE"""),"Toner")</f>
        <v>Toner</v>
      </c>
      <c r="D766" s="2005" t="str">
        <f>IFERROR(__xludf.DUMMYFUNCTION("""COMPUTED_VALUE"""),"729 Cyan")</f>
        <v>729 Cyan</v>
      </c>
      <c r="E766" s="2005" t="str">
        <f>IFERROR(__xludf.DUMMYFUNCTION("""COMPUTED_VALUE"""),"CANON")</f>
        <v>CANON</v>
      </c>
      <c r="F766" s="2005" t="str">
        <f>IFERROR(__xludf.DUMMYFUNCTION("""COMPUTED_VALUE"""),"H")</f>
        <v>H</v>
      </c>
      <c r="G766" s="2005" t="str">
        <f>IFERROR(__xludf.DUMMYFUNCTION("""COMPUTED_VALUE"""),"NN")</f>
        <v>NN</v>
      </c>
      <c r="H766" s="2005">
        <f>IFERROR(__xludf.DUMMYFUNCTION("""COMPUTED_VALUE"""),48.99)</f>
        <v>48.99</v>
      </c>
      <c r="I766" s="2005">
        <f>IFERROR(__xludf.DUMMYFUNCTION("""COMPUTED_VALUE"""),48.99)</f>
        <v>48.99</v>
      </c>
      <c r="BD766" s="2006"/>
      <c r="LM766" s="2007"/>
    </row>
    <row r="767">
      <c r="A767" s="2005">
        <f>IFERROR(__xludf.DUMMYFUNCTION("""COMPUTED_VALUE"""),1068066.0)</f>
        <v>1068066</v>
      </c>
      <c r="B767" s="2005">
        <f>IFERROR(__xludf.DUMMYFUNCTION("""COMPUTED_VALUE"""),2403005.0)</f>
        <v>2403005</v>
      </c>
      <c r="C767" s="2005" t="str">
        <f>IFERROR(__xludf.DUMMYFUNCTION("""COMPUTED_VALUE"""),"Cartouche")</f>
        <v>Cartouche</v>
      </c>
      <c r="D767" s="2005" t="str">
        <f>IFERROR(__xludf.DUMMYFUNCTION("""COMPUTED_VALUE"""),"PGI 2500 XL Noire")</f>
        <v>PGI 2500 XL Noire</v>
      </c>
      <c r="E767" s="2005" t="str">
        <f>IFERROR(__xludf.DUMMYFUNCTION("""COMPUTED_VALUE"""),"CANON")</f>
        <v>CANON</v>
      </c>
      <c r="F767" s="2005" t="str">
        <f>IFERROR(__xludf.DUMMYFUNCTION("""COMPUTED_VALUE"""),"H")</f>
        <v>H</v>
      </c>
      <c r="G767" s="2005" t="str">
        <f>IFERROR(__xludf.DUMMYFUNCTION("""COMPUTED_VALUE"""),"AC")</f>
        <v>AC</v>
      </c>
      <c r="H767" s="2005">
        <f>IFERROR(__xludf.DUMMYFUNCTION("""COMPUTED_VALUE"""),39.99)</f>
        <v>39.99</v>
      </c>
      <c r="I767">
        <f>IFERROR(__xludf.DUMMYFUNCTION("""COMPUTED_VALUE"""),39.99)</f>
        <v>39.99</v>
      </c>
      <c r="BD767" s="2006"/>
      <c r="LM767" s="2007"/>
    </row>
    <row r="768">
      <c r="A768" s="2005">
        <f>IFERROR(__xludf.DUMMYFUNCTION("""COMPUTED_VALUE"""),1068068.0)</f>
        <v>1068068</v>
      </c>
      <c r="B768" s="2005">
        <f>IFERROR(__xludf.DUMMYFUNCTION("""COMPUTED_VALUE"""),2403005.0)</f>
        <v>2403005</v>
      </c>
      <c r="C768" s="2005" t="str">
        <f>IFERROR(__xludf.DUMMYFUNCTION("""COMPUTED_VALUE"""),"Cartouche")</f>
        <v>Cartouche</v>
      </c>
      <c r="D768" s="2005" t="str">
        <f>IFERROR(__xludf.DUMMYFUNCTION("""COMPUTED_VALUE"""),"PGI 2500 XL Cyan")</f>
        <v>PGI 2500 XL Cyan</v>
      </c>
      <c r="E768" s="2005" t="str">
        <f>IFERROR(__xludf.DUMMYFUNCTION("""COMPUTED_VALUE"""),"CANON")</f>
        <v>CANON</v>
      </c>
      <c r="F768" s="2005" t="str">
        <f>IFERROR(__xludf.DUMMYFUNCTION("""COMPUTED_VALUE"""),"H")</f>
        <v>H</v>
      </c>
      <c r="G768" s="2005" t="str">
        <f>IFERROR(__xludf.DUMMYFUNCTION("""COMPUTED_VALUE"""),"AC")</f>
        <v>AC</v>
      </c>
      <c r="H768" s="2005">
        <f>IFERROR(__xludf.DUMMYFUNCTION("""COMPUTED_VALUE"""),29.99)</f>
        <v>29.99</v>
      </c>
      <c r="I768">
        <f>IFERROR(__xludf.DUMMYFUNCTION("""COMPUTED_VALUE"""),29.99)</f>
        <v>29.99</v>
      </c>
      <c r="BD768" s="2006"/>
      <c r="LL768" s="2007"/>
      <c r="LM768" s="2007"/>
      <c r="MX768" s="2007"/>
      <c r="ND768" s="2007"/>
    </row>
    <row r="769">
      <c r="A769" s="2005">
        <f>IFERROR(__xludf.DUMMYFUNCTION("""COMPUTED_VALUE"""),1068083.0)</f>
        <v>1068083</v>
      </c>
      <c r="B769" s="2005">
        <f>IFERROR(__xludf.DUMMYFUNCTION("""COMPUTED_VALUE"""),2403005.0)</f>
        <v>2403005</v>
      </c>
      <c r="C769" s="2005" t="str">
        <f>IFERROR(__xludf.DUMMYFUNCTION("""COMPUTED_VALUE"""),"Cartouche")</f>
        <v>Cartouche</v>
      </c>
      <c r="D769" s="2005" t="str">
        <f>IFERROR(__xludf.DUMMYFUNCTION("""COMPUTED_VALUE"""),"PGI 2500 XL Magenta")</f>
        <v>PGI 2500 XL Magenta</v>
      </c>
      <c r="E769" s="2005" t="str">
        <f>IFERROR(__xludf.DUMMYFUNCTION("""COMPUTED_VALUE"""),"CANON")</f>
        <v>CANON</v>
      </c>
      <c r="F769" s="2005" t="str">
        <f>IFERROR(__xludf.DUMMYFUNCTION("""COMPUTED_VALUE"""),"H")</f>
        <v>H</v>
      </c>
      <c r="G769" s="2005" t="str">
        <f>IFERROR(__xludf.DUMMYFUNCTION("""COMPUTED_VALUE"""),"AC")</f>
        <v>AC</v>
      </c>
      <c r="H769" s="2005">
        <f>IFERROR(__xludf.DUMMYFUNCTION("""COMPUTED_VALUE"""),29.99)</f>
        <v>29.99</v>
      </c>
      <c r="I769" s="2005">
        <f>IFERROR(__xludf.DUMMYFUNCTION("""COMPUTED_VALUE"""),29.99)</f>
        <v>29.99</v>
      </c>
      <c r="BD769" s="2006"/>
      <c r="LL769" s="2007"/>
      <c r="LM769" s="2007"/>
      <c r="MX769" s="2007"/>
      <c r="ND769" s="2007"/>
    </row>
    <row r="770">
      <c r="A770" s="2005">
        <f>IFERROR(__xludf.DUMMYFUNCTION("""COMPUTED_VALUE"""),1068084.0)</f>
        <v>1068084</v>
      </c>
      <c r="B770" s="2005">
        <f>IFERROR(__xludf.DUMMYFUNCTION("""COMPUTED_VALUE"""),2403005.0)</f>
        <v>2403005</v>
      </c>
      <c r="C770" s="2005" t="str">
        <f>IFERROR(__xludf.DUMMYFUNCTION("""COMPUTED_VALUE"""),"Cartouche")</f>
        <v>Cartouche</v>
      </c>
      <c r="D770" s="2005" t="str">
        <f>IFERROR(__xludf.DUMMYFUNCTION("""COMPUTED_VALUE"""),"PGI 2500 XL Jaune")</f>
        <v>PGI 2500 XL Jaune</v>
      </c>
      <c r="E770" s="2005" t="str">
        <f>IFERROR(__xludf.DUMMYFUNCTION("""COMPUTED_VALUE"""),"CANON")</f>
        <v>CANON</v>
      </c>
      <c r="F770" s="2005" t="str">
        <f>IFERROR(__xludf.DUMMYFUNCTION("""COMPUTED_VALUE"""),"H")</f>
        <v>H</v>
      </c>
      <c r="G770" s="2005" t="str">
        <f>IFERROR(__xludf.DUMMYFUNCTION("""COMPUTED_VALUE"""),"AC")</f>
        <v>AC</v>
      </c>
      <c r="H770" s="2005">
        <f>IFERROR(__xludf.DUMMYFUNCTION("""COMPUTED_VALUE"""),29.99)</f>
        <v>29.99</v>
      </c>
      <c r="I770" s="2005">
        <f>IFERROR(__xludf.DUMMYFUNCTION("""COMPUTED_VALUE"""),29.99)</f>
        <v>29.99</v>
      </c>
      <c r="BD770" s="2006"/>
      <c r="LL770" s="2007"/>
      <c r="LM770" s="2007"/>
      <c r="MX770" s="2007"/>
      <c r="ND770" s="2007"/>
    </row>
    <row r="771">
      <c r="A771" s="2005">
        <f>IFERROR(__xludf.DUMMYFUNCTION("""COMPUTED_VALUE"""),1068103.0)</f>
        <v>1068103</v>
      </c>
      <c r="B771" s="2005">
        <f>IFERROR(__xludf.DUMMYFUNCTION("""COMPUTED_VALUE"""),2209520.0)</f>
        <v>2209520</v>
      </c>
      <c r="C771" s="2005" t="str">
        <f>IFERROR(__xludf.DUMMYFUNCTION("""COMPUTED_VALUE"""),"Garantie")</f>
        <v>Garantie</v>
      </c>
      <c r="D771" s="2005" t="str">
        <f>IFERROR(__xludf.DUMMYFUNCTION("""COMPUTED_VALUE"""),"#ERROR!")</f>
        <v>#ERROR!</v>
      </c>
      <c r="E771" s="2005" t="str">
        <f>IFERROR(__xludf.DUMMYFUNCTION("""COMPUTED_VALUE"""),"BOULANGER")</f>
        <v>BOULANGER</v>
      </c>
      <c r="F771" s="2005" t="str">
        <f>IFERROR(__xludf.DUMMYFUNCTION("""COMPUTED_VALUE"""),"B")</f>
        <v>B</v>
      </c>
      <c r="G771" s="2005" t="str">
        <f>IFERROR(__xludf.DUMMYFUNCTION("""COMPUTED_VALUE"""),"AC")</f>
        <v>AC</v>
      </c>
      <c r="H771" s="2005">
        <f>IFERROR(__xludf.DUMMYFUNCTION("""COMPUTED_VALUE"""),24.99)</f>
        <v>24.99</v>
      </c>
      <c r="I771" s="2005">
        <f>IFERROR(__xludf.DUMMYFUNCTION("""COMPUTED_VALUE"""),24.99)</f>
        <v>24.99</v>
      </c>
      <c r="BD771" s="2006"/>
      <c r="LL771" s="2007"/>
      <c r="LM771" s="2007"/>
      <c r="MX771" s="2007"/>
      <c r="ND771" s="2007"/>
    </row>
    <row r="772">
      <c r="A772" s="2005">
        <f>IFERROR(__xludf.DUMMYFUNCTION("""COMPUTED_VALUE"""),1068104.0)</f>
        <v>1068104</v>
      </c>
      <c r="B772" s="2005">
        <f>IFERROR(__xludf.DUMMYFUNCTION("""COMPUTED_VALUE"""),2209520.0)</f>
        <v>2209520</v>
      </c>
      <c r="C772" s="2005" t="str">
        <f>IFERROR(__xludf.DUMMYFUNCTION("""COMPUTED_VALUE"""),"Garantie")</f>
        <v>Garantie</v>
      </c>
      <c r="D772" s="2005" t="str">
        <f>IFERROR(__xludf.DUMMYFUNCTION("""COMPUTED_VALUE"""),"#ERROR!")</f>
        <v>#ERROR!</v>
      </c>
      <c r="E772" s="2005" t="str">
        <f>IFERROR(__xludf.DUMMYFUNCTION("""COMPUTED_VALUE"""),"BOULANGER")</f>
        <v>BOULANGER</v>
      </c>
      <c r="F772" s="2005" t="str">
        <f>IFERROR(__xludf.DUMMYFUNCTION("""COMPUTED_VALUE"""),"B")</f>
        <v>B</v>
      </c>
      <c r="G772" s="2005" t="str">
        <f>IFERROR(__xludf.DUMMYFUNCTION("""COMPUTED_VALUE"""),"AC")</f>
        <v>AC</v>
      </c>
      <c r="H772" s="2005">
        <f>IFERROR(__xludf.DUMMYFUNCTION("""COMPUTED_VALUE"""),24.99)</f>
        <v>24.99</v>
      </c>
      <c r="I772" s="2005">
        <f>IFERROR(__xludf.DUMMYFUNCTION("""COMPUTED_VALUE"""),24.99)</f>
        <v>24.99</v>
      </c>
      <c r="BD772" s="2006"/>
      <c r="LL772" s="2007"/>
      <c r="LM772" s="2007"/>
      <c r="MX772" s="2007"/>
      <c r="ND772" s="2007"/>
    </row>
    <row r="773">
      <c r="A773" s="2005">
        <f>IFERROR(__xludf.DUMMYFUNCTION("""COMPUTED_VALUE"""),1068105.0)</f>
        <v>1068105</v>
      </c>
      <c r="B773" s="2005">
        <f>IFERROR(__xludf.DUMMYFUNCTION("""COMPUTED_VALUE"""),2209520.0)</f>
        <v>2209520</v>
      </c>
      <c r="C773" s="2005" t="str">
        <f>IFERROR(__xludf.DUMMYFUNCTION("""COMPUTED_VALUE"""),"Garantie")</f>
        <v>Garantie</v>
      </c>
      <c r="D773" s="2005" t="str">
        <f>IFERROR(__xludf.DUMMYFUNCTION("""COMPUTED_VALUE"""),"#ERROR!")</f>
        <v>#ERROR!</v>
      </c>
      <c r="E773" s="2005" t="str">
        <f>IFERROR(__xludf.DUMMYFUNCTION("""COMPUTED_VALUE"""),"BOULANGER")</f>
        <v>BOULANGER</v>
      </c>
      <c r="F773" s="2005" t="str">
        <f>IFERROR(__xludf.DUMMYFUNCTION("""COMPUTED_VALUE"""),"B")</f>
        <v>B</v>
      </c>
      <c r="G773" s="2005" t="str">
        <f>IFERROR(__xludf.DUMMYFUNCTION("""COMPUTED_VALUE"""),"AC")</f>
        <v>AC</v>
      </c>
      <c r="H773">
        <f>IFERROR(__xludf.DUMMYFUNCTION("""COMPUTED_VALUE"""),44.99)</f>
        <v>44.99</v>
      </c>
      <c r="I773">
        <f>IFERROR(__xludf.DUMMYFUNCTION("""COMPUTED_VALUE"""),44.99)</f>
        <v>44.99</v>
      </c>
      <c r="BD773" s="2006"/>
      <c r="LL773" s="2007"/>
      <c r="LM773" s="2007"/>
      <c r="MX773" s="2007"/>
      <c r="ND773" s="2007"/>
    </row>
    <row r="774">
      <c r="A774" s="2005">
        <f>IFERROR(__xludf.DUMMYFUNCTION("""COMPUTED_VALUE"""),1068107.0)</f>
        <v>1068107</v>
      </c>
      <c r="B774" s="2005">
        <f>IFERROR(__xludf.DUMMYFUNCTION("""COMPUTED_VALUE"""),1109520.0)</f>
        <v>1109520</v>
      </c>
      <c r="C774" s="2005" t="str">
        <f>IFERROR(__xludf.DUMMYFUNCTION("""COMPUTED_VALUE"""),"Garantie")</f>
        <v>Garantie</v>
      </c>
      <c r="D774" s="2005" t="str">
        <f>IFERROR(__xludf.DUMMYFUNCTION("""COMPUTED_VALUE"""),"#ERROR!")</f>
        <v>#ERROR!</v>
      </c>
      <c r="E774" s="2005" t="str">
        <f>IFERROR(__xludf.DUMMYFUNCTION("""COMPUTED_VALUE"""),"BOULANGER")</f>
        <v>BOULANGER</v>
      </c>
      <c r="F774" s="2005" t="str">
        <f>IFERROR(__xludf.DUMMYFUNCTION("""COMPUTED_VALUE"""),"B")</f>
        <v>B</v>
      </c>
      <c r="G774" s="2005" t="str">
        <f>IFERROR(__xludf.DUMMYFUNCTION("""COMPUTED_VALUE"""),"AC")</f>
        <v>AC</v>
      </c>
      <c r="H774" s="2005">
        <f>IFERROR(__xludf.DUMMYFUNCTION("""COMPUTED_VALUE"""),64.99)</f>
        <v>64.99</v>
      </c>
      <c r="I774" s="2005">
        <f>IFERROR(__xludf.DUMMYFUNCTION("""COMPUTED_VALUE"""),64.99)</f>
        <v>64.99</v>
      </c>
      <c r="BD774" s="2006"/>
      <c r="LL774" s="2007"/>
      <c r="LM774" s="2007"/>
      <c r="MX774" s="2007"/>
      <c r="ND774" s="2007"/>
    </row>
    <row r="775">
      <c r="A775" s="2005">
        <f>IFERROR(__xludf.DUMMYFUNCTION("""COMPUTED_VALUE"""),1068345.0)</f>
        <v>1068345</v>
      </c>
      <c r="B775" s="2005">
        <f>IFERROR(__xludf.DUMMYFUNCTION("""COMPUTED_VALUE"""),2403010.0)</f>
        <v>2403010</v>
      </c>
      <c r="C775" s="2005" t="str">
        <f>IFERROR(__xludf.DUMMYFUNCTION("""COMPUTED_VALUE"""),"Toner")</f>
        <v>Toner</v>
      </c>
      <c r="D775" s="2005" t="str">
        <f>IFERROR(__xludf.DUMMYFUNCTION("""COMPUTED_VALUE"""),"TN-3280")</f>
        <v>TN-3280</v>
      </c>
      <c r="E775" s="2005" t="str">
        <f>IFERROR(__xludf.DUMMYFUNCTION("""COMPUTED_VALUE"""),"BROTHER")</f>
        <v>BROTHER</v>
      </c>
      <c r="F775" s="2005" t="str">
        <f>IFERROR(__xludf.DUMMYFUNCTION("""COMPUTED_VALUE"""),"H")</f>
        <v>H</v>
      </c>
      <c r="G775" s="2005" t="str">
        <f>IFERROR(__xludf.DUMMYFUNCTION("""COMPUTED_VALUE"""),"NN")</f>
        <v>NN</v>
      </c>
      <c r="H775" s="2005">
        <f>IFERROR(__xludf.DUMMYFUNCTION("""COMPUTED_VALUE"""),175.99)</f>
        <v>175.99</v>
      </c>
      <c r="I775" s="2005">
        <f>IFERROR(__xludf.DUMMYFUNCTION("""COMPUTED_VALUE"""),149.99)</f>
        <v>149.99</v>
      </c>
      <c r="BD775" s="2006"/>
      <c r="LM775" s="2007"/>
      <c r="MX775" s="2008"/>
      <c r="ND775" s="2008"/>
    </row>
    <row r="776">
      <c r="A776" s="2005">
        <f>IFERROR(__xludf.DUMMYFUNCTION("""COMPUTED_VALUE"""),1069853.0)</f>
        <v>1069853</v>
      </c>
      <c r="B776" s="2005">
        <f>IFERROR(__xludf.DUMMYFUNCTION("""COMPUTED_VALUE"""),2209805.0)</f>
        <v>2209805</v>
      </c>
      <c r="C776" s="2005" t="str">
        <f>IFERROR(__xludf.DUMMYFUNCTION("""COMPUTED_VALUE"""),"Lot")</f>
        <v>Lot</v>
      </c>
      <c r="D776" s="2005" t="str">
        <f>IFERROR(__xludf.DUMMYFUNCTION("""COMPUTED_VALUE"""),"MFC-1910W +Toner Noir + Ramette 500f")</f>
        <v>MFC-1910W +Toner Noir + Ramette 500f</v>
      </c>
      <c r="E776" s="2005" t="str">
        <f>IFERROR(__xludf.DUMMYFUNCTION("""COMPUTED_VALUE"""),"BROTHER")</f>
        <v>BROTHER</v>
      </c>
      <c r="F776" s="2005" t="str">
        <f>IFERROR(__xludf.DUMMYFUNCTION("""COMPUTED_VALUE"""),"B")</f>
        <v>B</v>
      </c>
      <c r="G776" s="2005" t="str">
        <f>IFERROR(__xludf.DUMMYFUNCTION("""COMPUTED_VALUE"""),"AC")</f>
        <v>AC</v>
      </c>
      <c r="H776" s="2005">
        <f>IFERROR(__xludf.DUMMYFUNCTION("""COMPUTED_VALUE"""),274.44)</f>
        <v>274.44</v>
      </c>
      <c r="I776" s="2005">
        <f>IFERROR(__xludf.DUMMYFUNCTION("""COMPUTED_VALUE"""),272.54)</f>
        <v>272.54</v>
      </c>
      <c r="BD776" s="2006"/>
      <c r="LM776" s="2007"/>
      <c r="MX776" s="2007"/>
      <c r="ND776" s="2008"/>
    </row>
    <row r="777">
      <c r="A777" s="2005">
        <f>IFERROR(__xludf.DUMMYFUNCTION("""COMPUTED_VALUE"""),1069858.0)</f>
        <v>1069858</v>
      </c>
      <c r="B777" s="2005">
        <f>IFERROR(__xludf.DUMMYFUNCTION("""COMPUTED_VALUE"""),2209805.0)</f>
        <v>2209805</v>
      </c>
      <c r="C777" s="2005" t="str">
        <f>IFERROR(__xludf.DUMMYFUNCTION("""COMPUTED_VALUE"""),"Lot")</f>
        <v>Lot</v>
      </c>
      <c r="D777" s="2005" t="str">
        <f>IFERROR(__xludf.DUMMYFUNCTION("""COMPUTED_VALUE"""),"HL-1212W+Toner Noir + Ramette 500f")</f>
        <v>HL-1212W+Toner Noir + Ramette 500f</v>
      </c>
      <c r="E777" s="2005" t="str">
        <f>IFERROR(__xludf.DUMMYFUNCTION("""COMPUTED_VALUE"""),"BROTHER")</f>
        <v>BROTHER</v>
      </c>
      <c r="F777" s="2005" t="str">
        <f>IFERROR(__xludf.DUMMYFUNCTION("""COMPUTED_VALUE"""),"B")</f>
        <v>B</v>
      </c>
      <c r="G777" s="2005" t="str">
        <f>IFERROR(__xludf.DUMMYFUNCTION("""COMPUTED_VALUE"""),"AC")</f>
        <v>AC</v>
      </c>
      <c r="H777" s="2005">
        <f>IFERROR(__xludf.DUMMYFUNCTION("""COMPUTED_VALUE"""),183.22)</f>
        <v>183.22</v>
      </c>
      <c r="I777" s="2005">
        <f>IFERROR(__xludf.DUMMYFUNCTION("""COMPUTED_VALUE"""),183.22)</f>
        <v>183.22</v>
      </c>
      <c r="BD777" s="2006"/>
      <c r="LL777" s="2007"/>
      <c r="LM777" s="2007"/>
      <c r="MX777" s="2007"/>
      <c r="ND777" s="2008"/>
    </row>
    <row r="778">
      <c r="A778" s="2005">
        <f>IFERROR(__xludf.DUMMYFUNCTION("""COMPUTED_VALUE"""),1070020.0)</f>
        <v>1070020</v>
      </c>
      <c r="B778" s="2005">
        <f>IFERROR(__xludf.DUMMYFUNCTION("""COMPUTED_VALUE"""),2403005.0)</f>
        <v>2403005</v>
      </c>
      <c r="C778" s="2005" t="str">
        <f>IFERROR(__xludf.DUMMYFUNCTION("""COMPUTED_VALUE"""),"Cartouche")</f>
        <v>Cartouche</v>
      </c>
      <c r="D778" s="2005" t="str">
        <f>IFERROR(__xludf.DUMMYFUNCTION("""COMPUTED_VALUE"""),"PGI 1500XL (N/C/M/J)")</f>
        <v>PGI 1500XL (N/C/M/J)</v>
      </c>
      <c r="E778" s="2005" t="str">
        <f>IFERROR(__xludf.DUMMYFUNCTION("""COMPUTED_VALUE"""),"CANON")</f>
        <v>CANON</v>
      </c>
      <c r="F778" s="2005" t="str">
        <f>IFERROR(__xludf.DUMMYFUNCTION("""COMPUTED_VALUE"""),"D")</f>
        <v>D</v>
      </c>
      <c r="G778" s="2005" t="str">
        <f>IFERROR(__xludf.DUMMYFUNCTION("""COMPUTED_VALUE"""),"FR")</f>
        <v>FR</v>
      </c>
      <c r="H778" s="2005">
        <f>IFERROR(__xludf.DUMMYFUNCTION("""COMPUTED_VALUE"""),71.01)</f>
        <v>71.01</v>
      </c>
      <c r="I778">
        <f>IFERROR(__xludf.DUMMYFUNCTION("""COMPUTED_VALUE"""),71.01)</f>
        <v>71.01</v>
      </c>
      <c r="BD778" s="2006"/>
      <c r="LL778" s="2007"/>
      <c r="LM778" s="2007"/>
      <c r="MX778" s="2007"/>
      <c r="ND778" s="2007"/>
    </row>
    <row r="779">
      <c r="A779" s="2005">
        <f>IFERROR(__xludf.DUMMYFUNCTION("""COMPUTED_VALUE"""),1070052.0)</f>
        <v>1070052</v>
      </c>
      <c r="B779" s="2005">
        <f>IFERROR(__xludf.DUMMYFUNCTION("""COMPUTED_VALUE"""),2201025.0)</f>
        <v>2201025</v>
      </c>
      <c r="C779" s="2005" t="str">
        <f>IFERROR(__xludf.DUMMYFUNCTION("""COMPUTED_VALUE"""),"Imprimante Pro.")</f>
        <v>Imprimante Pro.</v>
      </c>
      <c r="D779" s="2005" t="str">
        <f>IFERROR(__xludf.DUMMYFUNCTION("""COMPUTED_VALUE"""),"HL-L5200DW")</f>
        <v>HL-L5200DW</v>
      </c>
      <c r="E779" s="2005" t="str">
        <f>IFERROR(__xludf.DUMMYFUNCTION("""COMPUTED_VALUE"""),"BROTHER")</f>
        <v>BROTHER</v>
      </c>
      <c r="F779" s="2005" t="str">
        <f>IFERROR(__xludf.DUMMYFUNCTION("""COMPUTED_VALUE"""),"W")</f>
        <v>W</v>
      </c>
      <c r="G779" s="2005" t="str">
        <f>IFERROR(__xludf.DUMMYFUNCTION("""COMPUTED_VALUE"""),"NN")</f>
        <v>NN</v>
      </c>
      <c r="H779" s="2005">
        <f>IFERROR(__xludf.DUMMYFUNCTION("""COMPUTED_VALUE"""),299.99)</f>
        <v>299.99</v>
      </c>
      <c r="I779" s="2005">
        <f>IFERROR(__xludf.DUMMYFUNCTION("""COMPUTED_VALUE"""),299.99)</f>
        <v>299.99</v>
      </c>
      <c r="BD779" s="2006"/>
      <c r="LL779" s="2007"/>
      <c r="LM779" s="2007"/>
      <c r="MX779" s="2007"/>
      <c r="ND779" s="2007"/>
    </row>
    <row r="780">
      <c r="A780" s="2005">
        <f>IFERROR(__xludf.DUMMYFUNCTION("""COMPUTED_VALUE"""),1070085.0)</f>
        <v>1070085</v>
      </c>
      <c r="B780" s="2005">
        <f>IFERROR(__xludf.DUMMYFUNCTION("""COMPUTED_VALUE"""),2403010.0)</f>
        <v>2403010</v>
      </c>
      <c r="C780" s="2005" t="str">
        <f>IFERROR(__xludf.DUMMYFUNCTION("""COMPUTED_VALUE"""),"Toner")</f>
        <v>Toner</v>
      </c>
      <c r="D780" s="2005" t="str">
        <f>IFERROR(__xludf.DUMMYFUNCTION("""COMPUTED_VALUE"""),"TN-3430")</f>
        <v>TN-3430</v>
      </c>
      <c r="E780" s="2005" t="str">
        <f>IFERROR(__xludf.DUMMYFUNCTION("""COMPUTED_VALUE"""),"BROTHER")</f>
        <v>BROTHER</v>
      </c>
      <c r="F780" s="2005" t="str">
        <f>IFERROR(__xludf.DUMMYFUNCTION("""COMPUTED_VALUE"""),"W")</f>
        <v>W</v>
      </c>
      <c r="G780" s="2005" t="str">
        <f>IFERROR(__xludf.DUMMYFUNCTION("""COMPUTED_VALUE"""),"NN")</f>
        <v>NN</v>
      </c>
      <c r="H780">
        <f>IFERROR(__xludf.DUMMYFUNCTION("""COMPUTED_VALUE"""),103.99)</f>
        <v>103.99</v>
      </c>
      <c r="I780">
        <f>IFERROR(__xludf.DUMMYFUNCTION("""COMPUTED_VALUE"""),95.99)</f>
        <v>95.99</v>
      </c>
      <c r="BD780" s="2006"/>
      <c r="LL780" s="2007"/>
      <c r="LM780" s="2007"/>
      <c r="MX780" s="2007"/>
      <c r="ND780" s="2007"/>
    </row>
    <row r="781">
      <c r="A781" s="2005">
        <f>IFERROR(__xludf.DUMMYFUNCTION("""COMPUTED_VALUE"""),1070086.0)</f>
        <v>1070086</v>
      </c>
      <c r="B781" s="2005">
        <f>IFERROR(__xludf.DUMMYFUNCTION("""COMPUTED_VALUE"""),2403010.0)</f>
        <v>2403010</v>
      </c>
      <c r="C781" s="2005" t="str">
        <f>IFERROR(__xludf.DUMMYFUNCTION("""COMPUTED_VALUE"""),"Toner")</f>
        <v>Toner</v>
      </c>
      <c r="D781" s="2005" t="str">
        <f>IFERROR(__xludf.DUMMYFUNCTION("""COMPUTED_VALUE"""),"TN-3480")</f>
        <v>TN-3480</v>
      </c>
      <c r="E781" s="2005" t="str">
        <f>IFERROR(__xludf.DUMMYFUNCTION("""COMPUTED_VALUE"""),"BROTHER")</f>
        <v>BROTHER</v>
      </c>
      <c r="F781" s="2005" t="str">
        <f>IFERROR(__xludf.DUMMYFUNCTION("""COMPUTED_VALUE"""),"H")</f>
        <v>H</v>
      </c>
      <c r="G781" s="2005" t="str">
        <f>IFERROR(__xludf.DUMMYFUNCTION("""COMPUTED_VALUE"""),"NN")</f>
        <v>NN</v>
      </c>
      <c r="H781" s="2005">
        <f>IFERROR(__xludf.DUMMYFUNCTION("""COMPUTED_VALUE"""),182.99)</f>
        <v>182.99</v>
      </c>
      <c r="I781" s="2005">
        <f>IFERROR(__xludf.DUMMYFUNCTION("""COMPUTED_VALUE"""),139.0)</f>
        <v>139</v>
      </c>
      <c r="BD781" s="2006"/>
      <c r="LL781" s="2007"/>
      <c r="LM781" s="2007"/>
      <c r="MX781" s="2007"/>
      <c r="ND781" s="2008"/>
    </row>
    <row r="782">
      <c r="A782" s="2005">
        <f>IFERROR(__xludf.DUMMYFUNCTION("""COMPUTED_VALUE"""),1070089.0)</f>
        <v>1070089</v>
      </c>
      <c r="B782" s="2005">
        <f>IFERROR(__xludf.DUMMYFUNCTION("""COMPUTED_VALUE"""),2403006.0)</f>
        <v>2403006</v>
      </c>
      <c r="C782" s="2005" t="str">
        <f>IFERROR(__xludf.DUMMYFUNCTION("""COMPUTED_VALUE"""),"Conso")</f>
        <v>Conso</v>
      </c>
      <c r="D782" s="2005" t="str">
        <f>IFERROR(__xludf.DUMMYFUNCTION("""COMPUTED_VALUE"""),"Lot plaques de scotch (15x15) x10")</f>
        <v>Lot plaques de scotch (15x15) x10</v>
      </c>
      <c r="E782" s="2005" t="str">
        <f>IFERROR(__xludf.DUMMYFUNCTION("""COMPUTED_VALUE"""),"XYZ PRINTING")</f>
        <v>XYZ PRINTING</v>
      </c>
      <c r="F782" s="2005" t="str">
        <f>IFERROR(__xludf.DUMMYFUNCTION("""COMPUTED_VALUE"""),"H")</f>
        <v>H</v>
      </c>
      <c r="G782" s="2005" t="str">
        <f>IFERROR(__xludf.DUMMYFUNCTION("""COMPUTED_VALUE"""),"NN")</f>
        <v>NN</v>
      </c>
      <c r="H782" s="2005">
        <f>IFERROR(__xludf.DUMMYFUNCTION("""COMPUTED_VALUE"""),15.9)</f>
        <v>15.9</v>
      </c>
      <c r="I782" s="2005">
        <f>IFERROR(__xludf.DUMMYFUNCTION("""COMPUTED_VALUE"""),15.9)</f>
        <v>15.9</v>
      </c>
      <c r="BD782" s="2006"/>
      <c r="LM782" s="2007"/>
    </row>
    <row r="783">
      <c r="A783" s="2005">
        <f>IFERROR(__xludf.DUMMYFUNCTION("""COMPUTED_VALUE"""),1070091.0)</f>
        <v>1070091</v>
      </c>
      <c r="B783" s="2005">
        <f>IFERROR(__xludf.DUMMYFUNCTION("""COMPUTED_VALUE"""),2202011.0)</f>
        <v>2202011</v>
      </c>
      <c r="C783" s="2005" t="str">
        <f>IFERROR(__xludf.DUMMYFUNCTION("""COMPUTED_VALUE"""),"Imprimante Pro.")</f>
        <v>Imprimante Pro.</v>
      </c>
      <c r="D783" s="2005" t="str">
        <f>IFERROR(__xludf.DUMMYFUNCTION("""COMPUTED_VALUE"""),"MFC-L5750DW")</f>
        <v>MFC-L5750DW</v>
      </c>
      <c r="E783" s="2005" t="str">
        <f>IFERROR(__xludf.DUMMYFUNCTION("""COMPUTED_VALUE"""),"BROTHER")</f>
        <v>BROTHER</v>
      </c>
      <c r="F783" s="2005" t="str">
        <f>IFERROR(__xludf.DUMMYFUNCTION("""COMPUTED_VALUE"""),"H")</f>
        <v>H</v>
      </c>
      <c r="G783" s="2005" t="str">
        <f>IFERROR(__xludf.DUMMYFUNCTION("""COMPUTED_VALUE"""),"FR")</f>
        <v>FR</v>
      </c>
      <c r="H783" s="2005">
        <f>IFERROR(__xludf.DUMMYFUNCTION("""COMPUTED_VALUE"""),684.99)</f>
        <v>684.99</v>
      </c>
      <c r="I783" s="2005">
        <f>IFERROR(__xludf.DUMMYFUNCTION("""COMPUTED_VALUE"""),684.99)</f>
        <v>684.99</v>
      </c>
      <c r="BD783" s="2006"/>
      <c r="LL783" s="2007"/>
      <c r="LM783" s="2007"/>
      <c r="MX783" s="2007"/>
      <c r="ND783" s="2007"/>
    </row>
    <row r="784">
      <c r="A784" s="2005">
        <f>IFERROR(__xludf.DUMMYFUNCTION("""COMPUTED_VALUE"""),1070283.0)</f>
        <v>1070283</v>
      </c>
      <c r="B784" s="2005">
        <f>IFERROR(__xludf.DUMMYFUNCTION("""COMPUTED_VALUE"""),2403006.0)</f>
        <v>2403006</v>
      </c>
      <c r="C784" s="2005" t="str">
        <f>IFERROR(__xludf.DUMMYFUNCTION("""COMPUTED_VALUE"""),"Cartouche")</f>
        <v>Cartouche</v>
      </c>
      <c r="D784" s="2005" t="str">
        <f>IFERROR(__xludf.DUMMYFUNCTION("""COMPUTED_VALUE"""),"PLA JUNIOR Vert")</f>
        <v>PLA JUNIOR Vert</v>
      </c>
      <c r="E784" s="2005" t="str">
        <f>IFERROR(__xludf.DUMMYFUNCTION("""COMPUTED_VALUE"""),"XYZ PRINTING")</f>
        <v>XYZ PRINTING</v>
      </c>
      <c r="F784" s="2005" t="str">
        <f>IFERROR(__xludf.DUMMYFUNCTION("""COMPUTED_VALUE"""),"W")</f>
        <v>W</v>
      </c>
      <c r="G784" s="2005" t="str">
        <f>IFERROR(__xludf.DUMMYFUNCTION("""COMPUTED_VALUE"""),"NN")</f>
        <v>NN</v>
      </c>
      <c r="H784" s="2005">
        <f>IFERROR(__xludf.DUMMYFUNCTION("""COMPUTED_VALUE"""),29.9)</f>
        <v>29.9</v>
      </c>
      <c r="I784" s="2005">
        <f>IFERROR(__xludf.DUMMYFUNCTION("""COMPUTED_VALUE"""),29.9)</f>
        <v>29.9</v>
      </c>
      <c r="BD784" s="2006"/>
      <c r="LL784" s="2007"/>
      <c r="LM784" s="2007"/>
      <c r="MX784" s="2007"/>
      <c r="ND784" s="2007"/>
    </row>
    <row r="785">
      <c r="A785" s="2005">
        <f>IFERROR(__xludf.DUMMYFUNCTION("""COMPUTED_VALUE"""),1070344.0)</f>
        <v>1070344</v>
      </c>
      <c r="B785" s="2005">
        <f>IFERROR(__xludf.DUMMYFUNCTION("""COMPUTED_VALUE"""),2403006.0)</f>
        <v>2403006</v>
      </c>
      <c r="C785" s="2005" t="str">
        <f>IFERROR(__xludf.DUMMYFUNCTION("""COMPUTED_VALUE"""),"Cartouche")</f>
        <v>Cartouche</v>
      </c>
      <c r="D785" s="2005" t="str">
        <f>IFERROR(__xludf.DUMMYFUNCTION("""COMPUTED_VALUE"""),"PLA JUNIOR Rouge")</f>
        <v>PLA JUNIOR Rouge</v>
      </c>
      <c r="E785" s="2005" t="str">
        <f>IFERROR(__xludf.DUMMYFUNCTION("""COMPUTED_VALUE"""),"XYZ PRINTING")</f>
        <v>XYZ PRINTING</v>
      </c>
      <c r="F785" s="2005" t="str">
        <f>IFERROR(__xludf.DUMMYFUNCTION("""COMPUTED_VALUE"""),"H")</f>
        <v>H</v>
      </c>
      <c r="G785" s="2005" t="str">
        <f>IFERROR(__xludf.DUMMYFUNCTION("""COMPUTED_VALUE"""),"NN")</f>
        <v>NN</v>
      </c>
      <c r="H785" s="2005">
        <f>IFERROR(__xludf.DUMMYFUNCTION("""COMPUTED_VALUE"""),23.99)</f>
        <v>23.99</v>
      </c>
      <c r="I785">
        <f>IFERROR(__xludf.DUMMYFUNCTION("""COMPUTED_VALUE"""),23.99)</f>
        <v>23.99</v>
      </c>
      <c r="BD785" s="2006"/>
      <c r="LL785" s="2007"/>
      <c r="LM785" s="2007"/>
      <c r="MX785" s="2007"/>
      <c r="ND785" s="2007"/>
    </row>
    <row r="786">
      <c r="A786" s="2005">
        <f>IFERROR(__xludf.DUMMYFUNCTION("""COMPUTED_VALUE"""),1070346.0)</f>
        <v>1070346</v>
      </c>
      <c r="B786" s="2005">
        <f>IFERROR(__xludf.DUMMYFUNCTION("""COMPUTED_VALUE"""),2403006.0)</f>
        <v>2403006</v>
      </c>
      <c r="C786" s="2005" t="str">
        <f>IFERROR(__xludf.DUMMYFUNCTION("""COMPUTED_VALUE"""),"Cartouche")</f>
        <v>Cartouche</v>
      </c>
      <c r="D786" s="2005" t="str">
        <f>IFERROR(__xludf.DUMMYFUNCTION("""COMPUTED_VALUE"""),"PLA JUNIOR Neon Vert")</f>
        <v>PLA JUNIOR Neon Vert</v>
      </c>
      <c r="E786" s="2005" t="str">
        <f>IFERROR(__xludf.DUMMYFUNCTION("""COMPUTED_VALUE"""),"XYZ PRINTING")</f>
        <v>XYZ PRINTING</v>
      </c>
      <c r="F786" s="2005" t="str">
        <f>IFERROR(__xludf.DUMMYFUNCTION("""COMPUTED_VALUE"""),"H")</f>
        <v>H</v>
      </c>
      <c r="G786" s="2005" t="str">
        <f>IFERROR(__xludf.DUMMYFUNCTION("""COMPUTED_VALUE"""),"NN")</f>
        <v>NN</v>
      </c>
      <c r="H786" s="2005">
        <f>IFERROR(__xludf.DUMMYFUNCTION("""COMPUTED_VALUE"""),23.99)</f>
        <v>23.99</v>
      </c>
      <c r="I786">
        <f>IFERROR(__xludf.DUMMYFUNCTION("""COMPUTED_VALUE"""),23.99)</f>
        <v>23.99</v>
      </c>
      <c r="BD786" s="2006"/>
      <c r="LL786" s="2007"/>
      <c r="LM786" s="2007"/>
      <c r="MX786" s="2007"/>
      <c r="ND786" s="2007"/>
    </row>
    <row r="787">
      <c r="A787" s="2005">
        <f>IFERROR(__xludf.DUMMYFUNCTION("""COMPUTED_VALUE"""),1070539.0)</f>
        <v>1070539</v>
      </c>
      <c r="B787" s="2005">
        <f>IFERROR(__xludf.DUMMYFUNCTION("""COMPUTED_VALUE"""),2203010.0)</f>
        <v>2203010</v>
      </c>
      <c r="C787" s="2005" t="str">
        <f>IFERROR(__xludf.DUMMYFUNCTION("""COMPUTED_VALUE"""),"Scanner")</f>
        <v>Scanner</v>
      </c>
      <c r="D787" s="2005" t="str">
        <f>IFERROR(__xludf.DUMMYFUNCTION("""COMPUTED_VALUE"""),"ScanSnap S1100i")</f>
        <v>ScanSnap S1100i</v>
      </c>
      <c r="E787" s="2005" t="str">
        <f>IFERROR(__xludf.DUMMYFUNCTION("""COMPUTED_VALUE"""),"FUJITSU")</f>
        <v>FUJITSU</v>
      </c>
      <c r="F787" s="2005" t="str">
        <f>IFERROR(__xludf.DUMMYFUNCTION("""COMPUTED_VALUE"""),"H")</f>
        <v>H</v>
      </c>
      <c r="G787" s="2005" t="str">
        <f>IFERROR(__xludf.DUMMYFUNCTION("""COMPUTED_VALUE"""),"NN")</f>
        <v>NN</v>
      </c>
      <c r="H787" s="2005">
        <f>IFERROR(__xludf.DUMMYFUNCTION("""COMPUTED_VALUE"""),179.0)</f>
        <v>179</v>
      </c>
      <c r="I787">
        <f>IFERROR(__xludf.DUMMYFUNCTION("""COMPUTED_VALUE"""),179.0)</f>
        <v>179</v>
      </c>
      <c r="BD787" s="2006"/>
      <c r="LL787" s="2007"/>
      <c r="LM787" s="2007"/>
      <c r="MX787" s="2007"/>
      <c r="ND787" s="2007"/>
    </row>
    <row r="788">
      <c r="A788" s="2005">
        <f>IFERROR(__xludf.DUMMYFUNCTION("""COMPUTED_VALUE"""),1070540.0)</f>
        <v>1070540</v>
      </c>
      <c r="B788" s="2005">
        <f>IFERROR(__xludf.DUMMYFUNCTION("""COMPUTED_VALUE"""),2203010.0)</f>
        <v>2203010</v>
      </c>
      <c r="C788" s="2005" t="str">
        <f>IFERROR(__xludf.DUMMYFUNCTION("""COMPUTED_VALUE"""),"Scanner")</f>
        <v>Scanner</v>
      </c>
      <c r="D788" s="2005" t="str">
        <f>IFERROR(__xludf.DUMMYFUNCTION("""COMPUTED_VALUE"""),"ScanSnap S1300i Hybrid Mac")</f>
        <v>ScanSnap S1300i Hybrid Mac</v>
      </c>
      <c r="E788" s="2005" t="str">
        <f>IFERROR(__xludf.DUMMYFUNCTION("""COMPUTED_VALUE"""),"FUJITSU")</f>
        <v>FUJITSU</v>
      </c>
      <c r="F788" s="2005" t="str">
        <f>IFERROR(__xludf.DUMMYFUNCTION("""COMPUTED_VALUE"""),"H")</f>
        <v>H</v>
      </c>
      <c r="G788" s="2005" t="str">
        <f>IFERROR(__xludf.DUMMYFUNCTION("""COMPUTED_VALUE"""),"NN")</f>
        <v>NN</v>
      </c>
      <c r="H788">
        <f>IFERROR(__xludf.DUMMYFUNCTION("""COMPUTED_VALUE"""),299.0)</f>
        <v>299</v>
      </c>
      <c r="I788">
        <f>IFERROR(__xludf.DUMMYFUNCTION("""COMPUTED_VALUE"""),299.0)</f>
        <v>299</v>
      </c>
      <c r="BD788" s="2006"/>
      <c r="LL788" s="2007"/>
      <c r="LM788" s="2007"/>
      <c r="MX788" s="2007"/>
      <c r="ND788" s="2007"/>
    </row>
    <row r="789">
      <c r="A789" s="2005">
        <f>IFERROR(__xludf.DUMMYFUNCTION("""COMPUTED_VALUE"""),1070541.0)</f>
        <v>1070541</v>
      </c>
      <c r="B789" s="2005">
        <f>IFERROR(__xludf.DUMMYFUNCTION("""COMPUTED_VALUE"""),2203010.0)</f>
        <v>2203010</v>
      </c>
      <c r="C789" s="2005" t="str">
        <f>IFERROR(__xludf.DUMMYFUNCTION("""COMPUTED_VALUE"""),"Scanner")</f>
        <v>Scanner</v>
      </c>
      <c r="D789" s="2005" t="str">
        <f>IFERROR(__xludf.DUMMYFUNCTION("""COMPUTED_VALUE"""),"ScanSnap iX100")</f>
        <v>ScanSnap iX100</v>
      </c>
      <c r="E789" s="2005" t="str">
        <f>IFERROR(__xludf.DUMMYFUNCTION("""COMPUTED_VALUE"""),"FUJITSU")</f>
        <v>FUJITSU</v>
      </c>
      <c r="F789" s="2005" t="str">
        <f>IFERROR(__xludf.DUMMYFUNCTION("""COMPUTED_VALUE"""),"W")</f>
        <v>W</v>
      </c>
      <c r="G789" s="2005" t="str">
        <f>IFERROR(__xludf.DUMMYFUNCTION("""COMPUTED_VALUE"""),"NN")</f>
        <v>NN</v>
      </c>
      <c r="H789" s="2005">
        <f>IFERROR(__xludf.DUMMYFUNCTION("""COMPUTED_VALUE"""),196.99)</f>
        <v>196.99</v>
      </c>
      <c r="I789">
        <f>IFERROR(__xludf.DUMMYFUNCTION("""COMPUTED_VALUE"""),196.99)</f>
        <v>196.99</v>
      </c>
      <c r="BD789" s="2006"/>
      <c r="LL789" s="2007"/>
      <c r="LM789" s="2007"/>
      <c r="MX789" s="2007"/>
      <c r="ND789" s="2007"/>
    </row>
    <row r="790">
      <c r="A790" s="2005">
        <f>IFERROR(__xludf.DUMMYFUNCTION("""COMPUTED_VALUE"""),1070544.0)</f>
        <v>1070544</v>
      </c>
      <c r="B790" s="2005">
        <f>IFERROR(__xludf.DUMMYFUNCTION("""COMPUTED_VALUE"""),2203005.0)</f>
        <v>2203005</v>
      </c>
      <c r="C790" s="2005" t="str">
        <f>IFERROR(__xludf.DUMMYFUNCTION("""COMPUTED_VALUE"""),"Scanner")</f>
        <v>Scanner</v>
      </c>
      <c r="D790" s="2005" t="str">
        <f>IFERROR(__xludf.DUMMYFUNCTION("""COMPUTED_VALUE"""),"ScanSnap SV600")</f>
        <v>ScanSnap SV600</v>
      </c>
      <c r="E790" s="2005" t="str">
        <f>IFERROR(__xludf.DUMMYFUNCTION("""COMPUTED_VALUE"""),"FUJITSU")</f>
        <v>FUJITSU</v>
      </c>
      <c r="F790" s="2005" t="str">
        <f>IFERROR(__xludf.DUMMYFUNCTION("""COMPUTED_VALUE"""),"W")</f>
        <v>W</v>
      </c>
      <c r="G790" s="2005" t="str">
        <f>IFERROR(__xludf.DUMMYFUNCTION("""COMPUTED_VALUE"""),"NN")</f>
        <v>NN</v>
      </c>
      <c r="H790" s="2005">
        <f>IFERROR(__xludf.DUMMYFUNCTION("""COMPUTED_VALUE"""),799.99)</f>
        <v>799.99</v>
      </c>
      <c r="I790" s="2005">
        <f>IFERROR(__xludf.DUMMYFUNCTION("""COMPUTED_VALUE"""),799.99)</f>
        <v>799.99</v>
      </c>
      <c r="BD790" s="2006"/>
      <c r="LL790" s="2007"/>
      <c r="LM790" s="2007"/>
      <c r="MX790" s="2007"/>
      <c r="ND790" s="2007"/>
    </row>
    <row r="791">
      <c r="A791" s="2005">
        <f>IFERROR(__xludf.DUMMYFUNCTION("""COMPUTED_VALUE"""),1070545.0)</f>
        <v>1070545</v>
      </c>
      <c r="B791" s="2005">
        <f>IFERROR(__xludf.DUMMYFUNCTION("""COMPUTED_VALUE"""),2203005.0)</f>
        <v>2203005</v>
      </c>
      <c r="C791" s="2005" t="str">
        <f>IFERROR(__xludf.DUMMYFUNCTION("""COMPUTED_VALUE"""),"Scanner")</f>
        <v>Scanner</v>
      </c>
      <c r="D791" s="2005" t="str">
        <f>IFERROR(__xludf.DUMMYFUNCTION("""COMPUTED_VALUE"""),"SP-1120")</f>
        <v>SP-1120</v>
      </c>
      <c r="E791" s="2005" t="str">
        <f>IFERROR(__xludf.DUMMYFUNCTION("""COMPUTED_VALUE"""),"FUJITSU")</f>
        <v>FUJITSU</v>
      </c>
      <c r="F791" s="2005" t="str">
        <f>IFERROR(__xludf.DUMMYFUNCTION("""COMPUTED_VALUE"""),"H")</f>
        <v>H</v>
      </c>
      <c r="G791" s="2005" t="str">
        <f>IFERROR(__xludf.DUMMYFUNCTION("""COMPUTED_VALUE"""),"NN")</f>
        <v>NN</v>
      </c>
      <c r="H791" s="2005">
        <f>IFERROR(__xludf.DUMMYFUNCTION("""COMPUTED_VALUE"""),262.99)</f>
        <v>262.99</v>
      </c>
      <c r="I791" s="2005">
        <f>IFERROR(__xludf.DUMMYFUNCTION("""COMPUTED_VALUE"""),262.99)</f>
        <v>262.99</v>
      </c>
      <c r="BD791" s="2006"/>
      <c r="LL791" s="2007"/>
      <c r="LM791" s="2007"/>
      <c r="MX791" s="2007"/>
      <c r="ND791" s="2007"/>
    </row>
    <row r="792">
      <c r="A792" s="2005">
        <f>IFERROR(__xludf.DUMMYFUNCTION("""COMPUTED_VALUE"""),1070554.0)</f>
        <v>1070554</v>
      </c>
      <c r="B792" s="2005">
        <f>IFERROR(__xludf.DUMMYFUNCTION("""COMPUTED_VALUE"""),2502040.0)</f>
        <v>2502040</v>
      </c>
      <c r="C792" s="2005" t="str">
        <f>IFERROR(__xludf.DUMMYFUNCTION("""COMPUTED_VALUE"""),"Clé")</f>
        <v>Clé</v>
      </c>
      <c r="D792" s="2005" t="str">
        <f>IFERROR(__xludf.DUMMYFUNCTION("""COMPUTED_VALUE"""),"HDMI Wireless Display adapter v2")</f>
        <v>HDMI Wireless Display adapter v2</v>
      </c>
      <c r="E792" s="2005" t="str">
        <f>IFERROR(__xludf.DUMMYFUNCTION("""COMPUTED_VALUE"""),"MICROSOFT")</f>
        <v>MICROSOFT</v>
      </c>
      <c r="F792" s="2005" t="str">
        <f>IFERROR(__xludf.DUMMYFUNCTION("""COMPUTED_VALUE"""),"C")</f>
        <v>C</v>
      </c>
      <c r="G792" s="2005" t="str">
        <f>IFERROR(__xludf.DUMMYFUNCTION("""COMPUTED_VALUE"""),"FI")</f>
        <v>FI</v>
      </c>
      <c r="H792" s="2005">
        <f>IFERROR(__xludf.DUMMYFUNCTION("""COMPUTED_VALUE"""),69.91)</f>
        <v>69.91</v>
      </c>
      <c r="I792" s="2005">
        <f>IFERROR(__xludf.DUMMYFUNCTION("""COMPUTED_VALUE"""),69.91)</f>
        <v>69.91</v>
      </c>
      <c r="BD792" s="2006"/>
      <c r="LL792" s="2007"/>
      <c r="LM792" s="2007"/>
      <c r="MX792" s="2007"/>
      <c r="ND792" s="2007"/>
    </row>
    <row r="793">
      <c r="A793" s="2005">
        <f>IFERROR(__xludf.DUMMYFUNCTION("""COMPUTED_VALUE"""),1070619.0)</f>
        <v>1070619</v>
      </c>
      <c r="B793" s="2005">
        <f>IFERROR(__xludf.DUMMYFUNCTION("""COMPUTED_VALUE"""),2502015.0)</f>
        <v>2502015</v>
      </c>
      <c r="C793" s="2005" t="str">
        <f>IFERROR(__xludf.DUMMYFUNCTION("""COMPUTED_VALUE"""),"Clavier")</f>
        <v>Clavier</v>
      </c>
      <c r="D793" s="2005" t="str">
        <f>IFERROR(__xludf.DUMMYFUNCTION("""COMPUTED_VALUE"""),"QWERTY pour iPad Pro Smart 9''7")</f>
        <v>QWERTY pour iPad Pro Smart 9''7</v>
      </c>
      <c r="E793" s="2005" t="str">
        <f>IFERROR(__xludf.DUMMYFUNCTION("""COMPUTED_VALUE"""),"APPLE")</f>
        <v>APPLE</v>
      </c>
      <c r="F793" s="2005" t="str">
        <f>IFERROR(__xludf.DUMMYFUNCTION("""COMPUTED_VALUE"""),"H")</f>
        <v>H</v>
      </c>
      <c r="G793" s="2005" t="str">
        <f>IFERROR(__xludf.DUMMYFUNCTION("""COMPUTED_VALUE"""),"NN")</f>
        <v>NN</v>
      </c>
      <c r="H793" s="2005">
        <f>IFERROR(__xludf.DUMMYFUNCTION("""COMPUTED_VALUE"""),169.99)</f>
        <v>169.99</v>
      </c>
      <c r="I793" s="2005">
        <f>IFERROR(__xludf.DUMMYFUNCTION("""COMPUTED_VALUE"""),169.99)</f>
        <v>169.99</v>
      </c>
      <c r="BD793" s="2006"/>
      <c r="LL793" s="2007"/>
      <c r="LM793" s="2007"/>
      <c r="MX793" s="2007"/>
      <c r="ND793" s="2007"/>
    </row>
    <row r="794">
      <c r="A794" s="2005">
        <f>IFERROR(__xludf.DUMMYFUNCTION("""COMPUTED_VALUE"""),1071308.0)</f>
        <v>1071308</v>
      </c>
      <c r="B794" s="2005">
        <f>IFERROR(__xludf.DUMMYFUNCTION("""COMPUTED_VALUE"""),2502020.0)</f>
        <v>2502020</v>
      </c>
      <c r="C794" s="2005" t="str">
        <f>IFERROR(__xludf.DUMMYFUNCTION("""COMPUTED_VALUE"""),"Webcam")</f>
        <v>Webcam</v>
      </c>
      <c r="D794" s="2005" t="str">
        <f>IFERROR(__xludf.DUMMYFUNCTION("""COMPUTED_VALUE"""),"C615 HD")</f>
        <v>C615 HD</v>
      </c>
      <c r="E794" s="2005" t="str">
        <f>IFERROR(__xludf.DUMMYFUNCTION("""COMPUTED_VALUE"""),"LOGITECH")</f>
        <v>LOGITECH</v>
      </c>
      <c r="F794" s="2005" t="str">
        <f>IFERROR(__xludf.DUMMYFUNCTION("""COMPUTED_VALUE"""),"E")</f>
        <v>E</v>
      </c>
      <c r="G794" s="2005" t="str">
        <f>IFERROR(__xludf.DUMMYFUNCTION("""COMPUTED_VALUE"""),"NN")</f>
        <v>NN</v>
      </c>
      <c r="H794" s="2005">
        <f>IFERROR(__xludf.DUMMYFUNCTION("""COMPUTED_VALUE"""),79.99)</f>
        <v>79.99</v>
      </c>
      <c r="I794">
        <f>IFERROR(__xludf.DUMMYFUNCTION("""COMPUTED_VALUE"""),79.99)</f>
        <v>79.99</v>
      </c>
      <c r="BD794" s="2006"/>
      <c r="LL794" s="2007"/>
      <c r="LM794" s="2007"/>
      <c r="MX794" s="2007"/>
      <c r="ND794" s="2007"/>
    </row>
    <row r="795">
      <c r="A795" s="2005">
        <f>IFERROR(__xludf.DUMMYFUNCTION("""COMPUTED_VALUE"""),1071315.0)</f>
        <v>1071315</v>
      </c>
      <c r="B795" s="2005">
        <f>IFERROR(__xludf.DUMMYFUNCTION("""COMPUTED_VALUE"""),2503010.0)</f>
        <v>2503010</v>
      </c>
      <c r="C795" s="2005" t="str">
        <f>IFERROR(__xludf.DUMMYFUNCTION("""COMPUTED_VALUE"""),"Casque micro")</f>
        <v>Casque micro</v>
      </c>
      <c r="D795" s="2005" t="str">
        <f>IFERROR(__xludf.DUMMYFUNCTION("""COMPUTED_VALUE"""),"H111")</f>
        <v>H111</v>
      </c>
      <c r="E795" s="2005" t="str">
        <f>IFERROR(__xludf.DUMMYFUNCTION("""COMPUTED_VALUE"""),"LOGITECH")</f>
        <v>LOGITECH</v>
      </c>
      <c r="F795" s="2005" t="str">
        <f>IFERROR(__xludf.DUMMYFUNCTION("""COMPUTED_VALUE"""),"C")</f>
        <v>C</v>
      </c>
      <c r="G795" s="2005" t="str">
        <f>IFERROR(__xludf.DUMMYFUNCTION("""COMPUTED_VALUE"""),"AC")</f>
        <v>AC</v>
      </c>
      <c r="H795" s="2005">
        <f>IFERROR(__xludf.DUMMYFUNCTION("""COMPUTED_VALUE"""),21.99)</f>
        <v>21.99</v>
      </c>
      <c r="I795" s="2005">
        <f>IFERROR(__xludf.DUMMYFUNCTION("""COMPUTED_VALUE"""),21.99)</f>
        <v>21.99</v>
      </c>
      <c r="BD795" s="2006"/>
      <c r="LL795" s="2007"/>
      <c r="LM795" s="2007"/>
      <c r="MX795" s="2007"/>
      <c r="ND795" s="2007"/>
    </row>
    <row r="796">
      <c r="A796" s="2005">
        <f>IFERROR(__xludf.DUMMYFUNCTION("""COMPUTED_VALUE"""),1071317.0)</f>
        <v>1071317</v>
      </c>
      <c r="B796" s="2005">
        <f>IFERROR(__xludf.DUMMYFUNCTION("""COMPUTED_VALUE"""),2503010.0)</f>
        <v>2503010</v>
      </c>
      <c r="C796" s="2005" t="str">
        <f>IFERROR(__xludf.DUMMYFUNCTION("""COMPUTED_VALUE"""),"Casque micro")</f>
        <v>Casque micro</v>
      </c>
      <c r="D796" s="2005" t="str">
        <f>IFERROR(__xludf.DUMMYFUNCTION("""COMPUTED_VALUE"""),"H151")</f>
        <v>H151</v>
      </c>
      <c r="E796" s="2005" t="str">
        <f>IFERROR(__xludf.DUMMYFUNCTION("""COMPUTED_VALUE"""),"LOGITECH")</f>
        <v>LOGITECH</v>
      </c>
      <c r="F796" s="2005" t="str">
        <f>IFERROR(__xludf.DUMMYFUNCTION("""COMPUTED_VALUE"""),"W")</f>
        <v>W</v>
      </c>
      <c r="G796" s="2005" t="str">
        <f>IFERROR(__xludf.DUMMYFUNCTION("""COMPUTED_VALUE"""),"NN")</f>
        <v>NN</v>
      </c>
      <c r="H796" s="2005">
        <f>IFERROR(__xludf.DUMMYFUNCTION("""COMPUTED_VALUE"""),27.99)</f>
        <v>27.99</v>
      </c>
      <c r="I796" s="2005">
        <f>IFERROR(__xludf.DUMMYFUNCTION("""COMPUTED_VALUE"""),27.99)</f>
        <v>27.99</v>
      </c>
      <c r="BD796" s="2006"/>
      <c r="LL796" s="2007"/>
      <c r="LM796" s="2007"/>
      <c r="MX796" s="2007"/>
      <c r="ND796" s="2007"/>
    </row>
    <row r="797">
      <c r="A797" s="2005">
        <f>IFERROR(__xludf.DUMMYFUNCTION("""COMPUTED_VALUE"""),1071700.0)</f>
        <v>1071700</v>
      </c>
      <c r="B797" s="2005">
        <f>IFERROR(__xludf.DUMMYFUNCTION("""COMPUTED_VALUE"""),2203005.0)</f>
        <v>2203005</v>
      </c>
      <c r="C797" s="2005" t="str">
        <f>IFERROR(__xludf.DUMMYFUNCTION("""COMPUTED_VALUE"""),"Scanner")</f>
        <v>Scanner</v>
      </c>
      <c r="D797" s="2005" t="str">
        <f>IFERROR(__xludf.DUMMYFUNCTION("""COMPUTED_VALUE"""),"Perfection V39")</f>
        <v>Perfection V39</v>
      </c>
      <c r="E797" s="2005" t="str">
        <f>IFERROR(__xludf.DUMMYFUNCTION("""COMPUTED_VALUE"""),"EPSON")</f>
        <v>EPSON</v>
      </c>
      <c r="F797" s="2005" t="str">
        <f>IFERROR(__xludf.DUMMYFUNCTION("""COMPUTED_VALUE"""),"H")</f>
        <v>H</v>
      </c>
      <c r="G797" s="2005" t="str">
        <f>IFERROR(__xludf.DUMMYFUNCTION("""COMPUTED_VALUE"""),"NN")</f>
        <v>NN</v>
      </c>
      <c r="H797" s="2005">
        <f>IFERROR(__xludf.DUMMYFUNCTION("""COMPUTED_VALUE"""),109.99)</f>
        <v>109.99</v>
      </c>
      <c r="I797" s="2005">
        <f>IFERROR(__xludf.DUMMYFUNCTION("""COMPUTED_VALUE"""),109.99)</f>
        <v>109.99</v>
      </c>
      <c r="BD797" s="2006"/>
      <c r="LL797" s="2007"/>
      <c r="LM797" s="2007"/>
      <c r="MX797" s="2007"/>
      <c r="ND797" s="2007"/>
    </row>
    <row r="798">
      <c r="A798" s="2005">
        <f>IFERROR(__xludf.DUMMYFUNCTION("""COMPUTED_VALUE"""),1072418.0)</f>
        <v>1072418</v>
      </c>
      <c r="B798" s="2005">
        <f>IFERROR(__xludf.DUMMYFUNCTION("""COMPUTED_VALUE"""),2503005.0)</f>
        <v>2503005</v>
      </c>
      <c r="C798" s="2005" t="str">
        <f>IFERROR(__xludf.DUMMYFUNCTION("""COMPUTED_VALUE"""),"Enceinte")</f>
        <v>Enceinte</v>
      </c>
      <c r="D798" s="2005" t="str">
        <f>IFERROR(__xludf.DUMMYFUNCTION("""COMPUTED_VALUE"""),"Gaming GXT628 Tytan 2.1ED")</f>
        <v>Gaming GXT628 Tytan 2.1ED</v>
      </c>
      <c r="E798" s="2005" t="str">
        <f>IFERROR(__xludf.DUMMYFUNCTION("""COMPUTED_VALUE"""),"TRUST")</f>
        <v>TRUST</v>
      </c>
      <c r="F798" s="2005" t="str">
        <f>IFERROR(__xludf.DUMMYFUNCTION("""COMPUTED_VALUE"""),"D")</f>
        <v>D</v>
      </c>
      <c r="G798" s="2005" t="str">
        <f>IFERROR(__xludf.DUMMYFUNCTION("""COMPUTED_VALUE"""),"FI")</f>
        <v>FI</v>
      </c>
      <c r="H798" s="2005">
        <f>IFERROR(__xludf.DUMMYFUNCTION("""COMPUTED_VALUE"""),109.99)</f>
        <v>109.99</v>
      </c>
      <c r="I798" s="2005">
        <f>IFERROR(__xludf.DUMMYFUNCTION("""COMPUTED_VALUE"""),109.99)</f>
        <v>109.99</v>
      </c>
      <c r="BD798" s="2006"/>
      <c r="LM798" s="2007"/>
    </row>
    <row r="799">
      <c r="A799" s="2005">
        <f>IFERROR(__xludf.DUMMYFUNCTION("""COMPUTED_VALUE"""),1072441.0)</f>
        <v>1072441</v>
      </c>
      <c r="B799" s="2005">
        <f>IFERROR(__xludf.DUMMYFUNCTION("""COMPUTED_VALUE"""),2502510.0)</f>
        <v>2502510</v>
      </c>
      <c r="C799" s="2005" t="str">
        <f>IFERROR(__xludf.DUMMYFUNCTION("""COMPUTED_VALUE"""),"Support")</f>
        <v>Support</v>
      </c>
      <c r="D799" s="2005" t="str">
        <f>IFERROR(__xludf.DUMMYFUNCTION("""COMPUTED_VALUE"""),"Gaming GXT278 4 ventilateurs")</f>
        <v>Gaming GXT278 4 ventilateurs</v>
      </c>
      <c r="E799" s="2005" t="str">
        <f>IFERROR(__xludf.DUMMYFUNCTION("""COMPUTED_VALUE"""),"TRUST")</f>
        <v>TRUST</v>
      </c>
      <c r="F799" s="2005" t="str">
        <f>IFERROR(__xludf.DUMMYFUNCTION("""COMPUTED_VALUE"""),"C")</f>
        <v>C</v>
      </c>
      <c r="G799" s="2005" t="str">
        <f>IFERROR(__xludf.DUMMYFUNCTION("""COMPUTED_VALUE"""),"AC")</f>
        <v>AC</v>
      </c>
      <c r="H799" s="2005">
        <f>IFERROR(__xludf.DUMMYFUNCTION("""COMPUTED_VALUE"""),39.99)</f>
        <v>39.99</v>
      </c>
      <c r="I799">
        <f>IFERROR(__xludf.DUMMYFUNCTION("""COMPUTED_VALUE"""),39.99)</f>
        <v>39.99</v>
      </c>
      <c r="BD799" s="2006"/>
      <c r="LL799" s="2008"/>
      <c r="LM799" s="2007"/>
      <c r="MX799" s="2007"/>
      <c r="ND799" s="2007"/>
    </row>
    <row r="800">
      <c r="A800" s="2005">
        <f>IFERROR(__xludf.DUMMYFUNCTION("""COMPUTED_VALUE"""),1073120.0)</f>
        <v>1073120</v>
      </c>
      <c r="B800" s="2005">
        <f>IFERROR(__xludf.DUMMYFUNCTION("""COMPUTED_VALUE"""),2202005.0)</f>
        <v>2202005</v>
      </c>
      <c r="C800" s="2005" t="str">
        <f>IFERROR(__xludf.DUMMYFUNCTION("""COMPUTED_VALUE"""),"Multi Jet d'enc")</f>
        <v>Multi Jet d'enc</v>
      </c>
      <c r="D800" s="2005" t="str">
        <f>IFERROR(__xludf.DUMMYFUNCTION("""COMPUTED_VALUE"""),"OfficeJet Pro 6960")</f>
        <v>OfficeJet Pro 6960</v>
      </c>
      <c r="E800" s="2005" t="str">
        <f>IFERROR(__xludf.DUMMYFUNCTION("""COMPUTED_VALUE"""),"HP")</f>
        <v>HP</v>
      </c>
      <c r="F800" s="2005" t="str">
        <f>IFERROR(__xludf.DUMMYFUNCTION("""COMPUTED_VALUE"""),"A")</f>
        <v>A</v>
      </c>
      <c r="G800" s="2005" t="str">
        <f>IFERROR(__xludf.DUMMYFUNCTION("""COMPUTED_VALUE"""),"NN")</f>
        <v>NN</v>
      </c>
      <c r="H800" s="2005">
        <f>IFERROR(__xludf.DUMMYFUNCTION("""COMPUTED_VALUE"""),149.0)</f>
        <v>149</v>
      </c>
      <c r="I800" s="2005">
        <f>IFERROR(__xludf.DUMMYFUNCTION("""COMPUTED_VALUE"""),149.0)</f>
        <v>149</v>
      </c>
      <c r="BD800" s="2006"/>
      <c r="LL800" s="2007"/>
      <c r="LM800" s="2007"/>
      <c r="MX800" s="2007"/>
      <c r="ND800" s="2008"/>
    </row>
    <row r="801">
      <c r="A801" s="2005">
        <f>IFERROR(__xludf.DUMMYFUNCTION("""COMPUTED_VALUE"""),1074426.0)</f>
        <v>1074426</v>
      </c>
      <c r="B801" s="2005">
        <f>IFERROR(__xludf.DUMMYFUNCTION("""COMPUTED_VALUE"""),2403005.0)</f>
        <v>2403005</v>
      </c>
      <c r="C801" s="2005" t="str">
        <f>IFERROR(__xludf.DUMMYFUNCTION("""COMPUTED_VALUE"""),"Cartouche")</f>
        <v>Cartouche</v>
      </c>
      <c r="D801" s="2005" t="str">
        <f>IFERROR(__xludf.DUMMYFUNCTION("""COMPUTED_VALUE"""),"304 3 couleurs")</f>
        <v>304 3 couleurs</v>
      </c>
      <c r="E801" s="2005" t="str">
        <f>IFERROR(__xludf.DUMMYFUNCTION("""COMPUTED_VALUE"""),"HP")</f>
        <v>HP</v>
      </c>
      <c r="F801" s="2005" t="str">
        <f>IFERROR(__xludf.DUMMYFUNCTION("""COMPUTED_VALUE"""),"A")</f>
        <v>A</v>
      </c>
      <c r="G801" s="2005" t="str">
        <f>IFERROR(__xludf.DUMMYFUNCTION("""COMPUTED_VALUE"""),"AC")</f>
        <v>AC</v>
      </c>
      <c r="H801" s="2005">
        <f>IFERROR(__xludf.DUMMYFUNCTION("""COMPUTED_VALUE"""),16.99)</f>
        <v>16.99</v>
      </c>
      <c r="I801" s="2005">
        <f>IFERROR(__xludf.DUMMYFUNCTION("""COMPUTED_VALUE"""),16.99)</f>
        <v>16.99</v>
      </c>
      <c r="BD801" s="2006"/>
      <c r="LL801" s="2008"/>
      <c r="LM801" s="2007"/>
      <c r="MX801" s="2008"/>
      <c r="ND801" s="2008"/>
    </row>
    <row r="802">
      <c r="A802" s="2005">
        <f>IFERROR(__xludf.DUMMYFUNCTION("""COMPUTED_VALUE"""),1074428.0)</f>
        <v>1074428</v>
      </c>
      <c r="B802" s="2005">
        <f>IFERROR(__xludf.DUMMYFUNCTION("""COMPUTED_VALUE"""),2403005.0)</f>
        <v>2403005</v>
      </c>
      <c r="C802" s="2005" t="str">
        <f>IFERROR(__xludf.DUMMYFUNCTION("""COMPUTED_VALUE"""),"Cartouche")</f>
        <v>Cartouche</v>
      </c>
      <c r="D802" s="2005" t="str">
        <f>IFERROR(__xludf.DUMMYFUNCTION("""COMPUTED_VALUE"""),"304 noire")</f>
        <v>304 noire</v>
      </c>
      <c r="E802" s="2005" t="str">
        <f>IFERROR(__xludf.DUMMYFUNCTION("""COMPUTED_VALUE"""),"HP")</f>
        <v>HP</v>
      </c>
      <c r="F802" s="2005" t="str">
        <f>IFERROR(__xludf.DUMMYFUNCTION("""COMPUTED_VALUE"""),"A")</f>
        <v>A</v>
      </c>
      <c r="G802" s="2005" t="str">
        <f>IFERROR(__xludf.DUMMYFUNCTION("""COMPUTED_VALUE"""),"AC")</f>
        <v>AC</v>
      </c>
      <c r="H802" s="2005">
        <f>IFERROR(__xludf.DUMMYFUNCTION("""COMPUTED_VALUE"""),16.99)</f>
        <v>16.99</v>
      </c>
      <c r="I802" s="2005">
        <f>IFERROR(__xludf.DUMMYFUNCTION("""COMPUTED_VALUE"""),16.99)</f>
        <v>16.99</v>
      </c>
      <c r="BD802" s="2006"/>
      <c r="LL802" s="2008"/>
      <c r="LM802" s="2007"/>
      <c r="MX802" s="2008"/>
      <c r="ND802" s="2008"/>
    </row>
    <row r="803">
      <c r="A803">
        <f>IFERROR(__xludf.DUMMYFUNCTION("""COMPUTED_VALUE"""),1074429.0)</f>
        <v>1074429</v>
      </c>
      <c r="B803">
        <f>IFERROR(__xludf.DUMMYFUNCTION("""COMPUTED_VALUE"""),2403005.0)</f>
        <v>2403005</v>
      </c>
      <c r="C803" t="str">
        <f>IFERROR(__xludf.DUMMYFUNCTION("""COMPUTED_VALUE"""),"Cartouche")</f>
        <v>Cartouche</v>
      </c>
      <c r="D803" t="str">
        <f>IFERROR(__xludf.DUMMYFUNCTION("""COMPUTED_VALUE"""),"304 XL 3 couleurs")</f>
        <v>304 XL 3 couleurs</v>
      </c>
      <c r="E803" t="str">
        <f>IFERROR(__xludf.DUMMYFUNCTION("""COMPUTED_VALUE"""),"HP")</f>
        <v>HP</v>
      </c>
      <c r="F803" t="str">
        <f>IFERROR(__xludf.DUMMYFUNCTION("""COMPUTED_VALUE"""),"A")</f>
        <v>A</v>
      </c>
      <c r="G803" t="str">
        <f>IFERROR(__xludf.DUMMYFUNCTION("""COMPUTED_VALUE"""),"AC")</f>
        <v>AC</v>
      </c>
      <c r="H803">
        <f>IFERROR(__xludf.DUMMYFUNCTION("""COMPUTED_VALUE"""),38.99)</f>
        <v>38.99</v>
      </c>
      <c r="I803">
        <f>IFERROR(__xludf.DUMMYFUNCTION("""COMPUTED_VALUE"""),38.99)</f>
        <v>38.99</v>
      </c>
      <c r="BD803" s="2006"/>
      <c r="LL803" s="2008"/>
      <c r="LM803" s="2007"/>
      <c r="MX803" s="2007"/>
      <c r="ND803" s="2008"/>
    </row>
    <row r="804">
      <c r="A804" s="2005">
        <f>IFERROR(__xludf.DUMMYFUNCTION("""COMPUTED_VALUE"""),1074481.0)</f>
        <v>1074481</v>
      </c>
      <c r="B804" s="2005">
        <f>IFERROR(__xludf.DUMMYFUNCTION("""COMPUTED_VALUE"""),2403005.0)</f>
        <v>2403005</v>
      </c>
      <c r="C804" s="2005" t="str">
        <f>IFERROR(__xludf.DUMMYFUNCTION("""COMPUTED_VALUE"""),"Cartouche")</f>
        <v>Cartouche</v>
      </c>
      <c r="D804" s="2005" t="str">
        <f>IFERROR(__xludf.DUMMYFUNCTION("""COMPUTED_VALUE"""),"304 XL noire")</f>
        <v>304 XL noire</v>
      </c>
      <c r="E804" s="2005" t="str">
        <f>IFERROR(__xludf.DUMMYFUNCTION("""COMPUTED_VALUE"""),"HP")</f>
        <v>HP</v>
      </c>
      <c r="F804" s="2005" t="str">
        <f>IFERROR(__xludf.DUMMYFUNCTION("""COMPUTED_VALUE"""),"A")</f>
        <v>A</v>
      </c>
      <c r="G804" s="2005" t="str">
        <f>IFERROR(__xludf.DUMMYFUNCTION("""COMPUTED_VALUE"""),"AC")</f>
        <v>AC</v>
      </c>
      <c r="H804" s="2005">
        <f>IFERROR(__xludf.DUMMYFUNCTION("""COMPUTED_VALUE"""),33.99)</f>
        <v>33.99</v>
      </c>
      <c r="I804">
        <f>IFERROR(__xludf.DUMMYFUNCTION("""COMPUTED_VALUE"""),33.99)</f>
        <v>33.99</v>
      </c>
      <c r="BD804" s="2006"/>
      <c r="LL804" s="2007"/>
      <c r="LM804" s="2007"/>
      <c r="MX804" s="2007"/>
      <c r="ND804" s="2008"/>
    </row>
    <row r="805">
      <c r="A805" s="2005">
        <f>IFERROR(__xludf.DUMMYFUNCTION("""COMPUTED_VALUE"""),1074907.0)</f>
        <v>1074907</v>
      </c>
      <c r="B805" s="2005">
        <f>IFERROR(__xludf.DUMMYFUNCTION("""COMPUTED_VALUE"""),2502020.0)</f>
        <v>2502020</v>
      </c>
      <c r="C805" s="2005" t="str">
        <f>IFERROR(__xludf.DUMMYFUNCTION("""COMPUTED_VALUE"""),"Webcam")</f>
        <v>Webcam</v>
      </c>
      <c r="D805" s="2005" t="str">
        <f>IFERROR(__xludf.DUMMYFUNCTION("""COMPUTED_VALUE"""),"C270 Refresh")</f>
        <v>C270 Refresh</v>
      </c>
      <c r="E805" s="2005" t="str">
        <f>IFERROR(__xludf.DUMMYFUNCTION("""COMPUTED_VALUE"""),"LOGITECH")</f>
        <v>LOGITECH</v>
      </c>
      <c r="F805" s="2005" t="str">
        <f>IFERROR(__xludf.DUMMYFUNCTION("""COMPUTED_VALUE"""),"W")</f>
        <v>W</v>
      </c>
      <c r="G805" s="2005" t="str">
        <f>IFERROR(__xludf.DUMMYFUNCTION("""COMPUTED_VALUE"""),"AC")</f>
        <v>AC</v>
      </c>
      <c r="H805">
        <f>IFERROR(__xludf.DUMMYFUNCTION("""COMPUTED_VALUE"""),34.99)</f>
        <v>34.99</v>
      </c>
      <c r="I805">
        <f>IFERROR(__xludf.DUMMYFUNCTION("""COMPUTED_VALUE"""),23.95)</f>
        <v>23.95</v>
      </c>
      <c r="BD805" s="2006"/>
      <c r="LL805" s="2007"/>
      <c r="LM805" s="2007"/>
      <c r="MX805" s="2007"/>
      <c r="ND805" s="2007"/>
    </row>
    <row r="806">
      <c r="A806" s="2005">
        <f>IFERROR(__xludf.DUMMYFUNCTION("""COMPUTED_VALUE"""),1074964.0)</f>
        <v>1074964</v>
      </c>
      <c r="B806" s="2005">
        <f>IFERROR(__xludf.DUMMYFUNCTION("""COMPUTED_VALUE"""),2502024.0)</f>
        <v>2502024</v>
      </c>
      <c r="C806" s="2005" t="str">
        <f>IFERROR(__xludf.DUMMYFUNCTION("""COMPUTED_VALUE"""),"Stylet")</f>
        <v>Stylet</v>
      </c>
      <c r="D806" s="2005" t="str">
        <f>IFERROR(__xludf.DUMMYFUNCTION("""COMPUTED_VALUE"""),"Active C Pen Noir pour Tab Pro S")</f>
        <v>Active C Pen Noir pour Tab Pro S</v>
      </c>
      <c r="E806" s="2005" t="str">
        <f>IFERROR(__xludf.DUMMYFUNCTION("""COMPUTED_VALUE"""),"SAMSUNG")</f>
        <v>SAMSUNG</v>
      </c>
      <c r="F806" s="2005" t="str">
        <f>IFERROR(__xludf.DUMMYFUNCTION("""COMPUTED_VALUE"""),"C")</f>
        <v>C</v>
      </c>
      <c r="G806" s="2005" t="str">
        <f>IFERROR(__xludf.DUMMYFUNCTION("""COMPUTED_VALUE"""),"NN")</f>
        <v>NN</v>
      </c>
      <c r="H806" s="2005">
        <f>IFERROR(__xludf.DUMMYFUNCTION("""COMPUTED_VALUE"""),59.99)</f>
        <v>59.99</v>
      </c>
      <c r="I806" s="2005">
        <f>IFERROR(__xludf.DUMMYFUNCTION("""COMPUTED_VALUE"""),59.99)</f>
        <v>59.99</v>
      </c>
      <c r="BD806" s="2006"/>
      <c r="LL806" s="2007"/>
      <c r="LM806" s="2007"/>
      <c r="MX806" s="2007"/>
      <c r="ND806" s="2007"/>
    </row>
    <row r="807">
      <c r="A807" s="2005">
        <f>IFERROR(__xludf.DUMMYFUNCTION("""COMPUTED_VALUE"""),1075049.0)</f>
        <v>1075049</v>
      </c>
      <c r="B807" s="2005">
        <f>IFERROR(__xludf.DUMMYFUNCTION("""COMPUTED_VALUE"""),2502010.0)</f>
        <v>2502010</v>
      </c>
      <c r="C807" s="2005" t="str">
        <f>IFERROR(__xludf.DUMMYFUNCTION("""COMPUTED_VALUE"""),"Souris")</f>
        <v>Souris</v>
      </c>
      <c r="D807" s="2005" t="str">
        <f>IFERROR(__xludf.DUMMYFUNCTION("""COMPUTED_VALUE"""),"Z5000 Wireless noir or")</f>
        <v>Z5000 Wireless noir or</v>
      </c>
      <c r="E807" s="2005" t="str">
        <f>IFERROR(__xludf.DUMMYFUNCTION("""COMPUTED_VALUE"""),"HP")</f>
        <v>HP</v>
      </c>
      <c r="F807" s="2005" t="str">
        <f>IFERROR(__xludf.DUMMYFUNCTION("""COMPUTED_VALUE"""),"B")</f>
        <v>B</v>
      </c>
      <c r="G807" s="2005" t="str">
        <f>IFERROR(__xludf.DUMMYFUNCTION("""COMPUTED_VALUE"""),"NN")</f>
        <v>NN</v>
      </c>
      <c r="H807">
        <f>IFERROR(__xludf.DUMMYFUNCTION("""COMPUTED_VALUE"""),34.99)</f>
        <v>34.99</v>
      </c>
      <c r="I807">
        <f>IFERROR(__xludf.DUMMYFUNCTION("""COMPUTED_VALUE"""),34.99)</f>
        <v>34.99</v>
      </c>
      <c r="BD807" s="2006"/>
      <c r="LL807" s="2007"/>
      <c r="LM807" s="2007"/>
      <c r="MX807" s="2007"/>
      <c r="ND807" s="2007"/>
    </row>
    <row r="808">
      <c r="A808" s="2005">
        <f>IFERROR(__xludf.DUMMYFUNCTION("""COMPUTED_VALUE"""),1075243.0)</f>
        <v>1075243</v>
      </c>
      <c r="B808" s="2005">
        <f>IFERROR(__xludf.DUMMYFUNCTION("""COMPUTED_VALUE"""),2403005.0)</f>
        <v>2403005</v>
      </c>
      <c r="C808" s="2005" t="str">
        <f>IFERROR(__xludf.DUMMYFUNCTION("""COMPUTED_VALUE"""),"Cartouche")</f>
        <v>Cartouche</v>
      </c>
      <c r="D808" s="2005" t="str">
        <f>IFERROR(__xludf.DUMMYFUNCTION("""COMPUTED_VALUE"""),"903 noire")</f>
        <v>903 noire</v>
      </c>
      <c r="E808" s="2005" t="str">
        <f>IFERROR(__xludf.DUMMYFUNCTION("""COMPUTED_VALUE"""),"HP")</f>
        <v>HP</v>
      </c>
      <c r="F808" s="2005" t="str">
        <f>IFERROR(__xludf.DUMMYFUNCTION("""COMPUTED_VALUE"""),"A")</f>
        <v>A</v>
      </c>
      <c r="G808" s="2005" t="str">
        <f>IFERROR(__xludf.DUMMYFUNCTION("""COMPUTED_VALUE"""),"AC")</f>
        <v>AC</v>
      </c>
      <c r="H808" s="2005">
        <f>IFERROR(__xludf.DUMMYFUNCTION("""COMPUTED_VALUE"""),22.99)</f>
        <v>22.99</v>
      </c>
      <c r="I808" s="2005">
        <f>IFERROR(__xludf.DUMMYFUNCTION("""COMPUTED_VALUE"""),22.99)</f>
        <v>22.99</v>
      </c>
      <c r="BD808" s="2006"/>
      <c r="LL808" s="2008"/>
      <c r="LM808" s="2008"/>
      <c r="MX808" s="2007"/>
      <c r="ND808" s="2008"/>
    </row>
    <row r="809">
      <c r="A809" s="2005">
        <f>IFERROR(__xludf.DUMMYFUNCTION("""COMPUTED_VALUE"""),1075244.0)</f>
        <v>1075244</v>
      </c>
      <c r="B809" s="2005">
        <f>IFERROR(__xludf.DUMMYFUNCTION("""COMPUTED_VALUE"""),2403005.0)</f>
        <v>2403005</v>
      </c>
      <c r="C809" s="2005" t="str">
        <f>IFERROR(__xludf.DUMMYFUNCTION("""COMPUTED_VALUE"""),"Cartouche")</f>
        <v>Cartouche</v>
      </c>
      <c r="D809" s="2005" t="str">
        <f>IFERROR(__xludf.DUMMYFUNCTION("""COMPUTED_VALUE"""),"903 cyan")</f>
        <v>903 cyan</v>
      </c>
      <c r="E809" s="2005" t="str">
        <f>IFERROR(__xludf.DUMMYFUNCTION("""COMPUTED_VALUE"""),"HP")</f>
        <v>HP</v>
      </c>
      <c r="F809" s="2005" t="str">
        <f>IFERROR(__xludf.DUMMYFUNCTION("""COMPUTED_VALUE"""),"A")</f>
        <v>A</v>
      </c>
      <c r="G809" s="2005" t="str">
        <f>IFERROR(__xludf.DUMMYFUNCTION("""COMPUTED_VALUE"""),"AC")</f>
        <v>AC</v>
      </c>
      <c r="H809" s="2005">
        <f>IFERROR(__xludf.DUMMYFUNCTION("""COMPUTED_VALUE"""),13.99)</f>
        <v>13.99</v>
      </c>
      <c r="I809" s="2005">
        <f>IFERROR(__xludf.DUMMYFUNCTION("""COMPUTED_VALUE"""),13.99)</f>
        <v>13.99</v>
      </c>
      <c r="BD809" s="2006"/>
      <c r="LM809" s="2008"/>
      <c r="MX809" s="2007"/>
      <c r="ND809" s="2007"/>
    </row>
    <row r="810">
      <c r="A810" s="2005">
        <f>IFERROR(__xludf.DUMMYFUNCTION("""COMPUTED_VALUE"""),1075245.0)</f>
        <v>1075245</v>
      </c>
      <c r="B810" s="2005">
        <f>IFERROR(__xludf.DUMMYFUNCTION("""COMPUTED_VALUE"""),2403005.0)</f>
        <v>2403005</v>
      </c>
      <c r="C810" s="2005" t="str">
        <f>IFERROR(__xludf.DUMMYFUNCTION("""COMPUTED_VALUE"""),"Cartouche")</f>
        <v>Cartouche</v>
      </c>
      <c r="D810" s="2005" t="str">
        <f>IFERROR(__xludf.DUMMYFUNCTION("""COMPUTED_VALUE"""),"903 magenta")</f>
        <v>903 magenta</v>
      </c>
      <c r="E810" s="2005" t="str">
        <f>IFERROR(__xludf.DUMMYFUNCTION("""COMPUTED_VALUE"""),"HP")</f>
        <v>HP</v>
      </c>
      <c r="F810" s="2005" t="str">
        <f>IFERROR(__xludf.DUMMYFUNCTION("""COMPUTED_VALUE"""),"A")</f>
        <v>A</v>
      </c>
      <c r="G810" s="2005" t="str">
        <f>IFERROR(__xludf.DUMMYFUNCTION("""COMPUTED_VALUE"""),"AC")</f>
        <v>AC</v>
      </c>
      <c r="H810" s="2005">
        <f>IFERROR(__xludf.DUMMYFUNCTION("""COMPUTED_VALUE"""),13.99)</f>
        <v>13.99</v>
      </c>
      <c r="I810" s="2005">
        <f>IFERROR(__xludf.DUMMYFUNCTION("""COMPUTED_VALUE"""),13.99)</f>
        <v>13.99</v>
      </c>
      <c r="BD810" s="2006"/>
      <c r="LM810" s="2008"/>
      <c r="MX810" s="2007"/>
      <c r="ND810" s="2007"/>
    </row>
    <row r="811">
      <c r="A811" s="2005">
        <f>IFERROR(__xludf.DUMMYFUNCTION("""COMPUTED_VALUE"""),1075246.0)</f>
        <v>1075246</v>
      </c>
      <c r="B811" s="2005">
        <f>IFERROR(__xludf.DUMMYFUNCTION("""COMPUTED_VALUE"""),2403005.0)</f>
        <v>2403005</v>
      </c>
      <c r="C811" s="2005" t="str">
        <f>IFERROR(__xludf.DUMMYFUNCTION("""COMPUTED_VALUE"""),"Cartouche")</f>
        <v>Cartouche</v>
      </c>
      <c r="D811" s="2005" t="str">
        <f>IFERROR(__xludf.DUMMYFUNCTION("""COMPUTED_VALUE"""),"903 jaune")</f>
        <v>903 jaune</v>
      </c>
      <c r="E811" s="2005" t="str">
        <f>IFERROR(__xludf.DUMMYFUNCTION("""COMPUTED_VALUE"""),"HP")</f>
        <v>HP</v>
      </c>
      <c r="F811" s="2005" t="str">
        <f>IFERROR(__xludf.DUMMYFUNCTION("""COMPUTED_VALUE"""),"A")</f>
        <v>A</v>
      </c>
      <c r="G811" s="2005" t="str">
        <f>IFERROR(__xludf.DUMMYFUNCTION("""COMPUTED_VALUE"""),"AC")</f>
        <v>AC</v>
      </c>
      <c r="H811" s="2005">
        <f>IFERROR(__xludf.DUMMYFUNCTION("""COMPUTED_VALUE"""),13.99)</f>
        <v>13.99</v>
      </c>
      <c r="I811" s="2005">
        <f>IFERROR(__xludf.DUMMYFUNCTION("""COMPUTED_VALUE"""),13.99)</f>
        <v>13.99</v>
      </c>
      <c r="BD811" s="2006"/>
      <c r="LL811" s="2007"/>
      <c r="LM811" s="2008"/>
      <c r="MX811" s="2007"/>
      <c r="ND811" s="2007"/>
    </row>
    <row r="812">
      <c r="A812" s="2005">
        <f>IFERROR(__xludf.DUMMYFUNCTION("""COMPUTED_VALUE"""),1075247.0)</f>
        <v>1075247</v>
      </c>
      <c r="B812" s="2005">
        <f>IFERROR(__xludf.DUMMYFUNCTION("""COMPUTED_VALUE"""),2403005.0)</f>
        <v>2403005</v>
      </c>
      <c r="C812" s="2005" t="str">
        <f>IFERROR(__xludf.DUMMYFUNCTION("""COMPUTED_VALUE"""),"Cartouche")</f>
        <v>Cartouche</v>
      </c>
      <c r="D812" s="2005" t="str">
        <f>IFERROR(__xludf.DUMMYFUNCTION("""COMPUTED_VALUE"""),"903 XL noire")</f>
        <v>903 XL noire</v>
      </c>
      <c r="E812" s="2005" t="str">
        <f>IFERROR(__xludf.DUMMYFUNCTION("""COMPUTED_VALUE"""),"HP")</f>
        <v>HP</v>
      </c>
      <c r="F812" s="2005" t="str">
        <f>IFERROR(__xludf.DUMMYFUNCTION("""COMPUTED_VALUE"""),"A")</f>
        <v>A</v>
      </c>
      <c r="G812" s="2005" t="str">
        <f>IFERROR(__xludf.DUMMYFUNCTION("""COMPUTED_VALUE"""),"AC")</f>
        <v>AC</v>
      </c>
      <c r="H812" s="2005">
        <f>IFERROR(__xludf.DUMMYFUNCTION("""COMPUTED_VALUE"""),47.99)</f>
        <v>47.99</v>
      </c>
      <c r="I812" s="2005">
        <f>IFERROR(__xludf.DUMMYFUNCTION("""COMPUTED_VALUE"""),47.99)</f>
        <v>47.99</v>
      </c>
      <c r="BD812" s="2006"/>
      <c r="LL812" s="2007"/>
      <c r="LM812" s="2008"/>
      <c r="MX812" s="2007"/>
      <c r="ND812" s="2007"/>
    </row>
    <row r="813">
      <c r="A813" s="2005">
        <f>IFERROR(__xludf.DUMMYFUNCTION("""COMPUTED_VALUE"""),1075248.0)</f>
        <v>1075248</v>
      </c>
      <c r="B813" s="2005">
        <f>IFERROR(__xludf.DUMMYFUNCTION("""COMPUTED_VALUE"""),2403005.0)</f>
        <v>2403005</v>
      </c>
      <c r="C813" s="2005" t="str">
        <f>IFERROR(__xludf.DUMMYFUNCTION("""COMPUTED_VALUE"""),"Cartouche")</f>
        <v>Cartouche</v>
      </c>
      <c r="D813" s="2005" t="str">
        <f>IFERROR(__xludf.DUMMYFUNCTION("""COMPUTED_VALUE"""),"N°903 XL cyan")</f>
        <v>N°903 XL cyan</v>
      </c>
      <c r="E813" s="2005" t="str">
        <f>IFERROR(__xludf.DUMMYFUNCTION("""COMPUTED_VALUE"""),"HP")</f>
        <v>HP</v>
      </c>
      <c r="F813" s="2005" t="str">
        <f>IFERROR(__xludf.DUMMYFUNCTION("""COMPUTED_VALUE"""),"D")</f>
        <v>D</v>
      </c>
      <c r="G813" s="2005" t="str">
        <f>IFERROR(__xludf.DUMMYFUNCTION("""COMPUTED_VALUE"""),"AC")</f>
        <v>AC</v>
      </c>
      <c r="H813" s="2005">
        <f>IFERROR(__xludf.DUMMYFUNCTION("""COMPUTED_VALUE"""),23.99)</f>
        <v>23.99</v>
      </c>
      <c r="I813" s="2005">
        <f>IFERROR(__xludf.DUMMYFUNCTION("""COMPUTED_VALUE"""),23.99)</f>
        <v>23.99</v>
      </c>
      <c r="BD813" s="2006"/>
      <c r="LM813" s="2008"/>
      <c r="MX813" s="2007"/>
      <c r="ND813" s="2007"/>
    </row>
    <row r="814">
      <c r="A814" s="2005">
        <f>IFERROR(__xludf.DUMMYFUNCTION("""COMPUTED_VALUE"""),1075271.0)</f>
        <v>1075271</v>
      </c>
      <c r="B814" s="2005">
        <f>IFERROR(__xludf.DUMMYFUNCTION("""COMPUTED_VALUE"""),2403005.0)</f>
        <v>2403005</v>
      </c>
      <c r="C814" s="2005" t="str">
        <f>IFERROR(__xludf.DUMMYFUNCTION("""COMPUTED_VALUE"""),"Cartouche")</f>
        <v>Cartouche</v>
      </c>
      <c r="D814" s="2005" t="str">
        <f>IFERROR(__xludf.DUMMYFUNCTION("""COMPUTED_VALUE"""),"N°903 XL magenta")</f>
        <v>N°903 XL magenta</v>
      </c>
      <c r="E814" s="2005" t="str">
        <f>IFERROR(__xludf.DUMMYFUNCTION("""COMPUTED_VALUE"""),"HP")</f>
        <v>HP</v>
      </c>
      <c r="F814" s="2005" t="str">
        <f>IFERROR(__xludf.DUMMYFUNCTION("""COMPUTED_VALUE"""),"D")</f>
        <v>D</v>
      </c>
      <c r="G814" s="2005" t="str">
        <f>IFERROR(__xludf.DUMMYFUNCTION("""COMPUTED_VALUE"""),"AC")</f>
        <v>AC</v>
      </c>
      <c r="H814" s="2005">
        <f>IFERROR(__xludf.DUMMYFUNCTION("""COMPUTED_VALUE"""),23.99)</f>
        <v>23.99</v>
      </c>
      <c r="I814" s="2005">
        <f>IFERROR(__xludf.DUMMYFUNCTION("""COMPUTED_VALUE"""),23.99)</f>
        <v>23.99</v>
      </c>
      <c r="BD814" s="2006"/>
      <c r="LL814" s="2007"/>
      <c r="LM814" s="2008"/>
      <c r="MX814" s="2007"/>
      <c r="ND814" s="2007"/>
    </row>
    <row r="815">
      <c r="A815" s="2005">
        <f>IFERROR(__xludf.DUMMYFUNCTION("""COMPUTED_VALUE"""),1075272.0)</f>
        <v>1075272</v>
      </c>
      <c r="B815" s="2005">
        <f>IFERROR(__xludf.DUMMYFUNCTION("""COMPUTED_VALUE"""),2403005.0)</f>
        <v>2403005</v>
      </c>
      <c r="C815" s="2005" t="str">
        <f>IFERROR(__xludf.DUMMYFUNCTION("""COMPUTED_VALUE"""),"Cartouche")</f>
        <v>Cartouche</v>
      </c>
      <c r="D815" s="2005" t="str">
        <f>IFERROR(__xludf.DUMMYFUNCTION("""COMPUTED_VALUE"""),"N°903 XL jaune")</f>
        <v>N°903 XL jaune</v>
      </c>
      <c r="E815" s="2005" t="str">
        <f>IFERROR(__xludf.DUMMYFUNCTION("""COMPUTED_VALUE"""),"HP")</f>
        <v>HP</v>
      </c>
      <c r="F815" s="2005" t="str">
        <f>IFERROR(__xludf.DUMMYFUNCTION("""COMPUTED_VALUE"""),"D")</f>
        <v>D</v>
      </c>
      <c r="G815" s="2005" t="str">
        <f>IFERROR(__xludf.DUMMYFUNCTION("""COMPUTED_VALUE"""),"AC")</f>
        <v>AC</v>
      </c>
      <c r="H815" s="2005">
        <f>IFERROR(__xludf.DUMMYFUNCTION("""COMPUTED_VALUE"""),23.99)</f>
        <v>23.99</v>
      </c>
      <c r="I815" s="2005">
        <f>IFERROR(__xludf.DUMMYFUNCTION("""COMPUTED_VALUE"""),23.99)</f>
        <v>23.99</v>
      </c>
      <c r="BD815" s="2006"/>
      <c r="LL815" s="2007"/>
      <c r="LM815" s="2008"/>
      <c r="MX815" s="2007"/>
      <c r="ND815" s="2008"/>
    </row>
    <row r="816">
      <c r="A816" s="2005">
        <f>IFERROR(__xludf.DUMMYFUNCTION("""COMPUTED_VALUE"""),1075273.0)</f>
        <v>1075273</v>
      </c>
      <c r="B816" s="2005">
        <f>IFERROR(__xludf.DUMMYFUNCTION("""COMPUTED_VALUE"""),2403005.0)</f>
        <v>2403005</v>
      </c>
      <c r="C816" s="2005" t="str">
        <f>IFERROR(__xludf.DUMMYFUNCTION("""COMPUTED_VALUE"""),"Cartouche")</f>
        <v>Cartouche</v>
      </c>
      <c r="D816" s="2005" t="str">
        <f>IFERROR(__xludf.DUMMYFUNCTION("""COMPUTED_VALUE"""),"N°907 XL noire")</f>
        <v>N°907 XL noire</v>
      </c>
      <c r="E816" s="2005" t="str">
        <f>IFERROR(__xludf.DUMMYFUNCTION("""COMPUTED_VALUE"""),"HP")</f>
        <v>HP</v>
      </c>
      <c r="F816" s="2005" t="str">
        <f>IFERROR(__xludf.DUMMYFUNCTION("""COMPUTED_VALUE"""),"D")</f>
        <v>D</v>
      </c>
      <c r="G816" s="2005" t="str">
        <f>IFERROR(__xludf.DUMMYFUNCTION("""COMPUTED_VALUE"""),"NN")</f>
        <v>NN</v>
      </c>
      <c r="H816" s="2005">
        <f>IFERROR(__xludf.DUMMYFUNCTION("""COMPUTED_VALUE"""),68.99)</f>
        <v>68.99</v>
      </c>
      <c r="I816" s="2005">
        <f>IFERROR(__xludf.DUMMYFUNCTION("""COMPUTED_VALUE"""),68.99)</f>
        <v>68.99</v>
      </c>
      <c r="BD816" s="2006"/>
      <c r="LL816" s="2007"/>
      <c r="LM816" s="2008"/>
      <c r="MX816" s="2007"/>
      <c r="ND816" s="2007"/>
    </row>
    <row r="817">
      <c r="A817" s="2005">
        <f>IFERROR(__xludf.DUMMYFUNCTION("""COMPUTED_VALUE"""),1075300.0)</f>
        <v>1075300</v>
      </c>
      <c r="B817" s="2005">
        <f>IFERROR(__xludf.DUMMYFUNCTION("""COMPUTED_VALUE"""),2403010.0)</f>
        <v>2403010</v>
      </c>
      <c r="C817" s="2005" t="str">
        <f>IFERROR(__xludf.DUMMYFUNCTION("""COMPUTED_VALUE"""),"Toner")</f>
        <v>Toner</v>
      </c>
      <c r="D817" s="2005" t="str">
        <f>IFERROR(__xludf.DUMMYFUNCTION("""COMPUTED_VALUE"""),"CF283AD (2 toners)")</f>
        <v>CF283AD (2 toners)</v>
      </c>
      <c r="E817" s="2005" t="str">
        <f>IFERROR(__xludf.DUMMYFUNCTION("""COMPUTED_VALUE"""),"HP")</f>
        <v>HP</v>
      </c>
      <c r="F817" s="2005" t="str">
        <f>IFERROR(__xludf.DUMMYFUNCTION("""COMPUTED_VALUE"""),"W")</f>
        <v>W</v>
      </c>
      <c r="G817" s="2005" t="str">
        <f>IFERROR(__xludf.DUMMYFUNCTION("""COMPUTED_VALUE"""),"NN")</f>
        <v>NN</v>
      </c>
      <c r="H817" s="2005">
        <f>IFERROR(__xludf.DUMMYFUNCTION("""COMPUTED_VALUE"""),169.99)</f>
        <v>169.99</v>
      </c>
      <c r="I817" s="2005">
        <f>IFERROR(__xludf.DUMMYFUNCTION("""COMPUTED_VALUE"""),142.77)</f>
        <v>142.77</v>
      </c>
      <c r="BD817" s="2006"/>
      <c r="LL817" s="2007"/>
      <c r="LM817" s="2008"/>
      <c r="MX817" s="2007"/>
      <c r="ND817" s="2007"/>
    </row>
    <row r="818">
      <c r="A818" s="2005">
        <f>IFERROR(__xludf.DUMMYFUNCTION("""COMPUTED_VALUE"""),1075335.0)</f>
        <v>1075335</v>
      </c>
      <c r="B818" s="2005">
        <f>IFERROR(__xludf.DUMMYFUNCTION("""COMPUTED_VALUE"""),2207010.0)</f>
        <v>2207010</v>
      </c>
      <c r="C818" s="2005" t="str">
        <f>IFERROR(__xludf.DUMMYFUNCTION("""COMPUTED_VALUE"""),"Imprimante")</f>
        <v>Imprimante</v>
      </c>
      <c r="D818" s="2005" t="str">
        <f>IFERROR(__xludf.DUMMYFUNCTION("""COMPUTED_VALUE"""),"Junior 3 en 1 imprime scanner grave")</f>
        <v>Junior 3 en 1 imprime scanner grave</v>
      </c>
      <c r="E818" s="2005" t="str">
        <f>IFERROR(__xludf.DUMMYFUNCTION("""COMPUTED_VALUE"""),"XYZ PRINTING")</f>
        <v>XYZ PRINTING</v>
      </c>
      <c r="F818" s="2005" t="str">
        <f>IFERROR(__xludf.DUMMYFUNCTION("""COMPUTED_VALUE"""),"H")</f>
        <v>H</v>
      </c>
      <c r="G818" s="2005" t="str">
        <f>IFERROR(__xludf.DUMMYFUNCTION("""COMPUTED_VALUE"""),"NN")</f>
        <v>NN</v>
      </c>
      <c r="H818">
        <f>IFERROR(__xludf.DUMMYFUNCTION("""COMPUTED_VALUE"""),502.99)</f>
        <v>502.99</v>
      </c>
      <c r="I818">
        <f>IFERROR(__xludf.DUMMYFUNCTION("""COMPUTED_VALUE"""),502.99)</f>
        <v>502.99</v>
      </c>
      <c r="BD818" s="2006"/>
      <c r="LL818" s="2007"/>
      <c r="LM818" s="2008"/>
      <c r="MX818" s="2007"/>
      <c r="ND818" s="2007"/>
    </row>
    <row r="819">
      <c r="A819" s="2005">
        <f>IFERROR(__xludf.DUMMYFUNCTION("""COMPUTED_VALUE"""),1075337.0)</f>
        <v>1075337</v>
      </c>
      <c r="B819" s="2005">
        <f>IFERROR(__xludf.DUMMYFUNCTION("""COMPUTED_VALUE"""),2207005.0)</f>
        <v>2207005</v>
      </c>
      <c r="C819" s="2005" t="str">
        <f>IFERROR(__xludf.DUMMYFUNCTION("""COMPUTED_VALUE"""),"Imprimante")</f>
        <v>Imprimante</v>
      </c>
      <c r="D819" s="2005" t="str">
        <f>IFERROR(__xludf.DUMMYFUNCTION("""COMPUTED_VALUE"""),"Da Vinci 1.0 Pro 1 tête")</f>
        <v>Da Vinci 1.0 Pro 1 tête</v>
      </c>
      <c r="E819" s="2005" t="str">
        <f>IFERROR(__xludf.DUMMYFUNCTION("""COMPUTED_VALUE"""),"XYZ PRINTING")</f>
        <v>XYZ PRINTING</v>
      </c>
      <c r="F819" s="2005" t="str">
        <f>IFERROR(__xludf.DUMMYFUNCTION("""COMPUTED_VALUE"""),"H")</f>
        <v>H</v>
      </c>
      <c r="G819" s="2005" t="str">
        <f>IFERROR(__xludf.DUMMYFUNCTION("""COMPUTED_VALUE"""),"NN")</f>
        <v>NN</v>
      </c>
      <c r="H819">
        <f>IFERROR(__xludf.DUMMYFUNCTION("""COMPUTED_VALUE"""),799.99)</f>
        <v>799.99</v>
      </c>
      <c r="I819">
        <f>IFERROR(__xludf.DUMMYFUNCTION("""COMPUTED_VALUE"""),799.99)</f>
        <v>799.99</v>
      </c>
      <c r="BD819" s="2006"/>
      <c r="LL819" s="2007"/>
      <c r="LM819" s="2008"/>
      <c r="MX819" s="2007"/>
      <c r="ND819" s="2007"/>
    </row>
    <row r="820">
      <c r="A820" s="2005">
        <f>IFERROR(__xludf.DUMMYFUNCTION("""COMPUTED_VALUE"""),1075338.0)</f>
        <v>1075338</v>
      </c>
      <c r="B820" s="2005">
        <f>IFERROR(__xludf.DUMMYFUNCTION("""COMPUTED_VALUE"""),2207010.0)</f>
        <v>2207010</v>
      </c>
      <c r="C820" s="2005" t="str">
        <f>IFERROR(__xludf.DUMMYFUNCTION("""COMPUTED_VALUE"""),"Imprimante")</f>
        <v>Imprimante</v>
      </c>
      <c r="D820" s="2005" t="str">
        <f>IFERROR(__xludf.DUMMYFUNCTION("""COMPUTED_VALUE"""),"Da Vinci 1.0 Pro 3 en 1")</f>
        <v>Da Vinci 1.0 Pro 3 en 1</v>
      </c>
      <c r="E820" s="2005" t="str">
        <f>IFERROR(__xludf.DUMMYFUNCTION("""COMPUTED_VALUE"""),"XYZ PRINTING")</f>
        <v>XYZ PRINTING</v>
      </c>
      <c r="F820" s="2005" t="str">
        <f>IFERROR(__xludf.DUMMYFUNCTION("""COMPUTED_VALUE"""),"H")</f>
        <v>H</v>
      </c>
      <c r="G820" s="2005" t="str">
        <f>IFERROR(__xludf.DUMMYFUNCTION("""COMPUTED_VALUE"""),"NN")</f>
        <v>NN</v>
      </c>
      <c r="H820" s="2005">
        <f>IFERROR(__xludf.DUMMYFUNCTION("""COMPUTED_VALUE"""),706.99)</f>
        <v>706.99</v>
      </c>
      <c r="I820" s="2005">
        <f>IFERROR(__xludf.DUMMYFUNCTION("""COMPUTED_VALUE"""),706.99)</f>
        <v>706.99</v>
      </c>
      <c r="BD820" s="2006"/>
      <c r="LM820" s="2007"/>
      <c r="MX820" s="2007"/>
      <c r="ND820" s="2007"/>
    </row>
    <row r="821">
      <c r="A821" s="2005">
        <f>IFERROR(__xludf.DUMMYFUNCTION("""COMPUTED_VALUE"""),1075340.0)</f>
        <v>1075340</v>
      </c>
      <c r="B821" s="2005">
        <f>IFERROR(__xludf.DUMMYFUNCTION("""COMPUTED_VALUE"""),2403006.0)</f>
        <v>2403006</v>
      </c>
      <c r="C821" s="2005" t="str">
        <f>IFERROR(__xludf.DUMMYFUNCTION("""COMPUTED_VALUE"""),"Imprimante")</f>
        <v>Imprimante</v>
      </c>
      <c r="D821" s="2005" t="str">
        <f>IFERROR(__xludf.DUMMYFUNCTION("""COMPUTED_VALUE"""),"Module laser Pro")</f>
        <v>Module laser Pro</v>
      </c>
      <c r="E821" s="2005" t="str">
        <f>IFERROR(__xludf.DUMMYFUNCTION("""COMPUTED_VALUE"""),"XYZ PRINTING")</f>
        <v>XYZ PRINTING</v>
      </c>
      <c r="F821" s="2005" t="str">
        <f>IFERROR(__xludf.DUMMYFUNCTION("""COMPUTED_VALUE"""),"H")</f>
        <v>H</v>
      </c>
      <c r="G821" s="2005" t="str">
        <f>IFERROR(__xludf.DUMMYFUNCTION("""COMPUTED_VALUE"""),"NN")</f>
        <v>NN</v>
      </c>
      <c r="H821">
        <f>IFERROR(__xludf.DUMMYFUNCTION("""COMPUTED_VALUE"""),188.98)</f>
        <v>188.98</v>
      </c>
      <c r="I821">
        <f>IFERROR(__xludf.DUMMYFUNCTION("""COMPUTED_VALUE"""),188.98)</f>
        <v>188.98</v>
      </c>
      <c r="BD821" s="2006"/>
      <c r="LM821" s="2007"/>
      <c r="MX821" s="2007"/>
      <c r="ND821" s="2007"/>
    </row>
    <row r="822">
      <c r="A822" s="2005">
        <f>IFERROR(__xludf.DUMMYFUNCTION("""COMPUTED_VALUE"""),1075361.0)</f>
        <v>1075361</v>
      </c>
      <c r="B822" s="2005">
        <f>IFERROR(__xludf.DUMMYFUNCTION("""COMPUTED_VALUE"""),2403006.0)</f>
        <v>2403006</v>
      </c>
      <c r="C822" s="2005" t="str">
        <f>IFERROR(__xludf.DUMMYFUNCTION("""COMPUTED_VALUE"""),"Imprimante")</f>
        <v>Imprimante</v>
      </c>
      <c r="D822" s="2005" t="str">
        <f>IFERROR(__xludf.DUMMYFUNCTION("""COMPUTED_VALUE"""),"Plateau Da Vinci 1.0/1.0A/1.0AIO/1.1+")</f>
        <v>Plateau Da Vinci 1.0/1.0A/1.0AIO/1.1+</v>
      </c>
      <c r="E822" s="2005" t="str">
        <f>IFERROR(__xludf.DUMMYFUNCTION("""COMPUTED_VALUE"""),"XYZ PRINTING")</f>
        <v>XYZ PRINTING</v>
      </c>
      <c r="F822" s="2005" t="str">
        <f>IFERROR(__xludf.DUMMYFUNCTION("""COMPUTED_VALUE"""),"W")</f>
        <v>W</v>
      </c>
      <c r="G822" s="2005" t="str">
        <f>IFERROR(__xludf.DUMMYFUNCTION("""COMPUTED_VALUE"""),"NN")</f>
        <v>NN</v>
      </c>
      <c r="H822" s="2005">
        <f>IFERROR(__xludf.DUMMYFUNCTION("""COMPUTED_VALUE"""),69.0)</f>
        <v>69</v>
      </c>
      <c r="I822" s="2005">
        <f>IFERROR(__xludf.DUMMYFUNCTION("""COMPUTED_VALUE"""),69.0)</f>
        <v>69</v>
      </c>
      <c r="BD822" s="2006"/>
      <c r="LM822" s="2007"/>
      <c r="MX822" s="2007"/>
      <c r="ND822" s="2007"/>
    </row>
    <row r="823">
      <c r="A823" s="2005">
        <f>IFERROR(__xludf.DUMMYFUNCTION("""COMPUTED_VALUE"""),1075362.0)</f>
        <v>1075362</v>
      </c>
      <c r="B823" s="2005">
        <f>IFERROR(__xludf.DUMMYFUNCTION("""COMPUTED_VALUE"""),2403006.0)</f>
        <v>2403006</v>
      </c>
      <c r="C823" s="2005" t="str">
        <f>IFERROR(__xludf.DUMMYFUNCTION("""COMPUTED_VALUE"""),"Imprimante")</f>
        <v>Imprimante</v>
      </c>
      <c r="D823" s="2005" t="str">
        <f>IFERROR(__xludf.DUMMYFUNCTION("""COMPUTED_VALUE"""),"Plateau Da Vinci 2.0A")</f>
        <v>Plateau Da Vinci 2.0A</v>
      </c>
      <c r="E823" s="2005" t="str">
        <f>IFERROR(__xludf.DUMMYFUNCTION("""COMPUTED_VALUE"""),"XYZ PRINTING")</f>
        <v>XYZ PRINTING</v>
      </c>
      <c r="F823" s="2005" t="str">
        <f>IFERROR(__xludf.DUMMYFUNCTION("""COMPUTED_VALUE"""),"H")</f>
        <v>H</v>
      </c>
      <c r="G823" s="2005" t="str">
        <f>IFERROR(__xludf.DUMMYFUNCTION("""COMPUTED_VALUE"""),"NN")</f>
        <v>NN</v>
      </c>
      <c r="H823" s="2005">
        <f>IFERROR(__xludf.DUMMYFUNCTION("""COMPUTED_VALUE"""),59.99)</f>
        <v>59.99</v>
      </c>
      <c r="I823" s="2005">
        <f>IFERROR(__xludf.DUMMYFUNCTION("""COMPUTED_VALUE"""),59.99)</f>
        <v>59.99</v>
      </c>
      <c r="BD823" s="2006"/>
      <c r="LL823" s="2007"/>
      <c r="LM823" s="2008"/>
      <c r="MX823" s="2007"/>
      <c r="ND823" s="2007"/>
    </row>
    <row r="824">
      <c r="A824" s="2005">
        <f>IFERROR(__xludf.DUMMYFUNCTION("""COMPUTED_VALUE"""),1075363.0)</f>
        <v>1075363</v>
      </c>
      <c r="B824" s="2005">
        <f>IFERROR(__xludf.DUMMYFUNCTION("""COMPUTED_VALUE"""),2403006.0)</f>
        <v>2403006</v>
      </c>
      <c r="C824" s="2005" t="str">
        <f>IFERROR(__xludf.DUMMYFUNCTION("""COMPUTED_VALUE"""),"Imprimante")</f>
        <v>Imprimante</v>
      </c>
      <c r="D824" s="2005" t="str">
        <f>IFERROR(__xludf.DUMMYFUNCTION("""COMPUTED_VALUE"""),"Tête Da Vinci 1.0A/1.0AIO/1.1+")</f>
        <v>Tête Da Vinci 1.0A/1.0AIO/1.1+</v>
      </c>
      <c r="E824" s="2005" t="str">
        <f>IFERROR(__xludf.DUMMYFUNCTION("""COMPUTED_VALUE"""),"XYZ PRINTING")</f>
        <v>XYZ PRINTING</v>
      </c>
      <c r="F824" s="2005" t="str">
        <f>IFERROR(__xludf.DUMMYFUNCTION("""COMPUTED_VALUE"""),"H")</f>
        <v>H</v>
      </c>
      <c r="G824" s="2005" t="str">
        <f>IFERROR(__xludf.DUMMYFUNCTION("""COMPUTED_VALUE"""),"NN")</f>
        <v>NN</v>
      </c>
      <c r="H824" s="2005">
        <f>IFERROR(__xludf.DUMMYFUNCTION("""COMPUTED_VALUE"""),99.0)</f>
        <v>99</v>
      </c>
      <c r="I824" s="2005">
        <f>IFERROR(__xludf.DUMMYFUNCTION("""COMPUTED_VALUE"""),99.0)</f>
        <v>99</v>
      </c>
      <c r="BD824" s="2006"/>
      <c r="LL824" s="2007"/>
      <c r="LM824" s="2007"/>
      <c r="MX824" s="2007"/>
      <c r="ND824" s="2007"/>
    </row>
    <row r="825">
      <c r="A825" s="2005">
        <f>IFERROR(__xludf.DUMMYFUNCTION("""COMPUTED_VALUE"""),1075365.0)</f>
        <v>1075365</v>
      </c>
      <c r="B825" s="2005">
        <f>IFERROR(__xludf.DUMMYFUNCTION("""COMPUTED_VALUE"""),2403006.0)</f>
        <v>2403006</v>
      </c>
      <c r="C825" s="2005" t="str">
        <f>IFERROR(__xludf.DUMMYFUNCTION("""COMPUTED_VALUE"""),"Conso")</f>
        <v>Conso</v>
      </c>
      <c r="D825" s="2005" t="str">
        <f>IFERROR(__xludf.DUMMYFUNCTION("""COMPUTED_VALUE"""),"Lot plaques de scotch (20x20) x10")</f>
        <v>Lot plaques de scotch (20x20) x10</v>
      </c>
      <c r="E825" s="2005" t="str">
        <f>IFERROR(__xludf.DUMMYFUNCTION("""COMPUTED_VALUE"""),"XYZ PRINTING")</f>
        <v>XYZ PRINTING</v>
      </c>
      <c r="F825" s="2005" t="str">
        <f>IFERROR(__xludf.DUMMYFUNCTION("""COMPUTED_VALUE"""),"H")</f>
        <v>H</v>
      </c>
      <c r="G825" s="2005" t="str">
        <f>IFERROR(__xludf.DUMMYFUNCTION("""COMPUTED_VALUE"""),"NN")</f>
        <v>NN</v>
      </c>
      <c r="H825" s="2005">
        <f>IFERROR(__xludf.DUMMYFUNCTION("""COMPUTED_VALUE"""),16.9)</f>
        <v>16.9</v>
      </c>
      <c r="I825" s="2005">
        <f>IFERROR(__xludf.DUMMYFUNCTION("""COMPUTED_VALUE"""),16.9)</f>
        <v>16.9</v>
      </c>
      <c r="BD825" s="2006"/>
      <c r="LL825" s="2007"/>
      <c r="LM825" s="2007"/>
      <c r="MX825" s="2007"/>
      <c r="ND825" s="2007"/>
    </row>
    <row r="826">
      <c r="A826" s="2005">
        <f>IFERROR(__xludf.DUMMYFUNCTION("""COMPUTED_VALUE"""),1075366.0)</f>
        <v>1075366</v>
      </c>
      <c r="B826" s="2005">
        <f>IFERROR(__xludf.DUMMYFUNCTION("""COMPUTED_VALUE"""),2403006.0)</f>
        <v>2403006</v>
      </c>
      <c r="C826" s="2005" t="str">
        <f>IFERROR(__xludf.DUMMYFUNCTION("""COMPUTED_VALUE"""),"Cartouche")</f>
        <v>Cartouche</v>
      </c>
      <c r="D826" s="2005" t="str">
        <f>IFERROR(__xludf.DUMMYFUNCTION("""COMPUTED_VALUE"""),"PLA JUNIOR Bleu")</f>
        <v>PLA JUNIOR Bleu</v>
      </c>
      <c r="E826" s="2005" t="str">
        <f>IFERROR(__xludf.DUMMYFUNCTION("""COMPUTED_VALUE"""),"XYZ PRINTING")</f>
        <v>XYZ PRINTING</v>
      </c>
      <c r="F826" s="2005" t="str">
        <f>IFERROR(__xludf.DUMMYFUNCTION("""COMPUTED_VALUE"""),"W")</f>
        <v>W</v>
      </c>
      <c r="G826" s="2005" t="str">
        <f>IFERROR(__xludf.DUMMYFUNCTION("""COMPUTED_VALUE"""),"NN")</f>
        <v>NN</v>
      </c>
      <c r="H826" s="2005">
        <f>IFERROR(__xludf.DUMMYFUNCTION("""COMPUTED_VALUE"""),29.9)</f>
        <v>29.9</v>
      </c>
      <c r="I826" s="2005">
        <f>IFERROR(__xludf.DUMMYFUNCTION("""COMPUTED_VALUE"""),29.9)</f>
        <v>29.9</v>
      </c>
      <c r="BD826" s="2006"/>
      <c r="LL826" s="2007"/>
      <c r="LM826" s="2007"/>
      <c r="MX826" s="2007"/>
      <c r="ND826" s="2007"/>
    </row>
    <row r="827">
      <c r="A827" s="2005">
        <f>IFERROR(__xludf.DUMMYFUNCTION("""COMPUTED_VALUE"""),1075370.0)</f>
        <v>1075370</v>
      </c>
      <c r="B827" s="2005">
        <f>IFERROR(__xludf.DUMMYFUNCTION("""COMPUTED_VALUE"""),2403006.0)</f>
        <v>2403006</v>
      </c>
      <c r="C827" s="2005" t="str">
        <f>IFERROR(__xludf.DUMMYFUNCTION("""COMPUTED_VALUE"""),"Cartouche")</f>
        <v>Cartouche</v>
      </c>
      <c r="D827" s="2005" t="str">
        <f>IFERROR(__xludf.DUMMYFUNCTION("""COMPUTED_VALUE"""),"Bobine recharge ABS Rouge")</f>
        <v>Bobine recharge ABS Rouge</v>
      </c>
      <c r="E827" s="2005" t="str">
        <f>IFERROR(__xludf.DUMMYFUNCTION("""COMPUTED_VALUE"""),"XYZ PRINTING")</f>
        <v>XYZ PRINTING</v>
      </c>
      <c r="F827" s="2005" t="str">
        <f>IFERROR(__xludf.DUMMYFUNCTION("""COMPUTED_VALUE"""),"W")</f>
        <v>W</v>
      </c>
      <c r="G827" s="2005" t="str">
        <f>IFERROR(__xludf.DUMMYFUNCTION("""COMPUTED_VALUE"""),"NN")</f>
        <v>NN</v>
      </c>
      <c r="H827" s="2005">
        <f>IFERROR(__xludf.DUMMYFUNCTION("""COMPUTED_VALUE"""),29.9)</f>
        <v>29.9</v>
      </c>
      <c r="I827" s="2005">
        <f>IFERROR(__xludf.DUMMYFUNCTION("""COMPUTED_VALUE"""),29.9)</f>
        <v>29.9</v>
      </c>
      <c r="BD827" s="2006"/>
      <c r="LL827" s="2007"/>
      <c r="LM827" s="2007"/>
      <c r="MX827" s="2007"/>
      <c r="ND827" s="2007"/>
    </row>
    <row r="828">
      <c r="A828" s="2005">
        <f>IFERROR(__xludf.DUMMYFUNCTION("""COMPUTED_VALUE"""),1075371.0)</f>
        <v>1075371</v>
      </c>
      <c r="B828" s="2005">
        <f>IFERROR(__xludf.DUMMYFUNCTION("""COMPUTED_VALUE"""),2403006.0)</f>
        <v>2403006</v>
      </c>
      <c r="C828" s="2005" t="str">
        <f>IFERROR(__xludf.DUMMYFUNCTION("""COMPUTED_VALUE"""),"Cartouche")</f>
        <v>Cartouche</v>
      </c>
      <c r="D828" s="2005" t="str">
        <f>IFERROR(__xludf.DUMMYFUNCTION("""COMPUTED_VALUE"""),"Bobine recharge ABS Blanc neige")</f>
        <v>Bobine recharge ABS Blanc neige</v>
      </c>
      <c r="E828" s="2005" t="str">
        <f>IFERROR(__xludf.DUMMYFUNCTION("""COMPUTED_VALUE"""),"XYZ PRINTING")</f>
        <v>XYZ PRINTING</v>
      </c>
      <c r="F828" s="2005" t="str">
        <f>IFERROR(__xludf.DUMMYFUNCTION("""COMPUTED_VALUE"""),"W")</f>
        <v>W</v>
      </c>
      <c r="G828" s="2005" t="str">
        <f>IFERROR(__xludf.DUMMYFUNCTION("""COMPUTED_VALUE"""),"NN")</f>
        <v>NN</v>
      </c>
      <c r="H828">
        <f>IFERROR(__xludf.DUMMYFUNCTION("""COMPUTED_VALUE"""),29.9)</f>
        <v>29.9</v>
      </c>
      <c r="I828">
        <f>IFERROR(__xludf.DUMMYFUNCTION("""COMPUTED_VALUE"""),29.9)</f>
        <v>29.9</v>
      </c>
      <c r="BD828" s="2006"/>
      <c r="LL828" s="2007"/>
      <c r="LM828" s="2007"/>
      <c r="MX828" s="2007"/>
      <c r="ND828" s="2007"/>
    </row>
    <row r="829">
      <c r="A829" s="2005">
        <f>IFERROR(__xludf.DUMMYFUNCTION("""COMPUTED_VALUE"""),1075373.0)</f>
        <v>1075373</v>
      </c>
      <c r="B829" s="2005">
        <f>IFERROR(__xludf.DUMMYFUNCTION("""COMPUTED_VALUE"""),2403006.0)</f>
        <v>2403006</v>
      </c>
      <c r="C829" s="2005" t="str">
        <f>IFERROR(__xludf.DUMMYFUNCTION("""COMPUTED_VALUE"""),"Cartouche")</f>
        <v>Cartouche</v>
      </c>
      <c r="D829" s="2005" t="str">
        <f>IFERROR(__xludf.DUMMYFUNCTION("""COMPUTED_VALUE"""),"Filament ABS Pourpre")</f>
        <v>Filament ABS Pourpre</v>
      </c>
      <c r="E829" s="2005" t="str">
        <f>IFERROR(__xludf.DUMMYFUNCTION("""COMPUTED_VALUE"""),"XYZ PRINTING")</f>
        <v>XYZ PRINTING</v>
      </c>
      <c r="F829" s="2005" t="str">
        <f>IFERROR(__xludf.DUMMYFUNCTION("""COMPUTED_VALUE"""),"H")</f>
        <v>H</v>
      </c>
      <c r="G829" s="2005" t="str">
        <f>IFERROR(__xludf.DUMMYFUNCTION("""COMPUTED_VALUE"""),"NN")</f>
        <v>NN</v>
      </c>
      <c r="H829" s="2005">
        <f>IFERROR(__xludf.DUMMYFUNCTION("""COMPUTED_VALUE"""),39.9)</f>
        <v>39.9</v>
      </c>
      <c r="I829" s="2005">
        <f>IFERROR(__xludf.DUMMYFUNCTION("""COMPUTED_VALUE"""),39.9)</f>
        <v>39.9</v>
      </c>
      <c r="BD829" s="2006"/>
      <c r="LL829" s="2007"/>
      <c r="LM829" s="2007"/>
      <c r="MX829" s="2007"/>
      <c r="ND829" s="2007"/>
    </row>
    <row r="830">
      <c r="A830" s="2005">
        <f>IFERROR(__xludf.DUMMYFUNCTION("""COMPUTED_VALUE"""),1075375.0)</f>
        <v>1075375</v>
      </c>
      <c r="B830" s="2005">
        <f>IFERROR(__xludf.DUMMYFUNCTION("""COMPUTED_VALUE"""),2403006.0)</f>
        <v>2403006</v>
      </c>
      <c r="C830" s="2005" t="str">
        <f>IFERROR(__xludf.DUMMYFUNCTION("""COMPUTED_VALUE"""),"Cartouche")</f>
        <v>Cartouche</v>
      </c>
      <c r="D830" s="2005" t="str">
        <f>IFERROR(__xludf.DUMMYFUNCTION("""COMPUTED_VALUE"""),"Bobine recharge PLA Naturel")</f>
        <v>Bobine recharge PLA Naturel</v>
      </c>
      <c r="E830" s="2005" t="str">
        <f>IFERROR(__xludf.DUMMYFUNCTION("""COMPUTED_VALUE"""),"XYZ PRINTING")</f>
        <v>XYZ PRINTING</v>
      </c>
      <c r="F830" s="2005" t="str">
        <f>IFERROR(__xludf.DUMMYFUNCTION("""COMPUTED_VALUE"""),"H")</f>
        <v>H</v>
      </c>
      <c r="G830" s="2005" t="str">
        <f>IFERROR(__xludf.DUMMYFUNCTION("""COMPUTED_VALUE"""),"NN")</f>
        <v>NN</v>
      </c>
      <c r="H830" s="2005">
        <f>IFERROR(__xludf.DUMMYFUNCTION("""COMPUTED_VALUE"""),29.9)</f>
        <v>29.9</v>
      </c>
      <c r="I830" s="2005">
        <f>IFERROR(__xludf.DUMMYFUNCTION("""COMPUTED_VALUE"""),29.9)</f>
        <v>29.9</v>
      </c>
      <c r="BD830" s="2006"/>
      <c r="LM830" s="2007"/>
    </row>
    <row r="831">
      <c r="A831" s="2005">
        <f>IFERROR(__xludf.DUMMYFUNCTION("""COMPUTED_VALUE"""),1075382.0)</f>
        <v>1075382</v>
      </c>
      <c r="B831" s="2005">
        <f>IFERROR(__xludf.DUMMYFUNCTION("""COMPUTED_VALUE"""),2403006.0)</f>
        <v>2403006</v>
      </c>
      <c r="C831" s="2005" t="str">
        <f>IFERROR(__xludf.DUMMYFUNCTION("""COMPUTED_VALUE"""),"Cartouche")</f>
        <v>Cartouche</v>
      </c>
      <c r="D831" s="2005" t="str">
        <f>IFERROR(__xludf.DUMMYFUNCTION("""COMPUTED_VALUE"""),"Bobine recharge PLA Noire")</f>
        <v>Bobine recharge PLA Noire</v>
      </c>
      <c r="E831" s="2005" t="str">
        <f>IFERROR(__xludf.DUMMYFUNCTION("""COMPUTED_VALUE"""),"XYZ PRINTING")</f>
        <v>XYZ PRINTING</v>
      </c>
      <c r="F831" s="2005" t="str">
        <f>IFERROR(__xludf.DUMMYFUNCTION("""COMPUTED_VALUE"""),"H")</f>
        <v>H</v>
      </c>
      <c r="G831" s="2005" t="str">
        <f>IFERROR(__xludf.DUMMYFUNCTION("""COMPUTED_VALUE"""),"NN")</f>
        <v>NN</v>
      </c>
      <c r="H831" s="2005">
        <f>IFERROR(__xludf.DUMMYFUNCTION("""COMPUTED_VALUE"""),29.9)</f>
        <v>29.9</v>
      </c>
      <c r="I831" s="2005">
        <f>IFERROR(__xludf.DUMMYFUNCTION("""COMPUTED_VALUE"""),29.9)</f>
        <v>29.9</v>
      </c>
      <c r="BD831" s="2006"/>
      <c r="LM831" s="2007"/>
    </row>
    <row r="832">
      <c r="A832" s="2005">
        <f>IFERROR(__xludf.DUMMYFUNCTION("""COMPUTED_VALUE"""),1075383.0)</f>
        <v>1075383</v>
      </c>
      <c r="B832" s="2005">
        <f>IFERROR(__xludf.DUMMYFUNCTION("""COMPUTED_VALUE"""),2403006.0)</f>
        <v>2403006</v>
      </c>
      <c r="C832" s="2005" t="str">
        <f>IFERROR(__xludf.DUMMYFUNCTION("""COMPUTED_VALUE"""),"Cartouche")</f>
        <v>Cartouche</v>
      </c>
      <c r="D832" s="2005" t="str">
        <f>IFERROR(__xludf.DUMMYFUNCTION("""COMPUTED_VALUE"""),"Filament PLA Néon vert")</f>
        <v>Filament PLA Néon vert</v>
      </c>
      <c r="E832" s="2005" t="str">
        <f>IFERROR(__xludf.DUMMYFUNCTION("""COMPUTED_VALUE"""),"XYZ PRINTING")</f>
        <v>XYZ PRINTING</v>
      </c>
      <c r="F832" s="2005" t="str">
        <f>IFERROR(__xludf.DUMMYFUNCTION("""COMPUTED_VALUE"""),"H")</f>
        <v>H</v>
      </c>
      <c r="G832" s="2005" t="str">
        <f>IFERROR(__xludf.DUMMYFUNCTION("""COMPUTED_VALUE"""),"NN")</f>
        <v>NN</v>
      </c>
      <c r="H832" s="2005">
        <f>IFERROR(__xludf.DUMMYFUNCTION("""COMPUTED_VALUE"""),39.9)</f>
        <v>39.9</v>
      </c>
      <c r="I832" s="2005">
        <f>IFERROR(__xludf.DUMMYFUNCTION("""COMPUTED_VALUE"""),39.9)</f>
        <v>39.9</v>
      </c>
      <c r="BD832" s="2006"/>
      <c r="LM832" s="2007"/>
    </row>
    <row r="833">
      <c r="A833" s="2005">
        <f>IFERROR(__xludf.DUMMYFUNCTION("""COMPUTED_VALUE"""),1075385.0)</f>
        <v>1075385</v>
      </c>
      <c r="B833" s="2005">
        <f>IFERROR(__xludf.DUMMYFUNCTION("""COMPUTED_VALUE"""),2403006.0)</f>
        <v>2403006</v>
      </c>
      <c r="C833" s="2005" t="str">
        <f>IFERROR(__xludf.DUMMYFUNCTION("""COMPUTED_VALUE"""),"Cartouche")</f>
        <v>Cartouche</v>
      </c>
      <c r="D833" s="2005" t="str">
        <f>IFERROR(__xludf.DUMMYFUNCTION("""COMPUTED_VALUE"""),"Filament PLA Orange clair")</f>
        <v>Filament PLA Orange clair</v>
      </c>
      <c r="E833" s="2005" t="str">
        <f>IFERROR(__xludf.DUMMYFUNCTION("""COMPUTED_VALUE"""),"XYZ PRINTING")</f>
        <v>XYZ PRINTING</v>
      </c>
      <c r="F833" s="2005" t="str">
        <f>IFERROR(__xludf.DUMMYFUNCTION("""COMPUTED_VALUE"""),"H")</f>
        <v>H</v>
      </c>
      <c r="G833" s="2005" t="str">
        <f>IFERROR(__xludf.DUMMYFUNCTION("""COMPUTED_VALUE"""),"NN")</f>
        <v>NN</v>
      </c>
      <c r="H833">
        <f>IFERROR(__xludf.DUMMYFUNCTION("""COMPUTED_VALUE"""),29.99)</f>
        <v>29.99</v>
      </c>
      <c r="I833">
        <f>IFERROR(__xludf.DUMMYFUNCTION("""COMPUTED_VALUE"""),29.99)</f>
        <v>29.99</v>
      </c>
      <c r="BD833" s="2006"/>
      <c r="LL833" s="2007"/>
      <c r="LM833" s="2007"/>
      <c r="MX833" s="2007"/>
      <c r="ND833" s="2007"/>
    </row>
    <row r="834">
      <c r="A834">
        <f>IFERROR(__xludf.DUMMYFUNCTION("""COMPUTED_VALUE"""),1075406.0)</f>
        <v>1075406</v>
      </c>
      <c r="B834">
        <f>IFERROR(__xludf.DUMMYFUNCTION("""COMPUTED_VALUE"""),2207005.0)</f>
        <v>2207005</v>
      </c>
      <c r="C834" t="str">
        <f>IFERROR(__xludf.DUMMYFUNCTION("""COMPUTED_VALUE"""),"Imprimante")</f>
        <v>Imprimante</v>
      </c>
      <c r="D834" t="str">
        <f>IFERROR(__xludf.DUMMYFUNCTION("""COMPUTED_VALUE"""),"DiscoEasy 200 kits")</f>
        <v>DiscoEasy 200 kits</v>
      </c>
      <c r="E834" t="str">
        <f>IFERROR(__xludf.DUMMYFUNCTION("""COMPUTED_VALUE"""),"DAGOMA")</f>
        <v>DAGOMA</v>
      </c>
      <c r="F834" t="str">
        <f>IFERROR(__xludf.DUMMYFUNCTION("""COMPUTED_VALUE"""),"E")</f>
        <v>E</v>
      </c>
      <c r="G834" t="str">
        <f>IFERROR(__xludf.DUMMYFUNCTION("""COMPUTED_VALUE"""),"NN")</f>
        <v>NN</v>
      </c>
      <c r="H834">
        <f>IFERROR(__xludf.DUMMYFUNCTION("""COMPUTED_VALUE"""),269.99)</f>
        <v>269.99</v>
      </c>
      <c r="I834">
        <f>IFERROR(__xludf.DUMMYFUNCTION("""COMPUTED_VALUE"""),269.99)</f>
        <v>269.99</v>
      </c>
      <c r="BD834" s="2006"/>
      <c r="LL834" s="2007"/>
      <c r="LM834" s="2007"/>
      <c r="MX834" s="2008"/>
      <c r="ND834" s="2007"/>
    </row>
    <row r="835">
      <c r="A835" s="2005">
        <f>IFERROR(__xludf.DUMMYFUNCTION("""COMPUTED_VALUE"""),1075471.0)</f>
        <v>1075471</v>
      </c>
      <c r="B835" s="2005">
        <f>IFERROR(__xludf.DUMMYFUNCTION("""COMPUTED_VALUE"""),2403006.0)</f>
        <v>2403006</v>
      </c>
      <c r="C835" s="2005" t="str">
        <f>IFERROR(__xludf.DUMMYFUNCTION("""COMPUTED_VALUE"""),"Cartouche")</f>
        <v>Cartouche</v>
      </c>
      <c r="D835" s="2005" t="str">
        <f>IFERROR(__xludf.DUMMYFUNCTION("""COMPUTED_VALUE"""),"Filament PLA Chromatik 750g Transparent")</f>
        <v>Filament PLA Chromatik 750g Transparent</v>
      </c>
      <c r="E835" s="2005" t="str">
        <f>IFERROR(__xludf.DUMMYFUNCTION("""COMPUTED_VALUE"""),"DAGOMA")</f>
        <v>DAGOMA</v>
      </c>
      <c r="F835" s="2005" t="str">
        <f>IFERROR(__xludf.DUMMYFUNCTION("""COMPUTED_VALUE"""),"W")</f>
        <v>W</v>
      </c>
      <c r="G835" s="2005" t="str">
        <f>IFERROR(__xludf.DUMMYFUNCTION("""COMPUTED_VALUE"""),"NN")</f>
        <v>NN</v>
      </c>
      <c r="H835">
        <f>IFERROR(__xludf.DUMMYFUNCTION("""COMPUTED_VALUE"""),24.9)</f>
        <v>24.9</v>
      </c>
      <c r="I835">
        <f>IFERROR(__xludf.DUMMYFUNCTION("""COMPUTED_VALUE"""),24.9)</f>
        <v>24.9</v>
      </c>
      <c r="BD835" s="2006"/>
      <c r="LL835" s="2007"/>
      <c r="LM835" s="2007"/>
      <c r="MX835" s="2007"/>
      <c r="ND835" s="2007"/>
    </row>
    <row r="836">
      <c r="A836" s="2005">
        <f>IFERROR(__xludf.DUMMYFUNCTION("""COMPUTED_VALUE"""),1075478.0)</f>
        <v>1075478</v>
      </c>
      <c r="B836" s="2005">
        <f>IFERROR(__xludf.DUMMYFUNCTION("""COMPUTED_VALUE"""),2403006.0)</f>
        <v>2403006</v>
      </c>
      <c r="C836" s="2005" t="str">
        <f>IFERROR(__xludf.DUMMYFUNCTION("""COMPUTED_VALUE"""),"Cartouche")</f>
        <v>Cartouche</v>
      </c>
      <c r="D836" s="2005" t="str">
        <f>IFERROR(__xludf.DUMMYFUNCTION("""COMPUTED_VALUE"""),"Filament PLA Chromatik 750g Jaune soleil")</f>
        <v>Filament PLA Chromatik 750g Jaune soleil</v>
      </c>
      <c r="E836" s="2005" t="str">
        <f>IFERROR(__xludf.DUMMYFUNCTION("""COMPUTED_VALUE"""),"DAGOMA")</f>
        <v>DAGOMA</v>
      </c>
      <c r="F836" s="2005" t="str">
        <f>IFERROR(__xludf.DUMMYFUNCTION("""COMPUTED_VALUE"""),"W")</f>
        <v>W</v>
      </c>
      <c r="G836" s="2005" t="str">
        <f>IFERROR(__xludf.DUMMYFUNCTION("""COMPUTED_VALUE"""),"NN")</f>
        <v>NN</v>
      </c>
      <c r="H836" s="2005">
        <f>IFERROR(__xludf.DUMMYFUNCTION("""COMPUTED_VALUE"""),24.99)</f>
        <v>24.99</v>
      </c>
      <c r="I836" s="2005">
        <f>IFERROR(__xludf.DUMMYFUNCTION("""COMPUTED_VALUE"""),24.9)</f>
        <v>24.9</v>
      </c>
      <c r="BD836" s="2006"/>
      <c r="LM836" s="2007"/>
      <c r="MX836" s="2007"/>
      <c r="ND836" s="2007"/>
    </row>
    <row r="837">
      <c r="A837" s="2005">
        <f>IFERROR(__xludf.DUMMYFUNCTION("""COMPUTED_VALUE"""),1075480.0)</f>
        <v>1075480</v>
      </c>
      <c r="B837" s="2005">
        <f>IFERROR(__xludf.DUMMYFUNCTION("""COMPUTED_VALUE"""),2403006.0)</f>
        <v>2403006</v>
      </c>
      <c r="C837" s="2005" t="str">
        <f>IFERROR(__xludf.DUMMYFUNCTION("""COMPUTED_VALUE"""),"Cartouche")</f>
        <v>Cartouche</v>
      </c>
      <c r="D837" s="2005" t="str">
        <f>IFERROR(__xludf.DUMMYFUNCTION("""COMPUTED_VALUE"""),"Filament PLA Chromatik 750g Rouge pompie")</f>
        <v>Filament PLA Chromatik 750g Rouge pompie</v>
      </c>
      <c r="E837" s="2005" t="str">
        <f>IFERROR(__xludf.DUMMYFUNCTION("""COMPUTED_VALUE"""),"DAGOMA")</f>
        <v>DAGOMA</v>
      </c>
      <c r="F837" s="2005" t="str">
        <f>IFERROR(__xludf.DUMMYFUNCTION("""COMPUTED_VALUE"""),"E")</f>
        <v>E</v>
      </c>
      <c r="G837" s="2005" t="str">
        <f>IFERROR(__xludf.DUMMYFUNCTION("""COMPUTED_VALUE"""),"NN")</f>
        <v>NN</v>
      </c>
      <c r="H837" s="2005">
        <f>IFERROR(__xludf.DUMMYFUNCTION("""COMPUTED_VALUE"""),19.99)</f>
        <v>19.99</v>
      </c>
      <c r="I837" s="2005">
        <f>IFERROR(__xludf.DUMMYFUNCTION("""COMPUTED_VALUE"""),19.99)</f>
        <v>19.99</v>
      </c>
      <c r="BD837" s="2006"/>
      <c r="LM837" s="2007"/>
      <c r="MX837" s="2007"/>
      <c r="ND837" s="2007"/>
    </row>
    <row r="838">
      <c r="A838" s="2005">
        <f>IFERROR(__xludf.DUMMYFUNCTION("""COMPUTED_VALUE"""),1075495.0)</f>
        <v>1075495</v>
      </c>
      <c r="B838" s="2005">
        <f>IFERROR(__xludf.DUMMYFUNCTION("""COMPUTED_VALUE"""),2403006.0)</f>
        <v>2403006</v>
      </c>
      <c r="C838" s="2005" t="str">
        <f>IFERROR(__xludf.DUMMYFUNCTION("""COMPUTED_VALUE"""),"Cartouche")</f>
        <v>Cartouche</v>
      </c>
      <c r="D838" s="2005" t="str">
        <f>IFERROR(__xludf.DUMMYFUNCTION("""COMPUTED_VALUE"""),"Filament PLA Chromatik 750g Noir mat")</f>
        <v>Filament PLA Chromatik 750g Noir mat</v>
      </c>
      <c r="E838" s="2005" t="str">
        <f>IFERROR(__xludf.DUMMYFUNCTION("""COMPUTED_VALUE"""),"DAGOMA")</f>
        <v>DAGOMA</v>
      </c>
      <c r="F838" s="2005" t="str">
        <f>IFERROR(__xludf.DUMMYFUNCTION("""COMPUTED_VALUE"""),"W")</f>
        <v>W</v>
      </c>
      <c r="G838" s="2005" t="str">
        <f>IFERROR(__xludf.DUMMYFUNCTION("""COMPUTED_VALUE"""),"NN")</f>
        <v>NN</v>
      </c>
      <c r="H838" s="2005">
        <f>IFERROR(__xludf.DUMMYFUNCTION("""COMPUTED_VALUE"""),24.99)</f>
        <v>24.99</v>
      </c>
      <c r="I838">
        <f>IFERROR(__xludf.DUMMYFUNCTION("""COMPUTED_VALUE"""),24.9)</f>
        <v>24.9</v>
      </c>
      <c r="BD838" s="2006"/>
      <c r="LM838" s="2007"/>
    </row>
    <row r="839">
      <c r="A839" s="2005">
        <f>IFERROR(__xludf.DUMMYFUNCTION("""COMPUTED_VALUE"""),1075496.0)</f>
        <v>1075496</v>
      </c>
      <c r="B839" s="2005">
        <f>IFERROR(__xludf.DUMMYFUNCTION("""COMPUTED_VALUE"""),2403006.0)</f>
        <v>2403006</v>
      </c>
      <c r="C839" s="2005" t="str">
        <f>IFERROR(__xludf.DUMMYFUNCTION("""COMPUTED_VALUE"""),"Cartouche")</f>
        <v>Cartouche</v>
      </c>
      <c r="D839" s="2005" t="str">
        <f>IFERROR(__xludf.DUMMYFUNCTION("""COMPUTED_VALUE"""),"Filament PLA Chromatik 750g Blanc neige")</f>
        <v>Filament PLA Chromatik 750g Blanc neige</v>
      </c>
      <c r="E839" s="2005" t="str">
        <f>IFERROR(__xludf.DUMMYFUNCTION("""COMPUTED_VALUE"""),"DAGOMA")</f>
        <v>DAGOMA</v>
      </c>
      <c r="F839" s="2005" t="str">
        <f>IFERROR(__xludf.DUMMYFUNCTION("""COMPUTED_VALUE"""),"W")</f>
        <v>W</v>
      </c>
      <c r="G839" s="2005" t="str">
        <f>IFERROR(__xludf.DUMMYFUNCTION("""COMPUTED_VALUE"""),"NN")</f>
        <v>NN</v>
      </c>
      <c r="H839" s="2005">
        <f>IFERROR(__xludf.DUMMYFUNCTION("""COMPUTED_VALUE"""),24.99)</f>
        <v>24.99</v>
      </c>
      <c r="I839" s="2005">
        <f>IFERROR(__xludf.DUMMYFUNCTION("""COMPUTED_VALUE"""),24.9)</f>
        <v>24.9</v>
      </c>
      <c r="BD839" s="2006"/>
      <c r="LL839" s="2007"/>
      <c r="LM839" s="2007"/>
      <c r="MX839" s="2007"/>
      <c r="ND839" s="2007"/>
    </row>
    <row r="840">
      <c r="A840" s="2005">
        <f>IFERROR(__xludf.DUMMYFUNCTION("""COMPUTED_VALUE"""),1075497.0)</f>
        <v>1075497</v>
      </c>
      <c r="B840" s="2005">
        <f>IFERROR(__xludf.DUMMYFUNCTION("""COMPUTED_VALUE"""),2403006.0)</f>
        <v>2403006</v>
      </c>
      <c r="C840" s="2005" t="str">
        <f>IFERROR(__xludf.DUMMYFUNCTION("""COMPUTED_VALUE"""),"Cartouche")</f>
        <v>Cartouche</v>
      </c>
      <c r="D840" s="2005" t="str">
        <f>IFERROR(__xludf.DUMMYFUNCTION("""COMPUTED_VALUE"""),"Filament PLA Chromatik 750g Orange")</f>
        <v>Filament PLA Chromatik 750g Orange</v>
      </c>
      <c r="E840" s="2005" t="str">
        <f>IFERROR(__xludf.DUMMYFUNCTION("""COMPUTED_VALUE"""),"DAGOMA")</f>
        <v>DAGOMA</v>
      </c>
      <c r="F840" s="2005" t="str">
        <f>IFERROR(__xludf.DUMMYFUNCTION("""COMPUTED_VALUE"""),"W")</f>
        <v>W</v>
      </c>
      <c r="G840" s="2005" t="str">
        <f>IFERROR(__xludf.DUMMYFUNCTION("""COMPUTED_VALUE"""),"NN")</f>
        <v>NN</v>
      </c>
      <c r="H840" s="2005">
        <f>IFERROR(__xludf.DUMMYFUNCTION("""COMPUTED_VALUE"""),24.99)</f>
        <v>24.99</v>
      </c>
      <c r="I840" s="2005">
        <f>IFERROR(__xludf.DUMMYFUNCTION("""COMPUTED_VALUE"""),24.9)</f>
        <v>24.9</v>
      </c>
      <c r="BD840" s="2006"/>
      <c r="LL840" s="2007"/>
      <c r="LM840" s="2007"/>
      <c r="MX840" s="2007"/>
      <c r="ND840" s="2007"/>
    </row>
    <row r="841">
      <c r="A841" s="2005">
        <f>IFERROR(__xludf.DUMMYFUNCTION("""COMPUTED_VALUE"""),1075501.0)</f>
        <v>1075501</v>
      </c>
      <c r="B841" s="2005">
        <f>IFERROR(__xludf.DUMMYFUNCTION("""COMPUTED_VALUE"""),2403006.0)</f>
        <v>2403006</v>
      </c>
      <c r="C841" s="2005" t="str">
        <f>IFERROR(__xludf.DUMMYFUNCTION("""COMPUTED_VALUE"""),"Cartouche")</f>
        <v>Cartouche</v>
      </c>
      <c r="D841" s="2005" t="str">
        <f>IFERROR(__xludf.DUMMYFUNCTION("""COMPUTED_VALUE"""),"Polyflex Blanc")</f>
        <v>Polyflex Blanc</v>
      </c>
      <c r="E841" s="2005" t="str">
        <f>IFERROR(__xludf.DUMMYFUNCTION("""COMPUTED_VALUE"""),"DAGOMA")</f>
        <v>DAGOMA</v>
      </c>
      <c r="F841" s="2005" t="str">
        <f>IFERROR(__xludf.DUMMYFUNCTION("""COMPUTED_VALUE"""),"H")</f>
        <v>H</v>
      </c>
      <c r="G841" s="2005" t="str">
        <f>IFERROR(__xludf.DUMMYFUNCTION("""COMPUTED_VALUE"""),"NN")</f>
        <v>NN</v>
      </c>
      <c r="H841" s="2005">
        <f>IFERROR(__xludf.DUMMYFUNCTION("""COMPUTED_VALUE"""),42.99)</f>
        <v>42.99</v>
      </c>
      <c r="I841" s="2005">
        <f>IFERROR(__xludf.DUMMYFUNCTION("""COMPUTED_VALUE"""),42.99)</f>
        <v>42.99</v>
      </c>
      <c r="BD841" s="2006"/>
      <c r="LL841" s="2007"/>
      <c r="LM841" s="2007"/>
      <c r="MX841" s="2007"/>
      <c r="ND841" s="2007"/>
    </row>
    <row r="842">
      <c r="A842" s="2005">
        <f>IFERROR(__xludf.DUMMYFUNCTION("""COMPUTED_VALUE"""),1075503.0)</f>
        <v>1075503</v>
      </c>
      <c r="B842" s="2005">
        <f>IFERROR(__xludf.DUMMYFUNCTION("""COMPUTED_VALUE"""),2403006.0)</f>
        <v>2403006</v>
      </c>
      <c r="C842" s="2005" t="str">
        <f>IFERROR(__xludf.DUMMYFUNCTION("""COMPUTED_VALUE"""),"Cartouche")</f>
        <v>Cartouche</v>
      </c>
      <c r="D842" s="2005" t="str">
        <f>IFERROR(__xludf.DUMMYFUNCTION("""COMPUTED_VALUE"""),"Scotch BleuTape 2090")</f>
        <v>Scotch BleuTape 2090</v>
      </c>
      <c r="E842" s="2005" t="str">
        <f>IFERROR(__xludf.DUMMYFUNCTION("""COMPUTED_VALUE"""),"DAGOMA")</f>
        <v>DAGOMA</v>
      </c>
      <c r="F842" s="2005" t="str">
        <f>IFERROR(__xludf.DUMMYFUNCTION("""COMPUTED_VALUE"""),"W")</f>
        <v>W</v>
      </c>
      <c r="G842" s="2005" t="str">
        <f>IFERROR(__xludf.DUMMYFUNCTION("""COMPUTED_VALUE"""),"NN")</f>
        <v>NN</v>
      </c>
      <c r="H842" s="2005">
        <f>IFERROR(__xludf.DUMMYFUNCTION("""COMPUTED_VALUE"""),15.99)</f>
        <v>15.99</v>
      </c>
      <c r="I842" s="2005">
        <f>IFERROR(__xludf.DUMMYFUNCTION("""COMPUTED_VALUE"""),11.99)</f>
        <v>11.99</v>
      </c>
      <c r="BD842" s="2006"/>
      <c r="LL842" s="2007"/>
      <c r="LM842" s="2007"/>
      <c r="MX842" s="2007"/>
      <c r="ND842" s="2007"/>
    </row>
    <row r="843">
      <c r="A843" s="2005">
        <f>IFERROR(__xludf.DUMMYFUNCTION("""COMPUTED_VALUE"""),1075612.0)</f>
        <v>1075612</v>
      </c>
      <c r="B843" s="2005">
        <f>IFERROR(__xludf.DUMMYFUNCTION("""COMPUTED_VALUE"""),2502010.0)</f>
        <v>2502010</v>
      </c>
      <c r="C843" s="2005" t="str">
        <f>IFERROR(__xludf.DUMMYFUNCTION("""COMPUTED_VALUE"""),"Souris")</f>
        <v>Souris</v>
      </c>
      <c r="D843" s="2005" t="str">
        <f>IFERROR(__xludf.DUMMYFUNCTION("""COMPUTED_VALUE"""),"Z3700 Wireless Bleu")</f>
        <v>Z3700 Wireless Bleu</v>
      </c>
      <c r="E843" s="2005" t="str">
        <f>IFERROR(__xludf.DUMMYFUNCTION("""COMPUTED_VALUE"""),"HP")</f>
        <v>HP</v>
      </c>
      <c r="F843" s="2005" t="str">
        <f>IFERROR(__xludf.DUMMYFUNCTION("""COMPUTED_VALUE"""),"C")</f>
        <v>C</v>
      </c>
      <c r="G843" s="2005" t="str">
        <f>IFERROR(__xludf.DUMMYFUNCTION("""COMPUTED_VALUE"""),"NN")</f>
        <v>NN</v>
      </c>
      <c r="H843" s="2005">
        <f>IFERROR(__xludf.DUMMYFUNCTION("""COMPUTED_VALUE"""),24.99)</f>
        <v>24.99</v>
      </c>
      <c r="I843" s="2005">
        <f>IFERROR(__xludf.DUMMYFUNCTION("""COMPUTED_VALUE"""),24.99)</f>
        <v>24.99</v>
      </c>
      <c r="BD843" s="2006"/>
      <c r="LL843" s="2007"/>
      <c r="LM843" s="2007"/>
      <c r="MX843" s="2007"/>
      <c r="ND843" s="2007"/>
    </row>
    <row r="844">
      <c r="A844" s="2005">
        <f>IFERROR(__xludf.DUMMYFUNCTION("""COMPUTED_VALUE"""),1075661.0)</f>
        <v>1075661</v>
      </c>
      <c r="B844" s="2005">
        <f>IFERROR(__xludf.DUMMYFUNCTION("""COMPUTED_VALUE"""),2403005.0)</f>
        <v>2403005</v>
      </c>
      <c r="C844" s="2005" t="str">
        <f>IFERROR(__xludf.DUMMYFUNCTION("""COMPUTED_VALUE"""),"Cartouche")</f>
        <v>Cartouche</v>
      </c>
      <c r="D844" s="2005" t="str">
        <f>IFERROR(__xludf.DUMMYFUNCTION("""COMPUTED_VALUE"""),"T16 XL Noire Série Stylo Plume")</f>
        <v>T16 XL Noire Série Stylo Plume</v>
      </c>
      <c r="E844" s="2005" t="str">
        <f>IFERROR(__xludf.DUMMYFUNCTION("""COMPUTED_VALUE"""),"EPSON")</f>
        <v>EPSON</v>
      </c>
      <c r="F844" s="2005" t="str">
        <f>IFERROR(__xludf.DUMMYFUNCTION("""COMPUTED_VALUE"""),"H")</f>
        <v>H</v>
      </c>
      <c r="G844" s="2005" t="str">
        <f>IFERROR(__xludf.DUMMYFUNCTION("""COMPUTED_VALUE"""),"AC")</f>
        <v>AC</v>
      </c>
      <c r="H844" s="2005">
        <f>IFERROR(__xludf.DUMMYFUNCTION("""COMPUTED_VALUE"""),28.99)</f>
        <v>28.99</v>
      </c>
      <c r="I844" s="2005">
        <f>IFERROR(__xludf.DUMMYFUNCTION("""COMPUTED_VALUE"""),28.99)</f>
        <v>28.99</v>
      </c>
      <c r="BD844" s="2006"/>
      <c r="LL844" s="2007"/>
      <c r="LM844" s="2007"/>
      <c r="MX844" s="2007"/>
      <c r="ND844" s="2007"/>
    </row>
    <row r="845">
      <c r="A845" s="2005">
        <f>IFERROR(__xludf.DUMMYFUNCTION("""COMPUTED_VALUE"""),1075662.0)</f>
        <v>1075662</v>
      </c>
      <c r="B845" s="2005">
        <f>IFERROR(__xludf.DUMMYFUNCTION("""COMPUTED_VALUE"""),2403005.0)</f>
        <v>2403005</v>
      </c>
      <c r="C845" s="2005" t="str">
        <f>IFERROR(__xludf.DUMMYFUNCTION("""COMPUTED_VALUE"""),"Cartouche")</f>
        <v>Cartouche</v>
      </c>
      <c r="D845" s="2005" t="str">
        <f>IFERROR(__xludf.DUMMYFUNCTION("""COMPUTED_VALUE"""),"T1636 XL 4 couleurs Série Stylo Plume")</f>
        <v>T1636 XL 4 couleurs Série Stylo Plume</v>
      </c>
      <c r="E845" s="2005" t="str">
        <f>IFERROR(__xludf.DUMMYFUNCTION("""COMPUTED_VALUE"""),"EPSON")</f>
        <v>EPSON</v>
      </c>
      <c r="F845" s="2005" t="str">
        <f>IFERROR(__xludf.DUMMYFUNCTION("""COMPUTED_VALUE"""),"H")</f>
        <v>H</v>
      </c>
      <c r="G845" s="2005" t="str">
        <f>IFERROR(__xludf.DUMMYFUNCTION("""COMPUTED_VALUE"""),"NN")</f>
        <v>NN</v>
      </c>
      <c r="H845" s="2005">
        <f>IFERROR(__xludf.DUMMYFUNCTION("""COMPUTED_VALUE"""),92.0)</f>
        <v>92</v>
      </c>
      <c r="I845" s="2005">
        <f>IFERROR(__xludf.DUMMYFUNCTION("""COMPUTED_VALUE"""),92.0)</f>
        <v>92</v>
      </c>
      <c r="LL845" s="2007"/>
      <c r="LM845" s="2007"/>
      <c r="MX845" s="2007"/>
      <c r="ND845" s="2007"/>
    </row>
    <row r="846">
      <c r="A846" s="2005">
        <f>IFERROR(__xludf.DUMMYFUNCTION("""COMPUTED_VALUE"""),1075670.0)</f>
        <v>1075670</v>
      </c>
      <c r="B846" s="2005">
        <f>IFERROR(__xludf.DUMMYFUNCTION("""COMPUTED_VALUE"""),2203005.0)</f>
        <v>2203005</v>
      </c>
      <c r="C846" s="2005" t="str">
        <f>IFERROR(__xludf.DUMMYFUNCTION("""COMPUTED_VALUE"""),"Scanner")</f>
        <v>Scanner</v>
      </c>
      <c r="D846" s="2005" t="str">
        <f>IFERROR(__xludf.DUMMYFUNCTION("""COMPUTED_VALUE"""),"ADS-2800W")</f>
        <v>ADS-2800W</v>
      </c>
      <c r="E846" s="2005" t="str">
        <f>IFERROR(__xludf.DUMMYFUNCTION("""COMPUTED_VALUE"""),"BROTHER")</f>
        <v>BROTHER</v>
      </c>
      <c r="F846" s="2005" t="str">
        <f>IFERROR(__xludf.DUMMYFUNCTION("""COMPUTED_VALUE"""),"H")</f>
        <v>H</v>
      </c>
      <c r="G846" s="2005" t="str">
        <f>IFERROR(__xludf.DUMMYFUNCTION("""COMPUTED_VALUE"""),"NN")</f>
        <v>NN</v>
      </c>
      <c r="H846" s="2005">
        <f>IFERROR(__xludf.DUMMYFUNCTION("""COMPUTED_VALUE"""),549.99)</f>
        <v>549.99</v>
      </c>
      <c r="I846" s="2005">
        <f>IFERROR(__xludf.DUMMYFUNCTION("""COMPUTED_VALUE"""),549.99)</f>
        <v>549.99</v>
      </c>
      <c r="BD846" s="2006"/>
      <c r="LM846" s="2007"/>
    </row>
    <row r="847">
      <c r="A847" s="2005">
        <f>IFERROR(__xludf.DUMMYFUNCTION("""COMPUTED_VALUE"""),1075687.0)</f>
        <v>1075687</v>
      </c>
      <c r="B847" s="2005">
        <f>IFERROR(__xludf.DUMMYFUNCTION("""COMPUTED_VALUE"""),2502010.0)</f>
        <v>2502010</v>
      </c>
      <c r="C847" s="2005" t="str">
        <f>IFERROR(__xludf.DUMMYFUNCTION("""COMPUTED_VALUE"""),"Souris")</f>
        <v>Souris</v>
      </c>
      <c r="D847" s="2005" t="str">
        <f>IFERROR(__xludf.DUMMYFUNCTION("""COMPUTED_VALUE"""),"Z3700 Rouge")</f>
        <v>Z3700 Rouge</v>
      </c>
      <c r="E847" s="2005" t="str">
        <f>IFERROR(__xludf.DUMMYFUNCTION("""COMPUTED_VALUE"""),"HP")</f>
        <v>HP</v>
      </c>
      <c r="F847" s="2005" t="str">
        <f>IFERROR(__xludf.DUMMYFUNCTION("""COMPUTED_VALUE"""),"H")</f>
        <v>H</v>
      </c>
      <c r="G847" s="2005" t="str">
        <f>IFERROR(__xludf.DUMMYFUNCTION("""COMPUTED_VALUE"""),"NN")</f>
        <v>NN</v>
      </c>
      <c r="H847" s="2005">
        <f>IFERROR(__xludf.DUMMYFUNCTION("""COMPUTED_VALUE"""),10.99)</f>
        <v>10.99</v>
      </c>
      <c r="I847" s="2005">
        <f>IFERROR(__xludf.DUMMYFUNCTION("""COMPUTED_VALUE"""),10.99)</f>
        <v>10.99</v>
      </c>
      <c r="BD847" s="2006"/>
      <c r="LM847" s="2007"/>
    </row>
    <row r="848">
      <c r="A848" s="2005">
        <f>IFERROR(__xludf.DUMMYFUNCTION("""COMPUTED_VALUE"""),1075688.0)</f>
        <v>1075688</v>
      </c>
      <c r="B848" s="2005">
        <f>IFERROR(__xludf.DUMMYFUNCTION("""COMPUTED_VALUE"""),2502010.0)</f>
        <v>2502010</v>
      </c>
      <c r="C848" s="2005" t="str">
        <f>IFERROR(__xludf.DUMMYFUNCTION("""COMPUTED_VALUE"""),"Souris")</f>
        <v>Souris</v>
      </c>
      <c r="D848" s="2005" t="str">
        <f>IFERROR(__xludf.DUMMYFUNCTION("""COMPUTED_VALUE"""),"X1500")</f>
        <v>X1500</v>
      </c>
      <c r="E848" s="2005" t="str">
        <f>IFERROR(__xludf.DUMMYFUNCTION("""COMPUTED_VALUE"""),"HP")</f>
        <v>HP</v>
      </c>
      <c r="F848" s="2005" t="str">
        <f>IFERROR(__xludf.DUMMYFUNCTION("""COMPUTED_VALUE"""),"W")</f>
        <v>W</v>
      </c>
      <c r="G848" s="2005" t="str">
        <f>IFERROR(__xludf.DUMMYFUNCTION("""COMPUTED_VALUE"""),"NN")</f>
        <v>NN</v>
      </c>
      <c r="H848" s="2005">
        <f>IFERROR(__xludf.DUMMYFUNCTION("""COMPUTED_VALUE"""),11.99)</f>
        <v>11.99</v>
      </c>
      <c r="I848" s="2005">
        <f>IFERROR(__xludf.DUMMYFUNCTION("""COMPUTED_VALUE"""),11.99)</f>
        <v>11.99</v>
      </c>
      <c r="BD848" s="2006"/>
      <c r="LL848" s="2007"/>
      <c r="LM848" s="2007"/>
      <c r="MX848" s="2007"/>
      <c r="ND848" s="2007"/>
    </row>
    <row r="849">
      <c r="A849" s="2005">
        <f>IFERROR(__xludf.DUMMYFUNCTION("""COMPUTED_VALUE"""),1075733.0)</f>
        <v>1075733</v>
      </c>
      <c r="B849" s="2005">
        <f>IFERROR(__xludf.DUMMYFUNCTION("""COMPUTED_VALUE"""),2502010.0)</f>
        <v>2502010</v>
      </c>
      <c r="C849" s="2005" t="str">
        <f>IFERROR(__xludf.DUMMYFUNCTION("""COMPUTED_VALUE"""),"Souris")</f>
        <v>Souris</v>
      </c>
      <c r="D849" s="2005" t="str">
        <f>IFERROR(__xludf.DUMMYFUNCTION("""COMPUTED_VALUE"""),"Z3700 Noir")</f>
        <v>Z3700 Noir</v>
      </c>
      <c r="E849" s="2005" t="str">
        <f>IFERROR(__xludf.DUMMYFUNCTION("""COMPUTED_VALUE"""),"HP")</f>
        <v>HP</v>
      </c>
      <c r="F849" s="2005" t="str">
        <f>IFERROR(__xludf.DUMMYFUNCTION("""COMPUTED_VALUE"""),"C")</f>
        <v>C</v>
      </c>
      <c r="G849" s="2005" t="str">
        <f>IFERROR(__xludf.DUMMYFUNCTION("""COMPUTED_VALUE"""),"AC")</f>
        <v>AC</v>
      </c>
      <c r="H849" s="2005">
        <f>IFERROR(__xludf.DUMMYFUNCTION("""COMPUTED_VALUE"""),29.99)</f>
        <v>29.99</v>
      </c>
      <c r="I849" s="2005">
        <f>IFERROR(__xludf.DUMMYFUNCTION("""COMPUTED_VALUE"""),29.99)</f>
        <v>29.99</v>
      </c>
      <c r="BD849" s="2006"/>
      <c r="LM849" s="2007"/>
      <c r="MX849" s="2007"/>
      <c r="ND849" s="2007"/>
    </row>
    <row r="850">
      <c r="A850" s="2005">
        <f>IFERROR(__xludf.DUMMYFUNCTION("""COMPUTED_VALUE"""),1075779.0)</f>
        <v>1075779</v>
      </c>
      <c r="B850" s="2005">
        <f>IFERROR(__xludf.DUMMYFUNCTION("""COMPUTED_VALUE"""),2502010.0)</f>
        <v>2502010</v>
      </c>
      <c r="C850" s="2005" t="str">
        <f>IFERROR(__xludf.DUMMYFUNCTION("""COMPUTED_VALUE"""),"Souris")</f>
        <v>Souris</v>
      </c>
      <c r="D850" s="2005" t="str">
        <f>IFERROR(__xludf.DUMMYFUNCTION("""COMPUTED_VALUE"""),"M280 Noire")</f>
        <v>M280 Noire</v>
      </c>
      <c r="E850" s="2005" t="str">
        <f>IFERROR(__xludf.DUMMYFUNCTION("""COMPUTED_VALUE"""),"LOGITECH")</f>
        <v>LOGITECH</v>
      </c>
      <c r="F850" s="2005" t="str">
        <f>IFERROR(__xludf.DUMMYFUNCTION("""COMPUTED_VALUE"""),"C")</f>
        <v>C</v>
      </c>
      <c r="G850" s="2005" t="str">
        <f>IFERROR(__xludf.DUMMYFUNCTION("""COMPUTED_VALUE"""),"AC")</f>
        <v>AC</v>
      </c>
      <c r="H850" s="2005">
        <f>IFERROR(__xludf.DUMMYFUNCTION("""COMPUTED_VALUE"""),39.99)</f>
        <v>39.99</v>
      </c>
      <c r="I850" s="2005">
        <f>IFERROR(__xludf.DUMMYFUNCTION("""COMPUTED_VALUE"""),39.99)</f>
        <v>39.99</v>
      </c>
      <c r="BD850" s="2006"/>
      <c r="LL850" s="2007"/>
      <c r="LM850" s="2007"/>
      <c r="MX850" s="2008"/>
      <c r="ND850" s="2007"/>
    </row>
    <row r="851">
      <c r="A851" s="2005">
        <f>IFERROR(__xludf.DUMMYFUNCTION("""COMPUTED_VALUE"""),1075949.0)</f>
        <v>1075949</v>
      </c>
      <c r="B851" s="2005">
        <f>IFERROR(__xludf.DUMMYFUNCTION("""COMPUTED_VALUE"""),2201010.0)</f>
        <v>2201010</v>
      </c>
      <c r="C851" s="2005" t="str">
        <f>IFERROR(__xludf.DUMMYFUNCTION("""COMPUTED_VALUE"""),"Mono Jet d'encr")</f>
        <v>Mono Jet d'encr</v>
      </c>
      <c r="D851" s="2005" t="str">
        <f>IFERROR(__xludf.DUMMYFUNCTION("""COMPUTED_VALUE"""),"OfficeJet 200")</f>
        <v>OfficeJet 200</v>
      </c>
      <c r="E851" s="2005" t="str">
        <f>IFERROR(__xludf.DUMMYFUNCTION("""COMPUTED_VALUE"""),"HP")</f>
        <v>HP</v>
      </c>
      <c r="F851" s="2005" t="str">
        <f>IFERROR(__xludf.DUMMYFUNCTION("""COMPUTED_VALUE"""),"W")</f>
        <v>W</v>
      </c>
      <c r="G851" s="2005" t="str">
        <f>IFERROR(__xludf.DUMMYFUNCTION("""COMPUTED_VALUE"""),"NN")</f>
        <v>NN</v>
      </c>
      <c r="H851">
        <f>IFERROR(__xludf.DUMMYFUNCTION("""COMPUTED_VALUE"""),319.99)</f>
        <v>319.99</v>
      </c>
      <c r="I851">
        <f>IFERROR(__xludf.DUMMYFUNCTION("""COMPUTED_VALUE"""),319.99)</f>
        <v>319.99</v>
      </c>
      <c r="BD851" s="2006"/>
      <c r="LL851" s="2007"/>
      <c r="LM851" s="2007"/>
      <c r="MX851" s="2007"/>
      <c r="ND851" s="2007"/>
    </row>
    <row r="852">
      <c r="A852" s="2005">
        <f>IFERROR(__xludf.DUMMYFUNCTION("""COMPUTED_VALUE"""),1075950.0)</f>
        <v>1075950</v>
      </c>
      <c r="B852" s="2005">
        <f>IFERROR(__xludf.DUMMYFUNCTION("""COMPUTED_VALUE"""),2202005.0)</f>
        <v>2202005</v>
      </c>
      <c r="C852" s="2005" t="str">
        <f>IFERROR(__xludf.DUMMYFUNCTION("""COMPUTED_VALUE"""),"Multi Jet d'enc")</f>
        <v>Multi Jet d'enc</v>
      </c>
      <c r="D852" s="2005" t="str">
        <f>IFERROR(__xludf.DUMMYFUNCTION("""COMPUTED_VALUE"""),"OfficeJet 250")</f>
        <v>OfficeJet 250</v>
      </c>
      <c r="E852" s="2005" t="str">
        <f>IFERROR(__xludf.DUMMYFUNCTION("""COMPUTED_VALUE"""),"HP")</f>
        <v>HP</v>
      </c>
      <c r="F852" s="2005" t="str">
        <f>IFERROR(__xludf.DUMMYFUNCTION("""COMPUTED_VALUE"""),"W")</f>
        <v>W</v>
      </c>
      <c r="G852" s="2005" t="str">
        <f>IFERROR(__xludf.DUMMYFUNCTION("""COMPUTED_VALUE"""),"NN")</f>
        <v>NN</v>
      </c>
      <c r="H852" s="2005">
        <f>IFERROR(__xludf.DUMMYFUNCTION("""COMPUTED_VALUE"""),399.99)</f>
        <v>399.99</v>
      </c>
      <c r="I852" s="2005">
        <f>IFERROR(__xludf.DUMMYFUNCTION("""COMPUTED_VALUE"""),399.99)</f>
        <v>399.99</v>
      </c>
      <c r="BD852" s="2006"/>
      <c r="LL852" s="2007"/>
      <c r="LM852" s="2007"/>
      <c r="MX852" s="2007"/>
      <c r="ND852" s="2007"/>
    </row>
    <row r="853">
      <c r="A853" s="2005">
        <f>IFERROR(__xludf.DUMMYFUNCTION("""COMPUTED_VALUE"""),1076031.0)</f>
        <v>1076031</v>
      </c>
      <c r="B853" s="2005">
        <f>IFERROR(__xludf.DUMMYFUNCTION("""COMPUTED_VALUE"""),2202008.0)</f>
        <v>2202008</v>
      </c>
      <c r="C853" s="2005" t="str">
        <f>IFERROR(__xludf.DUMMYFUNCTION("""COMPUTED_VALUE"""),"Multi Jet d'enc")</f>
        <v>Multi Jet d'enc</v>
      </c>
      <c r="D853" s="2005" t="str">
        <f>IFERROR(__xludf.DUMMYFUNCTION("""COMPUTED_VALUE"""),"PageWide 377DW")</f>
        <v>PageWide 377DW</v>
      </c>
      <c r="E853" s="2005" t="str">
        <f>IFERROR(__xludf.DUMMYFUNCTION("""COMPUTED_VALUE"""),"HP")</f>
        <v>HP</v>
      </c>
      <c r="F853" s="2005" t="str">
        <f>IFERROR(__xludf.DUMMYFUNCTION("""COMPUTED_VALUE"""),"H")</f>
        <v>H</v>
      </c>
      <c r="G853" s="2005" t="str">
        <f>IFERROR(__xludf.DUMMYFUNCTION("""COMPUTED_VALUE"""),"NN")</f>
        <v>NN</v>
      </c>
      <c r="H853" s="2005">
        <f>IFERROR(__xludf.DUMMYFUNCTION("""COMPUTED_VALUE"""),346.99)</f>
        <v>346.99</v>
      </c>
      <c r="I853" s="2005">
        <f>IFERROR(__xludf.DUMMYFUNCTION("""COMPUTED_VALUE"""),346.99)</f>
        <v>346.99</v>
      </c>
      <c r="BD853" s="2006"/>
      <c r="LL853" s="2007"/>
      <c r="LM853" s="2007"/>
      <c r="MX853" s="2007"/>
      <c r="ND853" s="2007"/>
    </row>
    <row r="854">
      <c r="A854" s="2005">
        <f>IFERROR(__xludf.DUMMYFUNCTION("""COMPUTED_VALUE"""),1076210.0)</f>
        <v>1076210</v>
      </c>
      <c r="B854" s="2005">
        <f>IFERROR(__xludf.DUMMYFUNCTION("""COMPUTED_VALUE"""),2403005.0)</f>
        <v>2403005</v>
      </c>
      <c r="C854" s="2005" t="str">
        <f>IFERROR(__xludf.DUMMYFUNCTION("""COMPUTED_VALUE"""),"Cartouche")</f>
        <v>Cartouche</v>
      </c>
      <c r="D854" s="2005" t="str">
        <f>IFERROR(__xludf.DUMMYFUNCTION("""COMPUTED_VALUE"""),"953 noire")</f>
        <v>953 noire</v>
      </c>
      <c r="E854" s="2005" t="str">
        <f>IFERROR(__xludf.DUMMYFUNCTION("""COMPUTED_VALUE"""),"HP")</f>
        <v>HP</v>
      </c>
      <c r="F854" s="2005" t="str">
        <f>IFERROR(__xludf.DUMMYFUNCTION("""COMPUTED_VALUE"""),"A")</f>
        <v>A</v>
      </c>
      <c r="G854" s="2005" t="str">
        <f>IFERROR(__xludf.DUMMYFUNCTION("""COMPUTED_VALUE"""),"AC")</f>
        <v>AC</v>
      </c>
      <c r="H854" s="2005">
        <f>IFERROR(__xludf.DUMMYFUNCTION("""COMPUTED_VALUE"""),42.99)</f>
        <v>42.99</v>
      </c>
      <c r="I854" s="2005">
        <f>IFERROR(__xludf.DUMMYFUNCTION("""COMPUTED_VALUE"""),42.99)</f>
        <v>42.99</v>
      </c>
      <c r="BD854" s="2006"/>
      <c r="LL854" s="2007"/>
      <c r="LM854" s="2007"/>
      <c r="MX854" s="2007"/>
      <c r="ND854" s="2007"/>
    </row>
    <row r="855">
      <c r="A855" s="2005">
        <f>IFERROR(__xludf.DUMMYFUNCTION("""COMPUTED_VALUE"""),1076481.0)</f>
        <v>1076481</v>
      </c>
      <c r="B855" s="2005">
        <f>IFERROR(__xludf.DUMMYFUNCTION("""COMPUTED_VALUE"""),2403005.0)</f>
        <v>2403005</v>
      </c>
      <c r="C855" s="2005" t="str">
        <f>IFERROR(__xludf.DUMMYFUNCTION("""COMPUTED_VALUE"""),"Cartouche")</f>
        <v>Cartouche</v>
      </c>
      <c r="D855" s="2005" t="str">
        <f>IFERROR(__xludf.DUMMYFUNCTION("""COMPUTED_VALUE"""),"N°953 cyan")</f>
        <v>N°953 cyan</v>
      </c>
      <c r="E855" s="2005" t="str">
        <f>IFERROR(__xludf.DUMMYFUNCTION("""COMPUTED_VALUE"""),"HP")</f>
        <v>HP</v>
      </c>
      <c r="F855" s="2005" t="str">
        <f>IFERROR(__xludf.DUMMYFUNCTION("""COMPUTED_VALUE"""),"A")</f>
        <v>A</v>
      </c>
      <c r="G855" s="2005" t="str">
        <f>IFERROR(__xludf.DUMMYFUNCTION("""COMPUTED_VALUE"""),"AC")</f>
        <v>AC</v>
      </c>
      <c r="H855" s="2005">
        <f>IFERROR(__xludf.DUMMYFUNCTION("""COMPUTED_VALUE"""),29.99)</f>
        <v>29.99</v>
      </c>
      <c r="I855" s="2005">
        <f>IFERROR(__xludf.DUMMYFUNCTION("""COMPUTED_VALUE"""),29.99)</f>
        <v>29.99</v>
      </c>
      <c r="BD855" s="2006"/>
      <c r="LL855" s="2007"/>
      <c r="LM855" s="2007"/>
      <c r="MX855" s="2008"/>
      <c r="ND855" s="2007"/>
    </row>
    <row r="856">
      <c r="A856" s="2005">
        <f>IFERROR(__xludf.DUMMYFUNCTION("""COMPUTED_VALUE"""),1076484.0)</f>
        <v>1076484</v>
      </c>
      <c r="B856" s="2005">
        <f>IFERROR(__xludf.DUMMYFUNCTION("""COMPUTED_VALUE"""),2403005.0)</f>
        <v>2403005</v>
      </c>
      <c r="C856" s="2005" t="str">
        <f>IFERROR(__xludf.DUMMYFUNCTION("""COMPUTED_VALUE"""),"Cartouche")</f>
        <v>Cartouche</v>
      </c>
      <c r="D856" s="2005" t="str">
        <f>IFERROR(__xludf.DUMMYFUNCTION("""COMPUTED_VALUE"""),"N°953 magenta")</f>
        <v>N°953 magenta</v>
      </c>
      <c r="E856" s="2005" t="str">
        <f>IFERROR(__xludf.DUMMYFUNCTION("""COMPUTED_VALUE"""),"HP")</f>
        <v>HP</v>
      </c>
      <c r="F856" s="2005" t="str">
        <f>IFERROR(__xludf.DUMMYFUNCTION("""COMPUTED_VALUE"""),"A")</f>
        <v>A</v>
      </c>
      <c r="G856" s="2005" t="str">
        <f>IFERROR(__xludf.DUMMYFUNCTION("""COMPUTED_VALUE"""),"AC")</f>
        <v>AC</v>
      </c>
      <c r="H856" s="2005">
        <f>IFERROR(__xludf.DUMMYFUNCTION("""COMPUTED_VALUE"""),29.99)</f>
        <v>29.99</v>
      </c>
      <c r="I856" s="2005">
        <f>IFERROR(__xludf.DUMMYFUNCTION("""COMPUTED_VALUE"""),29.99)</f>
        <v>29.99</v>
      </c>
      <c r="BD856" s="2006"/>
      <c r="LL856" s="2007"/>
      <c r="LM856" s="2007"/>
      <c r="MX856" s="2007"/>
      <c r="ND856" s="2007"/>
    </row>
    <row r="857">
      <c r="A857" s="2005">
        <f>IFERROR(__xludf.DUMMYFUNCTION("""COMPUTED_VALUE"""),1076485.0)</f>
        <v>1076485</v>
      </c>
      <c r="B857" s="2005">
        <f>IFERROR(__xludf.DUMMYFUNCTION("""COMPUTED_VALUE"""),2403005.0)</f>
        <v>2403005</v>
      </c>
      <c r="C857" s="2005" t="str">
        <f>IFERROR(__xludf.DUMMYFUNCTION("""COMPUTED_VALUE"""),"Cartouche")</f>
        <v>Cartouche</v>
      </c>
      <c r="D857" s="2005" t="str">
        <f>IFERROR(__xludf.DUMMYFUNCTION("""COMPUTED_VALUE"""),"953 jaune")</f>
        <v>953 jaune</v>
      </c>
      <c r="E857" s="2005" t="str">
        <f>IFERROR(__xludf.DUMMYFUNCTION("""COMPUTED_VALUE"""),"HP")</f>
        <v>HP</v>
      </c>
      <c r="F857" s="2005" t="str">
        <f>IFERROR(__xludf.DUMMYFUNCTION("""COMPUTED_VALUE"""),"A")</f>
        <v>A</v>
      </c>
      <c r="G857" s="2005" t="str">
        <f>IFERROR(__xludf.DUMMYFUNCTION("""COMPUTED_VALUE"""),"AC")</f>
        <v>AC</v>
      </c>
      <c r="H857" s="2005">
        <f>IFERROR(__xludf.DUMMYFUNCTION("""COMPUTED_VALUE"""),29.99)</f>
        <v>29.99</v>
      </c>
      <c r="I857" s="2005">
        <f>IFERROR(__xludf.DUMMYFUNCTION("""COMPUTED_VALUE"""),29.99)</f>
        <v>29.99</v>
      </c>
      <c r="BD857" s="2006"/>
      <c r="LL857" s="2007"/>
      <c r="LM857" s="2007"/>
      <c r="MX857" s="2007"/>
      <c r="ND857" s="2007"/>
    </row>
    <row r="858">
      <c r="A858" s="2005">
        <f>IFERROR(__xludf.DUMMYFUNCTION("""COMPUTED_VALUE"""),1076487.0)</f>
        <v>1076487</v>
      </c>
      <c r="B858" s="2005">
        <f>IFERROR(__xludf.DUMMYFUNCTION("""COMPUTED_VALUE"""),2403005.0)</f>
        <v>2403005</v>
      </c>
      <c r="C858" s="2005" t="str">
        <f>IFERROR(__xludf.DUMMYFUNCTION("""COMPUTED_VALUE"""),"Cartouche")</f>
        <v>Cartouche</v>
      </c>
      <c r="D858" s="2005" t="str">
        <f>IFERROR(__xludf.DUMMYFUNCTION("""COMPUTED_VALUE"""),"953 XL noire")</f>
        <v>953 XL noire</v>
      </c>
      <c r="E858" s="2005" t="str">
        <f>IFERROR(__xludf.DUMMYFUNCTION("""COMPUTED_VALUE"""),"HP")</f>
        <v>HP</v>
      </c>
      <c r="F858" s="2005" t="str">
        <f>IFERROR(__xludf.DUMMYFUNCTION("""COMPUTED_VALUE"""),"A")</f>
        <v>A</v>
      </c>
      <c r="G858" s="2005" t="str">
        <f>IFERROR(__xludf.DUMMYFUNCTION("""COMPUTED_VALUE"""),"AC")</f>
        <v>AC</v>
      </c>
      <c r="H858" s="2005">
        <f>IFERROR(__xludf.DUMMYFUNCTION("""COMPUTED_VALUE"""),63.99)</f>
        <v>63.99</v>
      </c>
      <c r="I858" s="2005">
        <f>IFERROR(__xludf.DUMMYFUNCTION("""COMPUTED_VALUE"""),63.99)</f>
        <v>63.99</v>
      </c>
      <c r="BD858" s="2006"/>
      <c r="LM858" s="2007"/>
    </row>
    <row r="859">
      <c r="A859" s="2005">
        <f>IFERROR(__xludf.DUMMYFUNCTION("""COMPUTED_VALUE"""),1076488.0)</f>
        <v>1076488</v>
      </c>
      <c r="B859" s="2005">
        <f>IFERROR(__xludf.DUMMYFUNCTION("""COMPUTED_VALUE"""),2403005.0)</f>
        <v>2403005</v>
      </c>
      <c r="C859" s="2005" t="str">
        <f>IFERROR(__xludf.DUMMYFUNCTION("""COMPUTED_VALUE"""),"Cartouche")</f>
        <v>Cartouche</v>
      </c>
      <c r="D859" s="2005" t="str">
        <f>IFERROR(__xludf.DUMMYFUNCTION("""COMPUTED_VALUE"""),"N°953 XL cyan")</f>
        <v>N°953 XL cyan</v>
      </c>
      <c r="E859" s="2005" t="str">
        <f>IFERROR(__xludf.DUMMYFUNCTION("""COMPUTED_VALUE"""),"HP")</f>
        <v>HP</v>
      </c>
      <c r="F859" s="2005" t="str">
        <f>IFERROR(__xludf.DUMMYFUNCTION("""COMPUTED_VALUE"""),"B")</f>
        <v>B</v>
      </c>
      <c r="G859" s="2005" t="str">
        <f>IFERROR(__xludf.DUMMYFUNCTION("""COMPUTED_VALUE"""),"AC")</f>
        <v>AC</v>
      </c>
      <c r="H859" s="2005">
        <f>IFERROR(__xludf.DUMMYFUNCTION("""COMPUTED_VALUE"""),44.99)</f>
        <v>44.99</v>
      </c>
      <c r="I859" s="2005">
        <f>IFERROR(__xludf.DUMMYFUNCTION("""COMPUTED_VALUE"""),44.99)</f>
        <v>44.99</v>
      </c>
      <c r="BD859" s="2006"/>
      <c r="LL859" s="2007"/>
      <c r="LM859" s="2007"/>
      <c r="MX859" s="2007"/>
      <c r="ND859" s="2007"/>
    </row>
    <row r="860">
      <c r="A860" s="2005">
        <f>IFERROR(__xludf.DUMMYFUNCTION("""COMPUTED_VALUE"""),1076501.0)</f>
        <v>1076501</v>
      </c>
      <c r="B860" s="2005">
        <f>IFERROR(__xludf.DUMMYFUNCTION("""COMPUTED_VALUE"""),2403005.0)</f>
        <v>2403005</v>
      </c>
      <c r="C860" s="2005" t="str">
        <f>IFERROR(__xludf.DUMMYFUNCTION("""COMPUTED_VALUE"""),"Cartouche")</f>
        <v>Cartouche</v>
      </c>
      <c r="D860" s="2005" t="str">
        <f>IFERROR(__xludf.DUMMYFUNCTION("""COMPUTED_VALUE"""),"N°953 XL magenta")</f>
        <v>N°953 XL magenta</v>
      </c>
      <c r="E860" s="2005" t="str">
        <f>IFERROR(__xludf.DUMMYFUNCTION("""COMPUTED_VALUE"""),"HP")</f>
        <v>HP</v>
      </c>
      <c r="F860" s="2005" t="str">
        <f>IFERROR(__xludf.DUMMYFUNCTION("""COMPUTED_VALUE"""),"B")</f>
        <v>B</v>
      </c>
      <c r="G860" s="2005" t="str">
        <f>IFERROR(__xludf.DUMMYFUNCTION("""COMPUTED_VALUE"""),"AC")</f>
        <v>AC</v>
      </c>
      <c r="H860">
        <f>IFERROR(__xludf.DUMMYFUNCTION("""COMPUTED_VALUE"""),44.99)</f>
        <v>44.99</v>
      </c>
      <c r="I860">
        <f>IFERROR(__xludf.DUMMYFUNCTION("""COMPUTED_VALUE"""),44.99)</f>
        <v>44.99</v>
      </c>
      <c r="BD860" s="2006"/>
      <c r="LL860" s="2007"/>
      <c r="LM860" s="2007"/>
      <c r="MX860" s="2007"/>
      <c r="ND860" s="2007"/>
    </row>
    <row r="861">
      <c r="A861" s="2005">
        <f>IFERROR(__xludf.DUMMYFUNCTION("""COMPUTED_VALUE"""),1076502.0)</f>
        <v>1076502</v>
      </c>
      <c r="B861" s="2005">
        <f>IFERROR(__xludf.DUMMYFUNCTION("""COMPUTED_VALUE"""),2403005.0)</f>
        <v>2403005</v>
      </c>
      <c r="C861" s="2005" t="str">
        <f>IFERROR(__xludf.DUMMYFUNCTION("""COMPUTED_VALUE"""),"Cartouche")</f>
        <v>Cartouche</v>
      </c>
      <c r="D861" s="2005" t="str">
        <f>IFERROR(__xludf.DUMMYFUNCTION("""COMPUTED_VALUE"""),"N°953 XL jaune")</f>
        <v>N°953 XL jaune</v>
      </c>
      <c r="E861" s="2005" t="str">
        <f>IFERROR(__xludf.DUMMYFUNCTION("""COMPUTED_VALUE"""),"HP")</f>
        <v>HP</v>
      </c>
      <c r="F861" s="2005" t="str">
        <f>IFERROR(__xludf.DUMMYFUNCTION("""COMPUTED_VALUE"""),"B")</f>
        <v>B</v>
      </c>
      <c r="G861" s="2005" t="str">
        <f>IFERROR(__xludf.DUMMYFUNCTION("""COMPUTED_VALUE"""),"AC")</f>
        <v>AC</v>
      </c>
      <c r="H861" s="2005">
        <f>IFERROR(__xludf.DUMMYFUNCTION("""COMPUTED_VALUE"""),44.99)</f>
        <v>44.99</v>
      </c>
      <c r="I861" s="2005">
        <f>IFERROR(__xludf.DUMMYFUNCTION("""COMPUTED_VALUE"""),44.99)</f>
        <v>44.99</v>
      </c>
      <c r="BD861" s="2006"/>
      <c r="LL861" s="2007"/>
      <c r="LM861" s="2007"/>
      <c r="MX861" s="2007"/>
      <c r="ND861" s="2007"/>
    </row>
    <row r="862">
      <c r="A862" s="2005">
        <f>IFERROR(__xludf.DUMMYFUNCTION("""COMPUTED_VALUE"""),1076503.0)</f>
        <v>1076503</v>
      </c>
      <c r="B862" s="2005">
        <f>IFERROR(__xludf.DUMMYFUNCTION("""COMPUTED_VALUE"""),2403005.0)</f>
        <v>2403005</v>
      </c>
      <c r="C862" s="2005" t="str">
        <f>IFERROR(__xludf.DUMMYFUNCTION("""COMPUTED_VALUE"""),"Cartouche")</f>
        <v>Cartouche</v>
      </c>
      <c r="D862" s="2005" t="str">
        <f>IFERROR(__xludf.DUMMYFUNCTION("""COMPUTED_VALUE"""),"N°973X noire")</f>
        <v>N°973X noire</v>
      </c>
      <c r="E862" s="2005" t="str">
        <f>IFERROR(__xludf.DUMMYFUNCTION("""COMPUTED_VALUE"""),"HP")</f>
        <v>HP</v>
      </c>
      <c r="F862" s="2005" t="str">
        <f>IFERROR(__xludf.DUMMYFUNCTION("""COMPUTED_VALUE"""),"H")</f>
        <v>H</v>
      </c>
      <c r="G862" s="2005" t="str">
        <f>IFERROR(__xludf.DUMMYFUNCTION("""COMPUTED_VALUE"""),"NN")</f>
        <v>NN</v>
      </c>
      <c r="H862" s="2005">
        <f>IFERROR(__xludf.DUMMYFUNCTION("""COMPUTED_VALUE"""),158.99)</f>
        <v>158.99</v>
      </c>
      <c r="I862" s="2005">
        <f>IFERROR(__xludf.DUMMYFUNCTION("""COMPUTED_VALUE"""),158.99)</f>
        <v>158.99</v>
      </c>
      <c r="BD862" s="2006"/>
      <c r="LM862" s="2007"/>
    </row>
    <row r="863">
      <c r="A863" s="2005">
        <f>IFERROR(__xludf.DUMMYFUNCTION("""COMPUTED_VALUE"""),1076505.0)</f>
        <v>1076505</v>
      </c>
      <c r="B863" s="2005">
        <f>IFERROR(__xludf.DUMMYFUNCTION("""COMPUTED_VALUE"""),2403005.0)</f>
        <v>2403005</v>
      </c>
      <c r="C863" s="2005" t="str">
        <f>IFERROR(__xludf.DUMMYFUNCTION("""COMPUTED_VALUE"""),"Toner")</f>
        <v>Toner</v>
      </c>
      <c r="D863" s="2005" t="str">
        <f>IFERROR(__xludf.DUMMYFUNCTION("""COMPUTED_VALUE"""),"N 973X cyan")</f>
        <v>N 973X cyan</v>
      </c>
      <c r="E863" s="2005" t="str">
        <f>IFERROR(__xludf.DUMMYFUNCTION("""COMPUTED_VALUE"""),"HP")</f>
        <v>HP</v>
      </c>
      <c r="F863" s="2005" t="str">
        <f>IFERROR(__xludf.DUMMYFUNCTION("""COMPUTED_VALUE"""),"H")</f>
        <v>H</v>
      </c>
      <c r="G863" s="2005" t="str">
        <f>IFERROR(__xludf.DUMMYFUNCTION("""COMPUTED_VALUE"""),"FR")</f>
        <v>FR</v>
      </c>
      <c r="H863" s="2005">
        <f>IFERROR(__xludf.DUMMYFUNCTION("""COMPUTED_VALUE"""),129.99)</f>
        <v>129.99</v>
      </c>
      <c r="I863" s="2005">
        <f>IFERROR(__xludf.DUMMYFUNCTION("""COMPUTED_VALUE"""),129.99)</f>
        <v>129.99</v>
      </c>
      <c r="BD863" s="2006"/>
      <c r="LL863" s="2007"/>
      <c r="LM863" s="2007"/>
      <c r="MX863" s="2007"/>
      <c r="ND863" s="2007"/>
    </row>
    <row r="864">
      <c r="A864" s="2005">
        <f>IFERROR(__xludf.DUMMYFUNCTION("""COMPUTED_VALUE"""),1076508.0)</f>
        <v>1076508</v>
      </c>
      <c r="B864" s="2005">
        <f>IFERROR(__xludf.DUMMYFUNCTION("""COMPUTED_VALUE"""),2403010.0)</f>
        <v>2403010</v>
      </c>
      <c r="C864" s="2005" t="str">
        <f>IFERROR(__xludf.DUMMYFUNCTION("""COMPUTED_VALUE"""),"Toner")</f>
        <v>Toner</v>
      </c>
      <c r="D864" s="2005" t="str">
        <f>IFERROR(__xludf.DUMMYFUNCTION("""COMPUTED_VALUE"""),"N973X magenta")</f>
        <v>N973X magenta</v>
      </c>
      <c r="E864" s="2005" t="str">
        <f>IFERROR(__xludf.DUMMYFUNCTION("""COMPUTED_VALUE"""),"HP")</f>
        <v>HP</v>
      </c>
      <c r="F864" s="2005" t="str">
        <f>IFERROR(__xludf.DUMMYFUNCTION("""COMPUTED_VALUE"""),"H")</f>
        <v>H</v>
      </c>
      <c r="G864" s="2005" t="str">
        <f>IFERROR(__xludf.DUMMYFUNCTION("""COMPUTED_VALUE"""),"AC")</f>
        <v>AC</v>
      </c>
      <c r="H864" s="2005">
        <f>IFERROR(__xludf.DUMMYFUNCTION("""COMPUTED_VALUE"""),149.99)</f>
        <v>149.99</v>
      </c>
      <c r="I864" s="2005">
        <f>IFERROR(__xludf.DUMMYFUNCTION("""COMPUTED_VALUE"""),149.99)</f>
        <v>149.99</v>
      </c>
      <c r="BD864" s="2006"/>
      <c r="LL864" s="2007"/>
      <c r="LM864" s="2007"/>
      <c r="MX864" s="2007"/>
      <c r="ND864" s="2007"/>
    </row>
    <row r="865">
      <c r="A865" s="2005">
        <f>IFERROR(__xludf.DUMMYFUNCTION("""COMPUTED_VALUE"""),1076509.0)</f>
        <v>1076509</v>
      </c>
      <c r="B865" s="2005">
        <f>IFERROR(__xludf.DUMMYFUNCTION("""COMPUTED_VALUE"""),2403005.0)</f>
        <v>2403005</v>
      </c>
      <c r="C865" s="2005" t="str">
        <f>IFERROR(__xludf.DUMMYFUNCTION("""COMPUTED_VALUE"""),"Cartouche")</f>
        <v>Cartouche</v>
      </c>
      <c r="D865" s="2005" t="str">
        <f>IFERROR(__xludf.DUMMYFUNCTION("""COMPUTED_VALUE"""),"N°973X jaune")</f>
        <v>N°973X jaune</v>
      </c>
      <c r="E865" s="2005" t="str">
        <f>IFERROR(__xludf.DUMMYFUNCTION("""COMPUTED_VALUE"""),"HP")</f>
        <v>HP</v>
      </c>
      <c r="F865" s="2005" t="str">
        <f>IFERROR(__xludf.DUMMYFUNCTION("""COMPUTED_VALUE"""),"H")</f>
        <v>H</v>
      </c>
      <c r="G865" s="2005" t="str">
        <f>IFERROR(__xludf.DUMMYFUNCTION("""COMPUTED_VALUE"""),"NN")</f>
        <v>NN</v>
      </c>
      <c r="H865" s="2005">
        <f>IFERROR(__xludf.DUMMYFUNCTION("""COMPUTED_VALUE"""),149.99)</f>
        <v>149.99</v>
      </c>
      <c r="I865" s="2005">
        <f>IFERROR(__xludf.DUMMYFUNCTION("""COMPUTED_VALUE"""),149.99)</f>
        <v>149.99</v>
      </c>
      <c r="BD865" s="2006"/>
      <c r="LL865" s="2007"/>
      <c r="LM865" s="2007"/>
      <c r="MX865" s="2007"/>
      <c r="ND865" s="2007"/>
    </row>
    <row r="866">
      <c r="A866" s="2005">
        <f>IFERROR(__xludf.DUMMYFUNCTION("""COMPUTED_VALUE"""),1076510.0)</f>
        <v>1076510</v>
      </c>
      <c r="B866" s="2005">
        <f>IFERROR(__xludf.DUMMYFUNCTION("""COMPUTED_VALUE"""),2403005.0)</f>
        <v>2403005</v>
      </c>
      <c r="C866" s="2005" t="str">
        <f>IFERROR(__xludf.DUMMYFUNCTION("""COMPUTED_VALUE"""),"Cartouche")</f>
        <v>Cartouche</v>
      </c>
      <c r="D866" s="2005" t="str">
        <f>IFERROR(__xludf.DUMMYFUNCTION("""COMPUTED_VALUE"""),"N°913A noire")</f>
        <v>N°913A noire</v>
      </c>
      <c r="E866" s="2005" t="str">
        <f>IFERROR(__xludf.DUMMYFUNCTION("""COMPUTED_VALUE"""),"HP")</f>
        <v>HP</v>
      </c>
      <c r="F866" s="2005" t="str">
        <f>IFERROR(__xludf.DUMMYFUNCTION("""COMPUTED_VALUE"""),"H")</f>
        <v>H</v>
      </c>
      <c r="G866" s="2005" t="str">
        <f>IFERROR(__xludf.DUMMYFUNCTION("""COMPUTED_VALUE"""),"NN")</f>
        <v>NN</v>
      </c>
      <c r="H866" s="2005">
        <f>IFERROR(__xludf.DUMMYFUNCTION("""COMPUTED_VALUE"""),106.99)</f>
        <v>106.99</v>
      </c>
      <c r="I866" s="2005">
        <f>IFERROR(__xludf.DUMMYFUNCTION("""COMPUTED_VALUE"""),106.99)</f>
        <v>106.99</v>
      </c>
      <c r="BD866" s="2006"/>
      <c r="LL866" s="2007"/>
      <c r="LM866" s="2007"/>
      <c r="MX866" s="2007"/>
      <c r="ND866" s="2007"/>
    </row>
    <row r="867">
      <c r="A867" s="2005">
        <f>IFERROR(__xludf.DUMMYFUNCTION("""COMPUTED_VALUE"""),1076516.0)</f>
        <v>1076516</v>
      </c>
      <c r="B867" s="2005">
        <f>IFERROR(__xludf.DUMMYFUNCTION("""COMPUTED_VALUE"""),2403005.0)</f>
        <v>2403005</v>
      </c>
      <c r="C867" s="2005" t="str">
        <f>IFERROR(__xludf.DUMMYFUNCTION("""COMPUTED_VALUE"""),"Cartouche")</f>
        <v>Cartouche</v>
      </c>
      <c r="D867" s="2005" t="str">
        <f>IFERROR(__xludf.DUMMYFUNCTION("""COMPUTED_VALUE"""),"N°913A magenta")</f>
        <v>N°913A magenta</v>
      </c>
      <c r="E867" s="2005" t="str">
        <f>IFERROR(__xludf.DUMMYFUNCTION("""COMPUTED_VALUE"""),"HP")</f>
        <v>HP</v>
      </c>
      <c r="F867" s="2005" t="str">
        <f>IFERROR(__xludf.DUMMYFUNCTION("""COMPUTED_VALUE"""),"H")</f>
        <v>H</v>
      </c>
      <c r="G867" s="2005" t="str">
        <f>IFERROR(__xludf.DUMMYFUNCTION("""COMPUTED_VALUE"""),"NN")</f>
        <v>NN</v>
      </c>
      <c r="H867" s="2005">
        <f>IFERROR(__xludf.DUMMYFUNCTION("""COMPUTED_VALUE"""),109.99)</f>
        <v>109.99</v>
      </c>
      <c r="I867" s="2005">
        <f>IFERROR(__xludf.DUMMYFUNCTION("""COMPUTED_VALUE"""),109.99)</f>
        <v>109.99</v>
      </c>
      <c r="BD867" s="2006"/>
      <c r="LL867" s="2007"/>
      <c r="LM867" s="2007"/>
      <c r="MX867" s="2008"/>
      <c r="ND867" s="2007"/>
    </row>
    <row r="868">
      <c r="A868" s="2005">
        <f>IFERROR(__xludf.DUMMYFUNCTION("""COMPUTED_VALUE"""),1076518.0)</f>
        <v>1076518</v>
      </c>
      <c r="B868" s="2005">
        <f>IFERROR(__xludf.DUMMYFUNCTION("""COMPUTED_VALUE"""),2403005.0)</f>
        <v>2403005</v>
      </c>
      <c r="C868" s="2005" t="str">
        <f>IFERROR(__xludf.DUMMYFUNCTION("""COMPUTED_VALUE"""),"Cartouche")</f>
        <v>Cartouche</v>
      </c>
      <c r="D868" s="2005" t="str">
        <f>IFERROR(__xludf.DUMMYFUNCTION("""COMPUTED_VALUE"""),"N°913A jaune")</f>
        <v>N°913A jaune</v>
      </c>
      <c r="E868" s="2005" t="str">
        <f>IFERROR(__xludf.DUMMYFUNCTION("""COMPUTED_VALUE"""),"HP")</f>
        <v>HP</v>
      </c>
      <c r="F868" s="2005" t="str">
        <f>IFERROR(__xludf.DUMMYFUNCTION("""COMPUTED_VALUE"""),"H")</f>
        <v>H</v>
      </c>
      <c r="G868" s="2005" t="str">
        <f>IFERROR(__xludf.DUMMYFUNCTION("""COMPUTED_VALUE"""),"NN")</f>
        <v>NN</v>
      </c>
      <c r="H868" s="2005">
        <f>IFERROR(__xludf.DUMMYFUNCTION("""COMPUTED_VALUE"""),109.99)</f>
        <v>109.99</v>
      </c>
      <c r="I868" s="2005">
        <f>IFERROR(__xludf.DUMMYFUNCTION("""COMPUTED_VALUE"""),109.99)</f>
        <v>109.99</v>
      </c>
      <c r="BD868" s="2006"/>
      <c r="LL868" s="2007"/>
      <c r="LM868" s="2007"/>
      <c r="MX868" s="2007"/>
      <c r="ND868" s="2007"/>
    </row>
    <row r="869">
      <c r="A869" s="2005">
        <f>IFERROR(__xludf.DUMMYFUNCTION("""COMPUTED_VALUE"""),1076946.0)</f>
        <v>1076946</v>
      </c>
      <c r="B869" s="2005">
        <f>IFERROR(__xludf.DUMMYFUNCTION("""COMPUTED_VALUE"""),2209805.0)</f>
        <v>2209805</v>
      </c>
      <c r="C869" s="2005" t="str">
        <f>IFERROR(__xludf.DUMMYFUNCTION("""COMPUTED_VALUE"""),"Lot")</f>
        <v>Lot</v>
      </c>
      <c r="D869" s="2005" t="str">
        <f>IFERROR(__xludf.DUMMYFUNCTION("""COMPUTED_VALUE"""),"MFC-1910W+Toner TN1050")</f>
        <v>MFC-1910W+Toner TN1050</v>
      </c>
      <c r="E869" s="2005" t="str">
        <f>IFERROR(__xludf.DUMMYFUNCTION("""COMPUTED_VALUE"""),"BROTHER")</f>
        <v>BROTHER</v>
      </c>
      <c r="F869" s="2005" t="str">
        <f>IFERROR(__xludf.DUMMYFUNCTION("""COMPUTED_VALUE"""),"H")</f>
        <v>H</v>
      </c>
      <c r="G869" s="2005" t="str">
        <f>IFERROR(__xludf.DUMMYFUNCTION("""COMPUTED_VALUE"""),"AC")</f>
        <v>AC</v>
      </c>
      <c r="H869" s="2005">
        <f>IFERROR(__xludf.DUMMYFUNCTION("""COMPUTED_VALUE"""),251.85)</f>
        <v>251.85</v>
      </c>
      <c r="I869" s="2005">
        <f>IFERROR(__xludf.DUMMYFUNCTION("""COMPUTED_VALUE"""),251.85)</f>
        <v>251.85</v>
      </c>
      <c r="BD869" s="2006"/>
      <c r="LL869" s="2007"/>
      <c r="LM869" s="2007"/>
      <c r="MX869" s="2007"/>
      <c r="ND869" s="2007"/>
    </row>
    <row r="870">
      <c r="A870" s="2005">
        <f>IFERROR(__xludf.DUMMYFUNCTION("""COMPUTED_VALUE"""),1077714.0)</f>
        <v>1077714</v>
      </c>
      <c r="B870" s="2005">
        <f>IFERROR(__xludf.DUMMYFUNCTION("""COMPUTED_VALUE"""),2502015.0)</f>
        <v>2502015</v>
      </c>
      <c r="C870" s="2005" t="str">
        <f>IFERROR(__xludf.DUMMYFUNCTION("""COMPUTED_VALUE"""),"Clavier")</f>
        <v>Clavier</v>
      </c>
      <c r="D870" s="2005" t="str">
        <f>IFERROR(__xludf.DUMMYFUNCTION("""COMPUTED_VALUE"""),"iPad Pro Smart 12''9 Azerty")</f>
        <v>iPad Pro Smart 12''9 Azerty</v>
      </c>
      <c r="E870" s="2005" t="str">
        <f>IFERROR(__xludf.DUMMYFUNCTION("""COMPUTED_VALUE"""),"APPLE")</f>
        <v>APPLE</v>
      </c>
      <c r="F870" s="2005" t="str">
        <f>IFERROR(__xludf.DUMMYFUNCTION("""COMPUTED_VALUE"""),"A")</f>
        <v>A</v>
      </c>
      <c r="G870" s="2005" t="str">
        <f>IFERROR(__xludf.DUMMYFUNCTION("""COMPUTED_VALUE"""),"NN")</f>
        <v>NN</v>
      </c>
      <c r="H870" s="2005">
        <f>IFERROR(__xludf.DUMMYFUNCTION("""COMPUTED_VALUE"""),169.99)</f>
        <v>169.99</v>
      </c>
      <c r="I870" s="2005">
        <f>IFERROR(__xludf.DUMMYFUNCTION("""COMPUTED_VALUE"""),169.99)</f>
        <v>169.99</v>
      </c>
      <c r="BD870" s="2006"/>
      <c r="LL870" s="2008"/>
      <c r="LM870" s="2007"/>
      <c r="MX870" s="2007"/>
      <c r="ND870" s="2007"/>
    </row>
    <row r="871">
      <c r="A871" s="2005">
        <f>IFERROR(__xludf.DUMMYFUNCTION("""COMPUTED_VALUE"""),1078223.0)</f>
        <v>1078223</v>
      </c>
      <c r="B871" s="2005">
        <f>IFERROR(__xludf.DUMMYFUNCTION("""COMPUTED_VALUE"""),2402005.0)</f>
        <v>2402005</v>
      </c>
      <c r="C871" s="2005" t="str">
        <f>IFERROR(__xludf.DUMMYFUNCTION("""COMPUTED_VALUE"""),"Papier")</f>
        <v>Papier</v>
      </c>
      <c r="D871" s="2005" t="str">
        <f>IFERROR(__xludf.DUMMYFUNCTION("""COMPUTED_VALUE"""),"UNIVERSAL 80GRS A4 500 FEUILLES")</f>
        <v>UNIVERSAL 80GRS A4 500 FEUILLES</v>
      </c>
      <c r="E871" s="2005" t="str">
        <f>IFERROR(__xludf.DUMMYFUNCTION("""COMPUTED_VALUE"""),"XEROX")</f>
        <v>XEROX</v>
      </c>
      <c r="F871" s="2005" t="str">
        <f>IFERROR(__xludf.DUMMYFUNCTION("""COMPUTED_VALUE"""),"B")</f>
        <v>B</v>
      </c>
      <c r="G871" s="2005" t="str">
        <f>IFERROR(__xludf.DUMMYFUNCTION("""COMPUTED_VALUE"""),"FI")</f>
        <v>FI</v>
      </c>
      <c r="H871" s="2005">
        <f>IFERROR(__xludf.DUMMYFUNCTION("""COMPUTED_VALUE"""),6.99)</f>
        <v>6.99</v>
      </c>
      <c r="I871" s="2005">
        <f>IFERROR(__xludf.DUMMYFUNCTION("""COMPUTED_VALUE"""),6.99)</f>
        <v>6.99</v>
      </c>
      <c r="BD871" s="2006"/>
      <c r="LL871" s="2007"/>
      <c r="LM871" s="2007"/>
      <c r="MX871" s="2007"/>
      <c r="ND871" s="2007"/>
    </row>
    <row r="872">
      <c r="A872" s="2005">
        <f>IFERROR(__xludf.DUMMYFUNCTION("""COMPUTED_VALUE"""),1078225.0)</f>
        <v>1078225</v>
      </c>
      <c r="B872" s="2005">
        <f>IFERROR(__xludf.DUMMYFUNCTION("""COMPUTED_VALUE"""),2402005.0)</f>
        <v>2402005</v>
      </c>
      <c r="C872" s="2005" t="str">
        <f>IFERROR(__xludf.DUMMYFUNCTION("""COMPUTED_VALUE"""),"Papier")</f>
        <v>Papier</v>
      </c>
      <c r="D872" s="2005" t="str">
        <f>IFERROR(__xludf.DUMMYFUNCTION("""COMPUTED_VALUE"""),"Box Papier Universal 80g 500f x180")</f>
        <v>Box Papier Universal 80g 500f x180</v>
      </c>
      <c r="E872" s="2005" t="str">
        <f>IFERROR(__xludf.DUMMYFUNCTION("""COMPUTED_VALUE"""),"XEROX")</f>
        <v>XEROX</v>
      </c>
      <c r="F872" s="2005" t="str">
        <f>IFERROR(__xludf.DUMMYFUNCTION("""COMPUTED_VALUE"""),"H")</f>
        <v>H</v>
      </c>
      <c r="G872" s="2005" t="str">
        <f>IFERROR(__xludf.DUMMYFUNCTION("""COMPUTED_VALUE"""),"FI")</f>
        <v>FI</v>
      </c>
      <c r="H872">
        <f>IFERROR(__xludf.DUMMYFUNCTION("""COMPUTED_VALUE"""),898.2)</f>
        <v>898.2</v>
      </c>
      <c r="I872">
        <f>IFERROR(__xludf.DUMMYFUNCTION("""COMPUTED_VALUE"""),898.2)</f>
        <v>898.2</v>
      </c>
      <c r="BD872" s="2006"/>
      <c r="LL872" s="2007"/>
      <c r="LM872" s="2007"/>
      <c r="MX872" s="2007"/>
      <c r="ND872" s="2007"/>
    </row>
    <row r="873">
      <c r="A873" s="2005">
        <f>IFERROR(__xludf.DUMMYFUNCTION("""COMPUTED_VALUE"""),1078593.0)</f>
        <v>1078593</v>
      </c>
      <c r="B873" s="2005">
        <f>IFERROR(__xludf.DUMMYFUNCTION("""COMPUTED_VALUE"""),2203010.0)</f>
        <v>2203010</v>
      </c>
      <c r="C873" s="2005" t="str">
        <f>IFERROR(__xludf.DUMMYFUNCTION("""COMPUTED_VALUE"""),"Scanner")</f>
        <v>Scanner</v>
      </c>
      <c r="D873" s="2005" t="str">
        <f>IFERROR(__xludf.DUMMYFUNCTION("""COMPUTED_VALUE"""),"IRIScan Executive 4 Duplex")</f>
        <v>IRIScan Executive 4 Duplex</v>
      </c>
      <c r="E873" s="2005" t="str">
        <f>IFERROR(__xludf.DUMMYFUNCTION("""COMPUTED_VALUE"""),"IRIS")</f>
        <v>IRIS</v>
      </c>
      <c r="F873" s="2005" t="str">
        <f>IFERROR(__xludf.DUMMYFUNCTION("""COMPUTED_VALUE"""),"H")</f>
        <v>H</v>
      </c>
      <c r="G873" s="2005" t="str">
        <f>IFERROR(__xludf.DUMMYFUNCTION("""COMPUTED_VALUE"""),"NN")</f>
        <v>NN</v>
      </c>
      <c r="H873">
        <f>IFERROR(__xludf.DUMMYFUNCTION("""COMPUTED_VALUE"""),149.99)</f>
        <v>149.99</v>
      </c>
      <c r="I873">
        <f>IFERROR(__xludf.DUMMYFUNCTION("""COMPUTED_VALUE"""),149.99)</f>
        <v>149.99</v>
      </c>
      <c r="BD873" s="2006"/>
      <c r="LL873" s="2008"/>
      <c r="LM873" s="2007"/>
      <c r="MX873" s="2007"/>
      <c r="ND873" s="2007"/>
    </row>
    <row r="874">
      <c r="A874" s="2005">
        <f>IFERROR(__xludf.DUMMYFUNCTION("""COMPUTED_VALUE"""),1079039.0)</f>
        <v>1079039</v>
      </c>
      <c r="B874" s="2005">
        <f>IFERROR(__xludf.DUMMYFUNCTION("""COMPUTED_VALUE"""),2403006.0)</f>
        <v>2403006</v>
      </c>
      <c r="C874" s="2005" t="str">
        <f>IFERROR(__xludf.DUMMYFUNCTION("""COMPUTED_VALUE"""),"Cartouche")</f>
        <v>Cartouche</v>
      </c>
      <c r="D874" s="2005" t="str">
        <f>IFERROR(__xludf.DUMMYFUNCTION("""COMPUTED_VALUE"""),"PLA Noir 1.75mm")</f>
        <v>PLA Noir 1.75mm</v>
      </c>
      <c r="E874" s="2005" t="str">
        <f>IFERROR(__xludf.DUMMYFUNCTION("""COMPUTED_VALUE"""),"COLORFABB")</f>
        <v>COLORFABB</v>
      </c>
      <c r="F874" s="2005" t="str">
        <f>IFERROR(__xludf.DUMMYFUNCTION("""COMPUTED_VALUE"""),"W")</f>
        <v>W</v>
      </c>
      <c r="G874" s="2005" t="str">
        <f>IFERROR(__xludf.DUMMYFUNCTION("""COMPUTED_VALUE"""),"NN")</f>
        <v>NN</v>
      </c>
      <c r="H874" s="2005">
        <f>IFERROR(__xludf.DUMMYFUNCTION("""COMPUTED_VALUE"""),34.9)</f>
        <v>34.9</v>
      </c>
      <c r="I874" s="2005">
        <f>IFERROR(__xludf.DUMMYFUNCTION("""COMPUTED_VALUE"""),34.9)</f>
        <v>34.9</v>
      </c>
      <c r="BD874" s="2006"/>
      <c r="LL874" s="2007"/>
      <c r="LM874" s="2007"/>
      <c r="MX874" s="2007"/>
      <c r="ND874" s="2007"/>
    </row>
    <row r="875">
      <c r="A875" s="2005">
        <f>IFERROR(__xludf.DUMMYFUNCTION("""COMPUTED_VALUE"""),1079074.0)</f>
        <v>1079074</v>
      </c>
      <c r="B875" s="2005">
        <f>IFERROR(__xludf.DUMMYFUNCTION("""COMPUTED_VALUE"""),2403006.0)</f>
        <v>2403006</v>
      </c>
      <c r="C875" s="2005" t="str">
        <f>IFERROR(__xludf.DUMMYFUNCTION("""COMPUTED_VALUE"""),"Cartouche")</f>
        <v>Cartouche</v>
      </c>
      <c r="D875" s="2005" t="str">
        <f>IFERROR(__xludf.DUMMYFUNCTION("""COMPUTED_VALUE"""),"PLA Blanc standard 1.75mm")</f>
        <v>PLA Blanc standard 1.75mm</v>
      </c>
      <c r="E875" s="2005" t="str">
        <f>IFERROR(__xludf.DUMMYFUNCTION("""COMPUTED_VALUE"""),"COLORFABB")</f>
        <v>COLORFABB</v>
      </c>
      <c r="F875" s="2005" t="str">
        <f>IFERROR(__xludf.DUMMYFUNCTION("""COMPUTED_VALUE"""),"W")</f>
        <v>W</v>
      </c>
      <c r="G875" s="2005" t="str">
        <f>IFERROR(__xludf.DUMMYFUNCTION("""COMPUTED_VALUE"""),"NN")</f>
        <v>NN</v>
      </c>
      <c r="H875" s="2005">
        <f>IFERROR(__xludf.DUMMYFUNCTION("""COMPUTED_VALUE"""),34.9)</f>
        <v>34.9</v>
      </c>
      <c r="I875" s="2005">
        <f>IFERROR(__xludf.DUMMYFUNCTION("""COMPUTED_VALUE"""),34.9)</f>
        <v>34.9</v>
      </c>
      <c r="BD875" s="2006"/>
      <c r="LL875" s="2007"/>
      <c r="LM875" s="2007"/>
      <c r="MX875" s="2007"/>
      <c r="ND875" s="2007"/>
    </row>
    <row r="876">
      <c r="A876" s="2005">
        <f>IFERROR(__xludf.DUMMYFUNCTION("""COMPUTED_VALUE"""),1079092.0)</f>
        <v>1079092</v>
      </c>
      <c r="B876" s="2005">
        <f>IFERROR(__xludf.DUMMYFUNCTION("""COMPUTED_VALUE"""),2403006.0)</f>
        <v>2403006</v>
      </c>
      <c r="C876" s="2005" t="str">
        <f>IFERROR(__xludf.DUMMYFUNCTION("""COMPUTED_VALUE"""),"Cartouche")</f>
        <v>Cartouche</v>
      </c>
      <c r="D876" s="2005" t="str">
        <f>IFERROR(__xludf.DUMMYFUNCTION("""COMPUTED_VALUE"""),"MET WoodFill 1.75mm")</f>
        <v>MET WoodFill 1.75mm</v>
      </c>
      <c r="E876" s="2005" t="str">
        <f>IFERROR(__xludf.DUMMYFUNCTION("""COMPUTED_VALUE"""),"COLORFABB")</f>
        <v>COLORFABB</v>
      </c>
      <c r="F876" s="2005" t="str">
        <f>IFERROR(__xludf.DUMMYFUNCTION("""COMPUTED_VALUE"""),"W")</f>
        <v>W</v>
      </c>
      <c r="G876" s="2005" t="str">
        <f>IFERROR(__xludf.DUMMYFUNCTION("""COMPUTED_VALUE"""),"NN")</f>
        <v>NN</v>
      </c>
      <c r="H876" s="2005">
        <f>IFERROR(__xludf.DUMMYFUNCTION("""COMPUTED_VALUE"""),31.99)</f>
        <v>31.99</v>
      </c>
      <c r="I876" s="2005">
        <f>IFERROR(__xludf.DUMMYFUNCTION("""COMPUTED_VALUE"""),31.99)</f>
        <v>31.99</v>
      </c>
      <c r="BD876" s="2006"/>
      <c r="LL876" s="2007"/>
      <c r="LM876" s="2007"/>
      <c r="MX876" s="2008"/>
      <c r="ND876" s="2007"/>
    </row>
    <row r="877">
      <c r="A877" s="2005">
        <f>IFERROR(__xludf.DUMMYFUNCTION("""COMPUTED_VALUE"""),1079112.0)</f>
        <v>1079112</v>
      </c>
      <c r="B877" s="2005">
        <f>IFERROR(__xludf.DUMMYFUNCTION("""COMPUTED_VALUE"""),2403006.0)</f>
        <v>2403006</v>
      </c>
      <c r="C877" s="2005" t="str">
        <f>IFERROR(__xludf.DUMMYFUNCTION("""COMPUTED_VALUE"""),"Cartouche")</f>
        <v>Cartouche</v>
      </c>
      <c r="D877" s="2005" t="str">
        <f>IFERROR(__xludf.DUMMYFUNCTION("""COMPUTED_VALUE"""),"COPOLYESTER nGen Noir 1.75mm")</f>
        <v>COPOLYESTER nGen Noir 1.75mm</v>
      </c>
      <c r="E877" s="2005" t="str">
        <f>IFERROR(__xludf.DUMMYFUNCTION("""COMPUTED_VALUE"""),"COLORFABB")</f>
        <v>COLORFABB</v>
      </c>
      <c r="F877" s="2005" t="str">
        <f>IFERROR(__xludf.DUMMYFUNCTION("""COMPUTED_VALUE"""),"W")</f>
        <v>W</v>
      </c>
      <c r="G877" s="2005" t="str">
        <f>IFERROR(__xludf.DUMMYFUNCTION("""COMPUTED_VALUE"""),"NN")</f>
        <v>NN</v>
      </c>
      <c r="H877" s="2005">
        <f>IFERROR(__xludf.DUMMYFUNCTION("""COMPUTED_VALUE"""),24.99)</f>
        <v>24.99</v>
      </c>
      <c r="I877" s="2005">
        <f>IFERROR(__xludf.DUMMYFUNCTION("""COMPUTED_VALUE"""),24.99)</f>
        <v>24.99</v>
      </c>
      <c r="BD877" s="2006"/>
      <c r="LL877" s="2007"/>
      <c r="LM877" s="2007"/>
      <c r="MX877" s="2007"/>
      <c r="ND877" s="2007"/>
    </row>
    <row r="878">
      <c r="A878" s="2005">
        <f>IFERROR(__xludf.DUMMYFUNCTION("""COMPUTED_VALUE"""),1079116.0)</f>
        <v>1079116</v>
      </c>
      <c r="B878" s="2005">
        <f>IFERROR(__xludf.DUMMYFUNCTION("""COMPUTED_VALUE"""),2403006.0)</f>
        <v>2403006</v>
      </c>
      <c r="C878" s="2005" t="str">
        <f>IFERROR(__xludf.DUMMYFUNCTION("""COMPUTED_VALUE"""),"Cartouche")</f>
        <v>Cartouche</v>
      </c>
      <c r="D878" s="2005" t="str">
        <f>IFERROR(__xludf.DUMMYFUNCTION("""COMPUTED_VALUE"""),"COPOLYESTER nGen Blanc 1.75mm")</f>
        <v>COPOLYESTER nGen Blanc 1.75mm</v>
      </c>
      <c r="E878" s="2005" t="str">
        <f>IFERROR(__xludf.DUMMYFUNCTION("""COMPUTED_VALUE"""),"COLORFABB")</f>
        <v>COLORFABB</v>
      </c>
      <c r="F878" s="2005" t="str">
        <f>IFERROR(__xludf.DUMMYFUNCTION("""COMPUTED_VALUE"""),"W")</f>
        <v>W</v>
      </c>
      <c r="G878" s="2005" t="str">
        <f>IFERROR(__xludf.DUMMYFUNCTION("""COMPUTED_VALUE"""),"NN")</f>
        <v>NN</v>
      </c>
      <c r="H878" s="2005">
        <f>IFERROR(__xludf.DUMMYFUNCTION("""COMPUTED_VALUE"""),24.99)</f>
        <v>24.99</v>
      </c>
      <c r="I878" s="2005">
        <f>IFERROR(__xludf.DUMMYFUNCTION("""COMPUTED_VALUE"""),24.99)</f>
        <v>24.99</v>
      </c>
      <c r="BD878" s="2006"/>
      <c r="LL878" s="2007"/>
      <c r="LM878" s="2007"/>
      <c r="MX878" s="2007"/>
      <c r="ND878" s="2007"/>
    </row>
    <row r="879">
      <c r="A879" s="2005">
        <f>IFERROR(__xludf.DUMMYFUNCTION("""COMPUTED_VALUE"""),1079147.0)</f>
        <v>1079147</v>
      </c>
      <c r="B879" s="2005">
        <f>IFERROR(__xludf.DUMMYFUNCTION("""COMPUTED_VALUE"""),2403006.0)</f>
        <v>2403006</v>
      </c>
      <c r="C879" s="2005" t="str">
        <f>IFERROR(__xludf.DUMMYFUNCTION("""COMPUTED_VALUE"""),"Cartouche")</f>
        <v>Cartouche</v>
      </c>
      <c r="D879" s="2005" t="str">
        <f>IFERROR(__xludf.DUMMYFUNCTION("""COMPUTED_VALUE"""),"PLA Blanc standard 2.85mm")</f>
        <v>PLA Blanc standard 2.85mm</v>
      </c>
      <c r="E879" s="2005" t="str">
        <f>IFERROR(__xludf.DUMMYFUNCTION("""COMPUTED_VALUE"""),"COLORFABB")</f>
        <v>COLORFABB</v>
      </c>
      <c r="F879" s="2005" t="str">
        <f>IFERROR(__xludf.DUMMYFUNCTION("""COMPUTED_VALUE"""),"W")</f>
        <v>W</v>
      </c>
      <c r="G879" s="2005" t="str">
        <f>IFERROR(__xludf.DUMMYFUNCTION("""COMPUTED_VALUE"""),"NN")</f>
        <v>NN</v>
      </c>
      <c r="H879" s="2005">
        <f>IFERROR(__xludf.DUMMYFUNCTION("""COMPUTED_VALUE"""),29.99)</f>
        <v>29.99</v>
      </c>
      <c r="I879" s="2005">
        <f>IFERROR(__xludf.DUMMYFUNCTION("""COMPUTED_VALUE"""),29.99)</f>
        <v>29.99</v>
      </c>
      <c r="BD879" s="2006"/>
      <c r="LL879" s="2007"/>
      <c r="LM879" s="2007"/>
      <c r="MX879" s="2008"/>
      <c r="ND879" s="2007"/>
    </row>
    <row r="880">
      <c r="A880" s="2005">
        <f>IFERROR(__xludf.DUMMYFUNCTION("""COMPUTED_VALUE"""),1079149.0)</f>
        <v>1079149</v>
      </c>
      <c r="B880" s="2005">
        <f>IFERROR(__xludf.DUMMYFUNCTION("""COMPUTED_VALUE"""),2403006.0)</f>
        <v>2403006</v>
      </c>
      <c r="C880" s="2005" t="str">
        <f>IFERROR(__xludf.DUMMYFUNCTION("""COMPUTED_VALUE"""),"Cartouche")</f>
        <v>Cartouche</v>
      </c>
      <c r="D880" s="2005" t="str">
        <f>IFERROR(__xludf.DUMMYFUNCTION("""COMPUTED_VALUE"""),"PLA Bleu marine 2.85mm")</f>
        <v>PLA Bleu marine 2.85mm</v>
      </c>
      <c r="E880" s="2005" t="str">
        <f>IFERROR(__xludf.DUMMYFUNCTION("""COMPUTED_VALUE"""),"COLORFABB")</f>
        <v>COLORFABB</v>
      </c>
      <c r="F880" s="2005" t="str">
        <f>IFERROR(__xludf.DUMMYFUNCTION("""COMPUTED_VALUE"""),"H")</f>
        <v>H</v>
      </c>
      <c r="G880" s="2005" t="str">
        <f>IFERROR(__xludf.DUMMYFUNCTION("""COMPUTED_VALUE"""),"NN")</f>
        <v>NN</v>
      </c>
      <c r="H880" s="2005">
        <f>IFERROR(__xludf.DUMMYFUNCTION("""COMPUTED_VALUE"""),34.9)</f>
        <v>34.9</v>
      </c>
      <c r="I880" s="2005">
        <f>IFERROR(__xludf.DUMMYFUNCTION("""COMPUTED_VALUE"""),34.9)</f>
        <v>34.9</v>
      </c>
      <c r="BD880" s="2006"/>
      <c r="LL880" s="2007"/>
      <c r="LM880" s="2007"/>
      <c r="MX880" s="2007"/>
      <c r="ND880" s="2007"/>
    </row>
    <row r="881">
      <c r="A881">
        <f>IFERROR(__xludf.DUMMYFUNCTION("""COMPUTED_VALUE"""),1079313.0)</f>
        <v>1079313</v>
      </c>
      <c r="B881">
        <f>IFERROR(__xludf.DUMMYFUNCTION("""COMPUTED_VALUE"""),2502510.0)</f>
        <v>2502510</v>
      </c>
      <c r="C881" t="str">
        <f>IFERROR(__xludf.DUMMYFUNCTION("""COMPUTED_VALUE"""),"Support")</f>
        <v>Support</v>
      </c>
      <c r="D881" t="str">
        <f>IFERROR(__xludf.DUMMYFUNCTION("""COMPUTED_VALUE"""),"iPhone Lightning Dock - Black")</f>
        <v>iPhone Lightning Dock - Black</v>
      </c>
      <c r="E881" t="str">
        <f>IFERROR(__xludf.DUMMYFUNCTION("""COMPUTED_VALUE"""),"APPLE")</f>
        <v>APPLE</v>
      </c>
      <c r="F881" t="str">
        <f>IFERROR(__xludf.DUMMYFUNCTION("""COMPUTED_VALUE"""),"H")</f>
        <v>H</v>
      </c>
      <c r="G881" t="str">
        <f>IFERROR(__xludf.DUMMYFUNCTION("""COMPUTED_VALUE"""),"NN")</f>
        <v>NN</v>
      </c>
      <c r="H881">
        <f>IFERROR(__xludf.DUMMYFUNCTION("""COMPUTED_VALUE"""),39.99)</f>
        <v>39.99</v>
      </c>
      <c r="I881">
        <f>IFERROR(__xludf.DUMMYFUNCTION("""COMPUTED_VALUE"""),39.99)</f>
        <v>39.99</v>
      </c>
      <c r="BD881" s="2006"/>
      <c r="LL881" s="2007"/>
      <c r="LM881" s="2007"/>
      <c r="MX881" s="2007"/>
      <c r="ND881" s="2007"/>
    </row>
    <row r="882">
      <c r="A882" s="2005">
        <f>IFERROR(__xludf.DUMMYFUNCTION("""COMPUTED_VALUE"""),1079414.0)</f>
        <v>1079414</v>
      </c>
      <c r="B882" s="2005">
        <f>IFERROR(__xludf.DUMMYFUNCTION("""COMPUTED_VALUE"""),2502010.0)</f>
        <v>2502010</v>
      </c>
      <c r="C882" s="2005" t="str">
        <f>IFERROR(__xludf.DUMMYFUNCTION("""COMPUTED_VALUE"""),"Souris")</f>
        <v>Souris</v>
      </c>
      <c r="D882" s="2005" t="str">
        <f>IFERROR(__xludf.DUMMYFUNCTION("""COMPUTED_VALUE"""),"M720 TRIATHLON")</f>
        <v>M720 TRIATHLON</v>
      </c>
      <c r="E882" s="2005" t="str">
        <f>IFERROR(__xludf.DUMMYFUNCTION("""COMPUTED_VALUE"""),"LOGITECH")</f>
        <v>LOGITECH</v>
      </c>
      <c r="F882" s="2005" t="str">
        <f>IFERROR(__xludf.DUMMYFUNCTION("""COMPUTED_VALUE"""),"W")</f>
        <v>W</v>
      </c>
      <c r="G882" s="2005" t="str">
        <f>IFERROR(__xludf.DUMMYFUNCTION("""COMPUTED_VALUE"""),"AC")</f>
        <v>AC</v>
      </c>
      <c r="H882" s="2005">
        <f>IFERROR(__xludf.DUMMYFUNCTION("""COMPUTED_VALUE"""),74.99)</f>
        <v>74.99</v>
      </c>
      <c r="I882" s="2005">
        <f>IFERROR(__xludf.DUMMYFUNCTION("""COMPUTED_VALUE"""),51.91)</f>
        <v>51.91</v>
      </c>
      <c r="BD882" s="2006"/>
      <c r="LL882" s="2007"/>
      <c r="LM882" s="2007"/>
      <c r="MX882" s="2007"/>
      <c r="ND882" s="2008"/>
    </row>
    <row r="883">
      <c r="A883" s="2005">
        <f>IFERROR(__xludf.DUMMYFUNCTION("""COMPUTED_VALUE"""),1079415.0)</f>
        <v>1079415</v>
      </c>
      <c r="B883" s="2005">
        <f>IFERROR(__xludf.DUMMYFUNCTION("""COMPUTED_VALUE"""),2502010.0)</f>
        <v>2502010</v>
      </c>
      <c r="C883" s="2005" t="str">
        <f>IFERROR(__xludf.DUMMYFUNCTION("""COMPUTED_VALUE"""),"Souris")</f>
        <v>Souris</v>
      </c>
      <c r="D883" s="2005" t="str">
        <f>IFERROR(__xludf.DUMMYFUNCTION("""COMPUTED_VALUE"""),"M220 SILENT Noir")</f>
        <v>M220 SILENT Noir</v>
      </c>
      <c r="E883" s="2005" t="str">
        <f>IFERROR(__xludf.DUMMYFUNCTION("""COMPUTED_VALUE"""),"LOGITECH")</f>
        <v>LOGITECH</v>
      </c>
      <c r="F883" s="2005" t="str">
        <f>IFERROR(__xludf.DUMMYFUNCTION("""COMPUTED_VALUE"""),"W")</f>
        <v>W</v>
      </c>
      <c r="G883" s="2005" t="str">
        <f>IFERROR(__xludf.DUMMYFUNCTION("""COMPUTED_VALUE"""),"AC")</f>
        <v>AC</v>
      </c>
      <c r="H883" s="2005">
        <f>IFERROR(__xludf.DUMMYFUNCTION("""COMPUTED_VALUE"""),27.99)</f>
        <v>27.99</v>
      </c>
      <c r="I883" s="2005">
        <f>IFERROR(__xludf.DUMMYFUNCTION("""COMPUTED_VALUE"""),26.95)</f>
        <v>26.95</v>
      </c>
      <c r="BD883" s="2006"/>
      <c r="LL883" s="2007"/>
      <c r="LM883" s="2007"/>
      <c r="MX883" s="2007"/>
      <c r="ND883" s="2008"/>
    </row>
    <row r="884">
      <c r="A884" s="2005">
        <f>IFERROR(__xludf.DUMMYFUNCTION("""COMPUTED_VALUE"""),1079417.0)</f>
        <v>1079417</v>
      </c>
      <c r="B884" s="2005">
        <f>IFERROR(__xludf.DUMMYFUNCTION("""COMPUTED_VALUE"""),2502010.0)</f>
        <v>2502010</v>
      </c>
      <c r="C884" s="2005" t="str">
        <f>IFERROR(__xludf.DUMMYFUNCTION("""COMPUTED_VALUE"""),"Souris")</f>
        <v>Souris</v>
      </c>
      <c r="D884" s="2005" t="str">
        <f>IFERROR(__xludf.DUMMYFUNCTION("""COMPUTED_VALUE"""),"M220 SILENT Rouge")</f>
        <v>M220 SILENT Rouge</v>
      </c>
      <c r="E884" s="2005" t="str">
        <f>IFERROR(__xludf.DUMMYFUNCTION("""COMPUTED_VALUE"""),"LOGITECH")</f>
        <v>LOGITECH</v>
      </c>
      <c r="F884" s="2005" t="str">
        <f>IFERROR(__xludf.DUMMYFUNCTION("""COMPUTED_VALUE"""),"H")</f>
        <v>H</v>
      </c>
      <c r="G884" s="2005" t="str">
        <f>IFERROR(__xludf.DUMMYFUNCTION("""COMPUTED_VALUE"""),"NN")</f>
        <v>NN</v>
      </c>
      <c r="H884" s="2005">
        <f>IFERROR(__xludf.DUMMYFUNCTION("""COMPUTED_VALUE"""),27.99)</f>
        <v>27.99</v>
      </c>
      <c r="I884" s="2005">
        <f>IFERROR(__xludf.DUMMYFUNCTION("""COMPUTED_VALUE"""),27.99)</f>
        <v>27.99</v>
      </c>
      <c r="BD884" s="2006"/>
      <c r="LL884" s="2007"/>
      <c r="LM884" s="2007"/>
      <c r="MX884" s="2007"/>
      <c r="ND884" s="2008"/>
    </row>
    <row r="885">
      <c r="A885" s="2005">
        <f>IFERROR(__xludf.DUMMYFUNCTION("""COMPUTED_VALUE"""),1079418.0)</f>
        <v>1079418</v>
      </c>
      <c r="B885" s="2005">
        <f>IFERROR(__xludf.DUMMYFUNCTION("""COMPUTED_VALUE"""),2502010.0)</f>
        <v>2502010</v>
      </c>
      <c r="C885" s="2005" t="str">
        <f>IFERROR(__xludf.DUMMYFUNCTION("""COMPUTED_VALUE"""),"Souris")</f>
        <v>Souris</v>
      </c>
      <c r="D885" s="2005" t="str">
        <f>IFERROR(__xludf.DUMMYFUNCTION("""COMPUTED_VALUE"""),"M330 SILENT PLUS Noir")</f>
        <v>M330 SILENT PLUS Noir</v>
      </c>
      <c r="E885" s="2005" t="str">
        <f>IFERROR(__xludf.DUMMYFUNCTION("""COMPUTED_VALUE"""),"LOGITECH")</f>
        <v>LOGITECH</v>
      </c>
      <c r="F885" s="2005" t="str">
        <f>IFERROR(__xludf.DUMMYFUNCTION("""COMPUTED_VALUE"""),"A")</f>
        <v>A</v>
      </c>
      <c r="G885" s="2005" t="str">
        <f>IFERROR(__xludf.DUMMYFUNCTION("""COMPUTED_VALUE"""),"AC")</f>
        <v>AC</v>
      </c>
      <c r="H885" s="2005">
        <f>IFERROR(__xludf.DUMMYFUNCTION("""COMPUTED_VALUE"""),44.99)</f>
        <v>44.99</v>
      </c>
      <c r="I885" s="2005">
        <f>IFERROR(__xludf.DUMMYFUNCTION("""COMPUTED_VALUE"""),44.99)</f>
        <v>44.99</v>
      </c>
      <c r="BD885" s="2006"/>
      <c r="LL885" s="2008"/>
      <c r="LM885" s="2007"/>
      <c r="MX885" s="2007"/>
      <c r="ND885" s="2008"/>
    </row>
    <row r="886">
      <c r="A886" s="2005">
        <f>IFERROR(__xludf.DUMMYFUNCTION("""COMPUTED_VALUE"""),1079431.0)</f>
        <v>1079431</v>
      </c>
      <c r="B886" s="2005">
        <f>IFERROR(__xludf.DUMMYFUNCTION("""COMPUTED_VALUE"""),2502020.0)</f>
        <v>2502020</v>
      </c>
      <c r="C886" s="2005" t="str">
        <f>IFERROR(__xludf.DUMMYFUNCTION("""COMPUTED_VALUE"""),"Webcam")</f>
        <v>Webcam</v>
      </c>
      <c r="D886" s="2005" t="str">
        <f>IFERROR(__xludf.DUMMYFUNCTION("""COMPUTED_VALUE"""),"C922 Pro Stream")</f>
        <v>C922 Pro Stream</v>
      </c>
      <c r="E886" s="2005" t="str">
        <f>IFERROR(__xludf.DUMMYFUNCTION("""COMPUTED_VALUE"""),"LOGITECH")</f>
        <v>LOGITECH</v>
      </c>
      <c r="F886" s="2005" t="str">
        <f>IFERROR(__xludf.DUMMYFUNCTION("""COMPUTED_VALUE"""),"W")</f>
        <v>W</v>
      </c>
      <c r="G886" s="2005" t="str">
        <f>IFERROR(__xludf.DUMMYFUNCTION("""COMPUTED_VALUE"""),"AC")</f>
        <v>AC</v>
      </c>
      <c r="H886">
        <f>IFERROR(__xludf.DUMMYFUNCTION("""COMPUTED_VALUE"""),129.99)</f>
        <v>129.99</v>
      </c>
      <c r="I886">
        <f>IFERROR(__xludf.DUMMYFUNCTION("""COMPUTED_VALUE"""),91.94)</f>
        <v>91.94</v>
      </c>
      <c r="BD886" s="2006"/>
      <c r="LL886" s="2008"/>
      <c r="LM886" s="2007"/>
      <c r="MX886" s="2007"/>
      <c r="ND886" s="2007"/>
    </row>
    <row r="887">
      <c r="A887" s="2005">
        <f>IFERROR(__xludf.DUMMYFUNCTION("""COMPUTED_VALUE"""),1079434.0)</f>
        <v>1079434</v>
      </c>
      <c r="B887" s="2005">
        <f>IFERROR(__xludf.DUMMYFUNCTION("""COMPUTED_VALUE"""),2503005.0)</f>
        <v>2503005</v>
      </c>
      <c r="C887" s="2005" t="str">
        <f>IFERROR(__xludf.DUMMYFUNCTION("""COMPUTED_VALUE"""),"Enceinte")</f>
        <v>Enceinte</v>
      </c>
      <c r="D887" s="2005" t="str">
        <f>IFERROR(__xludf.DUMMYFUNCTION("""COMPUTED_VALUE"""),"Z337")</f>
        <v>Z337</v>
      </c>
      <c r="E887" s="2005" t="str">
        <f>IFERROR(__xludf.DUMMYFUNCTION("""COMPUTED_VALUE"""),"LOGITECH")</f>
        <v>LOGITECH</v>
      </c>
      <c r="F887" s="2005" t="str">
        <f>IFERROR(__xludf.DUMMYFUNCTION("""COMPUTED_VALUE"""),"B")</f>
        <v>B</v>
      </c>
      <c r="G887" s="2005" t="str">
        <f>IFERROR(__xludf.DUMMYFUNCTION("""COMPUTED_VALUE"""),"NN")</f>
        <v>NN</v>
      </c>
      <c r="H887">
        <f>IFERROR(__xludf.DUMMYFUNCTION("""COMPUTED_VALUE"""),56.99)</f>
        <v>56.99</v>
      </c>
      <c r="I887">
        <f>IFERROR(__xludf.DUMMYFUNCTION("""COMPUTED_VALUE"""),56.99)</f>
        <v>56.99</v>
      </c>
      <c r="BD887" s="2006"/>
      <c r="LL887" s="2007"/>
      <c r="LM887" s="2007"/>
      <c r="MX887" s="2007"/>
      <c r="ND887" s="2008"/>
    </row>
    <row r="888">
      <c r="A888" s="2005">
        <f>IFERROR(__xludf.DUMMYFUNCTION("""COMPUTED_VALUE"""),1079528.0)</f>
        <v>1079528</v>
      </c>
      <c r="B888" s="2005">
        <f>IFERROR(__xludf.DUMMYFUNCTION("""COMPUTED_VALUE"""),1103006.0)</f>
        <v>1103006</v>
      </c>
      <c r="C888" s="2005" t="str">
        <f>IFERROR(__xludf.DUMMYFUNCTION("""COMPUTED_VALUE"""),"Tél.")</f>
        <v>Tél.</v>
      </c>
      <c r="D888" s="2005" t="str">
        <f>IFERROR(__xludf.DUMMYFUNCTION("""COMPUTED_VALUE"""),"DA710")</f>
        <v>DA710</v>
      </c>
      <c r="E888" s="2005" t="str">
        <f>IFERROR(__xludf.DUMMYFUNCTION("""COMPUTED_VALUE"""),"GIGASET")</f>
        <v>GIGASET</v>
      </c>
      <c r="F888" s="2005" t="str">
        <f>IFERROR(__xludf.DUMMYFUNCTION("""COMPUTED_VALUE"""),"H")</f>
        <v>H</v>
      </c>
      <c r="G888" s="2005" t="str">
        <f>IFERROR(__xludf.DUMMYFUNCTION("""COMPUTED_VALUE"""),"NN")</f>
        <v>NN</v>
      </c>
      <c r="H888" s="2005">
        <f>IFERROR(__xludf.DUMMYFUNCTION("""COMPUTED_VALUE"""),29.99)</f>
        <v>29.99</v>
      </c>
      <c r="I888" s="2005">
        <f>IFERROR(__xludf.DUMMYFUNCTION("""COMPUTED_VALUE"""),29.99)</f>
        <v>29.99</v>
      </c>
      <c r="BD888" s="2006"/>
      <c r="LL888" s="2007"/>
      <c r="LM888" s="2007"/>
      <c r="MX888" s="2007"/>
      <c r="ND888" s="2007"/>
    </row>
    <row r="889">
      <c r="A889" s="2005">
        <f>IFERROR(__xludf.DUMMYFUNCTION("""COMPUTED_VALUE"""),1079548.0)</f>
        <v>1079548</v>
      </c>
      <c r="B889" s="2005">
        <f>IFERROR(__xludf.DUMMYFUNCTION("""COMPUTED_VALUE"""),2403006.0)</f>
        <v>2403006</v>
      </c>
      <c r="C889" s="2005" t="str">
        <f>IFERROR(__xludf.DUMMYFUNCTION("""COMPUTED_VALUE"""),"Cartouche")</f>
        <v>Cartouche</v>
      </c>
      <c r="D889" s="2005" t="str">
        <f>IFERROR(__xludf.DUMMYFUNCTION("""COMPUTED_VALUE"""),"COPOLYESTER XT Vert clair 2.85mm")</f>
        <v>COPOLYESTER XT Vert clair 2.85mm</v>
      </c>
      <c r="E889" s="2005" t="str">
        <f>IFERROR(__xludf.DUMMYFUNCTION("""COMPUTED_VALUE"""),"COLORFABB")</f>
        <v>COLORFABB</v>
      </c>
      <c r="F889" s="2005" t="str">
        <f>IFERROR(__xludf.DUMMYFUNCTION("""COMPUTED_VALUE"""),"H")</f>
        <v>H</v>
      </c>
      <c r="G889" s="2005" t="str">
        <f>IFERROR(__xludf.DUMMYFUNCTION("""COMPUTED_VALUE"""),"NN")</f>
        <v>NN</v>
      </c>
      <c r="H889" s="2005">
        <f>IFERROR(__xludf.DUMMYFUNCTION("""COMPUTED_VALUE"""),5.0)</f>
        <v>5</v>
      </c>
      <c r="I889" s="2005">
        <f>IFERROR(__xludf.DUMMYFUNCTION("""COMPUTED_VALUE"""),5.0)</f>
        <v>5</v>
      </c>
      <c r="BD889" s="2006"/>
      <c r="LL889" s="2007"/>
      <c r="LM889" s="2007"/>
      <c r="MX889" s="2007"/>
      <c r="ND889" s="2008"/>
    </row>
    <row r="890">
      <c r="A890" s="2005">
        <f>IFERROR(__xludf.DUMMYFUNCTION("""COMPUTED_VALUE"""),1079549.0)</f>
        <v>1079549</v>
      </c>
      <c r="B890" s="2005">
        <f>IFERROR(__xludf.DUMMYFUNCTION("""COMPUTED_VALUE"""),2403006.0)</f>
        <v>2403006</v>
      </c>
      <c r="C890" s="2005" t="str">
        <f>IFERROR(__xludf.DUMMYFUNCTION("""COMPUTED_VALUE"""),"Cartouche")</f>
        <v>Cartouche</v>
      </c>
      <c r="D890" s="2005" t="str">
        <f>IFERROR(__xludf.DUMMYFUNCTION("""COMPUTED_VALUE"""),"COPOLYESTER XT Noir 2.85mm")</f>
        <v>COPOLYESTER XT Noir 2.85mm</v>
      </c>
      <c r="E890" s="2005" t="str">
        <f>IFERROR(__xludf.DUMMYFUNCTION("""COMPUTED_VALUE"""),"COLORFABB")</f>
        <v>COLORFABB</v>
      </c>
      <c r="F890" s="2005" t="str">
        <f>IFERROR(__xludf.DUMMYFUNCTION("""COMPUTED_VALUE"""),"H")</f>
        <v>H</v>
      </c>
      <c r="G890" s="2005" t="str">
        <f>IFERROR(__xludf.DUMMYFUNCTION("""COMPUTED_VALUE"""),"NN")</f>
        <v>NN</v>
      </c>
      <c r="H890" s="2005">
        <f>IFERROR(__xludf.DUMMYFUNCTION("""COMPUTED_VALUE"""),31.99)</f>
        <v>31.99</v>
      </c>
      <c r="I890" s="2005">
        <f>IFERROR(__xludf.DUMMYFUNCTION("""COMPUTED_VALUE"""),31.99)</f>
        <v>31.99</v>
      </c>
      <c r="BD890" s="2006"/>
      <c r="LL890" s="2007"/>
      <c r="LM890" s="2007"/>
      <c r="MX890" s="2007"/>
      <c r="ND890" s="2007"/>
    </row>
    <row r="891">
      <c r="A891" s="2005">
        <f>IFERROR(__xludf.DUMMYFUNCTION("""COMPUTED_VALUE"""),1079581.0)</f>
        <v>1079581</v>
      </c>
      <c r="B891" s="2005">
        <f>IFERROR(__xludf.DUMMYFUNCTION("""COMPUTED_VALUE"""),2403006.0)</f>
        <v>2403006</v>
      </c>
      <c r="C891" s="2005" t="str">
        <f>IFERROR(__xludf.DUMMYFUNCTION("""COMPUTED_VALUE"""),"Cartouche")</f>
        <v>Cartouche</v>
      </c>
      <c r="D891" s="2005" t="str">
        <f>IFERROR(__xludf.DUMMYFUNCTION("""COMPUTED_VALUE"""),"COPOLYESTER XT ColorFabb 2.85mm")</f>
        <v>COPOLYESTER XT ColorFabb 2.85mm</v>
      </c>
      <c r="E891" s="2005" t="str">
        <f>IFERROR(__xludf.DUMMYFUNCTION("""COMPUTED_VALUE"""),"COLORFABB")</f>
        <v>COLORFABB</v>
      </c>
      <c r="F891" s="2005" t="str">
        <f>IFERROR(__xludf.DUMMYFUNCTION("""COMPUTED_VALUE"""),"H")</f>
        <v>H</v>
      </c>
      <c r="G891" s="2005" t="str">
        <f>IFERROR(__xludf.DUMMYFUNCTION("""COMPUTED_VALUE"""),"NN")</f>
        <v>NN</v>
      </c>
      <c r="H891" s="2005">
        <f>IFERROR(__xludf.DUMMYFUNCTION("""COMPUTED_VALUE"""),31.99)</f>
        <v>31.99</v>
      </c>
      <c r="I891" s="2005">
        <f>IFERROR(__xludf.DUMMYFUNCTION("""COMPUTED_VALUE"""),31.99)</f>
        <v>31.99</v>
      </c>
      <c r="BD891" s="2006"/>
      <c r="LL891" s="2007"/>
      <c r="LM891" s="2007"/>
      <c r="MX891" s="2007"/>
      <c r="ND891" s="2008"/>
    </row>
    <row r="892">
      <c r="A892" s="2005">
        <f>IFERROR(__xludf.DUMMYFUNCTION("""COMPUTED_VALUE"""),1079582.0)</f>
        <v>1079582</v>
      </c>
      <c r="B892" s="2005">
        <f>IFERROR(__xludf.DUMMYFUNCTION("""COMPUTED_VALUE"""),2207005.0)</f>
        <v>2207005</v>
      </c>
      <c r="C892" s="2005" t="str">
        <f>IFERROR(__xludf.DUMMYFUNCTION("""COMPUTED_VALUE"""),"Imprimante")</f>
        <v>Imprimante</v>
      </c>
      <c r="D892" s="2005" t="str">
        <f>IFERROR(__xludf.DUMMYFUNCTION("""COMPUTED_VALUE"""),"Ultimaker 2+")</f>
        <v>Ultimaker 2+</v>
      </c>
      <c r="E892" s="2005" t="str">
        <f>IFERROR(__xludf.DUMMYFUNCTION("""COMPUTED_VALUE"""),"ULTIMAKER")</f>
        <v>ULTIMAKER</v>
      </c>
      <c r="F892" s="2005" t="str">
        <f>IFERROR(__xludf.DUMMYFUNCTION("""COMPUTED_VALUE"""),"H")</f>
        <v>H</v>
      </c>
      <c r="G892" s="2005" t="str">
        <f>IFERROR(__xludf.DUMMYFUNCTION("""COMPUTED_VALUE"""),"NN")</f>
        <v>NN</v>
      </c>
      <c r="H892" s="2005">
        <f>IFERROR(__xludf.DUMMYFUNCTION("""COMPUTED_VALUE"""),1979.99)</f>
        <v>1979.99</v>
      </c>
      <c r="I892" s="2005">
        <f>IFERROR(__xludf.DUMMYFUNCTION("""COMPUTED_VALUE"""),1979.99)</f>
        <v>1979.99</v>
      </c>
      <c r="BD892" s="2006"/>
      <c r="LL892" s="2007"/>
      <c r="LM892" s="2007"/>
      <c r="MX892" s="2007"/>
      <c r="ND892" s="2008"/>
    </row>
    <row r="893">
      <c r="A893">
        <f>IFERROR(__xludf.DUMMYFUNCTION("""COMPUTED_VALUE"""),1079644.0)</f>
        <v>1079644</v>
      </c>
      <c r="B893">
        <f>IFERROR(__xludf.DUMMYFUNCTION("""COMPUTED_VALUE"""),2207015.0)</f>
        <v>2207015</v>
      </c>
      <c r="C893" t="str">
        <f>IFERROR(__xludf.DUMMYFUNCTION("""COMPUTED_VALUE"""),"Stylo")</f>
        <v>Stylo</v>
      </c>
      <c r="D893" t="str">
        <f>IFERROR(__xludf.DUMMYFUNCTION("""COMPUTED_VALUE"""),"Stylo 3D Create")</f>
        <v>Stylo 3D Create</v>
      </c>
      <c r="E893" t="str">
        <f>IFERROR(__xludf.DUMMYFUNCTION("""COMPUTED_VALUE"""),"3DOODLER")</f>
        <v>3DOODLER</v>
      </c>
      <c r="F893" t="str">
        <f>IFERROR(__xludf.DUMMYFUNCTION("""COMPUTED_VALUE"""),"H")</f>
        <v>H</v>
      </c>
      <c r="G893" t="str">
        <f>IFERROR(__xludf.DUMMYFUNCTION("""COMPUTED_VALUE"""),"NN")</f>
        <v>NN</v>
      </c>
      <c r="H893">
        <f>IFERROR(__xludf.DUMMYFUNCTION("""COMPUTED_VALUE"""),65.99)</f>
        <v>65.99</v>
      </c>
      <c r="I893">
        <f>IFERROR(__xludf.DUMMYFUNCTION("""COMPUTED_VALUE"""),65.99)</f>
        <v>65.99</v>
      </c>
      <c r="BD893" s="2006"/>
      <c r="LL893" s="2007"/>
      <c r="LM893" s="2007"/>
      <c r="MX893" s="2007"/>
      <c r="ND893" s="2008"/>
    </row>
    <row r="894">
      <c r="A894" s="2005">
        <f>IFERROR(__xludf.DUMMYFUNCTION("""COMPUTED_VALUE"""),1079656.0)</f>
        <v>1079656</v>
      </c>
      <c r="B894" s="2005">
        <f>IFERROR(__xludf.DUMMYFUNCTION("""COMPUTED_VALUE"""),2403006.0)</f>
        <v>2403006</v>
      </c>
      <c r="C894" s="2005" t="str">
        <f>IFERROR(__xludf.DUMMYFUNCTION("""COMPUTED_VALUE"""),"Accessoire")</f>
        <v>Accessoire</v>
      </c>
      <c r="D894" s="2005" t="str">
        <f>IFERROR(__xludf.DUMMYFUNCTION("""COMPUTED_VALUE"""),"DoodleStand Create")</f>
        <v>DoodleStand Create</v>
      </c>
      <c r="E894" s="2005" t="str">
        <f>IFERROR(__xludf.DUMMYFUNCTION("""COMPUTED_VALUE"""),"3DOODLER")</f>
        <v>3DOODLER</v>
      </c>
      <c r="F894" s="2005" t="str">
        <f>IFERROR(__xludf.DUMMYFUNCTION("""COMPUTED_VALUE"""),"H")</f>
        <v>H</v>
      </c>
      <c r="G894" s="2005" t="str">
        <f>IFERROR(__xludf.DUMMYFUNCTION("""COMPUTED_VALUE"""),"NN")</f>
        <v>NN</v>
      </c>
      <c r="H894" s="2005">
        <f>IFERROR(__xludf.DUMMYFUNCTION("""COMPUTED_VALUE"""),7.99)</f>
        <v>7.99</v>
      </c>
      <c r="I894" s="2005">
        <f>IFERROR(__xludf.DUMMYFUNCTION("""COMPUTED_VALUE"""),7.99)</f>
        <v>7.99</v>
      </c>
      <c r="BD894" s="2006"/>
      <c r="LL894" s="2007"/>
      <c r="LM894" s="2007"/>
      <c r="MX894" s="2007"/>
      <c r="ND894" s="2007"/>
    </row>
    <row r="895">
      <c r="A895" s="2005">
        <f>IFERROR(__xludf.DUMMYFUNCTION("""COMPUTED_VALUE"""),1079660.0)</f>
        <v>1079660</v>
      </c>
      <c r="B895" s="2005">
        <f>IFERROR(__xludf.DUMMYFUNCTION("""COMPUTED_VALUE"""),2403006.0)</f>
        <v>2403006</v>
      </c>
      <c r="C895" s="2005" t="str">
        <f>IFERROR(__xludf.DUMMYFUNCTION("""COMPUTED_VALUE"""),"Accessoire")</f>
        <v>Accessoire</v>
      </c>
      <c r="D895" s="2005" t="str">
        <f>IFERROR(__xludf.DUMMYFUNCTION("""COMPUTED_VALUE"""),"Pédale Create")</f>
        <v>Pédale Create</v>
      </c>
      <c r="E895" s="2005" t="str">
        <f>IFERROR(__xludf.DUMMYFUNCTION("""COMPUTED_VALUE"""),"3DOODLER")</f>
        <v>3DOODLER</v>
      </c>
      <c r="F895" s="2005" t="str">
        <f>IFERROR(__xludf.DUMMYFUNCTION("""COMPUTED_VALUE"""),"H")</f>
        <v>H</v>
      </c>
      <c r="G895" s="2005" t="str">
        <f>IFERROR(__xludf.DUMMYFUNCTION("""COMPUTED_VALUE"""),"FR")</f>
        <v>FR</v>
      </c>
      <c r="H895" s="2005">
        <f>IFERROR(__xludf.DUMMYFUNCTION("""COMPUTED_VALUE"""),14.99)</f>
        <v>14.99</v>
      </c>
      <c r="I895" s="2005">
        <f>IFERROR(__xludf.DUMMYFUNCTION("""COMPUTED_VALUE"""),14.99)</f>
        <v>14.99</v>
      </c>
      <c r="BD895" s="2006"/>
      <c r="LL895" s="2007"/>
      <c r="LM895" s="2007"/>
      <c r="MX895" s="2007"/>
      <c r="ND895" s="2008"/>
    </row>
    <row r="896">
      <c r="A896" s="2005">
        <f>IFERROR(__xludf.DUMMYFUNCTION("""COMPUTED_VALUE"""),1079686.0)</f>
        <v>1079686</v>
      </c>
      <c r="B896" s="2005">
        <f>IFERROR(__xludf.DUMMYFUNCTION("""COMPUTED_VALUE"""),2403006.0)</f>
        <v>2403006</v>
      </c>
      <c r="C896" s="2005" t="str">
        <f>IFERROR(__xludf.DUMMYFUNCTION("""COMPUTED_VALUE"""),"Cartouche")</f>
        <v>Cartouche</v>
      </c>
      <c r="D896" s="2005" t="str">
        <f>IFERROR(__xludf.DUMMYFUNCTION("""COMPUTED_VALUE"""),"PLA Noir 2.85mm")</f>
        <v>PLA Noir 2.85mm</v>
      </c>
      <c r="E896" s="2005" t="str">
        <f>IFERROR(__xludf.DUMMYFUNCTION("""COMPUTED_VALUE"""),"ULTIMAKER")</f>
        <v>ULTIMAKER</v>
      </c>
      <c r="F896" s="2005" t="str">
        <f>IFERROR(__xludf.DUMMYFUNCTION("""COMPUTED_VALUE"""),"W")</f>
        <v>W</v>
      </c>
      <c r="G896" s="2005" t="str">
        <f>IFERROR(__xludf.DUMMYFUNCTION("""COMPUTED_VALUE"""),"NN")</f>
        <v>NN</v>
      </c>
      <c r="H896" s="2005">
        <f>IFERROR(__xludf.DUMMYFUNCTION("""COMPUTED_VALUE"""),29.99)</f>
        <v>29.99</v>
      </c>
      <c r="I896" s="2005">
        <f>IFERROR(__xludf.DUMMYFUNCTION("""COMPUTED_VALUE"""),29.99)</f>
        <v>29.99</v>
      </c>
      <c r="BD896" s="2006"/>
      <c r="LL896" s="2008"/>
      <c r="LM896" s="2007"/>
      <c r="MX896" s="2007"/>
      <c r="ND896" s="2008"/>
    </row>
    <row r="897">
      <c r="A897" s="2005">
        <f>IFERROR(__xludf.DUMMYFUNCTION("""COMPUTED_VALUE"""),1079692.0)</f>
        <v>1079692</v>
      </c>
      <c r="B897" s="2005">
        <f>IFERROR(__xludf.DUMMYFUNCTION("""COMPUTED_VALUE"""),2403006.0)</f>
        <v>2403006</v>
      </c>
      <c r="C897" s="2005" t="str">
        <f>IFERROR(__xludf.DUMMYFUNCTION("""COMPUTED_VALUE"""),"Cartouche")</f>
        <v>Cartouche</v>
      </c>
      <c r="D897" s="2005" t="str">
        <f>IFERROR(__xludf.DUMMYFUNCTION("""COMPUTED_VALUE"""),"PLA Argent 2.85mm")</f>
        <v>PLA Argent 2.85mm</v>
      </c>
      <c r="E897" s="2005" t="str">
        <f>IFERROR(__xludf.DUMMYFUNCTION("""COMPUTED_VALUE"""),"ULTIMAKER")</f>
        <v>ULTIMAKER</v>
      </c>
      <c r="F897" s="2005" t="str">
        <f>IFERROR(__xludf.DUMMYFUNCTION("""COMPUTED_VALUE"""),"W")</f>
        <v>W</v>
      </c>
      <c r="G897" s="2005" t="str">
        <f>IFERROR(__xludf.DUMMYFUNCTION("""COMPUTED_VALUE"""),"NN")</f>
        <v>NN</v>
      </c>
      <c r="H897" s="2005">
        <f>IFERROR(__xludf.DUMMYFUNCTION("""COMPUTED_VALUE"""),39.6)</f>
        <v>39.6</v>
      </c>
      <c r="I897" s="2005">
        <f>IFERROR(__xludf.DUMMYFUNCTION("""COMPUTED_VALUE"""),39.6)</f>
        <v>39.6</v>
      </c>
      <c r="BD897" s="2006"/>
      <c r="LL897" s="2007"/>
      <c r="LM897" s="2007"/>
      <c r="MX897" s="2007"/>
      <c r="ND897" s="2007"/>
    </row>
    <row r="898">
      <c r="A898" s="2005">
        <f>IFERROR(__xludf.DUMMYFUNCTION("""COMPUTED_VALUE"""),1079694.0)</f>
        <v>1079694</v>
      </c>
      <c r="B898" s="2005">
        <f>IFERROR(__xludf.DUMMYFUNCTION("""COMPUTED_VALUE"""),2403006.0)</f>
        <v>2403006</v>
      </c>
      <c r="C898" s="2005" t="str">
        <f>IFERROR(__xludf.DUMMYFUNCTION("""COMPUTED_VALUE"""),"Cartouche")</f>
        <v>Cartouche</v>
      </c>
      <c r="D898" s="2005" t="str">
        <f>IFERROR(__xludf.DUMMYFUNCTION("""COMPUTED_VALUE"""),"PLA Blanc 2.85mm")</f>
        <v>PLA Blanc 2.85mm</v>
      </c>
      <c r="E898" s="2005" t="str">
        <f>IFERROR(__xludf.DUMMYFUNCTION("""COMPUTED_VALUE"""),"ULTIMAKER")</f>
        <v>ULTIMAKER</v>
      </c>
      <c r="F898" s="2005" t="str">
        <f>IFERROR(__xludf.DUMMYFUNCTION("""COMPUTED_VALUE"""),"W")</f>
        <v>W</v>
      </c>
      <c r="G898" s="2005" t="str">
        <f>IFERROR(__xludf.DUMMYFUNCTION("""COMPUTED_VALUE"""),"NN")</f>
        <v>NN</v>
      </c>
      <c r="H898" s="2005">
        <f>IFERROR(__xludf.DUMMYFUNCTION("""COMPUTED_VALUE"""),29.99)</f>
        <v>29.99</v>
      </c>
      <c r="I898" s="2005">
        <f>IFERROR(__xludf.DUMMYFUNCTION("""COMPUTED_VALUE"""),29.99)</f>
        <v>29.99</v>
      </c>
      <c r="BD898" s="2006"/>
      <c r="LL898" s="2007"/>
      <c r="LM898" s="2007"/>
      <c r="MX898" s="2007"/>
      <c r="ND898" s="2007"/>
    </row>
    <row r="899">
      <c r="A899" s="2005">
        <f>IFERROR(__xludf.DUMMYFUNCTION("""COMPUTED_VALUE"""),1079695.0)</f>
        <v>1079695</v>
      </c>
      <c r="B899" s="2005">
        <f>IFERROR(__xludf.DUMMYFUNCTION("""COMPUTED_VALUE"""),2403006.0)</f>
        <v>2403006</v>
      </c>
      <c r="C899" s="2005" t="str">
        <f>IFERROR(__xludf.DUMMYFUNCTION("""COMPUTED_VALUE"""),"Cartouche")</f>
        <v>Cartouche</v>
      </c>
      <c r="D899" s="2005" t="str">
        <f>IFERROR(__xludf.DUMMYFUNCTION("""COMPUTED_VALUE"""),"PLA Bleu 2.85mm")</f>
        <v>PLA Bleu 2.85mm</v>
      </c>
      <c r="E899" s="2005" t="str">
        <f>IFERROR(__xludf.DUMMYFUNCTION("""COMPUTED_VALUE"""),"ULTIMAKER")</f>
        <v>ULTIMAKER</v>
      </c>
      <c r="F899" s="2005" t="str">
        <f>IFERROR(__xludf.DUMMYFUNCTION("""COMPUTED_VALUE"""),"W")</f>
        <v>W</v>
      </c>
      <c r="G899" s="2005" t="str">
        <f>IFERROR(__xludf.DUMMYFUNCTION("""COMPUTED_VALUE"""),"NN")</f>
        <v>NN</v>
      </c>
      <c r="H899" s="2005">
        <f>IFERROR(__xludf.DUMMYFUNCTION("""COMPUTED_VALUE"""),39.6)</f>
        <v>39.6</v>
      </c>
      <c r="I899" s="2005">
        <f>IFERROR(__xludf.DUMMYFUNCTION("""COMPUTED_VALUE"""),39.6)</f>
        <v>39.6</v>
      </c>
      <c r="BD899" s="2006"/>
      <c r="LL899" s="2007"/>
      <c r="LM899" s="2007"/>
      <c r="MX899" s="2007"/>
      <c r="ND899" s="2007"/>
    </row>
    <row r="900">
      <c r="A900" s="2005">
        <f>IFERROR(__xludf.DUMMYFUNCTION("""COMPUTED_VALUE"""),1079702.0)</f>
        <v>1079702</v>
      </c>
      <c r="B900" s="2005">
        <f>IFERROR(__xludf.DUMMYFUNCTION("""COMPUTED_VALUE"""),2403006.0)</f>
        <v>2403006</v>
      </c>
      <c r="C900" s="2005" t="str">
        <f>IFERROR(__xludf.DUMMYFUNCTION("""COMPUTED_VALUE"""),"Cartouche")</f>
        <v>Cartouche</v>
      </c>
      <c r="D900" s="2005" t="str">
        <f>IFERROR(__xludf.DUMMYFUNCTION("""COMPUTED_VALUE"""),"ABS Noir 2.85mm")</f>
        <v>ABS Noir 2.85mm</v>
      </c>
      <c r="E900" s="2005" t="str">
        <f>IFERROR(__xludf.DUMMYFUNCTION("""COMPUTED_VALUE"""),"ULTIMAKER")</f>
        <v>ULTIMAKER</v>
      </c>
      <c r="F900" s="2005" t="str">
        <f>IFERROR(__xludf.DUMMYFUNCTION("""COMPUTED_VALUE"""),"W")</f>
        <v>W</v>
      </c>
      <c r="G900" s="2005" t="str">
        <f>IFERROR(__xludf.DUMMYFUNCTION("""COMPUTED_VALUE"""),"NN")</f>
        <v>NN</v>
      </c>
      <c r="H900" s="2005">
        <f>IFERROR(__xludf.DUMMYFUNCTION("""COMPUTED_VALUE"""),39.6)</f>
        <v>39.6</v>
      </c>
      <c r="I900" s="2005">
        <f>IFERROR(__xludf.DUMMYFUNCTION("""COMPUTED_VALUE"""),39.6)</f>
        <v>39.6</v>
      </c>
      <c r="BD900" s="2006"/>
      <c r="LL900" s="2008"/>
      <c r="LM900" s="2008"/>
      <c r="MX900" s="2008"/>
      <c r="ND900" s="2008"/>
    </row>
    <row r="901">
      <c r="A901" s="2005">
        <f>IFERROR(__xludf.DUMMYFUNCTION("""COMPUTED_VALUE"""),1079708.0)</f>
        <v>1079708</v>
      </c>
      <c r="B901" s="2005">
        <f>IFERROR(__xludf.DUMMYFUNCTION("""COMPUTED_VALUE"""),2401010.0)</f>
        <v>2401010</v>
      </c>
      <c r="C901" s="2005" t="str">
        <f>IFERROR(__xludf.DUMMYFUNCTION("""COMPUTED_VALUE"""),"CD-R")</f>
        <v>CD-R</v>
      </c>
      <c r="D901" s="2005" t="str">
        <f>IFERROR(__xludf.DUMMYFUNCTION("""COMPUTED_VALUE"""),"CD-R Data Vinyl 700MB 10PK Slim 52x")</f>
        <v>CD-R Data Vinyl 700MB 10PK Slim 52x</v>
      </c>
      <c r="E901" s="2005" t="str">
        <f>IFERROR(__xludf.DUMMYFUNCTION("""COMPUTED_VALUE"""),"VERBATIM")</f>
        <v>VERBATIM</v>
      </c>
      <c r="F901" s="2005" t="str">
        <f>IFERROR(__xludf.DUMMYFUNCTION("""COMPUTED_VALUE"""),"H")</f>
        <v>H</v>
      </c>
      <c r="G901" s="2005" t="str">
        <f>IFERROR(__xludf.DUMMYFUNCTION("""COMPUTED_VALUE"""),"AC")</f>
        <v>AC</v>
      </c>
      <c r="H901">
        <f>IFERROR(__xludf.DUMMYFUNCTION("""COMPUTED_VALUE"""),16.99)</f>
        <v>16.99</v>
      </c>
      <c r="I901">
        <f>IFERROR(__xludf.DUMMYFUNCTION("""COMPUTED_VALUE"""),16.99)</f>
        <v>16.99</v>
      </c>
      <c r="BD901" s="2006"/>
      <c r="LL901" s="2008"/>
      <c r="LM901" s="2008"/>
      <c r="MX901" s="2007"/>
      <c r="ND901" s="2008"/>
    </row>
    <row r="902">
      <c r="A902" s="2005">
        <f>IFERROR(__xludf.DUMMYFUNCTION("""COMPUTED_VALUE"""),1079712.0)</f>
        <v>1079712</v>
      </c>
      <c r="B902" s="2005">
        <f>IFERROR(__xludf.DUMMYFUNCTION("""COMPUTED_VALUE"""),2401010.0)</f>
        <v>2401010</v>
      </c>
      <c r="C902" s="2005" t="str">
        <f>IFERROR(__xludf.DUMMYFUNCTION("""COMPUTED_VALUE"""),"CD-R")</f>
        <v>CD-R</v>
      </c>
      <c r="D902" s="2005" t="str">
        <f>IFERROR(__xludf.DUMMYFUNCTION("""COMPUTED_VALUE"""),"CD-RW 700MB 10PK Spindle  8-12x")</f>
        <v>CD-RW 700MB 10PK Spindle  8-12x</v>
      </c>
      <c r="E902" s="2005" t="str">
        <f>IFERROR(__xludf.DUMMYFUNCTION("""COMPUTED_VALUE"""),"VERBATIM")</f>
        <v>VERBATIM</v>
      </c>
      <c r="F902" s="2005" t="str">
        <f>IFERROR(__xludf.DUMMYFUNCTION("""COMPUTED_VALUE"""),"H")</f>
        <v>H</v>
      </c>
      <c r="G902" s="2005" t="str">
        <f>IFERROR(__xludf.DUMMYFUNCTION("""COMPUTED_VALUE"""),"AC")</f>
        <v>AC</v>
      </c>
      <c r="H902" s="2005">
        <f>IFERROR(__xludf.DUMMYFUNCTION("""COMPUTED_VALUE"""),16.99)</f>
        <v>16.99</v>
      </c>
      <c r="I902" s="2005">
        <f>IFERROR(__xludf.DUMMYFUNCTION("""COMPUTED_VALUE"""),16.99)</f>
        <v>16.99</v>
      </c>
      <c r="BD902" s="2006"/>
      <c r="LL902" s="2008"/>
      <c r="LM902" s="2008"/>
      <c r="MX902" s="2008"/>
      <c r="ND902" s="2008"/>
    </row>
    <row r="903">
      <c r="A903" s="2005">
        <f>IFERROR(__xludf.DUMMYFUNCTION("""COMPUTED_VALUE"""),1080287.0)</f>
        <v>1080287</v>
      </c>
      <c r="B903" s="2005">
        <f>IFERROR(__xludf.DUMMYFUNCTION("""COMPUTED_VALUE"""),2502024.0)</f>
        <v>2502024</v>
      </c>
      <c r="C903" s="2005" t="str">
        <f>IFERROR(__xludf.DUMMYFUNCTION("""COMPUTED_VALUE"""),"Stylet")</f>
        <v>Stylet</v>
      </c>
      <c r="D903" s="2005" t="str">
        <f>IFERROR(__xludf.DUMMYFUNCTION("""COMPUTED_VALUE"""),"Bamboo Stylus Duo 4 Noir")</f>
        <v>Bamboo Stylus Duo 4 Noir</v>
      </c>
      <c r="E903" s="2005" t="str">
        <f>IFERROR(__xludf.DUMMYFUNCTION("""COMPUTED_VALUE"""),"WACOM")</f>
        <v>WACOM</v>
      </c>
      <c r="F903" s="2005" t="str">
        <f>IFERROR(__xludf.DUMMYFUNCTION("""COMPUTED_VALUE"""),"E")</f>
        <v>E</v>
      </c>
      <c r="G903" s="2005" t="str">
        <f>IFERROR(__xludf.DUMMYFUNCTION("""COMPUTED_VALUE"""),"NN")</f>
        <v>NN</v>
      </c>
      <c r="H903">
        <f>IFERROR(__xludf.DUMMYFUNCTION("""COMPUTED_VALUE"""),29.99)</f>
        <v>29.99</v>
      </c>
      <c r="I903">
        <f>IFERROR(__xludf.DUMMYFUNCTION("""COMPUTED_VALUE"""),29.99)</f>
        <v>29.99</v>
      </c>
      <c r="BD903" s="2006"/>
      <c r="LL903" s="2008"/>
      <c r="LM903" s="2008"/>
      <c r="MX903" s="2007"/>
      <c r="ND903" s="2007"/>
    </row>
    <row r="904">
      <c r="A904" s="2005">
        <f>IFERROR(__xludf.DUMMYFUNCTION("""COMPUTED_VALUE"""),1080328.0)</f>
        <v>1080328</v>
      </c>
      <c r="B904" s="2005">
        <f>IFERROR(__xludf.DUMMYFUNCTION("""COMPUTED_VALUE"""),2502510.0)</f>
        <v>2502510</v>
      </c>
      <c r="C904" s="2005" t="str">
        <f>IFERROR(__xludf.DUMMYFUNCTION("""COMPUTED_VALUE"""),"Folio")</f>
        <v>Folio</v>
      </c>
      <c r="D904" s="2005" t="str">
        <f>IFERROR(__xludf.DUMMYFUNCTION("""COMPUTED_VALUE"""),"Bamboo Slate Large Gris")</f>
        <v>Bamboo Slate Large Gris</v>
      </c>
      <c r="E904" s="2005" t="str">
        <f>IFERROR(__xludf.DUMMYFUNCTION("""COMPUTED_VALUE"""),"WACOM")</f>
        <v>WACOM</v>
      </c>
      <c r="F904" s="2005" t="str">
        <f>IFERROR(__xludf.DUMMYFUNCTION("""COMPUTED_VALUE"""),"C")</f>
        <v>C</v>
      </c>
      <c r="G904" s="2005" t="str">
        <f>IFERROR(__xludf.DUMMYFUNCTION("""COMPUTED_VALUE"""),"NN")</f>
        <v>NN</v>
      </c>
      <c r="H904" s="2005">
        <f>IFERROR(__xludf.DUMMYFUNCTION("""COMPUTED_VALUE"""),107.99)</f>
        <v>107.99</v>
      </c>
      <c r="I904" s="2005">
        <f>IFERROR(__xludf.DUMMYFUNCTION("""COMPUTED_VALUE"""),107.99)</f>
        <v>107.99</v>
      </c>
      <c r="BD904" s="2006"/>
      <c r="LL904" s="2008"/>
      <c r="LM904" s="2008"/>
      <c r="MX904" s="2007"/>
      <c r="ND904" s="2007"/>
    </row>
    <row r="905">
      <c r="A905" s="2005">
        <f>IFERROR(__xludf.DUMMYFUNCTION("""COMPUTED_VALUE"""),1080332.0)</f>
        <v>1080332</v>
      </c>
      <c r="B905" s="2005">
        <f>IFERROR(__xludf.DUMMYFUNCTION("""COMPUTED_VALUE"""),2502510.0)</f>
        <v>2502510</v>
      </c>
      <c r="C905" s="2005" t="str">
        <f>IFERROR(__xludf.DUMMYFUNCTION("""COMPUTED_VALUE"""),"Folio")</f>
        <v>Folio</v>
      </c>
      <c r="D905" s="2005" t="str">
        <f>IFERROR(__xludf.DUMMYFUNCTION("""COMPUTED_VALUE"""),"Bamboo Slate small Noir")</f>
        <v>Bamboo Slate small Noir</v>
      </c>
      <c r="E905" s="2005" t="str">
        <f>IFERROR(__xludf.DUMMYFUNCTION("""COMPUTED_VALUE"""),"WACOM")</f>
        <v>WACOM</v>
      </c>
      <c r="F905" s="2005" t="str">
        <f>IFERROR(__xludf.DUMMYFUNCTION("""COMPUTED_VALUE"""),"E")</f>
        <v>E</v>
      </c>
      <c r="G905" s="2005" t="str">
        <f>IFERROR(__xludf.DUMMYFUNCTION("""COMPUTED_VALUE"""),"NN")</f>
        <v>NN</v>
      </c>
      <c r="H905" s="2005">
        <f>IFERROR(__xludf.DUMMYFUNCTION("""COMPUTED_VALUE"""),92.99)</f>
        <v>92.99</v>
      </c>
      <c r="I905" s="2005">
        <f>IFERROR(__xludf.DUMMYFUNCTION("""COMPUTED_VALUE"""),92.99)</f>
        <v>92.99</v>
      </c>
      <c r="BD905" s="2006"/>
      <c r="LL905" s="2008"/>
      <c r="LM905" s="2008"/>
      <c r="MX905" s="2007"/>
      <c r="ND905" s="2007"/>
    </row>
    <row r="906">
      <c r="A906" s="2005">
        <f>IFERROR(__xludf.DUMMYFUNCTION("""COMPUTED_VALUE"""),1080700.0)</f>
        <v>1080700</v>
      </c>
      <c r="B906" s="2005">
        <f>IFERROR(__xludf.DUMMYFUNCTION("""COMPUTED_VALUE"""),2704515.0)</f>
        <v>2704515</v>
      </c>
      <c r="C906" s="2005" t="str">
        <f>IFERROR(__xludf.DUMMYFUNCTION("""COMPUTED_VALUE"""),"Calc-Scient")</f>
        <v>Calc-Scient</v>
      </c>
      <c r="D906" s="2005" t="str">
        <f>IFERROR(__xludf.DUMMYFUNCTION("""COMPUTED_VALUE"""),"TI-36X Pro")</f>
        <v>TI-36X Pro</v>
      </c>
      <c r="E906" s="2005" t="str">
        <f>IFERROR(__xludf.DUMMYFUNCTION("""COMPUTED_VALUE"""),"TEXAS INSTRUMENTS")</f>
        <v>TEXAS INSTRUMENTS</v>
      </c>
      <c r="F906" s="2005" t="str">
        <f>IFERROR(__xludf.DUMMYFUNCTION("""COMPUTED_VALUE"""),"H")</f>
        <v>H</v>
      </c>
      <c r="G906" s="2005" t="str">
        <f>IFERROR(__xludf.DUMMYFUNCTION("""COMPUTED_VALUE"""),"AC")</f>
        <v>AC</v>
      </c>
      <c r="H906" s="2005">
        <f>IFERROR(__xludf.DUMMYFUNCTION("""COMPUTED_VALUE"""),26.8)</f>
        <v>26.8</v>
      </c>
      <c r="I906" s="2005">
        <f>IFERROR(__xludf.DUMMYFUNCTION("""COMPUTED_VALUE"""),26.8)</f>
        <v>26.8</v>
      </c>
      <c r="BD906" s="2006"/>
      <c r="LL906" s="2007"/>
      <c r="LM906" s="2008"/>
      <c r="MX906" s="2007"/>
      <c r="ND906" s="2007"/>
    </row>
    <row r="907">
      <c r="A907" s="2005">
        <f>IFERROR(__xludf.DUMMYFUNCTION("""COMPUTED_VALUE"""),1080702.0)</f>
        <v>1080702</v>
      </c>
      <c r="B907" s="2005">
        <f>IFERROR(__xludf.DUMMYFUNCTION("""COMPUTED_VALUE"""),2704515.0)</f>
        <v>2704515</v>
      </c>
      <c r="C907" s="2005" t="str">
        <f>IFERROR(__xludf.DUMMYFUNCTION("""COMPUTED_VALUE"""),"Calc-Scient")</f>
        <v>Calc-Scient</v>
      </c>
      <c r="D907" s="2005" t="str">
        <f>IFERROR(__xludf.DUMMYFUNCTION("""COMPUTED_VALUE"""),"TI-82 Advanced")</f>
        <v>TI-82 Advanced</v>
      </c>
      <c r="E907" s="2005" t="str">
        <f>IFERROR(__xludf.DUMMYFUNCTION("""COMPUTED_VALUE"""),"TEXAS INSTRUMENTS")</f>
        <v>TEXAS INSTRUMENTS</v>
      </c>
      <c r="F907" s="2005" t="str">
        <f>IFERROR(__xludf.DUMMYFUNCTION("""COMPUTED_VALUE"""),"H")</f>
        <v>H</v>
      </c>
      <c r="G907" s="2005" t="str">
        <f>IFERROR(__xludf.DUMMYFUNCTION("""COMPUTED_VALUE"""),"AC")</f>
        <v>AC</v>
      </c>
      <c r="H907" s="2005">
        <f>IFERROR(__xludf.DUMMYFUNCTION("""COMPUTED_VALUE"""),63.99)</f>
        <v>63.99</v>
      </c>
      <c r="I907" s="2005">
        <f>IFERROR(__xludf.DUMMYFUNCTION("""COMPUTED_VALUE"""),63.99)</f>
        <v>63.99</v>
      </c>
      <c r="BD907" s="2006"/>
      <c r="LL907" s="2007"/>
      <c r="LM907" s="2008"/>
      <c r="MX907" s="2007"/>
      <c r="ND907" s="2007"/>
    </row>
    <row r="908">
      <c r="A908" s="2005">
        <f>IFERROR(__xludf.DUMMYFUNCTION("""COMPUTED_VALUE"""),1081294.0)</f>
        <v>1081294</v>
      </c>
      <c r="B908" s="2005">
        <f>IFERROR(__xludf.DUMMYFUNCTION("""COMPUTED_VALUE"""),2402015.0)</f>
        <v>2402015</v>
      </c>
      <c r="C908" s="2005" t="str">
        <f>IFERROR(__xludf.DUMMYFUNCTION("""COMPUTED_VALUE"""),"Papier")</f>
        <v>Papier</v>
      </c>
      <c r="D908" s="2005" t="str">
        <f>IFERROR(__xludf.DUMMYFUNCTION("""COMPUTED_VALUE"""),"W2G60A-10x13cm-25f-265g/m² Snapshot")</f>
        <v>W2G60A-10x13cm-25f-265g/m² Snapshot</v>
      </c>
      <c r="E908" s="2005" t="str">
        <f>IFERROR(__xludf.DUMMYFUNCTION("""COMPUTED_VALUE"""),"HP")</f>
        <v>HP</v>
      </c>
      <c r="F908" s="2005" t="str">
        <f>IFERROR(__xludf.DUMMYFUNCTION("""COMPUTED_VALUE"""),"A")</f>
        <v>A</v>
      </c>
      <c r="G908" s="2005" t="str">
        <f>IFERROR(__xludf.DUMMYFUNCTION("""COMPUTED_VALUE"""),"FI")</f>
        <v>FI</v>
      </c>
      <c r="H908" s="2005">
        <f>IFERROR(__xludf.DUMMYFUNCTION("""COMPUTED_VALUE"""),4.99)</f>
        <v>4.99</v>
      </c>
      <c r="I908" s="2005">
        <f>IFERROR(__xludf.DUMMYFUNCTION("""COMPUTED_VALUE"""),4.99)</f>
        <v>4.99</v>
      </c>
      <c r="BD908" s="2006"/>
      <c r="LL908" s="2008"/>
      <c r="LM908" s="2007"/>
      <c r="MX908" s="2007"/>
      <c r="ND908" s="2007"/>
    </row>
    <row r="909">
      <c r="A909" s="2005">
        <f>IFERROR(__xludf.DUMMYFUNCTION("""COMPUTED_VALUE"""),1081299.0)</f>
        <v>1081299</v>
      </c>
      <c r="B909" s="2005">
        <f>IFERROR(__xludf.DUMMYFUNCTION("""COMPUTED_VALUE"""),2403005.0)</f>
        <v>2403005</v>
      </c>
      <c r="C909" s="2005" t="str">
        <f>IFERROR(__xludf.DUMMYFUNCTION("""COMPUTED_VALUE"""),"Cartouche")</f>
        <v>Cartouche</v>
      </c>
      <c r="D909" s="2005" t="str">
        <f>IFERROR(__xludf.DUMMYFUNCTION("""COMPUTED_VALUE"""),"3 Recharges universelles noire+solvant")</f>
        <v>3 Recharges universelles noire+solvant</v>
      </c>
      <c r="E909" s="2005" t="str">
        <f>IFERROR(__xludf.DUMMYFUNCTION("""COMPUTED_VALUE"""),"EQUAL'INK")</f>
        <v>EQUAL'INK</v>
      </c>
      <c r="F909" s="2005" t="str">
        <f>IFERROR(__xludf.DUMMYFUNCTION("""COMPUTED_VALUE"""),"C")</f>
        <v>C</v>
      </c>
      <c r="G909" s="2005" t="str">
        <f>IFERROR(__xludf.DUMMYFUNCTION("""COMPUTED_VALUE"""),"FF")</f>
        <v>FF</v>
      </c>
      <c r="H909" s="2005">
        <f>IFERROR(__xludf.DUMMYFUNCTION("""COMPUTED_VALUE"""),9.99)</f>
        <v>9.99</v>
      </c>
      <c r="I909" s="2005">
        <f>IFERROR(__xludf.DUMMYFUNCTION("""COMPUTED_VALUE"""),9.99)</f>
        <v>9.99</v>
      </c>
      <c r="BD909" s="2006"/>
      <c r="LL909" s="2007"/>
      <c r="LM909" s="2008"/>
      <c r="MX909" s="2007"/>
      <c r="ND909" s="2008"/>
    </row>
    <row r="910">
      <c r="A910" s="2005">
        <f>IFERROR(__xludf.DUMMYFUNCTION("""COMPUTED_VALUE"""),1081300.0)</f>
        <v>1081300</v>
      </c>
      <c r="B910" s="2005">
        <f>IFERROR(__xludf.DUMMYFUNCTION("""COMPUTED_VALUE"""),2403005.0)</f>
        <v>2403005</v>
      </c>
      <c r="C910" s="2005" t="str">
        <f>IFERROR(__xludf.DUMMYFUNCTION("""COMPUTED_VALUE"""),"Cartouche")</f>
        <v>Cartouche</v>
      </c>
      <c r="D910" s="2005" t="str">
        <f>IFERROR(__xludf.DUMMYFUNCTION("""COMPUTED_VALUE"""),"4 Recharges universelles couleur+solvant")</f>
        <v>4 Recharges universelles couleur+solvant</v>
      </c>
      <c r="E910" s="2005" t="str">
        <f>IFERROR(__xludf.DUMMYFUNCTION("""COMPUTED_VALUE"""),"EQUAL'INK")</f>
        <v>EQUAL'INK</v>
      </c>
      <c r="F910" s="2005" t="str">
        <f>IFERROR(__xludf.DUMMYFUNCTION("""COMPUTED_VALUE"""),"C")</f>
        <v>C</v>
      </c>
      <c r="G910" s="2005" t="str">
        <f>IFERROR(__xludf.DUMMYFUNCTION("""COMPUTED_VALUE"""),"FI")</f>
        <v>FI</v>
      </c>
      <c r="H910" s="2005">
        <f>IFERROR(__xludf.DUMMYFUNCTION("""COMPUTED_VALUE"""),14.99)</f>
        <v>14.99</v>
      </c>
      <c r="I910" s="2005">
        <f>IFERROR(__xludf.DUMMYFUNCTION("""COMPUTED_VALUE"""),14.99)</f>
        <v>14.99</v>
      </c>
      <c r="BD910" s="2006"/>
      <c r="LL910" s="2007"/>
      <c r="LM910" s="2007"/>
      <c r="MX910" s="2007"/>
      <c r="ND910" s="2007"/>
    </row>
    <row r="911">
      <c r="A911" s="2005">
        <f>IFERROR(__xludf.DUMMYFUNCTION("""COMPUTED_VALUE"""),1081444.0)</f>
        <v>1081444</v>
      </c>
      <c r="B911" s="2005">
        <f>IFERROR(__xludf.DUMMYFUNCTION("""COMPUTED_VALUE"""),2403005.0)</f>
        <v>2403005</v>
      </c>
      <c r="C911" s="2005" t="str">
        <f>IFERROR(__xludf.DUMMYFUNCTION("""COMPUTED_VALUE"""),"Pack")</f>
        <v>Pack</v>
      </c>
      <c r="D911" s="2005" t="str">
        <f>IFERROR(__xludf.DUMMYFUNCTION("""COMPUTED_VALUE"""),"302 noire + 3couleurs")</f>
        <v>302 noire + 3couleurs</v>
      </c>
      <c r="E911" s="2005" t="str">
        <f>IFERROR(__xludf.DUMMYFUNCTION("""COMPUTED_VALUE"""),"HP")</f>
        <v>HP</v>
      </c>
      <c r="F911" s="2005" t="str">
        <f>IFERROR(__xludf.DUMMYFUNCTION("""COMPUTED_VALUE"""),"A")</f>
        <v>A</v>
      </c>
      <c r="G911" s="2005" t="str">
        <f>IFERROR(__xludf.DUMMYFUNCTION("""COMPUTED_VALUE"""),"AC")</f>
        <v>AC</v>
      </c>
      <c r="H911">
        <f>IFERROR(__xludf.DUMMYFUNCTION("""COMPUTED_VALUE"""),44.99)</f>
        <v>44.99</v>
      </c>
      <c r="I911">
        <f>IFERROR(__xludf.DUMMYFUNCTION("""COMPUTED_VALUE"""),44.99)</f>
        <v>44.99</v>
      </c>
      <c r="BD911" s="2006"/>
      <c r="LL911" s="2007"/>
      <c r="LM911" s="2007"/>
      <c r="MX911" s="2007"/>
      <c r="ND911" s="2007"/>
    </row>
    <row r="912">
      <c r="A912" s="2005">
        <f>IFERROR(__xludf.DUMMYFUNCTION("""COMPUTED_VALUE"""),1081514.0)</f>
        <v>1081514</v>
      </c>
      <c r="B912" s="2005">
        <f>IFERROR(__xludf.DUMMYFUNCTION("""COMPUTED_VALUE"""),2209805.0)</f>
        <v>2209805</v>
      </c>
      <c r="C912" s="2005" t="str">
        <f>IFERROR(__xludf.DUMMYFUNCTION("""COMPUTED_VALUE"""),"Lot")</f>
        <v>Lot</v>
      </c>
      <c r="D912" s="2005" t="str">
        <f>IFERROR(__xludf.DUMMYFUNCTION("""COMPUTED_VALUE"""),"Office Jet 200 + cartouche N°62 Noire")</f>
        <v>Office Jet 200 + cartouche N°62 Noire</v>
      </c>
      <c r="E912" s="2005" t="str">
        <f>IFERROR(__xludf.DUMMYFUNCTION("""COMPUTED_VALUE"""),"HP")</f>
        <v>HP</v>
      </c>
      <c r="F912" s="2005" t="str">
        <f>IFERROR(__xludf.DUMMYFUNCTION("""COMPUTED_VALUE"""),"H")</f>
        <v>H</v>
      </c>
      <c r="G912" s="2005" t="str">
        <f>IFERROR(__xludf.DUMMYFUNCTION("""COMPUTED_VALUE"""),"NN")</f>
        <v>NN</v>
      </c>
      <c r="H912" s="2005">
        <f>IFERROR(__xludf.DUMMYFUNCTION("""COMPUTED_VALUE"""),326.81)</f>
        <v>326.81</v>
      </c>
      <c r="I912" s="2005">
        <f>IFERROR(__xludf.DUMMYFUNCTION("""COMPUTED_VALUE"""),326.81)</f>
        <v>326.81</v>
      </c>
      <c r="BD912" s="2006"/>
      <c r="LL912" s="2007"/>
      <c r="LM912" s="2007"/>
      <c r="MX912" s="2007"/>
      <c r="ND912" s="2007"/>
    </row>
    <row r="913">
      <c r="A913" s="2005">
        <f>IFERROR(__xludf.DUMMYFUNCTION("""COMPUTED_VALUE"""),1081515.0)</f>
        <v>1081515</v>
      </c>
      <c r="B913" s="2005">
        <f>IFERROR(__xludf.DUMMYFUNCTION("""COMPUTED_VALUE"""),2209805.0)</f>
        <v>2209805</v>
      </c>
      <c r="C913" s="2005" t="str">
        <f>IFERROR(__xludf.DUMMYFUNCTION("""COMPUTED_VALUE"""),"Lot")</f>
        <v>Lot</v>
      </c>
      <c r="D913" s="2005" t="str">
        <f>IFERROR(__xludf.DUMMYFUNCTION("""COMPUTED_VALUE"""),"Office Jet 250 + cartouche N°62 Noire")</f>
        <v>Office Jet 250 + cartouche N°62 Noire</v>
      </c>
      <c r="E913" s="2005" t="str">
        <f>IFERROR(__xludf.DUMMYFUNCTION("""COMPUTED_VALUE"""),"HP")</f>
        <v>HP</v>
      </c>
      <c r="F913" s="2005" t="str">
        <f>IFERROR(__xludf.DUMMYFUNCTION("""COMPUTED_VALUE"""),"W")</f>
        <v>W</v>
      </c>
      <c r="G913" s="2005" t="str">
        <f>IFERROR(__xludf.DUMMYFUNCTION("""COMPUTED_VALUE"""),"NN")</f>
        <v>NN</v>
      </c>
      <c r="H913" s="2005">
        <f>IFERROR(__xludf.DUMMYFUNCTION("""COMPUTED_VALUE"""),402.81)</f>
        <v>402.81</v>
      </c>
      <c r="I913" s="2005">
        <f>IFERROR(__xludf.DUMMYFUNCTION("""COMPUTED_VALUE"""),402.81)</f>
        <v>402.81</v>
      </c>
      <c r="BD913" s="2006"/>
      <c r="LL913" s="2007"/>
      <c r="LM913" s="2007"/>
      <c r="MX913" s="2007"/>
      <c r="ND913" s="2007"/>
    </row>
    <row r="914">
      <c r="A914" s="2005">
        <f>IFERROR(__xludf.DUMMYFUNCTION("""COMPUTED_VALUE"""),1081517.0)</f>
        <v>1081517</v>
      </c>
      <c r="B914" s="2005">
        <f>IFERROR(__xludf.DUMMYFUNCTION("""COMPUTED_VALUE"""),2402045.0)</f>
        <v>2402045</v>
      </c>
      <c r="C914" s="2005" t="str">
        <f>IFERROR(__xludf.DUMMYFUNCTION("""COMPUTED_VALUE"""),"Etiquette")</f>
        <v>Etiquette</v>
      </c>
      <c r="D914" s="2005" t="str">
        <f>IFERROR(__xludf.DUMMYFUNCTION("""COMPUTED_VALUE"""),"Ruban pré-découpé 50.8x25.4mm")</f>
        <v>Ruban pré-découpé 50.8x25.4mm</v>
      </c>
      <c r="E914" s="2005" t="str">
        <f>IFERROR(__xludf.DUMMYFUNCTION("""COMPUTED_VALUE"""),"BROTHER")</f>
        <v>BROTHER</v>
      </c>
      <c r="F914" s="2005" t="str">
        <f>IFERROR(__xludf.DUMMYFUNCTION("""COMPUTED_VALUE"""),"H")</f>
        <v>H</v>
      </c>
      <c r="G914" s="2005" t="str">
        <f>IFERROR(__xludf.DUMMYFUNCTION("""COMPUTED_VALUE"""),"NN")</f>
        <v>NN</v>
      </c>
      <c r="H914" s="2005">
        <f>IFERROR(__xludf.DUMMYFUNCTION("""COMPUTED_VALUE"""),9.99)</f>
        <v>9.99</v>
      </c>
      <c r="I914" s="2005">
        <f>IFERROR(__xludf.DUMMYFUNCTION("""COMPUTED_VALUE"""),9.99)</f>
        <v>9.99</v>
      </c>
      <c r="BD914" s="2006"/>
      <c r="LL914" s="2007"/>
      <c r="LM914" s="2007"/>
      <c r="MX914" s="2007"/>
      <c r="ND914" s="2007"/>
    </row>
    <row r="915">
      <c r="A915" s="2005">
        <f>IFERROR(__xludf.DUMMYFUNCTION("""COMPUTED_VALUE"""),1081526.0)</f>
        <v>1081526</v>
      </c>
      <c r="B915" s="2005">
        <f>IFERROR(__xludf.DUMMYFUNCTION("""COMPUTED_VALUE"""),2502012.0)</f>
        <v>2502012</v>
      </c>
      <c r="C915" s="2005" t="str">
        <f>IFERROR(__xludf.DUMMYFUNCTION("""COMPUTED_VALUE"""),"Tablette Graph")</f>
        <v>Tablette Graph</v>
      </c>
      <c r="D915" s="2005" t="str">
        <f>IFERROR(__xludf.DUMMYFUNCTION("""COMPUTED_VALUE"""),"Slate")</f>
        <v>Slate</v>
      </c>
      <c r="E915" s="2005" t="str">
        <f>IFERROR(__xludf.DUMMYFUNCTION("""COMPUTED_VALUE"""),"ISKN")</f>
        <v>ISKN</v>
      </c>
      <c r="F915" s="2005" t="str">
        <f>IFERROR(__xludf.DUMMYFUNCTION("""COMPUTED_VALUE"""),"A")</f>
        <v>A</v>
      </c>
      <c r="G915" s="2005" t="str">
        <f>IFERROR(__xludf.DUMMYFUNCTION("""COMPUTED_VALUE"""),"NN")</f>
        <v>NN</v>
      </c>
      <c r="H915" s="2005">
        <f>IFERROR(__xludf.DUMMYFUNCTION("""COMPUTED_VALUE"""),129.99)</f>
        <v>129.99</v>
      </c>
      <c r="I915" s="2005">
        <f>IFERROR(__xludf.DUMMYFUNCTION("""COMPUTED_VALUE"""),129.99)</f>
        <v>129.99</v>
      </c>
      <c r="BD915" s="2006"/>
      <c r="LL915" s="2007"/>
      <c r="LM915" s="2007"/>
      <c r="MX915" s="2007"/>
      <c r="ND915" s="2007"/>
    </row>
    <row r="916">
      <c r="A916" s="2005">
        <f>IFERROR(__xludf.DUMMYFUNCTION("""COMPUTED_VALUE"""),1081527.0)</f>
        <v>1081527</v>
      </c>
      <c r="B916" s="2005">
        <f>IFERROR(__xludf.DUMMYFUNCTION("""COMPUTED_VALUE"""),2502012.0)</f>
        <v>2502012</v>
      </c>
      <c r="C916" s="2005" t="str">
        <f>IFERROR(__xludf.DUMMYFUNCTION("""COMPUTED_VALUE"""),"Stylo")</f>
        <v>Stylo</v>
      </c>
      <c r="D916" s="2005" t="str">
        <f>IFERROR(__xludf.DUMMYFUNCTION("""COMPUTED_VALUE"""),"Pack stylo")</f>
        <v>Pack stylo</v>
      </c>
      <c r="E916" s="2005" t="str">
        <f>IFERROR(__xludf.DUMMYFUNCTION("""COMPUTED_VALUE"""),"ISKN")</f>
        <v>ISKN</v>
      </c>
      <c r="F916" s="2005" t="str">
        <f>IFERROR(__xludf.DUMMYFUNCTION("""COMPUTED_VALUE"""),"H")</f>
        <v>H</v>
      </c>
      <c r="G916" s="2005" t="str">
        <f>IFERROR(__xludf.DUMMYFUNCTION("""COMPUTED_VALUE"""),"NN")</f>
        <v>NN</v>
      </c>
      <c r="H916" s="2005">
        <f>IFERROR(__xludf.DUMMYFUNCTION("""COMPUTED_VALUE"""),14.99)</f>
        <v>14.99</v>
      </c>
      <c r="I916" s="2005">
        <f>IFERROR(__xludf.DUMMYFUNCTION("""COMPUTED_VALUE"""),14.99)</f>
        <v>14.99</v>
      </c>
      <c r="BD916" s="2006"/>
      <c r="LL916" s="2007"/>
      <c r="LM916" s="2007"/>
      <c r="MX916" s="2007"/>
      <c r="ND916" s="2007"/>
    </row>
    <row r="917">
      <c r="A917" s="2005">
        <f>IFERROR(__xludf.DUMMYFUNCTION("""COMPUTED_VALUE"""),1081549.0)</f>
        <v>1081549</v>
      </c>
      <c r="B917" s="2005">
        <f>IFERROR(__xludf.DUMMYFUNCTION("""COMPUTED_VALUE"""),2202005.0)</f>
        <v>2202005</v>
      </c>
      <c r="C917" s="2005" t="str">
        <f>IFERROR(__xludf.DUMMYFUNCTION("""COMPUTED_VALUE"""),"Multi Jet d'enc")</f>
        <v>Multi Jet d'enc</v>
      </c>
      <c r="D917" s="2005" t="str">
        <f>IFERROR(__xludf.DUMMYFUNCTION("""COMPUTED_VALUE"""),"OfficeJet Pro 7740")</f>
        <v>OfficeJet Pro 7740</v>
      </c>
      <c r="E917" s="2005" t="str">
        <f>IFERROR(__xludf.DUMMYFUNCTION("""COMPUTED_VALUE"""),"HP")</f>
        <v>HP</v>
      </c>
      <c r="F917" s="2005" t="str">
        <f>IFERROR(__xludf.DUMMYFUNCTION("""COMPUTED_VALUE"""),"B")</f>
        <v>B</v>
      </c>
      <c r="G917" s="2005" t="str">
        <f>IFERROR(__xludf.DUMMYFUNCTION("""COMPUTED_VALUE"""),"AC")</f>
        <v>AC</v>
      </c>
      <c r="H917">
        <f>IFERROR(__xludf.DUMMYFUNCTION("""COMPUTED_VALUE"""),369.99)</f>
        <v>369.99</v>
      </c>
      <c r="I917">
        <f>IFERROR(__xludf.DUMMYFUNCTION("""COMPUTED_VALUE"""),369.99)</f>
        <v>369.99</v>
      </c>
      <c r="BD917" s="2006"/>
      <c r="LL917" s="2007"/>
      <c r="LM917" s="2007"/>
      <c r="MX917" s="2007"/>
      <c r="ND917" s="2007"/>
    </row>
    <row r="918">
      <c r="A918" s="2005">
        <f>IFERROR(__xludf.DUMMYFUNCTION("""COMPUTED_VALUE"""),1082220.0)</f>
        <v>1082220</v>
      </c>
      <c r="B918" s="2005">
        <f>IFERROR(__xludf.DUMMYFUNCTION("""COMPUTED_VALUE"""),2502015.0)</f>
        <v>2502015</v>
      </c>
      <c r="C918" s="2005" t="str">
        <f>IFERROR(__xludf.DUMMYFUNCTION("""COMPUTED_VALUE"""),"Clavier + Etui")</f>
        <v>Clavier + Etui</v>
      </c>
      <c r="D918" s="2005" t="str">
        <f>IFERROR(__xludf.DUMMYFUNCTION("""COMPUTED_VALUE"""),"Create 9,7'' Backlit")</f>
        <v>Create 9,7'' Backlit</v>
      </c>
      <c r="E918" s="2005" t="str">
        <f>IFERROR(__xludf.DUMMYFUNCTION("""COMPUTED_VALUE"""),"LOGITECH")</f>
        <v>LOGITECH</v>
      </c>
      <c r="F918" s="2005" t="str">
        <f>IFERROR(__xludf.DUMMYFUNCTION("""COMPUTED_VALUE"""),"C")</f>
        <v>C</v>
      </c>
      <c r="G918" s="2005" t="str">
        <f>IFERROR(__xludf.DUMMYFUNCTION("""COMPUTED_VALUE"""),"NN")</f>
        <v>NN</v>
      </c>
      <c r="H918">
        <f>IFERROR(__xludf.DUMMYFUNCTION("""COMPUTED_VALUE"""),84.99)</f>
        <v>84.99</v>
      </c>
      <c r="I918">
        <f>IFERROR(__xludf.DUMMYFUNCTION("""COMPUTED_VALUE"""),84.99)</f>
        <v>84.99</v>
      </c>
      <c r="BD918" s="2006"/>
      <c r="LL918" s="2007"/>
      <c r="LM918" s="2007"/>
      <c r="MX918" s="2007"/>
      <c r="ND918" s="2007"/>
    </row>
    <row r="919">
      <c r="A919" s="2005">
        <f>IFERROR(__xludf.DUMMYFUNCTION("""COMPUTED_VALUE"""),1082310.0)</f>
        <v>1082310</v>
      </c>
      <c r="B919" s="2005">
        <f>IFERROR(__xludf.DUMMYFUNCTION("""COMPUTED_VALUE"""),2209805.0)</f>
        <v>2209805</v>
      </c>
      <c r="C919" s="2005" t="str">
        <f>IFERROR(__xludf.DUMMYFUNCTION("""COMPUTED_VALUE"""),"Lot")</f>
        <v>Lot</v>
      </c>
      <c r="D919" s="2005" t="str">
        <f>IFERROR(__xludf.DUMMYFUNCTION("""COMPUTED_VALUE"""),"Office Jet Pro 7740+cartouche N953 Noire")</f>
        <v>Office Jet Pro 7740+cartouche N953 Noire</v>
      </c>
      <c r="E919" s="2005" t="str">
        <f>IFERROR(__xludf.DUMMYFUNCTION("""COMPUTED_VALUE"""),"HP")</f>
        <v>HP</v>
      </c>
      <c r="F919" s="2005" t="str">
        <f>IFERROR(__xludf.DUMMYFUNCTION("""COMPUTED_VALUE"""),"H")</f>
        <v>H</v>
      </c>
      <c r="G919" s="2005" t="str">
        <f>IFERROR(__xludf.DUMMYFUNCTION("""COMPUTED_VALUE"""),"AC")</f>
        <v>AC</v>
      </c>
      <c r="H919" s="2005">
        <f>IFERROR(__xludf.DUMMYFUNCTION("""COMPUTED_VALUE"""),412.98)</f>
        <v>412.98</v>
      </c>
      <c r="I919" s="2005">
        <f>IFERROR(__xludf.DUMMYFUNCTION("""COMPUTED_VALUE"""),412.98)</f>
        <v>412.98</v>
      </c>
      <c r="BD919" s="2006"/>
      <c r="LL919" s="2007"/>
      <c r="LM919" s="2007"/>
      <c r="MX919" s="2007"/>
      <c r="ND919" s="2007"/>
    </row>
    <row r="920">
      <c r="A920" s="2005">
        <f>IFERROR(__xludf.DUMMYFUNCTION("""COMPUTED_VALUE"""),1082744.0)</f>
        <v>1082744</v>
      </c>
      <c r="B920" s="2005">
        <f>IFERROR(__xludf.DUMMYFUNCTION("""COMPUTED_VALUE"""),2402005.0)</f>
        <v>2402005</v>
      </c>
      <c r="C920" s="2005" t="str">
        <f>IFERROR(__xludf.DUMMYFUNCTION("""COMPUTED_VALUE"""),"Papier")</f>
        <v>Papier</v>
      </c>
      <c r="D920" s="2005" t="str">
        <f>IFERROR(__xludf.DUMMYFUNCTION("""COMPUTED_VALUE"""),"x20 High Gloss Ultra Pre 280g 10x15")</f>
        <v>x20 High Gloss Ultra Pre 280g 10x15</v>
      </c>
      <c r="E920" s="2005" t="str">
        <f>IFERROR(__xludf.DUMMYFUNCTION("""COMPUTED_VALUE"""),"KODAK")</f>
        <v>KODAK</v>
      </c>
      <c r="F920" s="2005" t="str">
        <f>IFERROR(__xludf.DUMMYFUNCTION("""COMPUTED_VALUE"""),"H")</f>
        <v>H</v>
      </c>
      <c r="G920" s="2005" t="str">
        <f>IFERROR(__xludf.DUMMYFUNCTION("""COMPUTED_VALUE"""),"NN")</f>
        <v>NN</v>
      </c>
      <c r="H920" s="2005">
        <f>IFERROR(__xludf.DUMMYFUNCTION("""COMPUTED_VALUE"""),11.99)</f>
        <v>11.99</v>
      </c>
      <c r="I920" s="2005">
        <f>IFERROR(__xludf.DUMMYFUNCTION("""COMPUTED_VALUE"""),11.99)</f>
        <v>11.99</v>
      </c>
      <c r="BD920" s="2006"/>
      <c r="LM920" s="2007"/>
    </row>
    <row r="921">
      <c r="A921" s="2005">
        <f>IFERROR(__xludf.DUMMYFUNCTION("""COMPUTED_VALUE"""),1082877.0)</f>
        <v>1082877</v>
      </c>
      <c r="B921" s="2005">
        <f>IFERROR(__xludf.DUMMYFUNCTION("""COMPUTED_VALUE"""),2403006.0)</f>
        <v>2403006</v>
      </c>
      <c r="C921" s="2005" t="str">
        <f>IFERROR(__xludf.DUMMYFUNCTION("""COMPUTED_VALUE"""),"Cartouche")</f>
        <v>Cartouche</v>
      </c>
      <c r="D921" s="2005" t="str">
        <f>IFERROR(__xludf.DUMMYFUNCTION("""COMPUTED_VALUE"""),"ABS Blanc 2.85mm")</f>
        <v>ABS Blanc 2.85mm</v>
      </c>
      <c r="E921" s="2005" t="str">
        <f>IFERROR(__xludf.DUMMYFUNCTION("""COMPUTED_VALUE"""),"ULTIMAKER")</f>
        <v>ULTIMAKER</v>
      </c>
      <c r="F921" s="2005" t="str">
        <f>IFERROR(__xludf.DUMMYFUNCTION("""COMPUTED_VALUE"""),"W")</f>
        <v>W</v>
      </c>
      <c r="G921" s="2005" t="str">
        <f>IFERROR(__xludf.DUMMYFUNCTION("""COMPUTED_VALUE"""),"NN")</f>
        <v>NN</v>
      </c>
      <c r="H921" s="2005">
        <f>IFERROR(__xludf.DUMMYFUNCTION("""COMPUTED_VALUE"""),39.6)</f>
        <v>39.6</v>
      </c>
      <c r="I921" s="2005">
        <f>IFERROR(__xludf.DUMMYFUNCTION("""COMPUTED_VALUE"""),39.6)</f>
        <v>39.6</v>
      </c>
      <c r="LL921" s="2007"/>
      <c r="LM921" s="2007"/>
      <c r="MX921" s="2007"/>
      <c r="NB921" s="2007"/>
      <c r="ND921" s="2007"/>
    </row>
    <row r="922">
      <c r="A922" s="2005">
        <f>IFERROR(__xludf.DUMMYFUNCTION("""COMPUTED_VALUE"""),1082878.0)</f>
        <v>1082878</v>
      </c>
      <c r="B922" s="2005">
        <f>IFERROR(__xludf.DUMMYFUNCTION("""COMPUTED_VALUE"""),2403006.0)</f>
        <v>2403006</v>
      </c>
      <c r="C922" s="2005" t="str">
        <f>IFERROR(__xludf.DUMMYFUNCTION("""COMPUTED_VALUE"""),"Cartouche")</f>
        <v>Cartouche</v>
      </c>
      <c r="D922" s="2005" t="str">
        <f>IFERROR(__xludf.DUMMYFUNCTION("""COMPUTED_VALUE"""),"ABS Bleu 2.85mm")</f>
        <v>ABS Bleu 2.85mm</v>
      </c>
      <c r="E922" s="2005" t="str">
        <f>IFERROR(__xludf.DUMMYFUNCTION("""COMPUTED_VALUE"""),"ULTIMAKER")</f>
        <v>ULTIMAKER</v>
      </c>
      <c r="F922" s="2005" t="str">
        <f>IFERROR(__xludf.DUMMYFUNCTION("""COMPUTED_VALUE"""),"H")</f>
        <v>H</v>
      </c>
      <c r="G922" s="2005" t="str">
        <f>IFERROR(__xludf.DUMMYFUNCTION("""COMPUTED_VALUE"""),"NN")</f>
        <v>NN</v>
      </c>
      <c r="H922" s="2005">
        <f>IFERROR(__xludf.DUMMYFUNCTION("""COMPUTED_VALUE"""),39.6)</f>
        <v>39.6</v>
      </c>
      <c r="I922" s="2005">
        <f>IFERROR(__xludf.DUMMYFUNCTION("""COMPUTED_VALUE"""),39.6)</f>
        <v>39.6</v>
      </c>
      <c r="BD922" s="2006"/>
      <c r="LL922" s="2007"/>
      <c r="LM922" s="2007"/>
      <c r="MX922" s="2007"/>
      <c r="ND922" s="2007"/>
    </row>
    <row r="923">
      <c r="A923" s="2005">
        <f>IFERROR(__xludf.DUMMYFUNCTION("""COMPUTED_VALUE"""),1082889.0)</f>
        <v>1082889</v>
      </c>
      <c r="B923" s="2005">
        <f>IFERROR(__xludf.DUMMYFUNCTION("""COMPUTED_VALUE"""),2403006.0)</f>
        <v>2403006</v>
      </c>
      <c r="C923" s="2005" t="str">
        <f>IFERROR(__xludf.DUMMYFUNCTION("""COMPUTED_VALUE"""),"Cartouche")</f>
        <v>Cartouche</v>
      </c>
      <c r="D923" s="2005" t="str">
        <f>IFERROR(__xludf.DUMMYFUNCTION("""COMPUTED_VALUE"""),"ABS Bleu ciel 2.85mm")</f>
        <v>ABS Bleu ciel 2.85mm</v>
      </c>
      <c r="E923" s="2005" t="str">
        <f>IFERROR(__xludf.DUMMYFUNCTION("""COMPUTED_VALUE"""),"NEOFIL3D")</f>
        <v>NEOFIL3D</v>
      </c>
      <c r="F923" s="2005" t="str">
        <f>IFERROR(__xludf.DUMMYFUNCTION("""COMPUTED_VALUE"""),"H")</f>
        <v>H</v>
      </c>
      <c r="G923" s="2005" t="str">
        <f>IFERROR(__xludf.DUMMYFUNCTION("""COMPUTED_VALUE"""),"NN")</f>
        <v>NN</v>
      </c>
      <c r="H923">
        <f>IFERROR(__xludf.DUMMYFUNCTION("""COMPUTED_VALUE"""),26.9)</f>
        <v>26.9</v>
      </c>
      <c r="I923">
        <f>IFERROR(__xludf.DUMMYFUNCTION("""COMPUTED_VALUE"""),26.9)</f>
        <v>26.9</v>
      </c>
      <c r="BD923" s="2006"/>
      <c r="LM923" s="2007"/>
      <c r="MX923" s="2007"/>
      <c r="ND923" s="2007"/>
    </row>
    <row r="924">
      <c r="A924" s="2005">
        <f>IFERROR(__xludf.DUMMYFUNCTION("""COMPUTED_VALUE"""),1082890.0)</f>
        <v>1082890</v>
      </c>
      <c r="B924" s="2005">
        <f>IFERROR(__xludf.DUMMYFUNCTION("""COMPUTED_VALUE"""),2403006.0)</f>
        <v>2403006</v>
      </c>
      <c r="C924" s="2005" t="str">
        <f>IFERROR(__xludf.DUMMYFUNCTION("""COMPUTED_VALUE"""),"Cartouche")</f>
        <v>Cartouche</v>
      </c>
      <c r="D924" s="2005" t="str">
        <f>IFERROR(__xludf.DUMMYFUNCTION("""COMPUTED_VALUE"""),"ABS Vert pomme 2.85mm")</f>
        <v>ABS Vert pomme 2.85mm</v>
      </c>
      <c r="E924" s="2005" t="str">
        <f>IFERROR(__xludf.DUMMYFUNCTION("""COMPUTED_VALUE"""),"NEOFIL3D")</f>
        <v>NEOFIL3D</v>
      </c>
      <c r="F924" s="2005" t="str">
        <f>IFERROR(__xludf.DUMMYFUNCTION("""COMPUTED_VALUE"""),"H")</f>
        <v>H</v>
      </c>
      <c r="G924" s="2005" t="str">
        <f>IFERROR(__xludf.DUMMYFUNCTION("""COMPUTED_VALUE"""),"NN")</f>
        <v>NN</v>
      </c>
      <c r="H924" s="2005">
        <f>IFERROR(__xludf.DUMMYFUNCTION("""COMPUTED_VALUE"""),19.99)</f>
        <v>19.99</v>
      </c>
      <c r="I924">
        <f>IFERROR(__xludf.DUMMYFUNCTION("""COMPUTED_VALUE"""),19.99)</f>
        <v>19.99</v>
      </c>
      <c r="BD924" s="2006"/>
      <c r="LL924" s="2007"/>
      <c r="LM924" s="2007"/>
      <c r="MX924" s="2007"/>
      <c r="ND924" s="2007"/>
    </row>
    <row r="925">
      <c r="A925">
        <f>IFERROR(__xludf.DUMMYFUNCTION("""COMPUTED_VALUE"""),1082892.0)</f>
        <v>1082892</v>
      </c>
      <c r="B925">
        <f>IFERROR(__xludf.DUMMYFUNCTION("""COMPUTED_VALUE"""),2403006.0)</f>
        <v>2403006</v>
      </c>
      <c r="C925" t="str">
        <f>IFERROR(__xludf.DUMMYFUNCTION("""COMPUTED_VALUE"""),"Accessoire")</f>
        <v>Accessoire</v>
      </c>
      <c r="D925" t="str">
        <f>IFERROR(__xludf.DUMMYFUNCTION("""COMPUTED_VALUE"""),"Plateau verre Ultimaker 2/2+/Extended")</f>
        <v>Plateau verre Ultimaker 2/2+/Extended</v>
      </c>
      <c r="E925" t="str">
        <f>IFERROR(__xludf.DUMMYFUNCTION("""COMPUTED_VALUE"""),"ULTIMAKER")</f>
        <v>ULTIMAKER</v>
      </c>
      <c r="F925" t="str">
        <f>IFERROR(__xludf.DUMMYFUNCTION("""COMPUTED_VALUE"""),"W")</f>
        <v>W</v>
      </c>
      <c r="G925" t="str">
        <f>IFERROR(__xludf.DUMMYFUNCTION("""COMPUTED_VALUE"""),"NN")</f>
        <v>NN</v>
      </c>
      <c r="H925">
        <f>IFERROR(__xludf.DUMMYFUNCTION("""COMPUTED_VALUE"""),37.99)</f>
        <v>37.99</v>
      </c>
      <c r="I925">
        <f>IFERROR(__xludf.DUMMYFUNCTION("""COMPUTED_VALUE"""),34.9)</f>
        <v>34.9</v>
      </c>
      <c r="BD925" s="2006"/>
      <c r="LL925" s="2007"/>
      <c r="LM925" s="2007"/>
      <c r="MX925" s="2007"/>
      <c r="ND925" s="2007"/>
    </row>
    <row r="926">
      <c r="A926" s="2005">
        <f>IFERROR(__xludf.DUMMYFUNCTION("""COMPUTED_VALUE"""),1082893.0)</f>
        <v>1082893</v>
      </c>
      <c r="B926" s="2005">
        <f>IFERROR(__xludf.DUMMYFUNCTION("""COMPUTED_VALUE"""),2403006.0)</f>
        <v>2403006</v>
      </c>
      <c r="C926" s="2005" t="str">
        <f>IFERROR(__xludf.DUMMYFUNCTION("""COMPUTED_VALUE"""),"Accessoire")</f>
        <v>Accessoire</v>
      </c>
      <c r="D926" s="2005" t="str">
        <f>IFERROR(__xludf.DUMMYFUNCTION("""COMPUTED_VALUE"""),"Buse laiton 0,25mm")</f>
        <v>Buse laiton 0,25mm</v>
      </c>
      <c r="E926" s="2005" t="str">
        <f>IFERROR(__xludf.DUMMYFUNCTION("""COMPUTED_VALUE"""),"ULTIMAKER")</f>
        <v>ULTIMAKER</v>
      </c>
      <c r="F926" s="2005" t="str">
        <f>IFERROR(__xludf.DUMMYFUNCTION("""COMPUTED_VALUE"""),"W")</f>
        <v>W</v>
      </c>
      <c r="G926" s="2005" t="str">
        <f>IFERROR(__xludf.DUMMYFUNCTION("""COMPUTED_VALUE"""),"NN")</f>
        <v>NN</v>
      </c>
      <c r="H926" s="2005">
        <f>IFERROR(__xludf.DUMMYFUNCTION("""COMPUTED_VALUE"""),9.6)</f>
        <v>9.6</v>
      </c>
      <c r="I926" s="2005">
        <f>IFERROR(__xludf.DUMMYFUNCTION("""COMPUTED_VALUE"""),9.6)</f>
        <v>9.6</v>
      </c>
      <c r="BD926" s="2006"/>
      <c r="LL926" s="2008"/>
      <c r="LM926" s="2007"/>
      <c r="MX926" s="2007"/>
      <c r="ND926" s="2007"/>
    </row>
    <row r="927">
      <c r="A927" s="2005">
        <f>IFERROR(__xludf.DUMMYFUNCTION("""COMPUTED_VALUE"""),1082894.0)</f>
        <v>1082894</v>
      </c>
      <c r="B927" s="2005">
        <f>IFERROR(__xludf.DUMMYFUNCTION("""COMPUTED_VALUE"""),2403006.0)</f>
        <v>2403006</v>
      </c>
      <c r="C927" s="2005" t="str">
        <f>IFERROR(__xludf.DUMMYFUNCTION("""COMPUTED_VALUE"""),"Accessoire")</f>
        <v>Accessoire</v>
      </c>
      <c r="D927" s="2005" t="str">
        <f>IFERROR(__xludf.DUMMYFUNCTION("""COMPUTED_VALUE"""),"Buse laiton 0,40mm")</f>
        <v>Buse laiton 0,40mm</v>
      </c>
      <c r="E927" s="2005" t="str">
        <f>IFERROR(__xludf.DUMMYFUNCTION("""COMPUTED_VALUE"""),"ULTIMAKER")</f>
        <v>ULTIMAKER</v>
      </c>
      <c r="F927" s="2005" t="str">
        <f>IFERROR(__xludf.DUMMYFUNCTION("""COMPUTED_VALUE"""),"W")</f>
        <v>W</v>
      </c>
      <c r="G927" s="2005" t="str">
        <f>IFERROR(__xludf.DUMMYFUNCTION("""COMPUTED_VALUE"""),"NN")</f>
        <v>NN</v>
      </c>
      <c r="H927" s="2005">
        <f>IFERROR(__xludf.DUMMYFUNCTION("""COMPUTED_VALUE"""),9.6)</f>
        <v>9.6</v>
      </c>
      <c r="I927" s="2005">
        <f>IFERROR(__xludf.DUMMYFUNCTION("""COMPUTED_VALUE"""),9.6)</f>
        <v>9.6</v>
      </c>
      <c r="BD927" s="2006"/>
      <c r="LL927" s="2008"/>
      <c r="LM927" s="2007"/>
      <c r="MX927" s="2007"/>
      <c r="ND927" s="2007"/>
    </row>
    <row r="928">
      <c r="A928" s="2005">
        <f>IFERROR(__xludf.DUMMYFUNCTION("""COMPUTED_VALUE"""),1082895.0)</f>
        <v>1082895</v>
      </c>
      <c r="B928" s="2005">
        <f>IFERROR(__xludf.DUMMYFUNCTION("""COMPUTED_VALUE"""),2403006.0)</f>
        <v>2403006</v>
      </c>
      <c r="C928" s="2005" t="str">
        <f>IFERROR(__xludf.DUMMYFUNCTION("""COMPUTED_VALUE"""),"Accessoire")</f>
        <v>Accessoire</v>
      </c>
      <c r="D928" s="2005" t="str">
        <f>IFERROR(__xludf.DUMMYFUNCTION("""COMPUTED_VALUE"""),"Buse laiton 0,80mm")</f>
        <v>Buse laiton 0,80mm</v>
      </c>
      <c r="E928" s="2005" t="str">
        <f>IFERROR(__xludf.DUMMYFUNCTION("""COMPUTED_VALUE"""),"ULTIMAKER")</f>
        <v>ULTIMAKER</v>
      </c>
      <c r="F928" s="2005" t="str">
        <f>IFERROR(__xludf.DUMMYFUNCTION("""COMPUTED_VALUE"""),"W")</f>
        <v>W</v>
      </c>
      <c r="G928" s="2005" t="str">
        <f>IFERROR(__xludf.DUMMYFUNCTION("""COMPUTED_VALUE"""),"NN")</f>
        <v>NN</v>
      </c>
      <c r="H928" s="2005">
        <f>IFERROR(__xludf.DUMMYFUNCTION("""COMPUTED_VALUE"""),9.6)</f>
        <v>9.6</v>
      </c>
      <c r="I928" s="2005">
        <f>IFERROR(__xludf.DUMMYFUNCTION("""COMPUTED_VALUE"""),9.6)</f>
        <v>9.6</v>
      </c>
      <c r="BD928" s="2006"/>
      <c r="LL928" s="2007"/>
      <c r="LM928" s="2007"/>
      <c r="MX928" s="2007"/>
      <c r="ND928" s="2007"/>
    </row>
    <row r="929">
      <c r="A929" s="2005">
        <f>IFERROR(__xludf.DUMMYFUNCTION("""COMPUTED_VALUE"""),1082896.0)</f>
        <v>1082896</v>
      </c>
      <c r="B929" s="2005">
        <f>IFERROR(__xludf.DUMMYFUNCTION("""COMPUTED_VALUE"""),2403006.0)</f>
        <v>2403006</v>
      </c>
      <c r="C929" s="2005" t="str">
        <f>IFERROR(__xludf.DUMMYFUNCTION("""COMPUTED_VALUE"""),"Accessoire")</f>
        <v>Accessoire</v>
      </c>
      <c r="D929" s="2005" t="str">
        <f>IFERROR(__xludf.DUMMYFUNCTION("""COMPUTED_VALUE"""),"Buse acier 0,50mm")</f>
        <v>Buse acier 0,50mm</v>
      </c>
      <c r="E929" s="2005" t="str">
        <f>IFERROR(__xludf.DUMMYFUNCTION("""COMPUTED_VALUE"""),"ULTIMAKER")</f>
        <v>ULTIMAKER</v>
      </c>
      <c r="F929" s="2005" t="str">
        <f>IFERROR(__xludf.DUMMYFUNCTION("""COMPUTED_VALUE"""),"W")</f>
        <v>W</v>
      </c>
      <c r="G929" s="2005" t="str">
        <f>IFERROR(__xludf.DUMMYFUNCTION("""COMPUTED_VALUE"""),"NN")</f>
        <v>NN</v>
      </c>
      <c r="H929" s="2005">
        <f>IFERROR(__xludf.DUMMYFUNCTION("""COMPUTED_VALUE"""),11.99)</f>
        <v>11.99</v>
      </c>
      <c r="I929" s="2005">
        <f>IFERROR(__xludf.DUMMYFUNCTION("""COMPUTED_VALUE"""),10.8)</f>
        <v>10.8</v>
      </c>
      <c r="BD929" s="2006"/>
      <c r="LL929" s="2008"/>
      <c r="LM929" s="2007"/>
      <c r="MX929" s="2007"/>
      <c r="ND929" s="2007"/>
    </row>
    <row r="930">
      <c r="A930" s="2005">
        <f>IFERROR(__xludf.DUMMYFUNCTION("""COMPUTED_VALUE"""),1082898.0)</f>
        <v>1082898</v>
      </c>
      <c r="B930" s="2005">
        <f>IFERROR(__xludf.DUMMYFUNCTION("""COMPUTED_VALUE"""),2403006.0)</f>
        <v>2403006</v>
      </c>
      <c r="C930" s="2005" t="str">
        <f>IFERROR(__xludf.DUMMYFUNCTION("""COMPUTED_VALUE"""),"Cartouche")</f>
        <v>Cartouche</v>
      </c>
      <c r="D930" s="2005" t="str">
        <f>IFERROR(__xludf.DUMMYFUNCTION("""COMPUTED_VALUE"""),"Z-ABS Rouge V2")</f>
        <v>Z-ABS Rouge V2</v>
      </c>
      <c r="E930" s="2005" t="str">
        <f>IFERROR(__xludf.DUMMYFUNCTION("""COMPUTED_VALUE"""),"ZORTRAX")</f>
        <v>ZORTRAX</v>
      </c>
      <c r="F930" s="2005" t="str">
        <f>IFERROR(__xludf.DUMMYFUNCTION("""COMPUTED_VALUE"""),"W")</f>
        <v>W</v>
      </c>
      <c r="G930" s="2005" t="str">
        <f>IFERROR(__xludf.DUMMYFUNCTION("""COMPUTED_VALUE"""),"NN")</f>
        <v>NN</v>
      </c>
      <c r="H930">
        <f>IFERROR(__xludf.DUMMYFUNCTION("""COMPUTED_VALUE"""),32.4)</f>
        <v>32.4</v>
      </c>
      <c r="I930">
        <f>IFERROR(__xludf.DUMMYFUNCTION("""COMPUTED_VALUE"""),32.4)</f>
        <v>32.4</v>
      </c>
      <c r="BD930" s="2006"/>
      <c r="LL930" s="2007"/>
      <c r="LM930" s="2007"/>
      <c r="MX930" s="2007"/>
      <c r="ND930" s="2007"/>
    </row>
    <row r="931">
      <c r="A931" s="2005">
        <f>IFERROR(__xludf.DUMMYFUNCTION("""COMPUTED_VALUE"""),1082900.0)</f>
        <v>1082900</v>
      </c>
      <c r="B931" s="2005">
        <f>IFERROR(__xludf.DUMMYFUNCTION("""COMPUTED_VALUE"""),2403006.0)</f>
        <v>2403006</v>
      </c>
      <c r="C931" s="2005" t="str">
        <f>IFERROR(__xludf.DUMMYFUNCTION("""COMPUTED_VALUE"""),"Cartouche")</f>
        <v>Cartouche</v>
      </c>
      <c r="D931" s="2005" t="str">
        <f>IFERROR(__xludf.DUMMYFUNCTION("""COMPUTED_VALUE"""),"Z-ABS Gris Foncé v2")</f>
        <v>Z-ABS Gris Foncé v2</v>
      </c>
      <c r="E931" s="2005" t="str">
        <f>IFERROR(__xludf.DUMMYFUNCTION("""COMPUTED_VALUE"""),"ZORTRAX")</f>
        <v>ZORTRAX</v>
      </c>
      <c r="F931" s="2005" t="str">
        <f>IFERROR(__xludf.DUMMYFUNCTION("""COMPUTED_VALUE"""),"H")</f>
        <v>H</v>
      </c>
      <c r="G931" s="2005" t="str">
        <f>IFERROR(__xludf.DUMMYFUNCTION("""COMPUTED_VALUE"""),"NN")</f>
        <v>NN</v>
      </c>
      <c r="H931" s="2005">
        <f>IFERROR(__xludf.DUMMYFUNCTION("""COMPUTED_VALUE"""),32.4)</f>
        <v>32.4</v>
      </c>
      <c r="I931" s="2005">
        <f>IFERROR(__xludf.DUMMYFUNCTION("""COMPUTED_VALUE"""),32.4)</f>
        <v>32.4</v>
      </c>
      <c r="BD931" s="2006"/>
      <c r="LL931" s="2007"/>
      <c r="LM931" s="2007"/>
      <c r="MX931" s="2008"/>
      <c r="ND931" s="2007"/>
    </row>
    <row r="932">
      <c r="A932" s="2005">
        <f>IFERROR(__xludf.DUMMYFUNCTION("""COMPUTED_VALUE"""),1082902.0)</f>
        <v>1082902</v>
      </c>
      <c r="B932" s="2005">
        <f>IFERROR(__xludf.DUMMYFUNCTION("""COMPUTED_VALUE"""),2403006.0)</f>
        <v>2403006</v>
      </c>
      <c r="C932" s="2005" t="str">
        <f>IFERROR(__xludf.DUMMYFUNCTION("""COMPUTED_VALUE"""),"Cartouche")</f>
        <v>Cartouche</v>
      </c>
      <c r="D932" s="2005" t="str">
        <f>IFERROR(__xludf.DUMMYFUNCTION("""COMPUTED_VALUE"""),"Z-ABS Gris clair V2")</f>
        <v>Z-ABS Gris clair V2</v>
      </c>
      <c r="E932" s="2005" t="str">
        <f>IFERROR(__xludf.DUMMYFUNCTION("""COMPUTED_VALUE"""),"ZORTRAX")</f>
        <v>ZORTRAX</v>
      </c>
      <c r="F932" s="2005" t="str">
        <f>IFERROR(__xludf.DUMMYFUNCTION("""COMPUTED_VALUE"""),"H")</f>
        <v>H</v>
      </c>
      <c r="G932" s="2005" t="str">
        <f>IFERROR(__xludf.DUMMYFUNCTION("""COMPUTED_VALUE"""),"NN")</f>
        <v>NN</v>
      </c>
      <c r="H932" s="2005">
        <f>IFERROR(__xludf.DUMMYFUNCTION("""COMPUTED_VALUE"""),32.4)</f>
        <v>32.4</v>
      </c>
      <c r="I932" s="2005">
        <f>IFERROR(__xludf.DUMMYFUNCTION("""COMPUTED_VALUE"""),32.4)</f>
        <v>32.4</v>
      </c>
      <c r="BD932" s="2006"/>
      <c r="LL932" s="2007"/>
      <c r="LM932" s="2007"/>
      <c r="MX932" s="2008"/>
      <c r="ND932" s="2007"/>
    </row>
    <row r="933">
      <c r="A933" s="2005">
        <f>IFERROR(__xludf.DUMMYFUNCTION("""COMPUTED_VALUE"""),1082905.0)</f>
        <v>1082905</v>
      </c>
      <c r="B933" s="2005">
        <f>IFERROR(__xludf.DUMMYFUNCTION("""COMPUTED_VALUE"""),2403006.0)</f>
        <v>2403006</v>
      </c>
      <c r="C933" s="2005" t="str">
        <f>IFERROR(__xludf.DUMMYFUNCTION("""COMPUTED_VALUE"""),"Imprimante")</f>
        <v>Imprimante</v>
      </c>
      <c r="D933" s="2005" t="str">
        <f>IFERROR(__xludf.DUMMYFUNCTION("""COMPUTED_VALUE"""),"Panneaux d'isolement M200")</f>
        <v>Panneaux d'isolement M200</v>
      </c>
      <c r="E933" s="2005" t="str">
        <f>IFERROR(__xludf.DUMMYFUNCTION("""COMPUTED_VALUE"""),"ZORTRAX")</f>
        <v>ZORTRAX</v>
      </c>
      <c r="F933" s="2005" t="str">
        <f>IFERROR(__xludf.DUMMYFUNCTION("""COMPUTED_VALUE"""),"W")</f>
        <v>W</v>
      </c>
      <c r="G933" s="2005" t="str">
        <f>IFERROR(__xludf.DUMMYFUNCTION("""COMPUTED_VALUE"""),"NN")</f>
        <v>NN</v>
      </c>
      <c r="H933" s="2005">
        <f>IFERROR(__xludf.DUMMYFUNCTION("""COMPUTED_VALUE"""),83.99)</f>
        <v>83.99</v>
      </c>
      <c r="I933" s="2005">
        <f>IFERROR(__xludf.DUMMYFUNCTION("""COMPUTED_VALUE"""),83.99)</f>
        <v>83.99</v>
      </c>
      <c r="BD933" s="2006"/>
      <c r="LL933" s="2007"/>
      <c r="LM933" s="2007"/>
      <c r="MX933" s="2007"/>
      <c r="ND933" s="2007"/>
    </row>
    <row r="934">
      <c r="A934" s="2005">
        <f>IFERROR(__xludf.DUMMYFUNCTION("""COMPUTED_VALUE"""),1082908.0)</f>
        <v>1082908</v>
      </c>
      <c r="B934" s="2005">
        <f>IFERROR(__xludf.DUMMYFUNCTION("""COMPUTED_VALUE"""),2403006.0)</f>
        <v>2403006</v>
      </c>
      <c r="C934" s="2005" t="str">
        <f>IFERROR(__xludf.DUMMYFUNCTION("""COMPUTED_VALUE"""),"Imprimante")</f>
        <v>Imprimante</v>
      </c>
      <c r="D934" s="2005" t="str">
        <f>IFERROR(__xludf.DUMMYFUNCTION("""COMPUTED_VALUE"""),"Plateau M200")</f>
        <v>Plateau M200</v>
      </c>
      <c r="E934" s="2005" t="str">
        <f>IFERROR(__xludf.DUMMYFUNCTION("""COMPUTED_VALUE"""),"ZORTRAX")</f>
        <v>ZORTRAX</v>
      </c>
      <c r="F934" s="2005" t="str">
        <f>IFERROR(__xludf.DUMMYFUNCTION("""COMPUTED_VALUE"""),"W")</f>
        <v>W</v>
      </c>
      <c r="G934" s="2005" t="str">
        <f>IFERROR(__xludf.DUMMYFUNCTION("""COMPUTED_VALUE"""),"NN")</f>
        <v>NN</v>
      </c>
      <c r="H934" s="2005">
        <f>IFERROR(__xludf.DUMMYFUNCTION("""COMPUTED_VALUE"""),106.9)</f>
        <v>106.9</v>
      </c>
      <c r="I934" s="2005">
        <f>IFERROR(__xludf.DUMMYFUNCTION("""COMPUTED_VALUE"""),106.9)</f>
        <v>106.9</v>
      </c>
      <c r="LL934" s="2008"/>
      <c r="LM934" s="2007"/>
    </row>
    <row r="935">
      <c r="A935" s="2005">
        <f>IFERROR(__xludf.DUMMYFUNCTION("""COMPUTED_VALUE"""),1082921.0)</f>
        <v>1082921</v>
      </c>
      <c r="B935" s="2005">
        <f>IFERROR(__xludf.DUMMYFUNCTION("""COMPUTED_VALUE"""),2403006.0)</f>
        <v>2403006</v>
      </c>
      <c r="C935" s="2005" t="str">
        <f>IFERROR(__xludf.DUMMYFUNCTION("""COMPUTED_VALUE"""),"Imprimante")</f>
        <v>Imprimante</v>
      </c>
      <c r="D935" s="2005" t="str">
        <f>IFERROR(__xludf.DUMMYFUNCTION("""COMPUTED_VALUE"""),"Buse M200 Plus")</f>
        <v>Buse M200 Plus</v>
      </c>
      <c r="E935" s="2005" t="str">
        <f>IFERROR(__xludf.DUMMYFUNCTION("""COMPUTED_VALUE"""),"ZORTRAX")</f>
        <v>ZORTRAX</v>
      </c>
      <c r="F935" s="2005" t="str">
        <f>IFERROR(__xludf.DUMMYFUNCTION("""COMPUTED_VALUE"""),"W")</f>
        <v>W</v>
      </c>
      <c r="G935" s="2005" t="str">
        <f>IFERROR(__xludf.DUMMYFUNCTION("""COMPUTED_VALUE"""),"FR")</f>
        <v>FR</v>
      </c>
      <c r="H935" s="2005">
        <f>IFERROR(__xludf.DUMMYFUNCTION("""COMPUTED_VALUE"""),14.9)</f>
        <v>14.9</v>
      </c>
      <c r="I935" s="2005">
        <f>IFERROR(__xludf.DUMMYFUNCTION("""COMPUTED_VALUE"""),14.9)</f>
        <v>14.9</v>
      </c>
      <c r="BD935" s="2006"/>
      <c r="LL935" s="2007"/>
      <c r="LM935" s="2007"/>
      <c r="MX935" s="2007"/>
      <c r="ND935" s="2007"/>
    </row>
    <row r="936">
      <c r="A936" s="2005">
        <f>IFERROR(__xludf.DUMMYFUNCTION("""COMPUTED_VALUE"""),1082923.0)</f>
        <v>1082923</v>
      </c>
      <c r="B936" s="2005">
        <f>IFERROR(__xludf.DUMMYFUNCTION("""COMPUTED_VALUE"""),2403006.0)</f>
        <v>2403006</v>
      </c>
      <c r="C936" s="2005" t="str">
        <f>IFERROR(__xludf.DUMMYFUNCTION("""COMPUTED_VALUE"""),"Cartouche")</f>
        <v>Cartouche</v>
      </c>
      <c r="D936" s="2005" t="str">
        <f>IFERROR(__xludf.DUMMYFUNCTION("""COMPUTED_VALUE"""),"PLA Rouge 1.75mm")</f>
        <v>PLA Rouge 1.75mm</v>
      </c>
      <c r="E936" s="2005" t="str">
        <f>IFERROR(__xludf.DUMMYFUNCTION("""COMPUTED_VALUE"""),"NEOFIL3D")</f>
        <v>NEOFIL3D</v>
      </c>
      <c r="F936" s="2005" t="str">
        <f>IFERROR(__xludf.DUMMYFUNCTION("""COMPUTED_VALUE"""),"W")</f>
        <v>W</v>
      </c>
      <c r="G936" s="2005" t="str">
        <f>IFERROR(__xludf.DUMMYFUNCTION("""COMPUTED_VALUE"""),"NN")</f>
        <v>NN</v>
      </c>
      <c r="H936" s="2005">
        <f>IFERROR(__xludf.DUMMYFUNCTION("""COMPUTED_VALUE"""),26.9)</f>
        <v>26.9</v>
      </c>
      <c r="I936" s="2005">
        <f>IFERROR(__xludf.DUMMYFUNCTION("""COMPUTED_VALUE"""),26.9)</f>
        <v>26.9</v>
      </c>
      <c r="BD936" s="2006"/>
      <c r="LL936" s="2007"/>
      <c r="LM936" s="2007"/>
      <c r="MX936" s="2007"/>
      <c r="ND936" s="2007"/>
    </row>
    <row r="937">
      <c r="A937" s="2005">
        <f>IFERROR(__xludf.DUMMYFUNCTION("""COMPUTED_VALUE"""),1082924.0)</f>
        <v>1082924</v>
      </c>
      <c r="B937" s="2005">
        <f>IFERROR(__xludf.DUMMYFUNCTION("""COMPUTED_VALUE"""),2403006.0)</f>
        <v>2403006</v>
      </c>
      <c r="C937" s="2005" t="str">
        <f>IFERROR(__xludf.DUMMYFUNCTION("""COMPUTED_VALUE"""),"Cartouche")</f>
        <v>Cartouche</v>
      </c>
      <c r="D937" s="2005" t="str">
        <f>IFERROR(__xludf.DUMMYFUNCTION("""COMPUTED_VALUE"""),"PLA Noir 1.75mm")</f>
        <v>PLA Noir 1.75mm</v>
      </c>
      <c r="E937" s="2005" t="str">
        <f>IFERROR(__xludf.DUMMYFUNCTION("""COMPUTED_VALUE"""),"NEOFIL3D")</f>
        <v>NEOFIL3D</v>
      </c>
      <c r="F937" s="2005" t="str">
        <f>IFERROR(__xludf.DUMMYFUNCTION("""COMPUTED_VALUE"""),"W")</f>
        <v>W</v>
      </c>
      <c r="G937" s="2005" t="str">
        <f>IFERROR(__xludf.DUMMYFUNCTION("""COMPUTED_VALUE"""),"NN")</f>
        <v>NN</v>
      </c>
      <c r="H937" s="2005">
        <f>IFERROR(__xludf.DUMMYFUNCTION("""COMPUTED_VALUE"""),26.9)</f>
        <v>26.9</v>
      </c>
      <c r="I937" s="2005">
        <f>IFERROR(__xludf.DUMMYFUNCTION("""COMPUTED_VALUE"""),26.9)</f>
        <v>26.9</v>
      </c>
      <c r="BD937" s="2006"/>
      <c r="LL937" s="2007"/>
      <c r="LM937" s="2007"/>
      <c r="MX937" s="2007"/>
      <c r="ND937" s="2007"/>
    </row>
    <row r="938">
      <c r="A938" s="2005">
        <f>IFERROR(__xludf.DUMMYFUNCTION("""COMPUTED_VALUE"""),1082925.0)</f>
        <v>1082925</v>
      </c>
      <c r="B938" s="2005">
        <f>IFERROR(__xludf.DUMMYFUNCTION("""COMPUTED_VALUE"""),2403006.0)</f>
        <v>2403006</v>
      </c>
      <c r="C938" s="2005" t="str">
        <f>IFERROR(__xludf.DUMMYFUNCTION("""COMPUTED_VALUE"""),"Cartouche")</f>
        <v>Cartouche</v>
      </c>
      <c r="D938" s="2005" t="str">
        <f>IFERROR(__xludf.DUMMYFUNCTION("""COMPUTED_VALUE"""),"PLA Blanc 1.75mm")</f>
        <v>PLA Blanc 1.75mm</v>
      </c>
      <c r="E938" s="2005" t="str">
        <f>IFERROR(__xludf.DUMMYFUNCTION("""COMPUTED_VALUE"""),"NEOFIL3D")</f>
        <v>NEOFIL3D</v>
      </c>
      <c r="F938" s="2005" t="str">
        <f>IFERROR(__xludf.DUMMYFUNCTION("""COMPUTED_VALUE"""),"W")</f>
        <v>W</v>
      </c>
      <c r="G938" s="2005" t="str">
        <f>IFERROR(__xludf.DUMMYFUNCTION("""COMPUTED_VALUE"""),"NN")</f>
        <v>NN</v>
      </c>
      <c r="H938" s="2005">
        <f>IFERROR(__xludf.DUMMYFUNCTION("""COMPUTED_VALUE"""),26.9)</f>
        <v>26.9</v>
      </c>
      <c r="I938" s="2005">
        <f>IFERROR(__xludf.DUMMYFUNCTION("""COMPUTED_VALUE"""),26.9)</f>
        <v>26.9</v>
      </c>
      <c r="BD938" s="2006"/>
      <c r="LL938" s="2007"/>
      <c r="LM938" s="2007"/>
      <c r="MX938" s="2007"/>
      <c r="ND938" s="2007"/>
    </row>
    <row r="939">
      <c r="A939" s="2005">
        <f>IFERROR(__xludf.DUMMYFUNCTION("""COMPUTED_VALUE"""),1082931.0)</f>
        <v>1082931</v>
      </c>
      <c r="B939" s="2005">
        <f>IFERROR(__xludf.DUMMYFUNCTION("""COMPUTED_VALUE"""),2403006.0)</f>
        <v>2403006</v>
      </c>
      <c r="C939" s="2005" t="str">
        <f>IFERROR(__xludf.DUMMYFUNCTION("""COMPUTED_VALUE"""),"Cartouche")</f>
        <v>Cartouche</v>
      </c>
      <c r="D939" s="2005" t="str">
        <f>IFERROR(__xludf.DUMMYFUNCTION("""COMPUTED_VALUE"""),"ABS Gris 1.75mm")</f>
        <v>ABS Gris 1.75mm</v>
      </c>
      <c r="E939" s="2005" t="str">
        <f>IFERROR(__xludf.DUMMYFUNCTION("""COMPUTED_VALUE"""),"NEOFIL3D")</f>
        <v>NEOFIL3D</v>
      </c>
      <c r="F939" s="2005" t="str">
        <f>IFERROR(__xludf.DUMMYFUNCTION("""COMPUTED_VALUE"""),"W")</f>
        <v>W</v>
      </c>
      <c r="G939" s="2005" t="str">
        <f>IFERROR(__xludf.DUMMYFUNCTION("""COMPUTED_VALUE"""),"NN")</f>
        <v>NN</v>
      </c>
      <c r="H939" s="2005">
        <f>IFERROR(__xludf.DUMMYFUNCTION("""COMPUTED_VALUE"""),26.9)</f>
        <v>26.9</v>
      </c>
      <c r="I939" s="2005">
        <f>IFERROR(__xludf.DUMMYFUNCTION("""COMPUTED_VALUE"""),26.9)</f>
        <v>26.9</v>
      </c>
      <c r="BD939" s="2006"/>
      <c r="LL939" s="2007"/>
      <c r="LM939" s="2007"/>
      <c r="MX939" s="2007"/>
      <c r="ND939" s="2007"/>
    </row>
    <row r="940">
      <c r="A940" s="2005">
        <f>IFERROR(__xludf.DUMMYFUNCTION("""COMPUTED_VALUE"""),1082952.0)</f>
        <v>1082952</v>
      </c>
      <c r="B940" s="2005">
        <f>IFERROR(__xludf.DUMMYFUNCTION("""COMPUTED_VALUE"""),2403006.0)</f>
        <v>2403006</v>
      </c>
      <c r="C940" s="2005" t="str">
        <f>IFERROR(__xludf.DUMMYFUNCTION("""COMPUTED_VALUE"""),"Imprimante")</f>
        <v>Imprimante</v>
      </c>
      <c r="D940" s="2005" t="str">
        <f>IFERROR(__xludf.DUMMYFUNCTION("""COMPUTED_VALUE"""),"Spray adhésif 3DLAC")</f>
        <v>Spray adhésif 3DLAC</v>
      </c>
      <c r="E940" s="2005" t="str">
        <f>IFERROR(__xludf.DUMMYFUNCTION("""COMPUTED_VALUE"""),"SOTEC")</f>
        <v>SOTEC</v>
      </c>
      <c r="F940" s="2005" t="str">
        <f>IFERROR(__xludf.DUMMYFUNCTION("""COMPUTED_VALUE"""),"W")</f>
        <v>W</v>
      </c>
      <c r="G940" s="2005" t="str">
        <f>IFERROR(__xludf.DUMMYFUNCTION("""COMPUTED_VALUE"""),"NN")</f>
        <v>NN</v>
      </c>
      <c r="H940" s="2005">
        <f>IFERROR(__xludf.DUMMYFUNCTION("""COMPUTED_VALUE"""),9.99)</f>
        <v>9.99</v>
      </c>
      <c r="I940" s="2005">
        <f>IFERROR(__xludf.DUMMYFUNCTION("""COMPUTED_VALUE"""),9.99)</f>
        <v>9.99</v>
      </c>
      <c r="BD940" s="2006"/>
      <c r="LM940" s="2007"/>
    </row>
    <row r="941">
      <c r="A941">
        <f>IFERROR(__xludf.DUMMYFUNCTION("""COMPUTED_VALUE"""),1082957.0)</f>
        <v>1082957</v>
      </c>
      <c r="B941">
        <f>IFERROR(__xludf.DUMMYFUNCTION("""COMPUTED_VALUE"""),2403006.0)</f>
        <v>2403006</v>
      </c>
      <c r="C941" t="str">
        <f>IFERROR(__xludf.DUMMYFUNCTION("""COMPUTED_VALUE"""),"Imprimante")</f>
        <v>Imprimante</v>
      </c>
      <c r="D941" t="str">
        <f>IFERROR(__xludf.DUMMYFUNCTION("""COMPUTED_VALUE"""),"Spray adhésif DimaFix")</f>
        <v>Spray adhésif DimaFix</v>
      </c>
      <c r="E941" t="str">
        <f>IFERROR(__xludf.DUMMYFUNCTION("""COMPUTED_VALUE"""),"SOTEC")</f>
        <v>SOTEC</v>
      </c>
      <c r="F941" t="str">
        <f>IFERROR(__xludf.DUMMYFUNCTION("""COMPUTED_VALUE"""),"W")</f>
        <v>W</v>
      </c>
      <c r="G941" t="str">
        <f>IFERROR(__xludf.DUMMYFUNCTION("""COMPUTED_VALUE"""),"NN")</f>
        <v>NN</v>
      </c>
      <c r="H941">
        <f>IFERROR(__xludf.DUMMYFUNCTION("""COMPUTED_VALUE"""),12.9)</f>
        <v>12.9</v>
      </c>
      <c r="I941">
        <f>IFERROR(__xludf.DUMMYFUNCTION("""COMPUTED_VALUE"""),12.9)</f>
        <v>12.9</v>
      </c>
      <c r="BD941" s="2006"/>
      <c r="LL941" s="2008"/>
      <c r="LM941" s="2007"/>
      <c r="MX941" s="2007"/>
      <c r="ND941" s="2007"/>
    </row>
    <row r="942">
      <c r="A942" s="2005">
        <f>IFERROR(__xludf.DUMMYFUNCTION("""COMPUTED_VALUE"""),1082958.0)</f>
        <v>1082958</v>
      </c>
      <c r="B942" s="2005">
        <f>IFERROR(__xludf.DUMMYFUNCTION("""COMPUTED_VALUE"""),2403006.0)</f>
        <v>2403006</v>
      </c>
      <c r="C942" s="2005" t="str">
        <f>IFERROR(__xludf.DUMMYFUNCTION("""COMPUTED_VALUE"""),"Imprimante")</f>
        <v>Imprimante</v>
      </c>
      <c r="D942" s="2005" t="str">
        <f>IFERROR(__xludf.DUMMYFUNCTION("""COMPUTED_VALUE"""),"Solution adhésive PrintaFix 100ml")</f>
        <v>Solution adhésive PrintaFix 100ml</v>
      </c>
      <c r="E942" s="2005" t="str">
        <f>IFERROR(__xludf.DUMMYFUNCTION("""COMPUTED_VALUE"""),"SOTEC")</f>
        <v>SOTEC</v>
      </c>
      <c r="F942" s="2005" t="str">
        <f>IFERROR(__xludf.DUMMYFUNCTION("""COMPUTED_VALUE"""),"W")</f>
        <v>W</v>
      </c>
      <c r="G942" s="2005" t="str">
        <f>IFERROR(__xludf.DUMMYFUNCTION("""COMPUTED_VALUE"""),"NN")</f>
        <v>NN</v>
      </c>
      <c r="H942" s="2005">
        <f>IFERROR(__xludf.DUMMYFUNCTION("""COMPUTED_VALUE"""),12.99)</f>
        <v>12.99</v>
      </c>
      <c r="I942" s="2005">
        <f>IFERROR(__xludf.DUMMYFUNCTION("""COMPUTED_VALUE"""),12.99)</f>
        <v>12.99</v>
      </c>
      <c r="BD942" s="2006"/>
      <c r="LL942" s="2008"/>
      <c r="LM942" s="2007"/>
      <c r="MX942" s="2007"/>
      <c r="ND942" s="2007"/>
    </row>
    <row r="943">
      <c r="A943" s="2005">
        <f>IFERROR(__xludf.DUMMYFUNCTION("""COMPUTED_VALUE"""),1082959.0)</f>
        <v>1082959</v>
      </c>
      <c r="B943" s="2005">
        <f>IFERROR(__xludf.DUMMYFUNCTION("""COMPUTED_VALUE"""),2403006.0)</f>
        <v>2403006</v>
      </c>
      <c r="C943" s="2005" t="str">
        <f>IFERROR(__xludf.DUMMYFUNCTION("""COMPUTED_VALUE"""),"Imprimante")</f>
        <v>Imprimante</v>
      </c>
      <c r="D943" s="2005" t="str">
        <f>IFERROR(__xludf.DUMMYFUNCTION("""COMPUTED_VALUE"""),"Film d'adhérence BuildTak 254x228mm")</f>
        <v>Film d'adhérence BuildTak 254x228mm</v>
      </c>
      <c r="E943" s="2005" t="str">
        <f>IFERROR(__xludf.DUMMYFUNCTION("""COMPUTED_VALUE"""),"SOTEC")</f>
        <v>SOTEC</v>
      </c>
      <c r="F943" s="2005" t="str">
        <f>IFERROR(__xludf.DUMMYFUNCTION("""COMPUTED_VALUE"""),"W")</f>
        <v>W</v>
      </c>
      <c r="G943" s="2005" t="str">
        <f>IFERROR(__xludf.DUMMYFUNCTION("""COMPUTED_VALUE"""),"NN")</f>
        <v>NN</v>
      </c>
      <c r="H943" s="2005">
        <f>IFERROR(__xludf.DUMMYFUNCTION("""COMPUTED_VALUE"""),19.99)</f>
        <v>19.99</v>
      </c>
      <c r="I943" s="2005">
        <f>IFERROR(__xludf.DUMMYFUNCTION("""COMPUTED_VALUE"""),15.2)</f>
        <v>15.2</v>
      </c>
      <c r="BD943" s="2006"/>
      <c r="LL943" s="2007"/>
      <c r="LM943" s="2007"/>
      <c r="MX943" s="2007"/>
      <c r="NB943" s="2008"/>
      <c r="ND943" s="2007"/>
    </row>
    <row r="944">
      <c r="A944" s="2005">
        <f>IFERROR(__xludf.DUMMYFUNCTION("""COMPUTED_VALUE"""),1082960.0)</f>
        <v>1082960</v>
      </c>
      <c r="B944" s="2005">
        <f>IFERROR(__xludf.DUMMYFUNCTION("""COMPUTED_VALUE"""),2403006.0)</f>
        <v>2403006</v>
      </c>
      <c r="C944" s="2005" t="str">
        <f>IFERROR(__xludf.DUMMYFUNCTION("""COMPUTED_VALUE"""),"Imprimante")</f>
        <v>Imprimante</v>
      </c>
      <c r="D944" s="2005" t="str">
        <f>IFERROR(__xludf.DUMMYFUNCTION("""COMPUTED_VALUE"""),"Film d'adhérence BuildTak 304x304mm")</f>
        <v>Film d'adhérence BuildTak 304x304mm</v>
      </c>
      <c r="E944" s="2005" t="str">
        <f>IFERROR(__xludf.DUMMYFUNCTION("""COMPUTED_VALUE"""),"SOTEC")</f>
        <v>SOTEC</v>
      </c>
      <c r="F944" s="2005" t="str">
        <f>IFERROR(__xludf.DUMMYFUNCTION("""COMPUTED_VALUE"""),"W")</f>
        <v>W</v>
      </c>
      <c r="G944" s="2005" t="str">
        <f>IFERROR(__xludf.DUMMYFUNCTION("""COMPUTED_VALUE"""),"NN")</f>
        <v>NN</v>
      </c>
      <c r="H944" s="2005">
        <f>IFERROR(__xludf.DUMMYFUNCTION("""COMPUTED_VALUE"""),22.7)</f>
        <v>22.7</v>
      </c>
      <c r="I944" s="2005">
        <f>IFERROR(__xludf.DUMMYFUNCTION("""COMPUTED_VALUE"""),22.7)</f>
        <v>22.7</v>
      </c>
      <c r="BD944" s="2006"/>
      <c r="LL944" s="2007"/>
      <c r="LM944" s="2007"/>
      <c r="MX944" s="2007"/>
      <c r="ND944" s="2007"/>
    </row>
    <row r="945">
      <c r="A945" s="2005">
        <f>IFERROR(__xludf.DUMMYFUNCTION("""COMPUTED_VALUE"""),1082966.0)</f>
        <v>1082966</v>
      </c>
      <c r="B945" s="2005">
        <f>IFERROR(__xludf.DUMMYFUNCTION("""COMPUTED_VALUE"""),2403006.0)</f>
        <v>2403006</v>
      </c>
      <c r="C945" s="2005" t="str">
        <f>IFERROR(__xludf.DUMMYFUNCTION("""COMPUTED_VALUE"""),"Imprimante")</f>
        <v>Imprimante</v>
      </c>
      <c r="D945" s="2005" t="str">
        <f>IFERROR(__xludf.DUMMYFUNCTION("""COMPUTED_VALUE"""),"Aiguilles de nettoyage buse")</f>
        <v>Aiguilles de nettoyage buse</v>
      </c>
      <c r="E945" s="2005" t="str">
        <f>IFERROR(__xludf.DUMMYFUNCTION("""COMPUTED_VALUE"""),"SOTEC")</f>
        <v>SOTEC</v>
      </c>
      <c r="F945" s="2005" t="str">
        <f>IFERROR(__xludf.DUMMYFUNCTION("""COMPUTED_VALUE"""),"W")</f>
        <v>W</v>
      </c>
      <c r="G945" s="2005" t="str">
        <f>IFERROR(__xludf.DUMMYFUNCTION("""COMPUTED_VALUE"""),"NN")</f>
        <v>NN</v>
      </c>
      <c r="H945">
        <f>IFERROR(__xludf.DUMMYFUNCTION("""COMPUTED_VALUE"""),1.9)</f>
        <v>1.9</v>
      </c>
      <c r="I945">
        <f>IFERROR(__xludf.DUMMYFUNCTION("""COMPUTED_VALUE"""),1.9)</f>
        <v>1.9</v>
      </c>
      <c r="BD945" s="2006"/>
      <c r="LL945" s="2007"/>
      <c r="LM945" s="2007"/>
      <c r="MX945" s="2007"/>
      <c r="ND945" s="2007"/>
    </row>
    <row r="946">
      <c r="A946" s="2005">
        <f>IFERROR(__xludf.DUMMYFUNCTION("""COMPUTED_VALUE"""),1082967.0)</f>
        <v>1082967</v>
      </c>
      <c r="B946" s="2005">
        <f>IFERROR(__xludf.DUMMYFUNCTION("""COMPUTED_VALUE"""),2403006.0)</f>
        <v>2403006</v>
      </c>
      <c r="C946" s="2005" t="str">
        <f>IFERROR(__xludf.DUMMYFUNCTION("""COMPUTED_VALUE"""),"Imprimante")</f>
        <v>Imprimante</v>
      </c>
      <c r="D946" s="2005" t="str">
        <f>IFERROR(__xludf.DUMMYFUNCTION("""COMPUTED_VALUE"""),"Lubrifiant sec WD-40")</f>
        <v>Lubrifiant sec WD-40</v>
      </c>
      <c r="E946" s="2005" t="str">
        <f>IFERROR(__xludf.DUMMYFUNCTION("""COMPUTED_VALUE"""),"SOTEC")</f>
        <v>SOTEC</v>
      </c>
      <c r="F946" s="2005" t="str">
        <f>IFERROR(__xludf.DUMMYFUNCTION("""COMPUTED_VALUE"""),"W")</f>
        <v>W</v>
      </c>
      <c r="G946" s="2005" t="str">
        <f>IFERROR(__xludf.DUMMYFUNCTION("""COMPUTED_VALUE"""),"NN")</f>
        <v>NN</v>
      </c>
      <c r="H946" s="2005">
        <f>IFERROR(__xludf.DUMMYFUNCTION("""COMPUTED_VALUE"""),14.9)</f>
        <v>14.9</v>
      </c>
      <c r="I946" s="2005">
        <f>IFERROR(__xludf.DUMMYFUNCTION("""COMPUTED_VALUE"""),14.9)</f>
        <v>14.9</v>
      </c>
      <c r="BD946" s="2006"/>
      <c r="LL946" s="2007"/>
      <c r="LM946" s="2007"/>
      <c r="MX946" s="2008"/>
      <c r="ND946" s="2007"/>
    </row>
    <row r="947">
      <c r="A947" s="2005">
        <f>IFERROR(__xludf.DUMMYFUNCTION("""COMPUTED_VALUE"""),1082968.0)</f>
        <v>1082968</v>
      </c>
      <c r="B947" s="2005">
        <f>IFERROR(__xludf.DUMMYFUNCTION("""COMPUTED_VALUE"""),2403006.0)</f>
        <v>2403006</v>
      </c>
      <c r="C947" s="2005" t="str">
        <f>IFERROR(__xludf.DUMMYFUNCTION("""COMPUTED_VALUE"""),"Imprimante")</f>
        <v>Imprimante</v>
      </c>
      <c r="D947" s="2005" t="str">
        <f>IFERROR(__xludf.DUMMYFUNCTION("""COMPUTED_VALUE"""),"Lubrifiant Unilube")</f>
        <v>Lubrifiant Unilube</v>
      </c>
      <c r="E947" s="2005" t="str">
        <f>IFERROR(__xludf.DUMMYFUNCTION("""COMPUTED_VALUE"""),"SOTEC")</f>
        <v>SOTEC</v>
      </c>
      <c r="F947" s="2005" t="str">
        <f>IFERROR(__xludf.DUMMYFUNCTION("""COMPUTED_VALUE"""),"W")</f>
        <v>W</v>
      </c>
      <c r="G947" s="2005" t="str">
        <f>IFERROR(__xludf.DUMMYFUNCTION("""COMPUTED_VALUE"""),"FR")</f>
        <v>FR</v>
      </c>
      <c r="H947" s="2005">
        <f>IFERROR(__xludf.DUMMYFUNCTION("""COMPUTED_VALUE"""),6.9)</f>
        <v>6.9</v>
      </c>
      <c r="I947" s="2005">
        <f>IFERROR(__xludf.DUMMYFUNCTION("""COMPUTED_VALUE"""),6.9)</f>
        <v>6.9</v>
      </c>
      <c r="BD947" s="2006"/>
      <c r="LL947" s="2007"/>
      <c r="LM947" s="2007"/>
      <c r="MX947" s="2007"/>
      <c r="ND947" s="2007"/>
    </row>
    <row r="948">
      <c r="A948" s="2005">
        <f>IFERROR(__xludf.DUMMYFUNCTION("""COMPUTED_VALUE"""),1082969.0)</f>
        <v>1082969</v>
      </c>
      <c r="B948" s="2005">
        <f>IFERROR(__xludf.DUMMYFUNCTION("""COMPUTED_VALUE"""),2403006.0)</f>
        <v>2403006</v>
      </c>
      <c r="C948" s="2005" t="str">
        <f>IFERROR(__xludf.DUMMYFUNCTION("""COMPUTED_VALUE"""),"Imprimante")</f>
        <v>Imprimante</v>
      </c>
      <c r="D948" s="2005" t="str">
        <f>IFERROR(__xludf.DUMMYFUNCTION("""COMPUTED_VALUE"""),"Graisse mécanique Magnalube 4g")</f>
        <v>Graisse mécanique Magnalube 4g</v>
      </c>
      <c r="E948" s="2005" t="str">
        <f>IFERROR(__xludf.DUMMYFUNCTION("""COMPUTED_VALUE"""),"SOTEC")</f>
        <v>SOTEC</v>
      </c>
      <c r="F948" s="2005" t="str">
        <f>IFERROR(__xludf.DUMMYFUNCTION("""COMPUTED_VALUE"""),"W")</f>
        <v>W</v>
      </c>
      <c r="G948" s="2005" t="str">
        <f>IFERROR(__xludf.DUMMYFUNCTION("""COMPUTED_VALUE"""),"NN")</f>
        <v>NN</v>
      </c>
      <c r="H948">
        <f>IFERROR(__xludf.DUMMYFUNCTION("""COMPUTED_VALUE"""),3.9)</f>
        <v>3.9</v>
      </c>
      <c r="I948">
        <f>IFERROR(__xludf.DUMMYFUNCTION("""COMPUTED_VALUE"""),3.9)</f>
        <v>3.9</v>
      </c>
      <c r="BD948" s="2006"/>
      <c r="LL948" s="2007"/>
      <c r="LM948" s="2007"/>
      <c r="MX948" s="2007"/>
      <c r="ND948" s="2007"/>
    </row>
    <row r="949">
      <c r="A949" s="2005">
        <f>IFERROR(__xludf.DUMMYFUNCTION("""COMPUTED_VALUE"""),1083124.0)</f>
        <v>1083124</v>
      </c>
      <c r="B949" s="2005">
        <f>IFERROR(__xludf.DUMMYFUNCTION("""COMPUTED_VALUE"""),2502015.0)</f>
        <v>2502015</v>
      </c>
      <c r="C949" s="2005" t="str">
        <f>IFERROR(__xludf.DUMMYFUNCTION("""COMPUTED_VALUE"""),"Clavier+Souris")</f>
        <v>Clavier+Souris</v>
      </c>
      <c r="D949" s="2005" t="str">
        <f>IFERROR(__xludf.DUMMYFUNCTION("""COMPUTED_VALUE"""),"C2710")</f>
        <v>C2710</v>
      </c>
      <c r="E949" s="2005" t="str">
        <f>IFERROR(__xludf.DUMMYFUNCTION("""COMPUTED_VALUE"""),"HP")</f>
        <v>HP</v>
      </c>
      <c r="F949" s="2005" t="str">
        <f>IFERROR(__xludf.DUMMYFUNCTION("""COMPUTED_VALUE"""),"C")</f>
        <v>C</v>
      </c>
      <c r="G949" s="2005" t="str">
        <f>IFERROR(__xludf.DUMMYFUNCTION("""COMPUTED_VALUE"""),"NN")</f>
        <v>NN</v>
      </c>
      <c r="H949" s="2005">
        <f>IFERROR(__xludf.DUMMYFUNCTION("""COMPUTED_VALUE"""),28.99)</f>
        <v>28.99</v>
      </c>
      <c r="I949" s="2005">
        <f>IFERROR(__xludf.DUMMYFUNCTION("""COMPUTED_VALUE"""),28.99)</f>
        <v>28.99</v>
      </c>
      <c r="BD949" s="2006"/>
      <c r="LL949" s="2007"/>
      <c r="LM949" s="2007"/>
      <c r="MX949" s="2007"/>
      <c r="ND949" s="2007"/>
    </row>
    <row r="950">
      <c r="A950" s="2005">
        <f>IFERROR(__xludf.DUMMYFUNCTION("""COMPUTED_VALUE"""),1083212.0)</f>
        <v>1083212</v>
      </c>
      <c r="B950" s="2005">
        <f>IFERROR(__xludf.DUMMYFUNCTION("""COMPUTED_VALUE"""),2707005.0)</f>
        <v>2707005</v>
      </c>
      <c r="C950" s="2005" t="str">
        <f>IFERROR(__xludf.DUMMYFUNCTION("""COMPUTED_VALUE"""),"Dico")</f>
        <v>Dico</v>
      </c>
      <c r="D950" s="2005" t="str">
        <f>IFERROR(__xludf.DUMMYFUNCTION("""COMPUTED_VALUE"""),"L'officiel du jeu Scrabble")</f>
        <v>L'officiel du jeu Scrabble</v>
      </c>
      <c r="E950" s="2005" t="str">
        <f>IFERROR(__xludf.DUMMYFUNCTION("""COMPUTED_VALUE"""),"LEXIBOOK")</f>
        <v>LEXIBOOK</v>
      </c>
      <c r="F950" s="2005" t="str">
        <f>IFERROR(__xludf.DUMMYFUNCTION("""COMPUTED_VALUE"""),"A")</f>
        <v>A</v>
      </c>
      <c r="G950" s="2005" t="str">
        <f>IFERROR(__xludf.DUMMYFUNCTION("""COMPUTED_VALUE"""),"NN")</f>
        <v>NN</v>
      </c>
      <c r="H950" s="2005">
        <f>IFERROR(__xludf.DUMMYFUNCTION("""COMPUTED_VALUE"""),39.99)</f>
        <v>39.99</v>
      </c>
      <c r="I950" s="2005">
        <f>IFERROR(__xludf.DUMMYFUNCTION("""COMPUTED_VALUE"""),39.99)</f>
        <v>39.99</v>
      </c>
      <c r="BD950" s="2006"/>
      <c r="LL950" s="2007"/>
      <c r="LM950" s="2007"/>
      <c r="MX950" s="2007"/>
      <c r="ND950" s="2007"/>
    </row>
    <row r="951">
      <c r="A951" s="2005">
        <f>IFERROR(__xludf.DUMMYFUNCTION("""COMPUTED_VALUE"""),1083866.0)</f>
        <v>1083866</v>
      </c>
      <c r="B951" s="2005">
        <f>IFERROR(__xludf.DUMMYFUNCTION("""COMPUTED_VALUE"""),2403099.0)</f>
        <v>2403099</v>
      </c>
      <c r="C951" s="2005" t="str">
        <f>IFERROR(__xludf.DUMMYFUNCTION("""COMPUTED_VALUE"""),"Pack")</f>
        <v>Pack</v>
      </c>
      <c r="D951" s="2005" t="str">
        <f>IFERROR(__xludf.DUMMYFUNCTION("""COMPUTED_VALUE"""),"RP-108N Selphy 108 feuilles 10x15")</f>
        <v>RP-108N Selphy 108 feuilles 10x15</v>
      </c>
      <c r="E951" s="2005" t="str">
        <f>IFERROR(__xludf.DUMMYFUNCTION("""COMPUTED_VALUE"""),"CANON")</f>
        <v>CANON</v>
      </c>
      <c r="F951" s="2005" t="str">
        <f>IFERROR(__xludf.DUMMYFUNCTION("""COMPUTED_VALUE"""),"A")</f>
        <v>A</v>
      </c>
      <c r="G951" s="2005" t="str">
        <f>IFERROR(__xludf.DUMMYFUNCTION("""COMPUTED_VALUE"""),"AC")</f>
        <v>AC</v>
      </c>
      <c r="H951" s="2005">
        <f>IFERROR(__xludf.DUMMYFUNCTION("""COMPUTED_VALUE"""),39.99)</f>
        <v>39.99</v>
      </c>
      <c r="I951" s="2005">
        <f>IFERROR(__xludf.DUMMYFUNCTION("""COMPUTED_VALUE"""),39.99)</f>
        <v>39.99</v>
      </c>
      <c r="BD951" s="2006"/>
      <c r="LL951" s="2007"/>
      <c r="LM951" s="2007"/>
      <c r="MX951" s="2007"/>
      <c r="ND951" s="2007"/>
    </row>
    <row r="952">
      <c r="A952" s="2005">
        <f>IFERROR(__xludf.DUMMYFUNCTION("""COMPUTED_VALUE"""),1084246.0)</f>
        <v>1084246</v>
      </c>
      <c r="B952" s="2005">
        <f>IFERROR(__xludf.DUMMYFUNCTION("""COMPUTED_VALUE"""),2502012.0)</f>
        <v>2502012</v>
      </c>
      <c r="C952" s="2005" t="str">
        <f>IFERROR(__xludf.DUMMYFUNCTION("""COMPUTED_VALUE"""),"Tablette Graph")</f>
        <v>Tablette Graph</v>
      </c>
      <c r="D952" s="2005" t="str">
        <f>IFERROR(__xludf.DUMMYFUNCTION("""COMPUTED_VALUE"""),"Intuos Pro PTH-660-S")</f>
        <v>Intuos Pro PTH-660-S</v>
      </c>
      <c r="E952" s="2005" t="str">
        <f>IFERROR(__xludf.DUMMYFUNCTION("""COMPUTED_VALUE"""),"WACOM")</f>
        <v>WACOM</v>
      </c>
      <c r="F952" s="2005" t="str">
        <f>IFERROR(__xludf.DUMMYFUNCTION("""COMPUTED_VALUE"""),"C")</f>
        <v>C</v>
      </c>
      <c r="G952" s="2005" t="str">
        <f>IFERROR(__xludf.DUMMYFUNCTION("""COMPUTED_VALUE"""),"AC")</f>
        <v>AC</v>
      </c>
      <c r="H952" s="2005">
        <f>IFERROR(__xludf.DUMMYFUNCTION("""COMPUTED_VALUE"""),379.99)</f>
        <v>379.99</v>
      </c>
      <c r="I952" s="2005">
        <f>IFERROR(__xludf.DUMMYFUNCTION("""COMPUTED_VALUE"""),379.99)</f>
        <v>379.99</v>
      </c>
      <c r="BD952" s="2006"/>
      <c r="LL952" s="2007"/>
      <c r="LM952" s="2007"/>
      <c r="MX952" s="2007"/>
      <c r="ND952" s="2007"/>
    </row>
    <row r="953">
      <c r="A953" s="2005">
        <f>IFERROR(__xludf.DUMMYFUNCTION("""COMPUTED_VALUE"""),1084247.0)</f>
        <v>1084247</v>
      </c>
      <c r="B953" s="2005">
        <f>IFERROR(__xludf.DUMMYFUNCTION("""COMPUTED_VALUE"""),2502012.0)</f>
        <v>2502012</v>
      </c>
      <c r="C953" s="2005" t="str">
        <f>IFERROR(__xludf.DUMMYFUNCTION("""COMPUTED_VALUE"""),"Tablette Graph")</f>
        <v>Tablette Graph</v>
      </c>
      <c r="D953" s="2005" t="str">
        <f>IFERROR(__xludf.DUMMYFUNCTION("""COMPUTED_VALUE"""),"Intuos Pro Paper Edition PTH-660P-S")</f>
        <v>Intuos Pro Paper Edition PTH-660P-S</v>
      </c>
      <c r="E953" s="2005" t="str">
        <f>IFERROR(__xludf.DUMMYFUNCTION("""COMPUTED_VALUE"""),"WACOM")</f>
        <v>WACOM</v>
      </c>
      <c r="F953" s="2005" t="str">
        <f>IFERROR(__xludf.DUMMYFUNCTION("""COMPUTED_VALUE"""),"E")</f>
        <v>E</v>
      </c>
      <c r="G953" s="2005" t="str">
        <f>IFERROR(__xludf.DUMMYFUNCTION("""COMPUTED_VALUE"""),"NN")</f>
        <v>NN</v>
      </c>
      <c r="H953" s="2005">
        <f>IFERROR(__xludf.DUMMYFUNCTION("""COMPUTED_VALUE"""),399.99)</f>
        <v>399.99</v>
      </c>
      <c r="I953" s="2005">
        <f>IFERROR(__xludf.DUMMYFUNCTION("""COMPUTED_VALUE"""),399.99)</f>
        <v>399.99</v>
      </c>
      <c r="BD953" s="2006"/>
      <c r="LL953" s="2007"/>
      <c r="LM953" s="2007"/>
      <c r="MX953" s="2007"/>
      <c r="ND953" s="2007"/>
    </row>
    <row r="954">
      <c r="A954" s="2005">
        <f>IFERROR(__xludf.DUMMYFUNCTION("""COMPUTED_VALUE"""),1084249.0)</f>
        <v>1084249</v>
      </c>
      <c r="B954" s="2005">
        <f>IFERROR(__xludf.DUMMYFUNCTION("""COMPUTED_VALUE"""),2502012.0)</f>
        <v>2502012</v>
      </c>
      <c r="C954" s="2005" t="str">
        <f>IFERROR(__xludf.DUMMYFUNCTION("""COMPUTED_VALUE"""),"Tablette Graph")</f>
        <v>Tablette Graph</v>
      </c>
      <c r="D954" s="2005" t="str">
        <f>IFERROR(__xludf.DUMMYFUNCTION("""COMPUTED_VALUE"""),"Intuos Pro PTH-860-S")</f>
        <v>Intuos Pro PTH-860-S</v>
      </c>
      <c r="E954" s="2005" t="str">
        <f>IFERROR(__xludf.DUMMYFUNCTION("""COMPUTED_VALUE"""),"WACOM")</f>
        <v>WACOM</v>
      </c>
      <c r="F954" s="2005" t="str">
        <f>IFERROR(__xludf.DUMMYFUNCTION("""COMPUTED_VALUE"""),"E")</f>
        <v>E</v>
      </c>
      <c r="G954" s="2005" t="str">
        <f>IFERROR(__xludf.DUMMYFUNCTION("""COMPUTED_VALUE"""),"AC")</f>
        <v>AC</v>
      </c>
      <c r="H954" s="2005">
        <f>IFERROR(__xludf.DUMMYFUNCTION("""COMPUTED_VALUE"""),529.99)</f>
        <v>529.99</v>
      </c>
      <c r="I954" s="2005">
        <f>IFERROR(__xludf.DUMMYFUNCTION("""COMPUTED_VALUE"""),529.99)</f>
        <v>529.99</v>
      </c>
      <c r="BD954" s="2006"/>
      <c r="LL954" s="2007"/>
      <c r="LM954" s="2007"/>
      <c r="MX954" s="2007"/>
      <c r="ND954" s="2007"/>
    </row>
    <row r="955">
      <c r="A955" s="2005">
        <f>IFERROR(__xludf.DUMMYFUNCTION("""COMPUTED_VALUE"""),1084261.0)</f>
        <v>1084261</v>
      </c>
      <c r="B955" s="2005">
        <f>IFERROR(__xludf.DUMMYFUNCTION("""COMPUTED_VALUE"""),2502012.0)</f>
        <v>2502012</v>
      </c>
      <c r="C955" s="2005" t="str">
        <f>IFERROR(__xludf.DUMMYFUNCTION("""COMPUTED_VALUE"""),"Tablette Graph")</f>
        <v>Tablette Graph</v>
      </c>
      <c r="D955" s="2005" t="str">
        <f>IFERROR(__xludf.DUMMYFUNCTION("""COMPUTED_VALUE"""),"Intuos Pro Paper Edition PTH-860P-S")</f>
        <v>Intuos Pro Paper Edition PTH-860P-S</v>
      </c>
      <c r="E955" s="2005" t="str">
        <f>IFERROR(__xludf.DUMMYFUNCTION("""COMPUTED_VALUE"""),"WACOM")</f>
        <v>WACOM</v>
      </c>
      <c r="F955" s="2005" t="str">
        <f>IFERROR(__xludf.DUMMYFUNCTION("""COMPUTED_VALUE"""),"H")</f>
        <v>H</v>
      </c>
      <c r="G955" s="2005" t="str">
        <f>IFERROR(__xludf.DUMMYFUNCTION("""COMPUTED_VALUE"""),"NN")</f>
        <v>NN</v>
      </c>
      <c r="H955" s="2005">
        <f>IFERROR(__xludf.DUMMYFUNCTION("""COMPUTED_VALUE"""),599.99)</f>
        <v>599.99</v>
      </c>
      <c r="I955" s="2005">
        <f>IFERROR(__xludf.DUMMYFUNCTION("""COMPUTED_VALUE"""),599.99)</f>
        <v>599.99</v>
      </c>
      <c r="BD955" s="2006"/>
      <c r="LL955" s="2007"/>
      <c r="LM955" s="2007"/>
      <c r="MX955" s="2007"/>
      <c r="ND955" s="2007"/>
    </row>
    <row r="956">
      <c r="A956" s="2005">
        <f>IFERROR(__xludf.DUMMYFUNCTION("""COMPUTED_VALUE"""),1085352.0)</f>
        <v>1085352</v>
      </c>
      <c r="B956" s="2005">
        <f>IFERROR(__xludf.DUMMYFUNCTION("""COMPUTED_VALUE"""),2402020.0)</f>
        <v>2402020</v>
      </c>
      <c r="C956" s="2005" t="str">
        <f>IFERROR(__xludf.DUMMYFUNCTION("""COMPUTED_VALUE"""),"Papier")</f>
        <v>Papier</v>
      </c>
      <c r="D956" s="2005" t="str">
        <f>IFERROR(__xludf.DUMMYFUNCTION("""COMPUTED_VALUE"""),"8 Transferts T-shirt blancs/clairs A4")</f>
        <v>8 Transferts T-shirt blancs/clairs A4</v>
      </c>
      <c r="E956" s="2005" t="str">
        <f>IFERROR(__xludf.DUMMYFUNCTION("""COMPUTED_VALUE"""),"AVERY")</f>
        <v>AVERY</v>
      </c>
      <c r="F956" s="2005" t="str">
        <f>IFERROR(__xludf.DUMMYFUNCTION("""COMPUTED_VALUE"""),"A")</f>
        <v>A</v>
      </c>
      <c r="G956" s="2005" t="str">
        <f>IFERROR(__xludf.DUMMYFUNCTION("""COMPUTED_VALUE"""),"AC")</f>
        <v>AC</v>
      </c>
      <c r="H956" s="2005">
        <f>IFERROR(__xludf.DUMMYFUNCTION("""COMPUTED_VALUE"""),9.9)</f>
        <v>9.9</v>
      </c>
      <c r="I956" s="2005">
        <f>IFERROR(__xludf.DUMMYFUNCTION("""COMPUTED_VALUE"""),9.9)</f>
        <v>9.9</v>
      </c>
      <c r="BD956" s="2006"/>
      <c r="LL956" s="2007"/>
      <c r="LM956" s="2007"/>
      <c r="MX956" s="2008"/>
      <c r="ND956" s="2008"/>
    </row>
    <row r="957">
      <c r="A957" s="2005">
        <f>IFERROR(__xludf.DUMMYFUNCTION("""COMPUTED_VALUE"""),1085461.0)</f>
        <v>1085461</v>
      </c>
      <c r="B957" s="2005">
        <f>IFERROR(__xludf.DUMMYFUNCTION("""COMPUTED_VALUE"""),2202010.0)</f>
        <v>2202010</v>
      </c>
      <c r="C957" s="2005" t="str">
        <f>IFERROR(__xludf.DUMMYFUNCTION("""COMPUTED_VALUE"""),"Multi Jet d'enc")</f>
        <v>Multi Jet d'enc</v>
      </c>
      <c r="D957" s="2005" t="str">
        <f>IFERROR(__xludf.DUMMYFUNCTION("""COMPUTED_VALUE"""),"MFC-J5730DW")</f>
        <v>MFC-J5730DW</v>
      </c>
      <c r="E957" s="2005" t="str">
        <f>IFERROR(__xludf.DUMMYFUNCTION("""COMPUTED_VALUE"""),"BROTHER")</f>
        <v>BROTHER</v>
      </c>
      <c r="F957" s="2005" t="str">
        <f>IFERROR(__xludf.DUMMYFUNCTION("""COMPUTED_VALUE"""),"C")</f>
        <v>C</v>
      </c>
      <c r="G957" s="2005" t="str">
        <f>IFERROR(__xludf.DUMMYFUNCTION("""COMPUTED_VALUE"""),"NN")</f>
        <v>NN</v>
      </c>
      <c r="H957" s="2005">
        <f>IFERROR(__xludf.DUMMYFUNCTION("""COMPUTED_VALUE"""),269.99)</f>
        <v>269.99</v>
      </c>
      <c r="I957" s="2005">
        <f>IFERROR(__xludf.DUMMYFUNCTION("""COMPUTED_VALUE"""),269.99)</f>
        <v>269.99</v>
      </c>
      <c r="BD957" s="2006"/>
      <c r="LL957" s="2007"/>
      <c r="LM957" s="2007"/>
      <c r="MX957" s="2007"/>
      <c r="ND957" s="2007"/>
    </row>
    <row r="958">
      <c r="A958" s="2005">
        <f>IFERROR(__xludf.DUMMYFUNCTION("""COMPUTED_VALUE"""),1085462.0)</f>
        <v>1085462</v>
      </c>
      <c r="B958" s="2005">
        <f>IFERROR(__xludf.DUMMYFUNCTION("""COMPUTED_VALUE"""),2202010.0)</f>
        <v>2202010</v>
      </c>
      <c r="C958" s="2005" t="str">
        <f>IFERROR(__xludf.DUMMYFUNCTION("""COMPUTED_VALUE"""),"Multi Jet d'enc")</f>
        <v>Multi Jet d'enc</v>
      </c>
      <c r="D958" s="2005" t="str">
        <f>IFERROR(__xludf.DUMMYFUNCTION("""COMPUTED_VALUE"""),"MFC-J6930DW")</f>
        <v>MFC-J6930DW</v>
      </c>
      <c r="E958" s="2005" t="str">
        <f>IFERROR(__xludf.DUMMYFUNCTION("""COMPUTED_VALUE"""),"BROTHER")</f>
        <v>BROTHER</v>
      </c>
      <c r="F958" s="2005" t="str">
        <f>IFERROR(__xludf.DUMMYFUNCTION("""COMPUTED_VALUE"""),"H")</f>
        <v>H</v>
      </c>
      <c r="G958" s="2005" t="str">
        <f>IFERROR(__xludf.DUMMYFUNCTION("""COMPUTED_VALUE"""),"FR")</f>
        <v>FR</v>
      </c>
      <c r="H958" s="2005">
        <f>IFERROR(__xludf.DUMMYFUNCTION("""COMPUTED_VALUE"""),389.99)</f>
        <v>389.99</v>
      </c>
      <c r="I958" s="2005">
        <f>IFERROR(__xludf.DUMMYFUNCTION("""COMPUTED_VALUE"""),389.99)</f>
        <v>389.99</v>
      </c>
      <c r="BD958" s="2006"/>
      <c r="LL958" s="2007"/>
      <c r="LM958" s="2007"/>
      <c r="MX958" s="2007"/>
      <c r="ND958" s="2007"/>
    </row>
    <row r="959">
      <c r="A959" s="2005">
        <f>IFERROR(__xludf.DUMMYFUNCTION("""COMPUTED_VALUE"""),1085543.0)</f>
        <v>1085543</v>
      </c>
      <c r="B959" s="2005">
        <f>IFERROR(__xludf.DUMMYFUNCTION("""COMPUTED_VALUE"""),2203010.0)</f>
        <v>2203010</v>
      </c>
      <c r="C959" s="2005" t="str">
        <f>IFERROR(__xludf.DUMMYFUNCTION("""COMPUTED_VALUE"""),"Scanner")</f>
        <v>Scanner</v>
      </c>
      <c r="D959" s="2005" t="str">
        <f>IFERROR(__xludf.DUMMYFUNCTION("""COMPUTED_VALUE"""),"IRIScan Book 5 Blanc")</f>
        <v>IRIScan Book 5 Blanc</v>
      </c>
      <c r="E959" s="2005" t="str">
        <f>IFERROR(__xludf.DUMMYFUNCTION("""COMPUTED_VALUE"""),"IRIS")</f>
        <v>IRIS</v>
      </c>
      <c r="F959" s="2005" t="str">
        <f>IFERROR(__xludf.DUMMYFUNCTION("""COMPUTED_VALUE"""),"A")</f>
        <v>A</v>
      </c>
      <c r="G959" s="2005" t="str">
        <f>IFERROR(__xludf.DUMMYFUNCTION("""COMPUTED_VALUE"""),"AC")</f>
        <v>AC</v>
      </c>
      <c r="H959" s="2005">
        <f>IFERROR(__xludf.DUMMYFUNCTION("""COMPUTED_VALUE"""),149.99)</f>
        <v>149.99</v>
      </c>
      <c r="I959" s="2005">
        <f>IFERROR(__xludf.DUMMYFUNCTION("""COMPUTED_VALUE"""),149.99)</f>
        <v>149.99</v>
      </c>
      <c r="BD959" s="2006"/>
      <c r="LL959" s="2007"/>
      <c r="LM959" s="2007"/>
      <c r="MX959" s="2007"/>
      <c r="ND959" s="2007"/>
    </row>
    <row r="960">
      <c r="A960" s="2005">
        <f>IFERROR(__xludf.DUMMYFUNCTION("""COMPUTED_VALUE"""),1085546.0)</f>
        <v>1085546</v>
      </c>
      <c r="B960" s="2005">
        <f>IFERROR(__xludf.DUMMYFUNCTION("""COMPUTED_VALUE"""),2203010.0)</f>
        <v>2203010</v>
      </c>
      <c r="C960" s="2005" t="str">
        <f>IFERROR(__xludf.DUMMYFUNCTION("""COMPUTED_VALUE"""),"Scanner")</f>
        <v>Scanner</v>
      </c>
      <c r="D960" s="2005" t="str">
        <f>IFERROR(__xludf.DUMMYFUNCTION("""COMPUTED_VALUE"""),"IRIScan Book 5 Wifi")</f>
        <v>IRIScan Book 5 Wifi</v>
      </c>
      <c r="E960" s="2005" t="str">
        <f>IFERROR(__xludf.DUMMYFUNCTION("""COMPUTED_VALUE"""),"IRIS")</f>
        <v>IRIS</v>
      </c>
      <c r="F960" s="2005" t="str">
        <f>IFERROR(__xludf.DUMMYFUNCTION("""COMPUTED_VALUE"""),"A")</f>
        <v>A</v>
      </c>
      <c r="G960" s="2005" t="str">
        <f>IFERROR(__xludf.DUMMYFUNCTION("""COMPUTED_VALUE"""),"FF")</f>
        <v>FF</v>
      </c>
      <c r="H960" s="2005">
        <f>IFERROR(__xludf.DUMMYFUNCTION("""COMPUTED_VALUE"""),189.99)</f>
        <v>189.99</v>
      </c>
      <c r="I960" s="2005">
        <f>IFERROR(__xludf.DUMMYFUNCTION("""COMPUTED_VALUE"""),189.99)</f>
        <v>189.99</v>
      </c>
      <c r="BD960" s="2006"/>
      <c r="LL960" s="2007"/>
      <c r="LM960" s="2007"/>
      <c r="MX960" s="2007"/>
      <c r="ND960" s="2007"/>
    </row>
    <row r="961">
      <c r="A961" s="2005">
        <f>IFERROR(__xludf.DUMMYFUNCTION("""COMPUTED_VALUE"""),1085547.0)</f>
        <v>1085547</v>
      </c>
      <c r="B961" s="2005">
        <f>IFERROR(__xludf.DUMMYFUNCTION("""COMPUTED_VALUE"""),2203010.0)</f>
        <v>2203010</v>
      </c>
      <c r="C961" s="2005" t="str">
        <f>IFERROR(__xludf.DUMMYFUNCTION("""COMPUTED_VALUE"""),"Scanner")</f>
        <v>Scanner</v>
      </c>
      <c r="D961" s="2005" t="str">
        <f>IFERROR(__xludf.DUMMYFUNCTION("""COMPUTED_VALUE"""),"IRIScan Anywhere 5 Blanc")</f>
        <v>IRIScan Anywhere 5 Blanc</v>
      </c>
      <c r="E961" s="2005" t="str">
        <f>IFERROR(__xludf.DUMMYFUNCTION("""COMPUTED_VALUE"""),"IRIS")</f>
        <v>IRIS</v>
      </c>
      <c r="F961" s="2005" t="str">
        <f>IFERROR(__xludf.DUMMYFUNCTION("""COMPUTED_VALUE"""),"A")</f>
        <v>A</v>
      </c>
      <c r="G961" s="2005" t="str">
        <f>IFERROR(__xludf.DUMMYFUNCTION("""COMPUTED_VALUE"""),"NN")</f>
        <v>NN</v>
      </c>
      <c r="H961" s="2005">
        <f>IFERROR(__xludf.DUMMYFUNCTION("""COMPUTED_VALUE"""),89.99)</f>
        <v>89.99</v>
      </c>
      <c r="I961" s="2005">
        <f>IFERROR(__xludf.DUMMYFUNCTION("""COMPUTED_VALUE"""),89.99)</f>
        <v>89.99</v>
      </c>
      <c r="BD961" s="2006"/>
      <c r="LL961" s="2007"/>
      <c r="LM961" s="2007"/>
      <c r="MX961" s="2007"/>
      <c r="ND961" s="2007"/>
    </row>
    <row r="962">
      <c r="A962" s="2005">
        <f>IFERROR(__xludf.DUMMYFUNCTION("""COMPUTED_VALUE"""),1085550.0)</f>
        <v>1085550</v>
      </c>
      <c r="B962" s="2005">
        <f>IFERROR(__xludf.DUMMYFUNCTION("""COMPUTED_VALUE"""),2203010.0)</f>
        <v>2203010</v>
      </c>
      <c r="C962" s="2005" t="str">
        <f>IFERROR(__xludf.DUMMYFUNCTION("""COMPUTED_VALUE"""),"Scanner")</f>
        <v>Scanner</v>
      </c>
      <c r="D962" s="2005" t="str">
        <f>IFERROR(__xludf.DUMMYFUNCTION("""COMPUTED_VALUE"""),"IRIScan Anywhere 5 Wifi")</f>
        <v>IRIScan Anywhere 5 Wifi</v>
      </c>
      <c r="E962" s="2005" t="str">
        <f>IFERROR(__xludf.DUMMYFUNCTION("""COMPUTED_VALUE"""),"IRIS")</f>
        <v>IRIS</v>
      </c>
      <c r="F962" s="2005" t="str">
        <f>IFERROR(__xludf.DUMMYFUNCTION("""COMPUTED_VALUE"""),"A")</f>
        <v>A</v>
      </c>
      <c r="G962" s="2005" t="str">
        <f>IFERROR(__xludf.DUMMYFUNCTION("""COMPUTED_VALUE"""),"NN")</f>
        <v>NN</v>
      </c>
      <c r="H962">
        <f>IFERROR(__xludf.DUMMYFUNCTION("""COMPUTED_VALUE"""),97.99)</f>
        <v>97.99</v>
      </c>
      <c r="I962">
        <f>IFERROR(__xludf.DUMMYFUNCTION("""COMPUTED_VALUE"""),97.99)</f>
        <v>97.99</v>
      </c>
      <c r="BD962" s="2006"/>
      <c r="LL962" s="2007"/>
      <c r="LM962" s="2007"/>
      <c r="MX962" s="2007"/>
      <c r="ND962" s="2007"/>
    </row>
    <row r="963">
      <c r="A963" s="2005">
        <f>IFERROR(__xludf.DUMMYFUNCTION("""COMPUTED_VALUE"""),1086008.0)</f>
        <v>1086008</v>
      </c>
      <c r="B963" s="2005">
        <f>IFERROR(__xludf.DUMMYFUNCTION("""COMPUTED_VALUE"""),2503005.0)</f>
        <v>2503005</v>
      </c>
      <c r="C963" s="2005" t="str">
        <f>IFERROR(__xludf.DUMMYFUNCTION("""COMPUTED_VALUE"""),"Enceinte")</f>
        <v>Enceinte</v>
      </c>
      <c r="D963" s="2005" t="str">
        <f>IFERROR(__xludf.DUMMYFUNCTION("""COMPUTED_VALUE"""),"2.0  2 x 2.5W modifiable en barre de son")</f>
        <v>2.0  2 x 2.5W modifiable en barre de son</v>
      </c>
      <c r="E963" s="2005" t="str">
        <f>IFERROR(__xludf.DUMMYFUNCTION("""COMPUTED_VALUE"""),"WE")</f>
        <v>WE</v>
      </c>
      <c r="F963" s="2005" t="str">
        <f>IFERROR(__xludf.DUMMYFUNCTION("""COMPUTED_VALUE"""),"C")</f>
        <v>C</v>
      </c>
      <c r="G963" s="2005" t="str">
        <f>IFERROR(__xludf.DUMMYFUNCTION("""COMPUTED_VALUE"""),"AC")</f>
        <v>AC</v>
      </c>
      <c r="H963" s="2005">
        <f>IFERROR(__xludf.DUMMYFUNCTION("""COMPUTED_VALUE"""),14.99)</f>
        <v>14.99</v>
      </c>
      <c r="I963" s="2005">
        <f>IFERROR(__xludf.DUMMYFUNCTION("""COMPUTED_VALUE"""),14.99)</f>
        <v>14.99</v>
      </c>
      <c r="BD963" s="2006"/>
      <c r="LL963" s="2007"/>
      <c r="LM963" s="2007"/>
      <c r="MX963" s="2008"/>
      <c r="ND963" s="2007"/>
    </row>
    <row r="964">
      <c r="A964" s="2005">
        <f>IFERROR(__xludf.DUMMYFUNCTION("""COMPUTED_VALUE"""),1086196.0)</f>
        <v>1086196</v>
      </c>
      <c r="B964" s="2005">
        <f>IFERROR(__xludf.DUMMYFUNCTION("""COMPUTED_VALUE"""),2202010.0)</f>
        <v>2202010</v>
      </c>
      <c r="C964" s="2005" t="str">
        <f>IFERROR(__xludf.DUMMYFUNCTION("""COMPUTED_VALUE"""),"Multi Jet d'enc")</f>
        <v>Multi Jet d'enc</v>
      </c>
      <c r="D964" s="2005" t="str">
        <f>IFERROR(__xludf.DUMMYFUNCTION("""COMPUTED_VALUE"""),"MFC-J6530DW")</f>
        <v>MFC-J6530DW</v>
      </c>
      <c r="E964" s="2005" t="str">
        <f>IFERROR(__xludf.DUMMYFUNCTION("""COMPUTED_VALUE"""),"BROTHER")</f>
        <v>BROTHER</v>
      </c>
      <c r="F964" s="2005" t="str">
        <f>IFERROR(__xludf.DUMMYFUNCTION("""COMPUTED_VALUE"""),"H")</f>
        <v>H</v>
      </c>
      <c r="G964" s="2005" t="str">
        <f>IFERROR(__xludf.DUMMYFUNCTION("""COMPUTED_VALUE"""),"NN")</f>
        <v>NN</v>
      </c>
      <c r="H964" s="2005">
        <f>IFERROR(__xludf.DUMMYFUNCTION("""COMPUTED_VALUE"""),279.99)</f>
        <v>279.99</v>
      </c>
      <c r="I964" s="2005">
        <f>IFERROR(__xludf.DUMMYFUNCTION("""COMPUTED_VALUE"""),279.99)</f>
        <v>279.99</v>
      </c>
      <c r="BD964" s="2006"/>
      <c r="LL964" s="2007"/>
      <c r="LM964" s="2007"/>
      <c r="MX964" s="2007"/>
      <c r="ND964" s="2007"/>
    </row>
    <row r="965">
      <c r="A965" s="2005">
        <f>IFERROR(__xludf.DUMMYFUNCTION("""COMPUTED_VALUE"""),1086246.0)</f>
        <v>1086246</v>
      </c>
      <c r="B965" s="2005">
        <f>IFERROR(__xludf.DUMMYFUNCTION("""COMPUTED_VALUE"""),2403005.0)</f>
        <v>2403005</v>
      </c>
      <c r="C965" s="2005" t="str">
        <f>IFERROR(__xludf.DUMMYFUNCTION("""COMPUTED_VALUE"""),"Cartouche")</f>
        <v>Cartouche</v>
      </c>
      <c r="D965" s="2005" t="str">
        <f>IFERROR(__xludf.DUMMYFUNCTION("""COMPUTED_VALUE"""),"N°957 XXL noire")</f>
        <v>N°957 XXL noire</v>
      </c>
      <c r="E965" s="2005" t="str">
        <f>IFERROR(__xludf.DUMMYFUNCTION("""COMPUTED_VALUE"""),"HP")</f>
        <v>HP</v>
      </c>
      <c r="F965" s="2005" t="str">
        <f>IFERROR(__xludf.DUMMYFUNCTION("""COMPUTED_VALUE"""),"H")</f>
        <v>H</v>
      </c>
      <c r="G965" s="2005" t="str">
        <f>IFERROR(__xludf.DUMMYFUNCTION("""COMPUTED_VALUE"""),"FR")</f>
        <v>FR</v>
      </c>
      <c r="H965" s="2005">
        <f>IFERROR(__xludf.DUMMYFUNCTION("""COMPUTED_VALUE"""),59.99)</f>
        <v>59.99</v>
      </c>
      <c r="I965" s="2005">
        <f>IFERROR(__xludf.DUMMYFUNCTION("""COMPUTED_VALUE"""),59.99)</f>
        <v>59.99</v>
      </c>
      <c r="BD965" s="2006"/>
      <c r="LL965" s="2007"/>
      <c r="LM965" s="2007"/>
      <c r="MX965" s="2007"/>
      <c r="ND965" s="2007"/>
    </row>
    <row r="966">
      <c r="A966" s="2005">
        <f>IFERROR(__xludf.DUMMYFUNCTION("""COMPUTED_VALUE"""),1086302.0)</f>
        <v>1086302</v>
      </c>
      <c r="B966" s="2005">
        <f>IFERROR(__xludf.DUMMYFUNCTION("""COMPUTED_VALUE"""),2403005.0)</f>
        <v>2403005</v>
      </c>
      <c r="C966" s="2005" t="str">
        <f>IFERROR(__xludf.DUMMYFUNCTION("""COMPUTED_VALUE"""),"Cartouche")</f>
        <v>Cartouche</v>
      </c>
      <c r="D966" s="2005" t="str">
        <f>IFERROR(__xludf.DUMMYFUNCTION("""COMPUTED_VALUE"""),"LC3217 Noire")</f>
        <v>LC3217 Noire</v>
      </c>
      <c r="E966" s="2005" t="str">
        <f>IFERROR(__xludf.DUMMYFUNCTION("""COMPUTED_VALUE"""),"BROTHER")</f>
        <v>BROTHER</v>
      </c>
      <c r="F966" s="2005" t="str">
        <f>IFERROR(__xludf.DUMMYFUNCTION("""COMPUTED_VALUE"""),"C")</f>
        <v>C</v>
      </c>
      <c r="G966" s="2005" t="str">
        <f>IFERROR(__xludf.DUMMYFUNCTION("""COMPUTED_VALUE"""),"NN")</f>
        <v>NN</v>
      </c>
      <c r="H966">
        <f>IFERROR(__xludf.DUMMYFUNCTION("""COMPUTED_VALUE"""),23.99)</f>
        <v>23.99</v>
      </c>
      <c r="I966">
        <f>IFERROR(__xludf.DUMMYFUNCTION("""COMPUTED_VALUE"""),21.99)</f>
        <v>21.99</v>
      </c>
      <c r="BD966" s="2006"/>
      <c r="LL966" s="2007"/>
      <c r="LM966" s="2007"/>
      <c r="MX966" s="2007"/>
      <c r="ND966" s="2007"/>
    </row>
    <row r="967">
      <c r="A967" s="2005">
        <f>IFERROR(__xludf.DUMMYFUNCTION("""COMPUTED_VALUE"""),1086362.0)</f>
        <v>1086362</v>
      </c>
      <c r="B967" s="2005">
        <f>IFERROR(__xludf.DUMMYFUNCTION("""COMPUTED_VALUE"""),2403005.0)</f>
        <v>2403005</v>
      </c>
      <c r="C967" s="2005" t="str">
        <f>IFERROR(__xludf.DUMMYFUNCTION("""COMPUTED_VALUE"""),"Cartouche")</f>
        <v>Cartouche</v>
      </c>
      <c r="D967" s="2005" t="str">
        <f>IFERROR(__xludf.DUMMYFUNCTION("""COMPUTED_VALUE"""),"6 cartouches couleur PGI-29")</f>
        <v>6 cartouches couleur PGI-29</v>
      </c>
      <c r="E967" s="2005" t="str">
        <f>IFERROR(__xludf.DUMMYFUNCTION("""COMPUTED_VALUE"""),"CANON")</f>
        <v>CANON</v>
      </c>
      <c r="F967" s="2005" t="str">
        <f>IFERROR(__xludf.DUMMYFUNCTION("""COMPUTED_VALUE"""),"H")</f>
        <v>H</v>
      </c>
      <c r="G967" s="2005" t="str">
        <f>IFERROR(__xludf.DUMMYFUNCTION("""COMPUTED_VALUE"""),"AC")</f>
        <v>AC</v>
      </c>
      <c r="H967" s="2005">
        <f>IFERROR(__xludf.DUMMYFUNCTION("""COMPUTED_VALUE"""),169.0)</f>
        <v>169</v>
      </c>
      <c r="I967" s="2005">
        <f>IFERROR(__xludf.DUMMYFUNCTION("""COMPUTED_VALUE"""),169.0)</f>
        <v>169</v>
      </c>
      <c r="BD967" s="2006"/>
      <c r="LL967" s="2007"/>
      <c r="LM967" s="2007"/>
      <c r="MX967" s="2007"/>
      <c r="ND967" s="2007"/>
    </row>
    <row r="968">
      <c r="A968" s="2005">
        <f>IFERROR(__xludf.DUMMYFUNCTION("""COMPUTED_VALUE"""),1086366.0)</f>
        <v>1086366</v>
      </c>
      <c r="B968" s="2005">
        <f>IFERROR(__xludf.DUMMYFUNCTION("""COMPUTED_VALUE"""),2403005.0)</f>
        <v>2403005</v>
      </c>
      <c r="C968" s="2005" t="str">
        <f>IFERROR(__xludf.DUMMYFUNCTION("""COMPUTED_VALUE"""),"Cartouche")</f>
        <v>Cartouche</v>
      </c>
      <c r="D968" s="2005" t="str">
        <f>IFERROR(__xludf.DUMMYFUNCTION("""COMPUTED_VALUE"""),"6 cartouches noir/gris PGI-29")</f>
        <v>6 cartouches noir/gris PGI-29</v>
      </c>
      <c r="E968" s="2005" t="str">
        <f>IFERROR(__xludf.DUMMYFUNCTION("""COMPUTED_VALUE"""),"CANON")</f>
        <v>CANON</v>
      </c>
      <c r="F968" s="2005" t="str">
        <f>IFERROR(__xludf.DUMMYFUNCTION("""COMPUTED_VALUE"""),"H")</f>
        <v>H</v>
      </c>
      <c r="G968" s="2005" t="str">
        <f>IFERROR(__xludf.DUMMYFUNCTION("""COMPUTED_VALUE"""),"AC")</f>
        <v>AC</v>
      </c>
      <c r="H968" s="2005">
        <f>IFERROR(__xludf.DUMMYFUNCTION("""COMPUTED_VALUE"""),135.99)</f>
        <v>135.99</v>
      </c>
      <c r="I968" s="2005">
        <f>IFERROR(__xludf.DUMMYFUNCTION("""COMPUTED_VALUE"""),135.99)</f>
        <v>135.99</v>
      </c>
      <c r="BD968" s="2006"/>
      <c r="LL968" s="2007"/>
      <c r="LM968" s="2007"/>
      <c r="MX968" s="2007"/>
      <c r="ND968" s="2007"/>
    </row>
    <row r="969">
      <c r="A969" s="2005">
        <f>IFERROR(__xludf.DUMMYFUNCTION("""COMPUTED_VALUE"""),1087005.0)</f>
        <v>1087005</v>
      </c>
      <c r="B969" s="2005">
        <f>IFERROR(__xludf.DUMMYFUNCTION("""COMPUTED_VALUE"""),1103010.0)</f>
        <v>1103010</v>
      </c>
      <c r="C969" s="2005" t="str">
        <f>IFERROR(__xludf.DUMMYFUNCTION("""COMPUTED_VALUE"""),"Tél.")</f>
        <v>Tél.</v>
      </c>
      <c r="D969" s="2005" t="str">
        <f>IFERROR(__xludf.DUMMYFUNCTION("""COMPUTED_VALUE"""),"KX-TG6811")</f>
        <v>KX-TG6811</v>
      </c>
      <c r="E969" s="2005" t="str">
        <f>IFERROR(__xludf.DUMMYFUNCTION("""COMPUTED_VALUE"""),"PANASONIC")</f>
        <v>PANASONIC</v>
      </c>
      <c r="F969" s="2005" t="str">
        <f>IFERROR(__xludf.DUMMYFUNCTION("""COMPUTED_VALUE"""),"H")</f>
        <v>H</v>
      </c>
      <c r="G969" s="2005" t="str">
        <f>IFERROR(__xludf.DUMMYFUNCTION("""COMPUTED_VALUE"""),"AC")</f>
        <v>AC</v>
      </c>
      <c r="H969" s="2005">
        <f>IFERROR(__xludf.DUMMYFUNCTION("""COMPUTED_VALUE"""),34.99)</f>
        <v>34.99</v>
      </c>
      <c r="I969" s="2005">
        <f>IFERROR(__xludf.DUMMYFUNCTION("""COMPUTED_VALUE"""),34.99)</f>
        <v>34.99</v>
      </c>
      <c r="BD969" s="2006"/>
      <c r="LL969" s="2007"/>
      <c r="LM969" s="2007"/>
      <c r="MX969" s="2007"/>
      <c r="ND969" s="2007"/>
    </row>
    <row r="970">
      <c r="A970" s="2005">
        <f>IFERROR(__xludf.DUMMYFUNCTION("""COMPUTED_VALUE"""),1087062.0)</f>
        <v>1087062</v>
      </c>
      <c r="B970" s="2005">
        <f>IFERROR(__xludf.DUMMYFUNCTION("""COMPUTED_VALUE"""),2409805.0)</f>
        <v>2409805</v>
      </c>
      <c r="C970" s="2005" t="str">
        <f>IFERROR(__xludf.DUMMYFUNCTION("""COMPUTED_VALUE"""),"Lot")</f>
        <v>Lot</v>
      </c>
      <c r="D970" s="2005" t="str">
        <f>IFERROR(__xludf.DUMMYFUNCTION("""COMPUTED_VALUE"""),"4 lots de KP36IN 36 feuilles + encre")</f>
        <v>4 lots de KP36IN 36 feuilles + encre</v>
      </c>
      <c r="E970" s="2005" t="str">
        <f>IFERROR(__xludf.DUMMYFUNCTION("""COMPUTED_VALUE"""),"CANON")</f>
        <v>CANON</v>
      </c>
      <c r="F970" s="2005" t="str">
        <f>IFERROR(__xludf.DUMMYFUNCTION("""COMPUTED_VALUE"""),"H")</f>
        <v>H</v>
      </c>
      <c r="G970" s="2005" t="str">
        <f>IFERROR(__xludf.DUMMYFUNCTION("""COMPUTED_VALUE"""),"AC")</f>
        <v>AC</v>
      </c>
      <c r="H970">
        <f>IFERROR(__xludf.DUMMYFUNCTION("""COMPUTED_VALUE"""),45.6)</f>
        <v>45.6</v>
      </c>
      <c r="I970">
        <f>IFERROR(__xludf.DUMMYFUNCTION("""COMPUTED_VALUE"""),59.97)</f>
        <v>59.97</v>
      </c>
      <c r="BD970" s="2006"/>
      <c r="LL970" s="2007"/>
      <c r="LM970" s="2007"/>
      <c r="MX970" s="2007"/>
      <c r="ND970" s="2007"/>
    </row>
    <row r="971">
      <c r="A971" s="2005">
        <f>IFERROR(__xludf.DUMMYFUNCTION("""COMPUTED_VALUE"""),1087063.0)</f>
        <v>1087063</v>
      </c>
      <c r="B971" s="2005">
        <f>IFERROR(__xludf.DUMMYFUNCTION("""COMPUTED_VALUE"""),2409805.0)</f>
        <v>2409805</v>
      </c>
      <c r="C971" s="2005" t="str">
        <f>IFERROR(__xludf.DUMMYFUNCTION("""COMPUTED_VALUE"""),"Lot")</f>
        <v>Lot</v>
      </c>
      <c r="D971" s="2005" t="str">
        <f>IFERROR(__xludf.DUMMYFUNCTION("""COMPUTED_VALUE"""),"4 lots de RP108N (108 feuilles + encre)")</f>
        <v>4 lots de RP108N (108 feuilles + encre)</v>
      </c>
      <c r="E971" s="2005" t="str">
        <f>IFERROR(__xludf.DUMMYFUNCTION("""COMPUTED_VALUE"""),"CANON")</f>
        <v>CANON</v>
      </c>
      <c r="F971" s="2005" t="str">
        <f>IFERROR(__xludf.DUMMYFUNCTION("""COMPUTED_VALUE"""),"H")</f>
        <v>H</v>
      </c>
      <c r="G971" s="2005" t="str">
        <f>IFERROR(__xludf.DUMMYFUNCTION("""COMPUTED_VALUE"""),"AC")</f>
        <v>AC</v>
      </c>
      <c r="H971" s="2005">
        <f>IFERROR(__xludf.DUMMYFUNCTION("""COMPUTED_VALUE"""),138.97)</f>
        <v>138.97</v>
      </c>
      <c r="I971" s="2005">
        <f>IFERROR(__xludf.DUMMYFUNCTION("""COMPUTED_VALUE"""),130.97)</f>
        <v>130.97</v>
      </c>
      <c r="BD971" s="2006"/>
      <c r="LL971" s="2007"/>
      <c r="LM971" s="2007"/>
      <c r="MX971" s="2008"/>
      <c r="ND971" s="2007"/>
    </row>
    <row r="972">
      <c r="A972" s="2005">
        <f>IFERROR(__xludf.DUMMYFUNCTION("""COMPUTED_VALUE"""),1087601.0)</f>
        <v>1087601</v>
      </c>
      <c r="B972" s="2005">
        <f>IFERROR(__xludf.DUMMYFUNCTION("""COMPUTED_VALUE"""),1103010.0)</f>
        <v>1103010</v>
      </c>
      <c r="C972" s="2005" t="str">
        <f>IFERROR(__xludf.DUMMYFUNCTION("""COMPUTED_VALUE"""),"Pack")</f>
        <v>Pack</v>
      </c>
      <c r="D972" s="2005" t="str">
        <f>IFERROR(__xludf.DUMMYFUNCTION("""COMPUTED_VALUE"""),"KX-TG6812")</f>
        <v>KX-TG6812</v>
      </c>
      <c r="E972" s="2005" t="str">
        <f>IFERROR(__xludf.DUMMYFUNCTION("""COMPUTED_VALUE"""),"PANASONIC")</f>
        <v>PANASONIC</v>
      </c>
      <c r="F972" s="2005" t="str">
        <f>IFERROR(__xludf.DUMMYFUNCTION("""COMPUTED_VALUE"""),"H")</f>
        <v>H</v>
      </c>
      <c r="G972" s="2005" t="str">
        <f>IFERROR(__xludf.DUMMYFUNCTION("""COMPUTED_VALUE"""),"AC")</f>
        <v>AC</v>
      </c>
      <c r="H972" s="2005">
        <f>IFERROR(__xludf.DUMMYFUNCTION("""COMPUTED_VALUE"""),64.99)</f>
        <v>64.99</v>
      </c>
      <c r="I972" s="2005">
        <f>IFERROR(__xludf.DUMMYFUNCTION("""COMPUTED_VALUE"""),64.99)</f>
        <v>64.99</v>
      </c>
      <c r="BD972" s="2006"/>
      <c r="LL972" s="2007"/>
      <c r="LM972" s="2007"/>
      <c r="MX972" s="2008"/>
      <c r="ND972" s="2007"/>
    </row>
    <row r="973">
      <c r="A973" s="2005">
        <f>IFERROR(__xludf.DUMMYFUNCTION("""COMPUTED_VALUE"""),1087994.0)</f>
        <v>1087994</v>
      </c>
      <c r="B973" s="2005">
        <f>IFERROR(__xludf.DUMMYFUNCTION("""COMPUTED_VALUE"""),2703015.0)</f>
        <v>2703015</v>
      </c>
      <c r="C973" s="2005" t="str">
        <f>IFERROR(__xludf.DUMMYFUNCTION("""COMPUTED_VALUE"""),"Plastifieuse")</f>
        <v>Plastifieuse</v>
      </c>
      <c r="D973" s="2005" t="str">
        <f>IFERROR(__xludf.DUMMYFUNCTION("""COMPUTED_VALUE"""),"Calibre A3")</f>
        <v>Calibre A3</v>
      </c>
      <c r="E973" s="2005" t="str">
        <f>IFERROR(__xludf.DUMMYFUNCTION("""COMPUTED_VALUE"""),"FELLOWES")</f>
        <v>FELLOWES</v>
      </c>
      <c r="F973" s="2005" t="str">
        <f>IFERROR(__xludf.DUMMYFUNCTION("""COMPUTED_VALUE"""),"W")</f>
        <v>W</v>
      </c>
      <c r="G973" s="2005" t="str">
        <f>IFERROR(__xludf.DUMMYFUNCTION("""COMPUTED_VALUE"""),"AC")</f>
        <v>AC</v>
      </c>
      <c r="H973" s="2005">
        <f>IFERROR(__xludf.DUMMYFUNCTION("""COMPUTED_VALUE"""),171.98)</f>
        <v>171.98</v>
      </c>
      <c r="I973" s="2005">
        <f>IFERROR(__xludf.DUMMYFUNCTION("""COMPUTED_VALUE"""),168.34)</f>
        <v>168.34</v>
      </c>
      <c r="BD973" s="2006"/>
      <c r="LL973" s="2007"/>
      <c r="LM973" s="2007"/>
      <c r="MX973" s="2007"/>
      <c r="ND973" s="2007"/>
    </row>
    <row r="974">
      <c r="A974" s="2005">
        <f>IFERROR(__xludf.DUMMYFUNCTION("""COMPUTED_VALUE"""),1087995.0)</f>
        <v>1087995</v>
      </c>
      <c r="B974" s="2005">
        <f>IFERROR(__xludf.DUMMYFUNCTION("""COMPUTED_VALUE"""),2703025.0)</f>
        <v>2703025</v>
      </c>
      <c r="C974" s="2005" t="str">
        <f>IFERROR(__xludf.DUMMYFUNCTION("""COMPUTED_VALUE"""),"DESTRUCTEUR")</f>
        <v>DESTRUCTEUR</v>
      </c>
      <c r="D974" s="2005" t="str">
        <f>IFERROR(__xludf.DUMMYFUNCTION("""COMPUTED_VALUE"""),"21Cs")</f>
        <v>21Cs</v>
      </c>
      <c r="E974" s="2005" t="str">
        <f>IFERROR(__xludf.DUMMYFUNCTION("""COMPUTED_VALUE"""),"FELLOWES")</f>
        <v>FELLOWES</v>
      </c>
      <c r="F974" s="2005" t="str">
        <f>IFERROR(__xludf.DUMMYFUNCTION("""COMPUTED_VALUE"""),"H")</f>
        <v>H</v>
      </c>
      <c r="G974" s="2005" t="str">
        <f>IFERROR(__xludf.DUMMYFUNCTION("""COMPUTED_VALUE"""),"NN")</f>
        <v>NN</v>
      </c>
      <c r="H974">
        <f>IFERROR(__xludf.DUMMYFUNCTION("""COMPUTED_VALUE"""),179.99)</f>
        <v>179.99</v>
      </c>
      <c r="I974">
        <f>IFERROR(__xludf.DUMMYFUNCTION("""COMPUTED_VALUE"""),179.99)</f>
        <v>179.99</v>
      </c>
      <c r="BD974" s="2006"/>
      <c r="LL974" s="2007"/>
      <c r="LM974" s="2007"/>
      <c r="MX974" s="2007"/>
      <c r="NB974" s="2007"/>
      <c r="ND974" s="2007"/>
    </row>
    <row r="975">
      <c r="A975" s="2005">
        <f>IFERROR(__xludf.DUMMYFUNCTION("""COMPUTED_VALUE"""),1088646.0)</f>
        <v>1088646</v>
      </c>
      <c r="B975" s="2005">
        <f>IFERROR(__xludf.DUMMYFUNCTION("""COMPUTED_VALUE"""),1103006.0)</f>
        <v>1103006</v>
      </c>
      <c r="C975" s="2005" t="str">
        <f>IFERROR(__xludf.DUMMYFUNCTION("""COMPUTED_VALUE"""),"Tél.")</f>
        <v>Tél.</v>
      </c>
      <c r="D975" s="2005" t="str">
        <f>IFERROR(__xludf.DUMMYFUNCTION("""COMPUTED_VALUE"""),"T MAX 20")</f>
        <v>T MAX 20</v>
      </c>
      <c r="E975" s="2005" t="str">
        <f>IFERROR(__xludf.DUMMYFUNCTION("""COMPUTED_VALUE"""),"ALCATEL")</f>
        <v>ALCATEL</v>
      </c>
      <c r="F975" s="2005" t="str">
        <f>IFERROR(__xludf.DUMMYFUNCTION("""COMPUTED_VALUE"""),"H")</f>
        <v>H</v>
      </c>
      <c r="G975" s="2005" t="str">
        <f>IFERROR(__xludf.DUMMYFUNCTION("""COMPUTED_VALUE"""),"NN")</f>
        <v>NN</v>
      </c>
      <c r="H975" s="2005">
        <f>IFERROR(__xludf.DUMMYFUNCTION("""COMPUTED_VALUE"""),29.99)</f>
        <v>29.99</v>
      </c>
      <c r="I975" s="2005">
        <f>IFERROR(__xludf.DUMMYFUNCTION("""COMPUTED_VALUE"""),29.99)</f>
        <v>29.99</v>
      </c>
      <c r="BD975" s="2006"/>
      <c r="LL975" s="2007"/>
      <c r="LM975" s="2007"/>
      <c r="MX975" s="2007"/>
      <c r="ND975" s="2007"/>
    </row>
    <row r="976">
      <c r="A976" s="2005">
        <f>IFERROR(__xludf.DUMMYFUNCTION("""COMPUTED_VALUE"""),1088649.0)</f>
        <v>1088649</v>
      </c>
      <c r="B976" s="2005">
        <f>IFERROR(__xludf.DUMMYFUNCTION("""COMPUTED_VALUE"""),1101005.0)</f>
        <v>1101005</v>
      </c>
      <c r="C976" s="2005" t="str">
        <f>IFERROR(__xludf.DUMMYFUNCTION("""COMPUTED_VALUE"""),"Pack")</f>
        <v>Pack</v>
      </c>
      <c r="D976" s="2005" t="str">
        <f>IFERROR(__xludf.DUMMYFUNCTION("""COMPUTED_VALUE"""),"XL 650 COMBO VOICE")</f>
        <v>XL 650 COMBO VOICE</v>
      </c>
      <c r="E976" s="2005" t="str">
        <f>IFERROR(__xludf.DUMMYFUNCTION("""COMPUTED_VALUE"""),"ALCATEL")</f>
        <v>ALCATEL</v>
      </c>
      <c r="F976" s="2005" t="str">
        <f>IFERROR(__xludf.DUMMYFUNCTION("""COMPUTED_VALUE"""),"A")</f>
        <v>A</v>
      </c>
      <c r="G976" s="2005" t="str">
        <f>IFERROR(__xludf.DUMMYFUNCTION("""COMPUTED_VALUE"""),"NN")</f>
        <v>NN</v>
      </c>
      <c r="H976" s="2005">
        <f>IFERROR(__xludf.DUMMYFUNCTION("""COMPUTED_VALUE"""),57.99)</f>
        <v>57.99</v>
      </c>
      <c r="I976" s="2005">
        <f>IFERROR(__xludf.DUMMYFUNCTION("""COMPUTED_VALUE"""),57.99)</f>
        <v>57.99</v>
      </c>
      <c r="BD976" s="2006"/>
      <c r="LL976" s="2007"/>
      <c r="LM976" s="2007"/>
      <c r="MX976" s="2007"/>
      <c r="ND976" s="2007"/>
    </row>
    <row r="977">
      <c r="A977" s="2005">
        <f>IFERROR(__xludf.DUMMYFUNCTION("""COMPUTED_VALUE"""),1088652.0)</f>
        <v>1088652</v>
      </c>
      <c r="B977" s="2005">
        <f>IFERROR(__xludf.DUMMYFUNCTION("""COMPUTED_VALUE"""),1103005.0)</f>
        <v>1103005</v>
      </c>
      <c r="C977" s="2005" t="str">
        <f>IFERROR(__xludf.DUMMYFUNCTION("""COMPUTED_VALUE"""),"Tél.")</f>
        <v>Tél.</v>
      </c>
      <c r="D977" s="2005" t="str">
        <f>IFERROR(__xludf.DUMMYFUNCTION("""COMPUTED_VALUE"""),"Smile Blanc/Gris")</f>
        <v>Smile Blanc/Gris</v>
      </c>
      <c r="E977" s="2005" t="str">
        <f>IFERROR(__xludf.DUMMYFUNCTION("""COMPUTED_VALUE"""),"ALCATEL")</f>
        <v>ALCATEL</v>
      </c>
      <c r="F977" s="2005" t="str">
        <f>IFERROR(__xludf.DUMMYFUNCTION("""COMPUTED_VALUE"""),"D")</f>
        <v>D</v>
      </c>
      <c r="G977" s="2005" t="str">
        <f>IFERROR(__xludf.DUMMYFUNCTION("""COMPUTED_VALUE"""),"NN")</f>
        <v>NN</v>
      </c>
      <c r="H977">
        <f>IFERROR(__xludf.DUMMYFUNCTION("""COMPUTED_VALUE"""),26.99)</f>
        <v>26.99</v>
      </c>
      <c r="I977">
        <f>IFERROR(__xludf.DUMMYFUNCTION("""COMPUTED_VALUE"""),26.99)</f>
        <v>26.99</v>
      </c>
      <c r="BD977" s="2006"/>
      <c r="LL977" s="2007"/>
      <c r="LM977" s="2007"/>
      <c r="MX977" s="2007"/>
      <c r="ND977" s="2007"/>
    </row>
    <row r="978">
      <c r="A978" s="2005">
        <f>IFERROR(__xludf.DUMMYFUNCTION("""COMPUTED_VALUE"""),1088654.0)</f>
        <v>1088654</v>
      </c>
      <c r="B978" s="2005">
        <f>IFERROR(__xludf.DUMMYFUNCTION("""COMPUTED_VALUE"""),2202010.0)</f>
        <v>2202010</v>
      </c>
      <c r="C978" s="2005" t="str">
        <f>IFERROR(__xludf.DUMMYFUNCTION("""COMPUTED_VALUE"""),"Multi Jet d'enc")</f>
        <v>Multi Jet d'enc</v>
      </c>
      <c r="D978" s="2005" t="str">
        <f>IFERROR(__xludf.DUMMYFUNCTION("""COMPUTED_VALUE"""),"EcoTank ET-2600")</f>
        <v>EcoTank ET-2600</v>
      </c>
      <c r="E978" s="2005" t="str">
        <f>IFERROR(__xludf.DUMMYFUNCTION("""COMPUTED_VALUE"""),"EPSON")</f>
        <v>EPSON</v>
      </c>
      <c r="F978" s="2005" t="str">
        <f>IFERROR(__xludf.DUMMYFUNCTION("""COMPUTED_VALUE"""),"H")</f>
        <v>H</v>
      </c>
      <c r="G978" s="2005" t="str">
        <f>IFERROR(__xludf.DUMMYFUNCTION("""COMPUTED_VALUE"""),"NN")</f>
        <v>NN</v>
      </c>
      <c r="H978" s="2005">
        <f>IFERROR(__xludf.DUMMYFUNCTION("""COMPUTED_VALUE"""),199.99)</f>
        <v>199.99</v>
      </c>
      <c r="I978" s="2005">
        <f>IFERROR(__xludf.DUMMYFUNCTION("""COMPUTED_VALUE"""),199.99)</f>
        <v>199.99</v>
      </c>
      <c r="BD978" s="2006"/>
      <c r="LL978" s="2007"/>
      <c r="LM978" s="2007"/>
      <c r="MX978" s="2007"/>
      <c r="ND978" s="2007"/>
    </row>
    <row r="979">
      <c r="A979" s="2005">
        <f>IFERROR(__xludf.DUMMYFUNCTION("""COMPUTED_VALUE"""),1088715.0)</f>
        <v>1088715</v>
      </c>
      <c r="B979" s="2005">
        <f>IFERROR(__xludf.DUMMYFUNCTION("""COMPUTED_VALUE"""),2502024.0)</f>
        <v>2502024</v>
      </c>
      <c r="C979" s="2005" t="str">
        <f>IFERROR(__xludf.DUMMYFUNCTION("""COMPUTED_VALUE"""),"Stylet")</f>
        <v>Stylet</v>
      </c>
      <c r="D979" s="2005" t="str">
        <f>IFERROR(__xludf.DUMMYFUNCTION("""COMPUTED_VALUE"""),"S Pen silver pour Galaxy Tab S3")</f>
        <v>S Pen silver pour Galaxy Tab S3</v>
      </c>
      <c r="E979" s="2005" t="str">
        <f>IFERROR(__xludf.DUMMYFUNCTION("""COMPUTED_VALUE"""),"SAMSUNG")</f>
        <v>SAMSUNG</v>
      </c>
      <c r="F979" s="2005" t="str">
        <f>IFERROR(__xludf.DUMMYFUNCTION("""COMPUTED_VALUE"""),"W")</f>
        <v>W</v>
      </c>
      <c r="G979" s="2005" t="str">
        <f>IFERROR(__xludf.DUMMYFUNCTION("""COMPUTED_VALUE"""),"NN")</f>
        <v>NN</v>
      </c>
      <c r="H979">
        <f>IFERROR(__xludf.DUMMYFUNCTION("""COMPUTED_VALUE"""),79.99)</f>
        <v>79.99</v>
      </c>
      <c r="I979">
        <f>IFERROR(__xludf.DUMMYFUNCTION("""COMPUTED_VALUE"""),79.99)</f>
        <v>79.99</v>
      </c>
      <c r="BD979" s="2006"/>
      <c r="LL979" s="2007"/>
      <c r="LM979" s="2007"/>
      <c r="MX979" s="2008"/>
      <c r="ND979" s="2007"/>
    </row>
    <row r="980">
      <c r="A980" s="2005">
        <f>IFERROR(__xludf.DUMMYFUNCTION("""COMPUTED_VALUE"""),1088800.0)</f>
        <v>1088800</v>
      </c>
      <c r="B980" s="2005">
        <f>IFERROR(__xludf.DUMMYFUNCTION("""COMPUTED_VALUE"""),2703015.0)</f>
        <v>2703015</v>
      </c>
      <c r="C980" s="2005" t="str">
        <f>IFERROR(__xludf.DUMMYFUNCTION("""COMPUTED_VALUE"""),"Plastifieuse")</f>
        <v>Plastifieuse</v>
      </c>
      <c r="D980" s="2005" t="str">
        <f>IFERROR(__xludf.DUMMYFUNCTION("""COMPUTED_VALUE"""),"I-Lam Home Office A4 Rose")</f>
        <v>I-Lam Home Office A4 Rose</v>
      </c>
      <c r="E980" s="2005" t="str">
        <f>IFERROR(__xludf.DUMMYFUNCTION("""COMPUTED_VALUE"""),"LEITZ")</f>
        <v>LEITZ</v>
      </c>
      <c r="F980" s="2005" t="str">
        <f>IFERROR(__xludf.DUMMYFUNCTION("""COMPUTED_VALUE"""),"C")</f>
        <v>C</v>
      </c>
      <c r="G980" s="2005" t="str">
        <f>IFERROR(__xludf.DUMMYFUNCTION("""COMPUTED_VALUE"""),"FF")</f>
        <v>FF</v>
      </c>
      <c r="H980">
        <f>IFERROR(__xludf.DUMMYFUNCTION("""COMPUTED_VALUE"""),69.99)</f>
        <v>69.99</v>
      </c>
      <c r="I980">
        <f>IFERROR(__xludf.DUMMYFUNCTION("""COMPUTED_VALUE"""),69.99)</f>
        <v>69.99</v>
      </c>
      <c r="BD980" s="2006"/>
      <c r="LL980" s="2007"/>
      <c r="LM980" s="2007"/>
      <c r="MX980" s="2007"/>
      <c r="ND980" s="2007"/>
    </row>
    <row r="981">
      <c r="A981" s="2005">
        <f>IFERROR(__xludf.DUMMYFUNCTION("""COMPUTED_VALUE"""),1089130.0)</f>
        <v>1089130</v>
      </c>
      <c r="B981" s="2005">
        <f>IFERROR(__xludf.DUMMYFUNCTION("""COMPUTED_VALUE"""),2403005.0)</f>
        <v>2403005</v>
      </c>
      <c r="C981" s="2005" t="str">
        <f>IFERROR(__xludf.DUMMYFUNCTION("""COMPUTED_VALUE"""),"Cartouche")</f>
        <v>Cartouche</v>
      </c>
      <c r="D981" s="2005" t="str">
        <f>IFERROR(__xludf.DUMMYFUNCTION("""COMPUTED_VALUE"""),"T3461 série Balle de golf noire")</f>
        <v>T3461 série Balle de golf noire</v>
      </c>
      <c r="E981" s="2005" t="str">
        <f>IFERROR(__xludf.DUMMYFUNCTION("""COMPUTED_VALUE"""),"EPSON")</f>
        <v>EPSON</v>
      </c>
      <c r="F981" s="2005" t="str">
        <f>IFERROR(__xludf.DUMMYFUNCTION("""COMPUTED_VALUE"""),"B")</f>
        <v>B</v>
      </c>
      <c r="G981" s="2005" t="str">
        <f>IFERROR(__xludf.DUMMYFUNCTION("""COMPUTED_VALUE"""),"AC")</f>
        <v>AC</v>
      </c>
      <c r="H981" s="2005">
        <f>IFERROR(__xludf.DUMMYFUNCTION("""COMPUTED_VALUE"""),25.99)</f>
        <v>25.99</v>
      </c>
      <c r="I981" s="2005">
        <f>IFERROR(__xludf.DUMMYFUNCTION("""COMPUTED_VALUE"""),25.99)</f>
        <v>25.99</v>
      </c>
      <c r="BD981" s="2006"/>
      <c r="LM981" s="2007"/>
    </row>
    <row r="982">
      <c r="A982" s="2005">
        <f>IFERROR(__xludf.DUMMYFUNCTION("""COMPUTED_VALUE"""),1089144.0)</f>
        <v>1089144</v>
      </c>
      <c r="B982" s="2005">
        <f>IFERROR(__xludf.DUMMYFUNCTION("""COMPUTED_VALUE"""),2403005.0)</f>
        <v>2403005</v>
      </c>
      <c r="C982" s="2005" t="str">
        <f>IFERROR(__xludf.DUMMYFUNCTION("""COMPUTED_VALUE"""),"Cartouche")</f>
        <v>Cartouche</v>
      </c>
      <c r="D982" s="2005" t="str">
        <f>IFERROR(__xludf.DUMMYFUNCTION("""COMPUTED_VALUE"""),"T3463 Magenta Série Balle de golf")</f>
        <v>T3463 Magenta Série Balle de golf</v>
      </c>
      <c r="E982" s="2005" t="str">
        <f>IFERROR(__xludf.DUMMYFUNCTION("""COMPUTED_VALUE"""),"EPSON")</f>
        <v>EPSON</v>
      </c>
      <c r="F982" s="2005" t="str">
        <f>IFERROR(__xludf.DUMMYFUNCTION("""COMPUTED_VALUE"""),"H")</f>
        <v>H</v>
      </c>
      <c r="G982" s="2005" t="str">
        <f>IFERROR(__xludf.DUMMYFUNCTION("""COMPUTED_VALUE"""),"NN")</f>
        <v>NN</v>
      </c>
      <c r="H982" s="2005">
        <f>IFERROR(__xludf.DUMMYFUNCTION("""COMPUTED_VALUE"""),13.99)</f>
        <v>13.99</v>
      </c>
      <c r="I982" s="2005">
        <f>IFERROR(__xludf.DUMMYFUNCTION("""COMPUTED_VALUE"""),13.99)</f>
        <v>13.99</v>
      </c>
      <c r="BD982" s="2006"/>
      <c r="LM982" s="2007"/>
    </row>
    <row r="983">
      <c r="A983" s="2005">
        <f>IFERROR(__xludf.DUMMYFUNCTION("""COMPUTED_VALUE"""),1089145.0)</f>
        <v>1089145</v>
      </c>
      <c r="B983" s="2005">
        <f>IFERROR(__xludf.DUMMYFUNCTION("""COMPUTED_VALUE"""),2403005.0)</f>
        <v>2403005</v>
      </c>
      <c r="C983" s="2005" t="str">
        <f>IFERROR(__xludf.DUMMYFUNCTION("""COMPUTED_VALUE"""),"Cartouche")</f>
        <v>Cartouche</v>
      </c>
      <c r="D983" s="2005" t="str">
        <f>IFERROR(__xludf.DUMMYFUNCTION("""COMPUTED_VALUE"""),"T3464 Jaune Série Balle de golf")</f>
        <v>T3464 Jaune Série Balle de golf</v>
      </c>
      <c r="E983" s="2005" t="str">
        <f>IFERROR(__xludf.DUMMYFUNCTION("""COMPUTED_VALUE"""),"EPSON")</f>
        <v>EPSON</v>
      </c>
      <c r="F983" s="2005" t="str">
        <f>IFERROR(__xludf.DUMMYFUNCTION("""COMPUTED_VALUE"""),"H")</f>
        <v>H</v>
      </c>
      <c r="G983" s="2005" t="str">
        <f>IFERROR(__xludf.DUMMYFUNCTION("""COMPUTED_VALUE"""),"NN")</f>
        <v>NN</v>
      </c>
      <c r="H983" s="2005">
        <f>IFERROR(__xludf.DUMMYFUNCTION("""COMPUTED_VALUE"""),13.99)</f>
        <v>13.99</v>
      </c>
      <c r="I983" s="2005">
        <f>IFERROR(__xludf.DUMMYFUNCTION("""COMPUTED_VALUE"""),13.99)</f>
        <v>13.99</v>
      </c>
      <c r="BD983" s="2006"/>
      <c r="LM983" s="2007"/>
    </row>
    <row r="984">
      <c r="A984" s="2005">
        <f>IFERROR(__xludf.DUMMYFUNCTION("""COMPUTED_VALUE"""),1089146.0)</f>
        <v>1089146</v>
      </c>
      <c r="B984" s="2005">
        <f>IFERROR(__xludf.DUMMYFUNCTION("""COMPUTED_VALUE"""),2403005.0)</f>
        <v>2403005</v>
      </c>
      <c r="C984" s="2005" t="str">
        <f>IFERROR(__xludf.DUMMYFUNCTION("""COMPUTED_VALUE"""),"Pack")</f>
        <v>Pack</v>
      </c>
      <c r="D984" s="2005" t="str">
        <f>IFERROR(__xludf.DUMMYFUNCTION("""COMPUTED_VALUE"""),"T3466 (N/C/M/J) Série Balle de golf")</f>
        <v>T3466 (N/C/M/J) Série Balle de golf</v>
      </c>
      <c r="E984" s="2005" t="str">
        <f>IFERROR(__xludf.DUMMYFUNCTION("""COMPUTED_VALUE"""),"EPSON")</f>
        <v>EPSON</v>
      </c>
      <c r="F984" s="2005" t="str">
        <f>IFERROR(__xludf.DUMMYFUNCTION("""COMPUTED_VALUE"""),"B")</f>
        <v>B</v>
      </c>
      <c r="G984" s="2005" t="str">
        <f>IFERROR(__xludf.DUMMYFUNCTION("""COMPUTED_VALUE"""),"AC")</f>
        <v>AC</v>
      </c>
      <c r="H984">
        <f>IFERROR(__xludf.DUMMYFUNCTION("""COMPUTED_VALUE"""),65.0)</f>
        <v>65</v>
      </c>
      <c r="I984">
        <f>IFERROR(__xludf.DUMMYFUNCTION("""COMPUTED_VALUE"""),65.0)</f>
        <v>65</v>
      </c>
      <c r="BD984" s="2006"/>
      <c r="LM984" s="2007"/>
    </row>
    <row r="985">
      <c r="A985" s="2005">
        <f>IFERROR(__xludf.DUMMYFUNCTION("""COMPUTED_VALUE"""),1089147.0)</f>
        <v>1089147</v>
      </c>
      <c r="B985" s="2005">
        <f>IFERROR(__xludf.DUMMYFUNCTION("""COMPUTED_VALUE"""),2403005.0)</f>
        <v>2403005</v>
      </c>
      <c r="C985" s="2005" t="str">
        <f>IFERROR(__xludf.DUMMYFUNCTION("""COMPUTED_VALUE"""),"Cartouche")</f>
        <v>Cartouche</v>
      </c>
      <c r="D985" s="2005" t="str">
        <f>IFERROR(__xludf.DUMMYFUNCTION("""COMPUTED_VALUE"""),"T3471 Noire XL Série Balle de golf")</f>
        <v>T3471 Noire XL Série Balle de golf</v>
      </c>
      <c r="E985" s="2005" t="str">
        <f>IFERROR(__xludf.DUMMYFUNCTION("""COMPUTED_VALUE"""),"EPSON")</f>
        <v>EPSON</v>
      </c>
      <c r="F985" s="2005" t="str">
        <f>IFERROR(__xludf.DUMMYFUNCTION("""COMPUTED_VALUE"""),"H")</f>
        <v>H</v>
      </c>
      <c r="G985" s="2005" t="str">
        <f>IFERROR(__xludf.DUMMYFUNCTION("""COMPUTED_VALUE"""),"AC")</f>
        <v>AC</v>
      </c>
      <c r="H985" s="2005">
        <f>IFERROR(__xludf.DUMMYFUNCTION("""COMPUTED_VALUE"""),52.99)</f>
        <v>52.99</v>
      </c>
      <c r="I985" s="2005">
        <f>IFERROR(__xludf.DUMMYFUNCTION("""COMPUTED_VALUE"""),52.99)</f>
        <v>52.99</v>
      </c>
      <c r="BD985" s="2006"/>
      <c r="LM985" s="2007"/>
    </row>
    <row r="986">
      <c r="A986" s="2005">
        <f>IFERROR(__xludf.DUMMYFUNCTION("""COMPUTED_VALUE"""),1089252.0)</f>
        <v>1089252</v>
      </c>
      <c r="B986" s="2005">
        <f>IFERROR(__xludf.DUMMYFUNCTION("""COMPUTED_VALUE"""),2402020.0)</f>
        <v>2402020</v>
      </c>
      <c r="C986" s="2005" t="str">
        <f>IFERROR(__xludf.DUMMYFUNCTION("""COMPUTED_VALUE"""),"Papier")</f>
        <v>Papier</v>
      </c>
      <c r="D986" s="2005" t="str">
        <f>IFERROR(__xludf.DUMMYFUNCTION("""COMPUTED_VALUE"""),"3 Papiers magnétiques brillants A4")</f>
        <v>3 Papiers magnétiques brillants A4</v>
      </c>
      <c r="E986" s="2005" t="str">
        <f>IFERROR(__xludf.DUMMYFUNCTION("""COMPUTED_VALUE"""),"AVERY")</f>
        <v>AVERY</v>
      </c>
      <c r="F986" s="2005" t="str">
        <f>IFERROR(__xludf.DUMMYFUNCTION("""COMPUTED_VALUE"""),"D")</f>
        <v>D</v>
      </c>
      <c r="G986" s="2005" t="str">
        <f>IFERROR(__xludf.DUMMYFUNCTION("""COMPUTED_VALUE"""),"AC")</f>
        <v>AC</v>
      </c>
      <c r="H986" s="2005">
        <f>IFERROR(__xludf.DUMMYFUNCTION("""COMPUTED_VALUE"""),11.99)</f>
        <v>11.99</v>
      </c>
      <c r="I986" s="2005">
        <f>IFERROR(__xludf.DUMMYFUNCTION("""COMPUTED_VALUE"""),11.99)</f>
        <v>11.99</v>
      </c>
      <c r="BD986" s="2006"/>
      <c r="LM986" s="2007"/>
    </row>
    <row r="987">
      <c r="A987" s="2005">
        <f>IFERROR(__xludf.DUMMYFUNCTION("""COMPUTED_VALUE"""),1089253.0)</f>
        <v>1089253</v>
      </c>
      <c r="B987" s="2005">
        <f>IFERROR(__xludf.DUMMYFUNCTION("""COMPUTED_VALUE"""),2402020.0)</f>
        <v>2402020</v>
      </c>
      <c r="C987" s="2005" t="str">
        <f>IFERROR(__xludf.DUMMYFUNCTION("""COMPUTED_VALUE"""),"Papier")</f>
        <v>Papier</v>
      </c>
      <c r="D987" s="2005" t="str">
        <f>IFERROR(__xludf.DUMMYFUNCTION("""COMPUTED_VALUE"""),"6 Stikers transparents A4")</f>
        <v>6 Stikers transparents A4</v>
      </c>
      <c r="E987" s="2005" t="str">
        <f>IFERROR(__xludf.DUMMYFUNCTION("""COMPUTED_VALUE"""),"AVERY")</f>
        <v>AVERY</v>
      </c>
      <c r="F987" s="2005" t="str">
        <f>IFERROR(__xludf.DUMMYFUNCTION("""COMPUTED_VALUE"""),"B")</f>
        <v>B</v>
      </c>
      <c r="G987" s="2005" t="str">
        <f>IFERROR(__xludf.DUMMYFUNCTION("""COMPUTED_VALUE"""),"AC")</f>
        <v>AC</v>
      </c>
      <c r="H987">
        <f>IFERROR(__xludf.DUMMYFUNCTION("""COMPUTED_VALUE"""),11.99)</f>
        <v>11.99</v>
      </c>
      <c r="I987">
        <f>IFERROR(__xludf.DUMMYFUNCTION("""COMPUTED_VALUE"""),9.9)</f>
        <v>9.9</v>
      </c>
      <c r="BD987" s="2006"/>
      <c r="LM987" s="2007"/>
    </row>
    <row r="988">
      <c r="A988" s="2005">
        <f>IFERROR(__xludf.DUMMYFUNCTION("""COMPUTED_VALUE"""),1089256.0)</f>
        <v>1089256</v>
      </c>
      <c r="B988" s="2005">
        <f>IFERROR(__xludf.DUMMYFUNCTION("""COMPUTED_VALUE"""),2402015.0)</f>
        <v>2402015</v>
      </c>
      <c r="C988" s="2005" t="str">
        <f>IFERROR(__xludf.DUMMYFUNCTION("""COMPUTED_VALUE"""),"Papier")</f>
        <v>Papier</v>
      </c>
      <c r="D988" s="2005" t="str">
        <f>IFERROR(__xludf.DUMMYFUNCTION("""COMPUTED_VALUE"""),"40 Photos brillantes 10x15 270g")</f>
        <v>40 Photos brillantes 10x15 270g</v>
      </c>
      <c r="E988" s="2005" t="str">
        <f>IFERROR(__xludf.DUMMYFUNCTION("""COMPUTED_VALUE"""),"AVERY")</f>
        <v>AVERY</v>
      </c>
      <c r="F988" s="2005" t="str">
        <f>IFERROR(__xludf.DUMMYFUNCTION("""COMPUTED_VALUE"""),"C")</f>
        <v>C</v>
      </c>
      <c r="G988" s="2005" t="str">
        <f>IFERROR(__xludf.DUMMYFUNCTION("""COMPUTED_VALUE"""),"AC")</f>
        <v>AC</v>
      </c>
      <c r="H988" s="2005">
        <f>IFERROR(__xludf.DUMMYFUNCTION("""COMPUTED_VALUE"""),7.99)</f>
        <v>7.99</v>
      </c>
      <c r="I988" s="2005">
        <f>IFERROR(__xludf.DUMMYFUNCTION("""COMPUTED_VALUE"""),6.49)</f>
        <v>6.49</v>
      </c>
      <c r="BD988" s="2006"/>
      <c r="LM988" s="2007"/>
    </row>
    <row r="989">
      <c r="A989" s="2005">
        <f>IFERROR(__xludf.DUMMYFUNCTION("""COMPUTED_VALUE"""),1089257.0)</f>
        <v>1089257</v>
      </c>
      <c r="B989" s="2005">
        <f>IFERROR(__xludf.DUMMYFUNCTION("""COMPUTED_VALUE"""),2402015.0)</f>
        <v>2402015</v>
      </c>
      <c r="C989" s="2005" t="str">
        <f>IFERROR(__xludf.DUMMYFUNCTION("""COMPUTED_VALUE"""),"Papier")</f>
        <v>Papier</v>
      </c>
      <c r="D989" s="2005" t="str">
        <f>IFERROR(__xludf.DUMMYFUNCTION("""COMPUTED_VALUE"""),"200 Feuilles de papier premium 120g")</f>
        <v>200 Feuilles de papier premium 120g</v>
      </c>
      <c r="E989" s="2005" t="str">
        <f>IFERROR(__xludf.DUMMYFUNCTION("""COMPUTED_VALUE"""),"AVERY")</f>
        <v>AVERY</v>
      </c>
      <c r="F989" s="2005" t="str">
        <f>IFERROR(__xludf.DUMMYFUNCTION("""COMPUTED_VALUE"""),"B")</f>
        <v>B</v>
      </c>
      <c r="G989" s="2005" t="str">
        <f>IFERROR(__xludf.DUMMYFUNCTION("""COMPUTED_VALUE"""),"NN")</f>
        <v>NN</v>
      </c>
      <c r="H989" s="2005">
        <f>IFERROR(__xludf.DUMMYFUNCTION("""COMPUTED_VALUE"""),8.99)</f>
        <v>8.99</v>
      </c>
      <c r="I989" s="2005">
        <f>IFERROR(__xludf.DUMMYFUNCTION("""COMPUTED_VALUE"""),6.9)</f>
        <v>6.9</v>
      </c>
      <c r="BD989" s="2006"/>
      <c r="LM989" s="2007"/>
    </row>
    <row r="990">
      <c r="A990" s="2005">
        <f>IFERROR(__xludf.DUMMYFUNCTION("""COMPUTED_VALUE"""),1089260.0)</f>
        <v>1089260</v>
      </c>
      <c r="B990" s="2005">
        <f>IFERROR(__xludf.DUMMYFUNCTION("""COMPUTED_VALUE"""),2402005.0)</f>
        <v>2402005</v>
      </c>
      <c r="C990" s="2005" t="str">
        <f>IFERROR(__xludf.DUMMYFUNCTION("""COMPUTED_VALUE"""),"Papier")</f>
        <v>Papier</v>
      </c>
      <c r="D990" s="2005" t="str">
        <f>IFERROR(__xludf.DUMMYFUNCTION("""COMPUTED_VALUE"""),"60 Photos brillantes 10x15 200g/m²")</f>
        <v>60 Photos brillantes 10x15 200g/m²</v>
      </c>
      <c r="E990" s="2005" t="str">
        <f>IFERROR(__xludf.DUMMYFUNCTION("""COMPUTED_VALUE"""),"AVERY")</f>
        <v>AVERY</v>
      </c>
      <c r="F990" s="2005" t="str">
        <f>IFERROR(__xludf.DUMMYFUNCTION("""COMPUTED_VALUE"""),"H")</f>
        <v>H</v>
      </c>
      <c r="G990" s="2005" t="str">
        <f>IFERROR(__xludf.DUMMYFUNCTION("""COMPUTED_VALUE"""),"AC")</f>
        <v>AC</v>
      </c>
      <c r="H990" s="2005">
        <f>IFERROR(__xludf.DUMMYFUNCTION("""COMPUTED_VALUE"""),6.99)</f>
        <v>6.99</v>
      </c>
      <c r="I990" s="2005">
        <f>IFERROR(__xludf.DUMMYFUNCTION("""COMPUTED_VALUE"""),6.99)</f>
        <v>6.99</v>
      </c>
      <c r="BD990" s="2006"/>
      <c r="LM990" s="2007"/>
    </row>
    <row r="991">
      <c r="A991" s="2005">
        <f>IFERROR(__xludf.DUMMYFUNCTION("""COMPUTED_VALUE"""),1089262.0)</f>
        <v>1089262</v>
      </c>
      <c r="B991" s="2005">
        <f>IFERROR(__xludf.DUMMYFUNCTION("""COMPUTED_VALUE"""),2402015.0)</f>
        <v>2402015</v>
      </c>
      <c r="C991" s="2005" t="str">
        <f>IFERROR(__xludf.DUMMYFUNCTION("""COMPUTED_VALUE"""),"Papier")</f>
        <v>Papier</v>
      </c>
      <c r="D991" s="2005" t="str">
        <f>IFERROR(__xludf.DUMMYFUNCTION("""COMPUTED_VALUE"""),"50 Photos brillantes 10x15 230g/m²")</f>
        <v>50 Photos brillantes 10x15 230g/m²</v>
      </c>
      <c r="E991" s="2005" t="str">
        <f>IFERROR(__xludf.DUMMYFUNCTION("""COMPUTED_VALUE"""),"AVERY")</f>
        <v>AVERY</v>
      </c>
      <c r="F991" s="2005" t="str">
        <f>IFERROR(__xludf.DUMMYFUNCTION("""COMPUTED_VALUE"""),"A")</f>
        <v>A</v>
      </c>
      <c r="G991" s="2005" t="str">
        <f>IFERROR(__xludf.DUMMYFUNCTION("""COMPUTED_VALUE"""),"AC")</f>
        <v>AC</v>
      </c>
      <c r="H991" s="2005">
        <f>IFERROR(__xludf.DUMMYFUNCTION("""COMPUTED_VALUE"""),6.99)</f>
        <v>6.99</v>
      </c>
      <c r="I991" s="2005">
        <f>IFERROR(__xludf.DUMMYFUNCTION("""COMPUTED_VALUE"""),6.99)</f>
        <v>6.99</v>
      </c>
      <c r="BD991" s="2006"/>
      <c r="LM991" s="2007"/>
    </row>
    <row r="992">
      <c r="A992" s="2005">
        <f>IFERROR(__xludf.DUMMYFUNCTION("""COMPUTED_VALUE"""),1089263.0)</f>
        <v>1089263</v>
      </c>
      <c r="B992" s="2005">
        <f>IFERROR(__xludf.DUMMYFUNCTION("""COMPUTED_VALUE"""),2402005.0)</f>
        <v>2402005</v>
      </c>
      <c r="C992" s="2005" t="str">
        <f>IFERROR(__xludf.DUMMYFUNCTION("""COMPUTED_VALUE"""),"Papier")</f>
        <v>Papier</v>
      </c>
      <c r="D992" s="2005" t="str">
        <f>IFERROR(__xludf.DUMMYFUNCTION("""COMPUTED_VALUE"""),"20 Photos mates A4 170g/m²")</f>
        <v>20 Photos mates A4 170g/m²</v>
      </c>
      <c r="E992" s="2005" t="str">
        <f>IFERROR(__xludf.DUMMYFUNCTION("""COMPUTED_VALUE"""),"AVERY")</f>
        <v>AVERY</v>
      </c>
      <c r="F992" s="2005" t="str">
        <f>IFERROR(__xludf.DUMMYFUNCTION("""COMPUTED_VALUE"""),"H")</f>
        <v>H</v>
      </c>
      <c r="G992" s="2005" t="str">
        <f>IFERROR(__xludf.DUMMYFUNCTION("""COMPUTED_VALUE"""),"NN")</f>
        <v>NN</v>
      </c>
      <c r="H992" s="2005">
        <f>IFERROR(__xludf.DUMMYFUNCTION("""COMPUTED_VALUE"""),11.99)</f>
        <v>11.99</v>
      </c>
      <c r="I992" s="2005">
        <f>IFERROR(__xludf.DUMMYFUNCTION("""COMPUTED_VALUE"""),11.99)</f>
        <v>11.99</v>
      </c>
      <c r="BD992" s="2006"/>
      <c r="LM992" s="2007"/>
    </row>
    <row r="993">
      <c r="A993" s="2005">
        <f>IFERROR(__xludf.DUMMYFUNCTION("""COMPUTED_VALUE"""),1089264.0)</f>
        <v>1089264</v>
      </c>
      <c r="B993" s="2005">
        <f>IFERROR(__xludf.DUMMYFUNCTION("""COMPUTED_VALUE"""),2402015.0)</f>
        <v>2402015</v>
      </c>
      <c r="C993" s="2005" t="str">
        <f>IFERROR(__xludf.DUMMYFUNCTION("""COMPUTED_VALUE"""),"Papier")</f>
        <v>Papier</v>
      </c>
      <c r="D993" s="2005" t="str">
        <f>IFERROR(__xludf.DUMMYFUNCTION("""COMPUTED_VALUE"""),"50 Feuilles papier photo brillant laser")</f>
        <v>50 Feuilles papier photo brillant laser</v>
      </c>
      <c r="E993" s="2005" t="str">
        <f>IFERROR(__xludf.DUMMYFUNCTION("""COMPUTED_VALUE"""),"AVERY")</f>
        <v>AVERY</v>
      </c>
      <c r="F993" s="2005" t="str">
        <f>IFERROR(__xludf.DUMMYFUNCTION("""COMPUTED_VALUE"""),"C")</f>
        <v>C</v>
      </c>
      <c r="G993" s="2005" t="str">
        <f>IFERROR(__xludf.DUMMYFUNCTION("""COMPUTED_VALUE"""),"FR")</f>
        <v>FR</v>
      </c>
      <c r="H993" s="2005">
        <f>IFERROR(__xludf.DUMMYFUNCTION("""COMPUTED_VALUE"""),11.99)</f>
        <v>11.99</v>
      </c>
      <c r="I993" s="2005">
        <f>IFERROR(__xludf.DUMMYFUNCTION("""COMPUTED_VALUE"""),9.9)</f>
        <v>9.9</v>
      </c>
      <c r="BD993" s="2006"/>
      <c r="LM993" s="2007"/>
    </row>
    <row r="994">
      <c r="A994" s="2005">
        <f>IFERROR(__xludf.DUMMYFUNCTION("""COMPUTED_VALUE"""),1089268.0)</f>
        <v>1089268</v>
      </c>
      <c r="B994" s="2005">
        <f>IFERROR(__xludf.DUMMYFUNCTION("""COMPUTED_VALUE"""),2402020.0)</f>
        <v>2402020</v>
      </c>
      <c r="C994" s="2005" t="str">
        <f>IFERROR(__xludf.DUMMYFUNCTION("""COMPUTED_VALUE"""),"Papier")</f>
        <v>Papier</v>
      </c>
      <c r="D994" s="2005" t="str">
        <f>IFERROR(__xludf.DUMMYFUNCTION("""COMPUTED_VALUE"""),"8 Autocollants blanc mat 19,96x28,91cm")</f>
        <v>8 Autocollants blanc mat 19,96x28,91cm</v>
      </c>
      <c r="E994" s="2005" t="str">
        <f>IFERROR(__xludf.DUMMYFUNCTION("""COMPUTED_VALUE"""),"AVERY")</f>
        <v>AVERY</v>
      </c>
      <c r="F994" s="2005" t="str">
        <f>IFERROR(__xludf.DUMMYFUNCTION("""COMPUTED_VALUE"""),"D")</f>
        <v>D</v>
      </c>
      <c r="G994" s="2005" t="str">
        <f>IFERROR(__xludf.DUMMYFUNCTION("""COMPUTED_VALUE"""),"FR")</f>
        <v>FR</v>
      </c>
      <c r="H994" s="2005">
        <f>IFERROR(__xludf.DUMMYFUNCTION("""COMPUTED_VALUE"""),11.99)</f>
        <v>11.99</v>
      </c>
      <c r="I994" s="2005">
        <f>IFERROR(__xludf.DUMMYFUNCTION("""COMPUTED_VALUE"""),11.99)</f>
        <v>11.99</v>
      </c>
      <c r="BD994" s="2006"/>
      <c r="LM994" s="2007"/>
    </row>
    <row r="995">
      <c r="A995" s="2005">
        <f>IFERROR(__xludf.DUMMYFUNCTION("""COMPUTED_VALUE"""),1089269.0)</f>
        <v>1089269</v>
      </c>
      <c r="B995" s="2005">
        <f>IFERROR(__xludf.DUMMYFUNCTION("""COMPUTED_VALUE"""),2402020.0)</f>
        <v>2402020</v>
      </c>
      <c r="C995" s="2005" t="str">
        <f>IFERROR(__xludf.DUMMYFUNCTION("""COMPUTED_VALUE"""),"Papier")</f>
        <v>Papier</v>
      </c>
      <c r="D995" s="2005" t="str">
        <f>IFERROR(__xludf.DUMMYFUNCTION("""COMPUTED_VALUE"""),"8 Autocollants blanc brillant")</f>
        <v>8 Autocollants blanc brillant</v>
      </c>
      <c r="E995" s="2005" t="str">
        <f>IFERROR(__xludf.DUMMYFUNCTION("""COMPUTED_VALUE"""),"AVERY")</f>
        <v>AVERY</v>
      </c>
      <c r="F995" s="2005" t="str">
        <f>IFERROR(__xludf.DUMMYFUNCTION("""COMPUTED_VALUE"""),"H")</f>
        <v>H</v>
      </c>
      <c r="G995" s="2005" t="str">
        <f>IFERROR(__xludf.DUMMYFUNCTION("""COMPUTED_VALUE"""),"AC")</f>
        <v>AC</v>
      </c>
      <c r="H995" s="2005">
        <f>IFERROR(__xludf.DUMMYFUNCTION("""COMPUTED_VALUE"""),11.99)</f>
        <v>11.99</v>
      </c>
      <c r="I995" s="2005">
        <f>IFERROR(__xludf.DUMMYFUNCTION("""COMPUTED_VALUE"""),9.9)</f>
        <v>9.9</v>
      </c>
      <c r="BD995" s="2006"/>
      <c r="LM995" s="2007"/>
    </row>
    <row r="996">
      <c r="A996" s="2005">
        <f>IFERROR(__xludf.DUMMYFUNCTION("""COMPUTED_VALUE"""),1089270.0)</f>
        <v>1089270</v>
      </c>
      <c r="B996" s="2005">
        <f>IFERROR(__xludf.DUMMYFUNCTION("""COMPUTED_VALUE"""),2402020.0)</f>
        <v>2402020</v>
      </c>
      <c r="C996" s="2005" t="str">
        <f>IFERROR(__xludf.DUMMYFUNCTION("""COMPUTED_VALUE"""),"Papier")</f>
        <v>Papier</v>
      </c>
      <c r="D996" s="2005" t="str">
        <f>IFERROR(__xludf.DUMMYFUNCTION("""COMPUTED_VALUE"""),"8 Autocollants kraft 19,96x28,91cm")</f>
        <v>8 Autocollants kraft 19,96x28,91cm</v>
      </c>
      <c r="E996" s="2005" t="str">
        <f>IFERROR(__xludf.DUMMYFUNCTION("""COMPUTED_VALUE"""),"AVERY")</f>
        <v>AVERY</v>
      </c>
      <c r="F996" s="2005" t="str">
        <f>IFERROR(__xludf.DUMMYFUNCTION("""COMPUTED_VALUE"""),"H")</f>
        <v>H</v>
      </c>
      <c r="G996" s="2005" t="str">
        <f>IFERROR(__xludf.DUMMYFUNCTION("""COMPUTED_VALUE"""),"NN")</f>
        <v>NN</v>
      </c>
      <c r="H996" s="2005">
        <f>IFERROR(__xludf.DUMMYFUNCTION("""COMPUTED_VALUE"""),9.49)</f>
        <v>9.49</v>
      </c>
      <c r="I996" s="2005">
        <f>IFERROR(__xludf.DUMMYFUNCTION("""COMPUTED_VALUE"""),9.49)</f>
        <v>9.49</v>
      </c>
      <c r="BD996" s="2006"/>
      <c r="LM996" s="2007"/>
    </row>
    <row r="997">
      <c r="A997" s="2005">
        <f>IFERROR(__xludf.DUMMYFUNCTION("""COMPUTED_VALUE"""),1089292.0)</f>
        <v>1089292</v>
      </c>
      <c r="B997" s="2005">
        <f>IFERROR(__xludf.DUMMYFUNCTION("""COMPUTED_VALUE"""),2402030.0)</f>
        <v>2402030</v>
      </c>
      <c r="C997" s="2005" t="str">
        <f>IFERROR(__xludf.DUMMYFUNCTION("""COMPUTED_VALUE"""),"Etiquette")</f>
        <v>Etiquette</v>
      </c>
      <c r="D997" s="2005" t="str">
        <f>IFERROR(__xludf.DUMMYFUNCTION("""COMPUTED_VALUE"""),"40 Etiquettes pour bouteille 12x9cm")</f>
        <v>40 Etiquettes pour bouteille 12x9cm</v>
      </c>
      <c r="E997" s="2005" t="str">
        <f>IFERROR(__xludf.DUMMYFUNCTION("""COMPUTED_VALUE"""),"AVERY")</f>
        <v>AVERY</v>
      </c>
      <c r="F997" s="2005" t="str">
        <f>IFERROR(__xludf.DUMMYFUNCTION("""COMPUTED_VALUE"""),"H")</f>
        <v>H</v>
      </c>
      <c r="G997" s="2005" t="str">
        <f>IFERROR(__xludf.DUMMYFUNCTION("""COMPUTED_VALUE"""),"AC")</f>
        <v>AC</v>
      </c>
      <c r="H997" s="2005">
        <f>IFERROR(__xludf.DUMMYFUNCTION("""COMPUTED_VALUE"""),11.99)</f>
        <v>11.99</v>
      </c>
      <c r="I997" s="2005">
        <f>IFERROR(__xludf.DUMMYFUNCTION("""COMPUTED_VALUE"""),11.99)</f>
        <v>11.99</v>
      </c>
      <c r="BD997" s="2006"/>
      <c r="LM997" s="2007"/>
    </row>
    <row r="998">
      <c r="A998" s="2005">
        <f>IFERROR(__xludf.DUMMYFUNCTION("""COMPUTED_VALUE"""),1089294.0)</f>
        <v>1089294</v>
      </c>
      <c r="B998" s="2005">
        <f>IFERROR(__xludf.DUMMYFUNCTION("""COMPUTED_VALUE"""),2402015.0)</f>
        <v>2402015</v>
      </c>
      <c r="C998" s="2005" t="str">
        <f>IFERROR(__xludf.DUMMYFUNCTION("""COMPUTED_VALUE"""),"Papier")</f>
        <v>Papier</v>
      </c>
      <c r="D998" s="2005" t="str">
        <f>IFERROR(__xludf.DUMMYFUNCTION("""COMPUTED_VALUE"""),"80 Photos brillantes 10x15 180g")</f>
        <v>80 Photos brillantes 10x15 180g</v>
      </c>
      <c r="E998" s="2005" t="str">
        <f>IFERROR(__xludf.DUMMYFUNCTION("""COMPUTED_VALUE"""),"AVERY")</f>
        <v>AVERY</v>
      </c>
      <c r="F998" s="2005" t="str">
        <f>IFERROR(__xludf.DUMMYFUNCTION("""COMPUTED_VALUE"""),"A")</f>
        <v>A</v>
      </c>
      <c r="G998" s="2005" t="str">
        <f>IFERROR(__xludf.DUMMYFUNCTION("""COMPUTED_VALUE"""),"AC")</f>
        <v>AC</v>
      </c>
      <c r="H998" s="2005">
        <f>IFERROR(__xludf.DUMMYFUNCTION("""COMPUTED_VALUE"""),6.99)</f>
        <v>6.99</v>
      </c>
      <c r="I998" s="2005">
        <f>IFERROR(__xludf.DUMMYFUNCTION("""COMPUTED_VALUE"""),6.99)</f>
        <v>6.99</v>
      </c>
      <c r="BD998" s="2006"/>
      <c r="LM998" s="2007"/>
    </row>
    <row r="999">
      <c r="A999" s="2005">
        <f>IFERROR(__xludf.DUMMYFUNCTION("""COMPUTED_VALUE"""),1089296.0)</f>
        <v>1089296</v>
      </c>
      <c r="B999" s="2005">
        <f>IFERROR(__xludf.DUMMYFUNCTION("""COMPUTED_VALUE"""),2402005.0)</f>
        <v>2402005</v>
      </c>
      <c r="C999" s="2005" t="str">
        <f>IFERROR(__xludf.DUMMYFUNCTION("""COMPUTED_VALUE"""),"Papier")</f>
        <v>Papier</v>
      </c>
      <c r="D999" s="2005" t="str">
        <f>IFERROR(__xludf.DUMMYFUNCTION("""COMPUTED_VALUE"""),"50 Photos brillantes A4 160g/m²")</f>
        <v>50 Photos brillantes A4 160g/m²</v>
      </c>
      <c r="E999" s="2005" t="str">
        <f>IFERROR(__xludf.DUMMYFUNCTION("""COMPUTED_VALUE"""),"AVERY")</f>
        <v>AVERY</v>
      </c>
      <c r="F999" s="2005" t="str">
        <f>IFERROR(__xludf.DUMMYFUNCTION("""COMPUTED_VALUE"""),"H")</f>
        <v>H</v>
      </c>
      <c r="G999" s="2005" t="str">
        <f>IFERROR(__xludf.DUMMYFUNCTION("""COMPUTED_VALUE"""),"NN")</f>
        <v>NN</v>
      </c>
      <c r="H999" s="2005">
        <f>IFERROR(__xludf.DUMMYFUNCTION("""COMPUTED_VALUE"""),11.99)</f>
        <v>11.99</v>
      </c>
      <c r="I999" s="2005">
        <f>IFERROR(__xludf.DUMMYFUNCTION("""COMPUTED_VALUE"""),11.99)</f>
        <v>11.99</v>
      </c>
      <c r="BD999" s="2006"/>
      <c r="LM999" s="2007"/>
    </row>
    <row r="1000">
      <c r="A1000" s="2005">
        <f>IFERROR(__xludf.DUMMYFUNCTION("""COMPUTED_VALUE"""),1089297.0)</f>
        <v>1089297</v>
      </c>
      <c r="B1000" s="2005">
        <f>IFERROR(__xludf.DUMMYFUNCTION("""COMPUTED_VALUE"""),2402005.0)</f>
        <v>2402005</v>
      </c>
      <c r="C1000" s="2005" t="str">
        <f>IFERROR(__xludf.DUMMYFUNCTION("""COMPUTED_VALUE"""),"Papier")</f>
        <v>Papier</v>
      </c>
      <c r="D1000" s="2005" t="str">
        <f>IFERROR(__xludf.DUMMYFUNCTION("""COMPUTED_VALUE"""),"50 Photos brillantes A4 200g/m²")</f>
        <v>50 Photos brillantes A4 200g/m²</v>
      </c>
      <c r="E1000" s="2005" t="str">
        <f>IFERROR(__xludf.DUMMYFUNCTION("""COMPUTED_VALUE"""),"AVERY")</f>
        <v>AVERY</v>
      </c>
      <c r="F1000" s="2005" t="str">
        <f>IFERROR(__xludf.DUMMYFUNCTION("""COMPUTED_VALUE"""),"H")</f>
        <v>H</v>
      </c>
      <c r="G1000" s="2005" t="str">
        <f>IFERROR(__xludf.DUMMYFUNCTION("""COMPUTED_VALUE"""),"AC")</f>
        <v>AC</v>
      </c>
      <c r="H1000" s="2005">
        <f>IFERROR(__xludf.DUMMYFUNCTION("""COMPUTED_VALUE"""),13.99)</f>
        <v>13.99</v>
      </c>
      <c r="I1000" s="2005">
        <f>IFERROR(__xludf.DUMMYFUNCTION("""COMPUTED_VALUE"""),11.9)</f>
        <v>11.9</v>
      </c>
      <c r="BD1000" s="2006"/>
      <c r="LM1000" s="2007"/>
    </row>
    <row r="1001">
      <c r="A1001" s="2005">
        <f>IFERROR(__xludf.DUMMYFUNCTION("""COMPUTED_VALUE"""),1089300.0)</f>
        <v>1089300</v>
      </c>
      <c r="B1001" s="2005">
        <f>IFERROR(__xludf.DUMMYFUNCTION("""COMPUTED_VALUE"""),2402030.0)</f>
        <v>2402030</v>
      </c>
      <c r="C1001" s="2005" t="str">
        <f>IFERROR(__xludf.DUMMYFUNCTION("""COMPUTED_VALUE"""),"Etiquette")</f>
        <v>Etiquette</v>
      </c>
      <c r="D1001" s="2005" t="str">
        <f>IFERROR(__xludf.DUMMYFUNCTION("""COMPUTED_VALUE"""),"780 Mini-etiquettes")</f>
        <v>780 Mini-etiquettes</v>
      </c>
      <c r="E1001" s="2005" t="str">
        <f>IFERROR(__xludf.DUMMYFUNCTION("""COMPUTED_VALUE"""),"AVERY")</f>
        <v>AVERY</v>
      </c>
      <c r="F1001" s="2005" t="str">
        <f>IFERROR(__xludf.DUMMYFUNCTION("""COMPUTED_VALUE"""),"H")</f>
        <v>H</v>
      </c>
      <c r="G1001" s="2005" t="str">
        <f>IFERROR(__xludf.DUMMYFUNCTION("""COMPUTED_VALUE"""),"NN")</f>
        <v>NN</v>
      </c>
      <c r="H1001" s="2005">
        <f>IFERROR(__xludf.DUMMYFUNCTION("""COMPUTED_VALUE"""),11.99)</f>
        <v>11.99</v>
      </c>
      <c r="I1001" s="2005">
        <f>IFERROR(__xludf.DUMMYFUNCTION("""COMPUTED_VALUE"""),11.99)</f>
        <v>11.99</v>
      </c>
      <c r="BD1001" s="2006"/>
      <c r="LM1001" s="2007"/>
    </row>
    <row r="1002">
      <c r="A1002" s="2005">
        <f>IFERROR(__xludf.DUMMYFUNCTION("""COMPUTED_VALUE"""),1089393.0)</f>
        <v>1089393</v>
      </c>
      <c r="B1002" s="2005">
        <f>IFERROR(__xludf.DUMMYFUNCTION("""COMPUTED_VALUE"""),2403005.0)</f>
        <v>2403005</v>
      </c>
      <c r="C1002" s="2005" t="str">
        <f>IFERROR(__xludf.DUMMYFUNCTION("""COMPUTED_VALUE"""),"Cartouche")</f>
        <v>Cartouche</v>
      </c>
      <c r="D1002" s="2005" t="str">
        <f>IFERROR(__xludf.DUMMYFUNCTION("""COMPUTED_VALUE"""),"LC3217 Cyan")</f>
        <v>LC3217 Cyan</v>
      </c>
      <c r="E1002" s="2005" t="str">
        <f>IFERROR(__xludf.DUMMYFUNCTION("""COMPUTED_VALUE"""),"BROTHER")</f>
        <v>BROTHER</v>
      </c>
      <c r="F1002" s="2005" t="str">
        <f>IFERROR(__xludf.DUMMYFUNCTION("""COMPUTED_VALUE"""),"C")</f>
        <v>C</v>
      </c>
      <c r="G1002" s="2005" t="str">
        <f>IFERROR(__xludf.DUMMYFUNCTION("""COMPUTED_VALUE"""),"NN")</f>
        <v>NN</v>
      </c>
      <c r="H1002" s="2005">
        <f>IFERROR(__xludf.DUMMYFUNCTION("""COMPUTED_VALUE"""),16.99)</f>
        <v>16.99</v>
      </c>
      <c r="I1002" s="2005">
        <f>IFERROR(__xludf.DUMMYFUNCTION("""COMPUTED_VALUE"""),15.99)</f>
        <v>15.99</v>
      </c>
      <c r="BD1002" s="2006"/>
      <c r="LM1002" s="2007"/>
    </row>
    <row r="1003">
      <c r="A1003" s="2005">
        <f>IFERROR(__xludf.DUMMYFUNCTION("""COMPUTED_VALUE"""),1089394.0)</f>
        <v>1089394</v>
      </c>
      <c r="B1003" s="2005">
        <f>IFERROR(__xludf.DUMMYFUNCTION("""COMPUTED_VALUE"""),2403005.0)</f>
        <v>2403005</v>
      </c>
      <c r="C1003" s="2005" t="str">
        <f>IFERROR(__xludf.DUMMYFUNCTION("""COMPUTED_VALUE"""),"Cartouche")</f>
        <v>Cartouche</v>
      </c>
      <c r="D1003" s="2005" t="str">
        <f>IFERROR(__xludf.DUMMYFUNCTION("""COMPUTED_VALUE"""),"LC3217 Magenta")</f>
        <v>LC3217 Magenta</v>
      </c>
      <c r="E1003" s="2005" t="str">
        <f>IFERROR(__xludf.DUMMYFUNCTION("""COMPUTED_VALUE"""),"BROTHER")</f>
        <v>BROTHER</v>
      </c>
      <c r="F1003" s="2005" t="str">
        <f>IFERROR(__xludf.DUMMYFUNCTION("""COMPUTED_VALUE"""),"C")</f>
        <v>C</v>
      </c>
      <c r="G1003" s="2005" t="str">
        <f>IFERROR(__xludf.DUMMYFUNCTION("""COMPUTED_VALUE"""),"NN")</f>
        <v>NN</v>
      </c>
      <c r="H1003" s="2005">
        <f>IFERROR(__xludf.DUMMYFUNCTION("""COMPUTED_VALUE"""),16.99)</f>
        <v>16.99</v>
      </c>
      <c r="I1003" s="2005">
        <f>IFERROR(__xludf.DUMMYFUNCTION("""COMPUTED_VALUE"""),15.99)</f>
        <v>15.99</v>
      </c>
      <c r="BD1003" s="2006"/>
      <c r="LM1003" s="2007"/>
    </row>
    <row r="1004">
      <c r="A1004" s="2005">
        <f>IFERROR(__xludf.DUMMYFUNCTION("""COMPUTED_VALUE"""),1089395.0)</f>
        <v>1089395</v>
      </c>
      <c r="B1004" s="2005">
        <f>IFERROR(__xludf.DUMMYFUNCTION("""COMPUTED_VALUE"""),2403005.0)</f>
        <v>2403005</v>
      </c>
      <c r="C1004" s="2005" t="str">
        <f>IFERROR(__xludf.DUMMYFUNCTION("""COMPUTED_VALUE"""),"Cartouche")</f>
        <v>Cartouche</v>
      </c>
      <c r="D1004" s="2005" t="str">
        <f>IFERROR(__xludf.DUMMYFUNCTION("""COMPUTED_VALUE"""),"LC3217 Jaune")</f>
        <v>LC3217 Jaune</v>
      </c>
      <c r="E1004" s="2005" t="str">
        <f>IFERROR(__xludf.DUMMYFUNCTION("""COMPUTED_VALUE"""),"BROTHER")</f>
        <v>BROTHER</v>
      </c>
      <c r="F1004" s="2005" t="str">
        <f>IFERROR(__xludf.DUMMYFUNCTION("""COMPUTED_VALUE"""),"C")</f>
        <v>C</v>
      </c>
      <c r="G1004" s="2005" t="str">
        <f>IFERROR(__xludf.DUMMYFUNCTION("""COMPUTED_VALUE"""),"NN")</f>
        <v>NN</v>
      </c>
      <c r="H1004" s="2005">
        <f>IFERROR(__xludf.DUMMYFUNCTION("""COMPUTED_VALUE"""),16.99)</f>
        <v>16.99</v>
      </c>
      <c r="I1004" s="2005">
        <f>IFERROR(__xludf.DUMMYFUNCTION("""COMPUTED_VALUE"""),15.99)</f>
        <v>15.99</v>
      </c>
      <c r="BD1004" s="2006"/>
      <c r="LM1004" s="2007"/>
    </row>
    <row r="1005">
      <c r="A1005">
        <f>IFERROR(__xludf.DUMMYFUNCTION("""COMPUTED_VALUE"""),1089396.0)</f>
        <v>1089396</v>
      </c>
      <c r="B1005">
        <f>IFERROR(__xludf.DUMMYFUNCTION("""COMPUTED_VALUE"""),2403005.0)</f>
        <v>2403005</v>
      </c>
      <c r="C1005" t="str">
        <f>IFERROR(__xludf.DUMMYFUNCTION("""COMPUTED_VALUE"""),"Cartouche")</f>
        <v>Cartouche</v>
      </c>
      <c r="D1005" t="str">
        <f>IFERROR(__xludf.DUMMYFUNCTION("""COMPUTED_VALUE"""),"LC3219 Noire XL")</f>
        <v>LC3219 Noire XL</v>
      </c>
      <c r="E1005" t="str">
        <f>IFERROR(__xludf.DUMMYFUNCTION("""COMPUTED_VALUE"""),"BROTHER")</f>
        <v>BROTHER</v>
      </c>
      <c r="F1005" t="str">
        <f>IFERROR(__xludf.DUMMYFUNCTION("""COMPUTED_VALUE"""),"W")</f>
        <v>W</v>
      </c>
      <c r="G1005" t="str">
        <f>IFERROR(__xludf.DUMMYFUNCTION("""COMPUTED_VALUE"""),"NN")</f>
        <v>NN</v>
      </c>
      <c r="H1005">
        <f>IFERROR(__xludf.DUMMYFUNCTION("""COMPUTED_VALUE"""),45.99)</f>
        <v>45.99</v>
      </c>
      <c r="I1005">
        <f>IFERROR(__xludf.DUMMYFUNCTION("""COMPUTED_VALUE"""),42.99)</f>
        <v>42.99</v>
      </c>
      <c r="BD1005" s="2006"/>
      <c r="LM1005" s="2007"/>
    </row>
    <row r="1006">
      <c r="A1006" s="2005">
        <f>IFERROR(__xludf.DUMMYFUNCTION("""COMPUTED_VALUE"""),1089397.0)</f>
        <v>1089397</v>
      </c>
      <c r="B1006" s="2005">
        <f>IFERROR(__xludf.DUMMYFUNCTION("""COMPUTED_VALUE"""),2403005.0)</f>
        <v>2403005</v>
      </c>
      <c r="C1006" s="2005" t="str">
        <f>IFERROR(__xludf.DUMMYFUNCTION("""COMPUTED_VALUE"""),"Cartouche")</f>
        <v>Cartouche</v>
      </c>
      <c r="D1006" s="2005" t="str">
        <f>IFERROR(__xludf.DUMMYFUNCTION("""COMPUTED_VALUE"""),"LC3219 Cyan XL")</f>
        <v>LC3219 Cyan XL</v>
      </c>
      <c r="E1006" s="2005" t="str">
        <f>IFERROR(__xludf.DUMMYFUNCTION("""COMPUTED_VALUE"""),"BROTHER")</f>
        <v>BROTHER</v>
      </c>
      <c r="F1006" s="2005" t="str">
        <f>IFERROR(__xludf.DUMMYFUNCTION("""COMPUTED_VALUE"""),"H")</f>
        <v>H</v>
      </c>
      <c r="G1006" s="2005" t="str">
        <f>IFERROR(__xludf.DUMMYFUNCTION("""COMPUTED_VALUE"""),"NN")</f>
        <v>NN</v>
      </c>
      <c r="H1006" s="2005">
        <f>IFERROR(__xludf.DUMMYFUNCTION("""COMPUTED_VALUE"""),30.99)</f>
        <v>30.99</v>
      </c>
      <c r="I1006" s="2005">
        <f>IFERROR(__xludf.DUMMYFUNCTION("""COMPUTED_VALUE"""),27.99)</f>
        <v>27.99</v>
      </c>
      <c r="BD1006" s="2006"/>
      <c r="LM1006" s="2007"/>
    </row>
    <row r="1007">
      <c r="A1007" s="2005">
        <f>IFERROR(__xludf.DUMMYFUNCTION("""COMPUTED_VALUE"""),1089398.0)</f>
        <v>1089398</v>
      </c>
      <c r="B1007" s="2005">
        <f>IFERROR(__xludf.DUMMYFUNCTION("""COMPUTED_VALUE"""),2403005.0)</f>
        <v>2403005</v>
      </c>
      <c r="C1007" s="2005" t="str">
        <f>IFERROR(__xludf.DUMMYFUNCTION("""COMPUTED_VALUE"""),"Cartouche")</f>
        <v>Cartouche</v>
      </c>
      <c r="D1007" s="2005" t="str">
        <f>IFERROR(__xludf.DUMMYFUNCTION("""COMPUTED_VALUE"""),"LC3219 Magenta XL")</f>
        <v>LC3219 Magenta XL</v>
      </c>
      <c r="E1007" s="2005" t="str">
        <f>IFERROR(__xludf.DUMMYFUNCTION("""COMPUTED_VALUE"""),"BROTHER")</f>
        <v>BROTHER</v>
      </c>
      <c r="F1007" s="2005" t="str">
        <f>IFERROR(__xludf.DUMMYFUNCTION("""COMPUTED_VALUE"""),"H")</f>
        <v>H</v>
      </c>
      <c r="G1007" s="2005" t="str">
        <f>IFERROR(__xludf.DUMMYFUNCTION("""COMPUTED_VALUE"""),"NN")</f>
        <v>NN</v>
      </c>
      <c r="H1007" s="2005">
        <f>IFERROR(__xludf.DUMMYFUNCTION("""COMPUTED_VALUE"""),30.99)</f>
        <v>30.99</v>
      </c>
      <c r="I1007" s="2005">
        <f>IFERROR(__xludf.DUMMYFUNCTION("""COMPUTED_VALUE"""),27.99)</f>
        <v>27.99</v>
      </c>
      <c r="BD1007" s="2006"/>
      <c r="LM1007" s="2007"/>
    </row>
    <row r="1008">
      <c r="A1008" s="2005">
        <f>IFERROR(__xludf.DUMMYFUNCTION("""COMPUTED_VALUE"""),1089399.0)</f>
        <v>1089399</v>
      </c>
      <c r="B1008" s="2005">
        <f>IFERROR(__xludf.DUMMYFUNCTION("""COMPUTED_VALUE"""),2403005.0)</f>
        <v>2403005</v>
      </c>
      <c r="C1008" s="2005" t="str">
        <f>IFERROR(__xludf.DUMMYFUNCTION("""COMPUTED_VALUE"""),"Cartouche")</f>
        <v>Cartouche</v>
      </c>
      <c r="D1008" s="2005" t="str">
        <f>IFERROR(__xludf.DUMMYFUNCTION("""COMPUTED_VALUE"""),"LC3219 Jaune XL")</f>
        <v>LC3219 Jaune XL</v>
      </c>
      <c r="E1008" s="2005" t="str">
        <f>IFERROR(__xludf.DUMMYFUNCTION("""COMPUTED_VALUE"""),"BROTHER")</f>
        <v>BROTHER</v>
      </c>
      <c r="F1008" s="2005" t="str">
        <f>IFERROR(__xludf.DUMMYFUNCTION("""COMPUTED_VALUE"""),"H")</f>
        <v>H</v>
      </c>
      <c r="G1008" s="2005" t="str">
        <f>IFERROR(__xludf.DUMMYFUNCTION("""COMPUTED_VALUE"""),"NN")</f>
        <v>NN</v>
      </c>
      <c r="H1008" s="2005">
        <f>IFERROR(__xludf.DUMMYFUNCTION("""COMPUTED_VALUE"""),30.99)</f>
        <v>30.99</v>
      </c>
      <c r="I1008" s="2005">
        <f>IFERROR(__xludf.DUMMYFUNCTION("""COMPUTED_VALUE"""),27.99)</f>
        <v>27.99</v>
      </c>
      <c r="BD1008" s="2006"/>
      <c r="LM1008" s="2007"/>
    </row>
    <row r="1009">
      <c r="A1009" s="2005">
        <f>IFERROR(__xludf.DUMMYFUNCTION("""COMPUTED_VALUE"""),1089400.0)</f>
        <v>1089400</v>
      </c>
      <c r="B1009" s="2005">
        <f>IFERROR(__xludf.DUMMYFUNCTION("""COMPUTED_VALUE"""),2403005.0)</f>
        <v>2403005</v>
      </c>
      <c r="C1009" s="2005" t="str">
        <f>IFERROR(__xludf.DUMMYFUNCTION("""COMPUTED_VALUE"""),"Pack")</f>
        <v>Pack</v>
      </c>
      <c r="D1009" s="2005" t="str">
        <f>IFERROR(__xludf.DUMMYFUNCTION("""COMPUTED_VALUE"""),"LC3219 N/C/M/J XL")</f>
        <v>LC3219 N/C/M/J XL</v>
      </c>
      <c r="E1009" s="2005" t="str">
        <f>IFERROR(__xludf.DUMMYFUNCTION("""COMPUTED_VALUE"""),"BROTHER")</f>
        <v>BROTHER</v>
      </c>
      <c r="F1009" s="2005" t="str">
        <f>IFERROR(__xludf.DUMMYFUNCTION("""COMPUTED_VALUE"""),"B")</f>
        <v>B</v>
      </c>
      <c r="G1009" s="2005" t="str">
        <f>IFERROR(__xludf.DUMMYFUNCTION("""COMPUTED_VALUE"""),"AC")</f>
        <v>AC</v>
      </c>
      <c r="H1009" s="2005">
        <f>IFERROR(__xludf.DUMMYFUNCTION("""COMPUTED_VALUE"""),131.99)</f>
        <v>131.99</v>
      </c>
      <c r="I1009" s="2005">
        <f>IFERROR(__xludf.DUMMYFUNCTION("""COMPUTED_VALUE"""),115.99)</f>
        <v>115.99</v>
      </c>
      <c r="BD1009" s="2006"/>
      <c r="LM1009" s="2007"/>
    </row>
    <row r="1010">
      <c r="A1010" s="2005">
        <f>IFERROR(__xludf.DUMMYFUNCTION("""COMPUTED_VALUE"""),1089411.0)</f>
        <v>1089411</v>
      </c>
      <c r="B1010" s="2005">
        <f>IFERROR(__xludf.DUMMYFUNCTION("""COMPUTED_VALUE"""),2209805.0)</f>
        <v>2209805</v>
      </c>
      <c r="C1010" s="2005" t="str">
        <f>IFERROR(__xludf.DUMMYFUNCTION("""COMPUTED_VALUE"""),"Lot")</f>
        <v>Lot</v>
      </c>
      <c r="D1010" s="2005" t="str">
        <f>IFERROR(__xludf.DUMMYFUNCTION("""COMPUTED_VALUE"""),"MFC-J6530DW + cart LC3217 Noire")</f>
        <v>MFC-J6530DW + cart LC3217 Noire</v>
      </c>
      <c r="E1010" s="2005" t="str">
        <f>IFERROR(__xludf.DUMMYFUNCTION("""COMPUTED_VALUE"""),"BROTHER")</f>
        <v>BROTHER</v>
      </c>
      <c r="F1010" s="2005" t="str">
        <f>IFERROR(__xludf.DUMMYFUNCTION("""COMPUTED_VALUE"""),"H")</f>
        <v>H</v>
      </c>
      <c r="G1010" s="2005" t="str">
        <f>IFERROR(__xludf.DUMMYFUNCTION("""COMPUTED_VALUE"""),"NN")</f>
        <v>NN</v>
      </c>
      <c r="H1010">
        <f>IFERROR(__xludf.DUMMYFUNCTION("""COMPUTED_VALUE"""),288.78)</f>
        <v>288.78</v>
      </c>
      <c r="I1010">
        <f>IFERROR(__xludf.DUMMYFUNCTION("""COMPUTED_VALUE"""),283.55)</f>
        <v>283.55</v>
      </c>
      <c r="LL1010" s="2007"/>
      <c r="LM1010" s="2007"/>
      <c r="MX1010" s="2007"/>
      <c r="ND1010" s="2007"/>
    </row>
    <row r="1011">
      <c r="A1011" s="2005">
        <f>IFERROR(__xludf.DUMMYFUNCTION("""COMPUTED_VALUE"""),1089413.0)</f>
        <v>1089413</v>
      </c>
      <c r="B1011" s="2005">
        <f>IFERROR(__xludf.DUMMYFUNCTION("""COMPUTED_VALUE"""),2209805.0)</f>
        <v>2209805</v>
      </c>
      <c r="C1011" s="2005" t="str">
        <f>IFERROR(__xludf.DUMMYFUNCTION("""COMPUTED_VALUE"""),"Lot")</f>
        <v>Lot</v>
      </c>
      <c r="D1011" s="2005" t="str">
        <f>IFERROR(__xludf.DUMMYFUNCTION("""COMPUTED_VALUE"""),"MFC-J6930DW + cart LC3217 Noire")</f>
        <v>MFC-J6930DW + cart LC3217 Noire</v>
      </c>
      <c r="E1011" s="2005" t="str">
        <f>IFERROR(__xludf.DUMMYFUNCTION("""COMPUTED_VALUE"""),"BROTHER")</f>
        <v>BROTHER</v>
      </c>
      <c r="F1011" s="2005" t="str">
        <f>IFERROR(__xludf.DUMMYFUNCTION("""COMPUTED_VALUE"""),"H")</f>
        <v>H</v>
      </c>
      <c r="G1011" s="2005" t="str">
        <f>IFERROR(__xludf.DUMMYFUNCTION("""COMPUTED_VALUE"""),"NN")</f>
        <v>NN</v>
      </c>
      <c r="H1011" s="2005">
        <f>IFERROR(__xludf.DUMMYFUNCTION("""COMPUTED_VALUE"""),393.28)</f>
        <v>393.28</v>
      </c>
      <c r="I1011" s="2005">
        <f>IFERROR(__xludf.DUMMYFUNCTION("""COMPUTED_VALUE"""),390.43)</f>
        <v>390.43</v>
      </c>
      <c r="LL1011" s="2007"/>
      <c r="LM1011" s="2007"/>
      <c r="MX1011" s="2007"/>
      <c r="ND1011" s="2007"/>
    </row>
    <row r="1012">
      <c r="A1012" s="2005">
        <f>IFERROR(__xludf.DUMMYFUNCTION("""COMPUTED_VALUE"""),1089414.0)</f>
        <v>1089414</v>
      </c>
      <c r="B1012" s="2005">
        <f>IFERROR(__xludf.DUMMYFUNCTION("""COMPUTED_VALUE"""),2209805.0)</f>
        <v>2209805</v>
      </c>
      <c r="C1012" s="2005" t="str">
        <f>IFERROR(__xludf.DUMMYFUNCTION("""COMPUTED_VALUE"""),"Lot")</f>
        <v>Lot</v>
      </c>
      <c r="D1012" s="2005" t="str">
        <f>IFERROR(__xludf.DUMMYFUNCTION("""COMPUTED_VALUE"""),"MFC-J5730DW + cart LC3217 Noire")</f>
        <v>MFC-J5730DW + cart LC3217 Noire</v>
      </c>
      <c r="E1012" s="2005" t="str">
        <f>IFERROR(__xludf.DUMMYFUNCTION("""COMPUTED_VALUE"""),"BROTHER")</f>
        <v>BROTHER</v>
      </c>
      <c r="F1012" s="2005" t="str">
        <f>IFERROR(__xludf.DUMMYFUNCTION("""COMPUTED_VALUE"""),"H")</f>
        <v>H</v>
      </c>
      <c r="G1012" s="2005" t="str">
        <f>IFERROR(__xludf.DUMMYFUNCTION("""COMPUTED_VALUE"""),"NN")</f>
        <v>NN</v>
      </c>
      <c r="H1012" s="2005">
        <f>IFERROR(__xludf.DUMMYFUNCTION("""COMPUTED_VALUE"""),279.28)</f>
        <v>279.28</v>
      </c>
      <c r="I1012" s="2005">
        <f>IFERROR(__xludf.DUMMYFUNCTION("""COMPUTED_VALUE"""),275.07)</f>
        <v>275.07</v>
      </c>
      <c r="LL1012" s="2007"/>
      <c r="LM1012" s="2007"/>
      <c r="MX1012" s="2007"/>
      <c r="ND1012" s="2007"/>
    </row>
    <row r="1013">
      <c r="A1013" s="2005">
        <f>IFERROR(__xludf.DUMMYFUNCTION("""COMPUTED_VALUE"""),1089493.0)</f>
        <v>1089493</v>
      </c>
      <c r="B1013" s="2005">
        <f>IFERROR(__xludf.DUMMYFUNCTION("""COMPUTED_VALUE"""),2502510.0)</f>
        <v>2502510</v>
      </c>
      <c r="C1013" s="2005" t="str">
        <f>IFERROR(__xludf.DUMMYFUNCTION("""COMPUTED_VALUE"""),"SUPPORT")</f>
        <v>SUPPORT</v>
      </c>
      <c r="D1013" s="2005" t="str">
        <f>IFERROR(__xludf.DUMMYFUNCTION("""COMPUTED_VALUE"""),"Airvue support voiture pour tablette")</f>
        <v>Airvue support voiture pour tablette</v>
      </c>
      <c r="E1013" s="2005" t="str">
        <f>IFERROR(__xludf.DUMMYFUNCTION("""COMPUTED_VALUE"""),"KENU")</f>
        <v>KENU</v>
      </c>
      <c r="F1013" s="2005" t="str">
        <f>IFERROR(__xludf.DUMMYFUNCTION("""COMPUTED_VALUE"""),"B")</f>
        <v>B</v>
      </c>
      <c r="G1013" s="2005" t="str">
        <f>IFERROR(__xludf.DUMMYFUNCTION("""COMPUTED_VALUE"""),"NN")</f>
        <v>NN</v>
      </c>
      <c r="H1013" s="2005">
        <f>IFERROR(__xludf.DUMMYFUNCTION("""COMPUTED_VALUE"""),37.99)</f>
        <v>37.99</v>
      </c>
      <c r="I1013" s="2005">
        <f>IFERROR(__xludf.DUMMYFUNCTION("""COMPUTED_VALUE"""),37.99)</f>
        <v>37.99</v>
      </c>
      <c r="LL1013" s="2007"/>
      <c r="LM1013" s="2007"/>
      <c r="MX1013" s="2007"/>
      <c r="ND1013" s="2007"/>
    </row>
    <row r="1014">
      <c r="A1014" s="2005">
        <f>IFERROR(__xludf.DUMMYFUNCTION("""COMPUTED_VALUE"""),1089552.0)</f>
        <v>1089552</v>
      </c>
      <c r="B1014" s="2005">
        <f>IFERROR(__xludf.DUMMYFUNCTION("""COMPUTED_VALUE"""),2502010.0)</f>
        <v>2502010</v>
      </c>
      <c r="C1014" s="2005" t="str">
        <f>IFERROR(__xludf.DUMMYFUNCTION("""COMPUTED_VALUE"""),"Souris")</f>
        <v>Souris</v>
      </c>
      <c r="D1014" s="2005" t="str">
        <f>IFERROR(__xludf.DUMMYFUNCTION("""COMPUTED_VALUE"""),"MX ANYWHERE 2S Noire")</f>
        <v>MX ANYWHERE 2S Noire</v>
      </c>
      <c r="E1014" s="2005" t="str">
        <f>IFERROR(__xludf.DUMMYFUNCTION("""COMPUTED_VALUE"""),"LOGITECH")</f>
        <v>LOGITECH</v>
      </c>
      <c r="F1014" s="2005" t="str">
        <f>IFERROR(__xludf.DUMMYFUNCTION("""COMPUTED_VALUE"""),"C")</f>
        <v>C</v>
      </c>
      <c r="G1014" s="2005" t="str">
        <f>IFERROR(__xludf.DUMMYFUNCTION("""COMPUTED_VALUE"""),"NN")</f>
        <v>NN</v>
      </c>
      <c r="H1014" s="2005">
        <f>IFERROR(__xludf.DUMMYFUNCTION("""COMPUTED_VALUE"""),54.99)</f>
        <v>54.99</v>
      </c>
      <c r="I1014" s="2005">
        <f>IFERROR(__xludf.DUMMYFUNCTION("""COMPUTED_VALUE"""),54.99)</f>
        <v>54.99</v>
      </c>
      <c r="LL1014" s="2008"/>
      <c r="LM1014" s="2007"/>
      <c r="MX1014" s="2007"/>
      <c r="ND1014" s="2007"/>
    </row>
    <row r="1015">
      <c r="A1015" s="2005">
        <f>IFERROR(__xludf.DUMMYFUNCTION("""COMPUTED_VALUE"""),1089553.0)</f>
        <v>1089553</v>
      </c>
      <c r="B1015" s="2005">
        <f>IFERROR(__xludf.DUMMYFUNCTION("""COMPUTED_VALUE"""),2502010.0)</f>
        <v>2502010</v>
      </c>
      <c r="C1015" s="2005" t="str">
        <f>IFERROR(__xludf.DUMMYFUNCTION("""COMPUTED_VALUE"""),"Souris")</f>
        <v>Souris</v>
      </c>
      <c r="D1015" s="2005" t="str">
        <f>IFERROR(__xludf.DUMMYFUNCTION("""COMPUTED_VALUE"""),"M590 Grise")</f>
        <v>M590 Grise</v>
      </c>
      <c r="E1015" s="2005" t="str">
        <f>IFERROR(__xludf.DUMMYFUNCTION("""COMPUTED_VALUE"""),"LOGITECH")</f>
        <v>LOGITECH</v>
      </c>
      <c r="F1015" s="2005" t="str">
        <f>IFERROR(__xludf.DUMMYFUNCTION("""COMPUTED_VALUE"""),"C")</f>
        <v>C</v>
      </c>
      <c r="G1015" s="2005" t="str">
        <f>IFERROR(__xludf.DUMMYFUNCTION("""COMPUTED_VALUE"""),"NN")</f>
        <v>NN</v>
      </c>
      <c r="H1015" s="2005">
        <f>IFERROR(__xludf.DUMMYFUNCTION("""COMPUTED_VALUE"""),49.99)</f>
        <v>49.99</v>
      </c>
      <c r="I1015" s="2005">
        <f>IFERROR(__xludf.DUMMYFUNCTION("""COMPUTED_VALUE"""),49.99)</f>
        <v>49.99</v>
      </c>
      <c r="LL1015" s="2007"/>
      <c r="LM1015" s="2007"/>
      <c r="MX1015" s="2007"/>
      <c r="ND1015" s="2007"/>
    </row>
    <row r="1016">
      <c r="A1016" s="2005">
        <f>IFERROR(__xludf.DUMMYFUNCTION("""COMPUTED_VALUE"""),1089555.0)</f>
        <v>1089555</v>
      </c>
      <c r="B1016" s="2005">
        <f>IFERROR(__xludf.DUMMYFUNCTION("""COMPUTED_VALUE"""),2502010.0)</f>
        <v>2502010</v>
      </c>
      <c r="C1016" s="2005" t="str">
        <f>IFERROR(__xludf.DUMMYFUNCTION("""COMPUTED_VALUE"""),"Souris")</f>
        <v>Souris</v>
      </c>
      <c r="D1016" s="2005" t="str">
        <f>IFERROR(__xludf.DUMMYFUNCTION("""COMPUTED_VALUE"""),"M590 Noire")</f>
        <v>M590 Noire</v>
      </c>
      <c r="E1016" s="2005" t="str">
        <f>IFERROR(__xludf.DUMMYFUNCTION("""COMPUTED_VALUE"""),"LOGITECH")</f>
        <v>LOGITECH</v>
      </c>
      <c r="F1016" s="2005" t="str">
        <f>IFERROR(__xludf.DUMMYFUNCTION("""COMPUTED_VALUE"""),"C")</f>
        <v>C</v>
      </c>
      <c r="G1016" s="2005" t="str">
        <f>IFERROR(__xludf.DUMMYFUNCTION("""COMPUTED_VALUE"""),"NN")</f>
        <v>NN</v>
      </c>
      <c r="H1016">
        <f>IFERROR(__xludf.DUMMYFUNCTION("""COMPUTED_VALUE"""),49.99)</f>
        <v>49.99</v>
      </c>
      <c r="I1016">
        <f>IFERROR(__xludf.DUMMYFUNCTION("""COMPUTED_VALUE"""),49.99)</f>
        <v>49.99</v>
      </c>
      <c r="BD1016" s="2006"/>
      <c r="LL1016" s="2007"/>
      <c r="LM1016" s="2007"/>
      <c r="MX1016" s="2007"/>
      <c r="ND1016" s="2008"/>
    </row>
    <row r="1017">
      <c r="A1017" s="2005">
        <f>IFERROR(__xludf.DUMMYFUNCTION("""COMPUTED_VALUE"""),1089838.0)</f>
        <v>1089838</v>
      </c>
      <c r="B1017" s="2005">
        <f>IFERROR(__xludf.DUMMYFUNCTION("""COMPUTED_VALUE"""),2502510.0)</f>
        <v>2502510</v>
      </c>
      <c r="C1017" s="2005" t="str">
        <f>IFERROR(__xludf.DUMMYFUNCTION("""COMPUTED_VALUE"""),"Support")</f>
        <v>Support</v>
      </c>
      <c r="D1017" s="2005" t="str">
        <f>IFERROR(__xludf.DUMMYFUNCTION("""COMPUTED_VALUE"""),"ventilé 15,6'' AIRBLADE 100 Rouge")</f>
        <v>ventilé 15,6'' AIRBLADE 100 Rouge</v>
      </c>
      <c r="E1017" s="2005" t="str">
        <f>IFERROR(__xludf.DUMMYFUNCTION("""COMPUTED_VALUE"""),"SPIRIT OF GAMER")</f>
        <v>SPIRIT OF GAMER</v>
      </c>
      <c r="F1017" s="2005" t="str">
        <f>IFERROR(__xludf.DUMMYFUNCTION("""COMPUTED_VALUE"""),"H")</f>
        <v>H</v>
      </c>
      <c r="G1017" s="2005" t="str">
        <f>IFERROR(__xludf.DUMMYFUNCTION("""COMPUTED_VALUE"""),"AC")</f>
        <v>AC</v>
      </c>
      <c r="H1017" s="2005">
        <f>IFERROR(__xludf.DUMMYFUNCTION("""COMPUTED_VALUE"""),16.99)</f>
        <v>16.99</v>
      </c>
      <c r="I1017" s="2005">
        <f>IFERROR(__xludf.DUMMYFUNCTION("""COMPUTED_VALUE"""),16.99)</f>
        <v>16.99</v>
      </c>
      <c r="BD1017" s="2006"/>
      <c r="LL1017" s="2008"/>
      <c r="LM1017" s="2007"/>
      <c r="MX1017" s="2007"/>
      <c r="ND1017" s="2008"/>
    </row>
    <row r="1018">
      <c r="A1018" s="2005">
        <f>IFERROR(__xludf.DUMMYFUNCTION("""COMPUTED_VALUE"""),1089932.0)</f>
        <v>1089932</v>
      </c>
      <c r="B1018" s="2005">
        <f>IFERROR(__xludf.DUMMYFUNCTION("""COMPUTED_VALUE"""),2403010.0)</f>
        <v>2403010</v>
      </c>
      <c r="C1018" s="2005" t="str">
        <f>IFERROR(__xludf.DUMMYFUNCTION("""COMPUTED_VALUE"""),"Toner")</f>
        <v>Toner</v>
      </c>
      <c r="D1018" s="2005" t="str">
        <f>IFERROR(__xludf.DUMMYFUNCTION("""COMPUTED_VALUE"""),"79A Noir")</f>
        <v>79A Noir</v>
      </c>
      <c r="E1018" s="2005" t="str">
        <f>IFERROR(__xludf.DUMMYFUNCTION("""COMPUTED_VALUE"""),"HP")</f>
        <v>HP</v>
      </c>
      <c r="F1018" s="2005" t="str">
        <f>IFERROR(__xludf.DUMMYFUNCTION("""COMPUTED_VALUE"""),"H")</f>
        <v>H</v>
      </c>
      <c r="G1018" s="2005" t="str">
        <f>IFERROR(__xludf.DUMMYFUNCTION("""COMPUTED_VALUE"""),"NN")</f>
        <v>NN</v>
      </c>
      <c r="H1018" s="2005">
        <f>IFERROR(__xludf.DUMMYFUNCTION("""COMPUTED_VALUE"""),81.99)</f>
        <v>81.99</v>
      </c>
      <c r="I1018" s="2005">
        <f>IFERROR(__xludf.DUMMYFUNCTION("""COMPUTED_VALUE"""),81.99)</f>
        <v>81.99</v>
      </c>
      <c r="BD1018" s="2006"/>
      <c r="LL1018" s="2007"/>
      <c r="LM1018" s="2007"/>
      <c r="MX1018" s="2007"/>
      <c r="ND1018" s="2007"/>
    </row>
    <row r="1019">
      <c r="A1019" s="2005">
        <f>IFERROR(__xludf.DUMMYFUNCTION("""COMPUTED_VALUE"""),1089999.0)</f>
        <v>1089999</v>
      </c>
      <c r="B1019" s="2005">
        <f>IFERROR(__xludf.DUMMYFUNCTION("""COMPUTED_VALUE"""),2202011.0)</f>
        <v>2202011</v>
      </c>
      <c r="C1019" s="2005" t="str">
        <f>IFERROR(__xludf.DUMMYFUNCTION("""COMPUTED_VALUE"""),"Multi Laser")</f>
        <v>Multi Laser</v>
      </c>
      <c r="D1019" s="2005" t="str">
        <f>IFERROR(__xludf.DUMMYFUNCTION("""COMPUTED_VALUE"""),"MFC-L8690CDW")</f>
        <v>MFC-L8690CDW</v>
      </c>
      <c r="E1019" s="2005" t="str">
        <f>IFERROR(__xludf.DUMMYFUNCTION("""COMPUTED_VALUE"""),"BROTHER")</f>
        <v>BROTHER</v>
      </c>
      <c r="F1019" s="2005" t="str">
        <f>IFERROR(__xludf.DUMMYFUNCTION("""COMPUTED_VALUE"""),"H")</f>
        <v>H</v>
      </c>
      <c r="G1019" s="2005" t="str">
        <f>IFERROR(__xludf.DUMMYFUNCTION("""COMPUTED_VALUE"""),"AC")</f>
        <v>AC</v>
      </c>
      <c r="H1019" s="2005">
        <f>IFERROR(__xludf.DUMMYFUNCTION("""COMPUTED_VALUE"""),719.99)</f>
        <v>719.99</v>
      </c>
      <c r="I1019" s="2005">
        <f>IFERROR(__xludf.DUMMYFUNCTION("""COMPUTED_VALUE"""),469.99)</f>
        <v>469.99</v>
      </c>
      <c r="BD1019" s="2006"/>
      <c r="LL1019" s="2007"/>
      <c r="LM1019" s="2007"/>
      <c r="MX1019" s="2007"/>
      <c r="ND1019" s="2007"/>
    </row>
    <row r="1020">
      <c r="A1020" s="2005">
        <f>IFERROR(__xludf.DUMMYFUNCTION("""COMPUTED_VALUE"""),1090061.0)</f>
        <v>1090061</v>
      </c>
      <c r="B1020" s="2005">
        <f>IFERROR(__xludf.DUMMYFUNCTION("""COMPUTED_VALUE"""),2202005.0)</f>
        <v>2202005</v>
      </c>
      <c r="C1020" s="2005" t="str">
        <f>IFERROR(__xludf.DUMMYFUNCTION("""COMPUTED_VALUE"""),"Multi Jet d'enc")</f>
        <v>Multi Jet d'enc</v>
      </c>
      <c r="D1020" s="2005" t="str">
        <f>IFERROR(__xludf.DUMMYFUNCTION("""COMPUTED_VALUE"""),"MG 2555S")</f>
        <v>MG 2555S</v>
      </c>
      <c r="E1020" s="2005" t="str">
        <f>IFERROR(__xludf.DUMMYFUNCTION("""COMPUTED_VALUE"""),"CANON")</f>
        <v>CANON</v>
      </c>
      <c r="F1020" s="2005" t="str">
        <f>IFERROR(__xludf.DUMMYFUNCTION("""COMPUTED_VALUE"""),"H")</f>
        <v>H</v>
      </c>
      <c r="G1020" s="2005" t="str">
        <f>IFERROR(__xludf.DUMMYFUNCTION("""COMPUTED_VALUE"""),"AC")</f>
        <v>AC</v>
      </c>
      <c r="H1020" s="2005">
        <f>IFERROR(__xludf.DUMMYFUNCTION("""COMPUTED_VALUE"""),55.2)</f>
        <v>55.2</v>
      </c>
      <c r="I1020" s="2005">
        <f>IFERROR(__xludf.DUMMYFUNCTION("""COMPUTED_VALUE"""),55.2)</f>
        <v>55.2</v>
      </c>
      <c r="BD1020" s="2006"/>
      <c r="LL1020" s="2007"/>
      <c r="LM1020" s="2007"/>
      <c r="MX1020" s="2007"/>
      <c r="ND1020" s="2008"/>
    </row>
    <row r="1021">
      <c r="A1021" s="2005">
        <f>IFERROR(__xludf.DUMMYFUNCTION("""COMPUTED_VALUE"""),1090103.0)</f>
        <v>1090103</v>
      </c>
      <c r="B1021" s="2005">
        <f>IFERROR(__xludf.DUMMYFUNCTION("""COMPUTED_VALUE"""),1103005.0)</f>
        <v>1103005</v>
      </c>
      <c r="C1021" s="2005" t="str">
        <f>IFERROR(__xludf.DUMMYFUNCTION("""COMPUTED_VALUE"""),"Tél.")</f>
        <v>Tél.</v>
      </c>
      <c r="D1021" s="2005" t="str">
        <f>IFERROR(__xludf.DUMMYFUNCTION("""COMPUTED_VALUE"""),"746 Bleu francais")</f>
        <v>746 Bleu francais</v>
      </c>
      <c r="E1021" s="2005" t="str">
        <f>IFERROR(__xludf.DUMMYFUNCTION("""COMPUTED_VALUE"""),"WILD &amp; WOLF")</f>
        <v>WILD &amp; WOLF</v>
      </c>
      <c r="F1021" s="2005" t="str">
        <f>IFERROR(__xludf.DUMMYFUNCTION("""COMPUTED_VALUE"""),"B")</f>
        <v>B</v>
      </c>
      <c r="G1021" s="2005" t="str">
        <f>IFERROR(__xludf.DUMMYFUNCTION("""COMPUTED_VALUE"""),"NN")</f>
        <v>NN</v>
      </c>
      <c r="H1021" s="2005">
        <f>IFERROR(__xludf.DUMMYFUNCTION("""COMPUTED_VALUE"""),32.99)</f>
        <v>32.99</v>
      </c>
      <c r="I1021" s="2005">
        <f>IFERROR(__xludf.DUMMYFUNCTION("""COMPUTED_VALUE"""),32.99)</f>
        <v>32.99</v>
      </c>
      <c r="BD1021" s="2006"/>
      <c r="LL1021" s="2007"/>
      <c r="LM1021" s="2007"/>
      <c r="MX1021" s="2007"/>
      <c r="ND1021" s="2007"/>
    </row>
    <row r="1022">
      <c r="A1022" s="2005">
        <f>IFERROR(__xludf.DUMMYFUNCTION("""COMPUTED_VALUE"""),1090319.0)</f>
        <v>1090319</v>
      </c>
      <c r="B1022" s="2005">
        <f>IFERROR(__xludf.DUMMYFUNCTION("""COMPUTED_VALUE"""),2403010.0)</f>
        <v>2403010</v>
      </c>
      <c r="C1022" s="2005" t="str">
        <f>IFERROR(__xludf.DUMMYFUNCTION("""COMPUTED_VALUE"""),"Toner")</f>
        <v>Toner</v>
      </c>
      <c r="D1022" s="2005" t="str">
        <f>IFERROR(__xludf.DUMMYFUNCTION("""COMPUTED_VALUE"""),"TN 421 Noir")</f>
        <v>TN 421 Noir</v>
      </c>
      <c r="E1022" s="2005" t="str">
        <f>IFERROR(__xludf.DUMMYFUNCTION("""COMPUTED_VALUE"""),"BROTHER")</f>
        <v>BROTHER</v>
      </c>
      <c r="F1022" s="2005" t="str">
        <f>IFERROR(__xludf.DUMMYFUNCTION("""COMPUTED_VALUE"""),"W")</f>
        <v>W</v>
      </c>
      <c r="G1022" s="2005" t="str">
        <f>IFERROR(__xludf.DUMMYFUNCTION("""COMPUTED_VALUE"""),"AC")</f>
        <v>AC</v>
      </c>
      <c r="H1022" s="2005">
        <f>IFERROR(__xludf.DUMMYFUNCTION("""COMPUTED_VALUE"""),135.99)</f>
        <v>135.99</v>
      </c>
      <c r="I1022" s="2005">
        <f>IFERROR(__xludf.DUMMYFUNCTION("""COMPUTED_VALUE"""),97.32)</f>
        <v>97.32</v>
      </c>
      <c r="BD1022" s="2006"/>
      <c r="LM1022" s="2007"/>
    </row>
    <row r="1023">
      <c r="A1023" s="2005">
        <f>IFERROR(__xludf.DUMMYFUNCTION("""COMPUTED_VALUE"""),1090333.0)</f>
        <v>1090333</v>
      </c>
      <c r="B1023" s="2005">
        <f>IFERROR(__xludf.DUMMYFUNCTION("""COMPUTED_VALUE"""),2403010.0)</f>
        <v>2403010</v>
      </c>
      <c r="C1023" s="2005" t="str">
        <f>IFERROR(__xludf.DUMMYFUNCTION("""COMPUTED_VALUE"""),"Toner")</f>
        <v>Toner</v>
      </c>
      <c r="D1023" s="2005" t="str">
        <f>IFERROR(__xludf.DUMMYFUNCTION("""COMPUTED_VALUE"""),"TN 421 Cyan")</f>
        <v>TN 421 Cyan</v>
      </c>
      <c r="E1023" s="2005" t="str">
        <f>IFERROR(__xludf.DUMMYFUNCTION("""COMPUTED_VALUE"""),"BROTHER")</f>
        <v>BROTHER</v>
      </c>
      <c r="F1023" s="2005" t="str">
        <f>IFERROR(__xludf.DUMMYFUNCTION("""COMPUTED_VALUE"""),"W")</f>
        <v>W</v>
      </c>
      <c r="G1023" s="2005" t="str">
        <f>IFERROR(__xludf.DUMMYFUNCTION("""COMPUTED_VALUE"""),"AC")</f>
        <v>AC</v>
      </c>
      <c r="H1023" s="2005">
        <f>IFERROR(__xludf.DUMMYFUNCTION("""COMPUTED_VALUE"""),119.99)</f>
        <v>119.99</v>
      </c>
      <c r="I1023" s="2005">
        <f>IFERROR(__xludf.DUMMYFUNCTION("""COMPUTED_VALUE"""),88.9)</f>
        <v>88.9</v>
      </c>
      <c r="BD1023" s="2006"/>
      <c r="LL1023" s="2007"/>
      <c r="LM1023" s="2007"/>
      <c r="MX1023" s="2007"/>
      <c r="ND1023" s="2007"/>
    </row>
    <row r="1024">
      <c r="A1024" s="2005">
        <f>IFERROR(__xludf.DUMMYFUNCTION("""COMPUTED_VALUE"""),1090334.0)</f>
        <v>1090334</v>
      </c>
      <c r="B1024" s="2005">
        <f>IFERROR(__xludf.DUMMYFUNCTION("""COMPUTED_VALUE"""),2403010.0)</f>
        <v>2403010</v>
      </c>
      <c r="C1024" s="2005" t="str">
        <f>IFERROR(__xludf.DUMMYFUNCTION("""COMPUTED_VALUE"""),"Toner")</f>
        <v>Toner</v>
      </c>
      <c r="D1024" s="2005" t="str">
        <f>IFERROR(__xludf.DUMMYFUNCTION("""COMPUTED_VALUE"""),"TN 421 Magenta")</f>
        <v>TN 421 Magenta</v>
      </c>
      <c r="E1024" s="2005" t="str">
        <f>IFERROR(__xludf.DUMMYFUNCTION("""COMPUTED_VALUE"""),"BROTHER")</f>
        <v>BROTHER</v>
      </c>
      <c r="F1024" s="2005" t="str">
        <f>IFERROR(__xludf.DUMMYFUNCTION("""COMPUTED_VALUE"""),"W")</f>
        <v>W</v>
      </c>
      <c r="G1024" s="2005" t="str">
        <f>IFERROR(__xludf.DUMMYFUNCTION("""COMPUTED_VALUE"""),"AC")</f>
        <v>AC</v>
      </c>
      <c r="H1024" s="2005">
        <f>IFERROR(__xludf.DUMMYFUNCTION("""COMPUTED_VALUE"""),119.99)</f>
        <v>119.99</v>
      </c>
      <c r="I1024" s="2005">
        <f>IFERROR(__xludf.DUMMYFUNCTION("""COMPUTED_VALUE"""),88.9)</f>
        <v>88.9</v>
      </c>
      <c r="BD1024" s="2006"/>
      <c r="LL1024" s="2007"/>
      <c r="LM1024" s="2007"/>
      <c r="MX1024" s="2007"/>
      <c r="ND1024" s="2007"/>
    </row>
    <row r="1025">
      <c r="A1025" s="2005">
        <f>IFERROR(__xludf.DUMMYFUNCTION("""COMPUTED_VALUE"""),1090335.0)</f>
        <v>1090335</v>
      </c>
      <c r="B1025" s="2005">
        <f>IFERROR(__xludf.DUMMYFUNCTION("""COMPUTED_VALUE"""),2403010.0)</f>
        <v>2403010</v>
      </c>
      <c r="C1025" s="2005" t="str">
        <f>IFERROR(__xludf.DUMMYFUNCTION("""COMPUTED_VALUE"""),"Toner")</f>
        <v>Toner</v>
      </c>
      <c r="D1025" s="2005" t="str">
        <f>IFERROR(__xludf.DUMMYFUNCTION("""COMPUTED_VALUE"""),"TN 421 Jaune")</f>
        <v>TN 421 Jaune</v>
      </c>
      <c r="E1025" s="2005" t="str">
        <f>IFERROR(__xludf.DUMMYFUNCTION("""COMPUTED_VALUE"""),"BROTHER")</f>
        <v>BROTHER</v>
      </c>
      <c r="F1025" s="2005" t="str">
        <f>IFERROR(__xludf.DUMMYFUNCTION("""COMPUTED_VALUE"""),"W")</f>
        <v>W</v>
      </c>
      <c r="G1025" s="2005" t="str">
        <f>IFERROR(__xludf.DUMMYFUNCTION("""COMPUTED_VALUE"""),"AC")</f>
        <v>AC</v>
      </c>
      <c r="H1025" s="2005">
        <f>IFERROR(__xludf.DUMMYFUNCTION("""COMPUTED_VALUE"""),119.99)</f>
        <v>119.99</v>
      </c>
      <c r="I1025" s="2005">
        <f>IFERROR(__xludf.DUMMYFUNCTION("""COMPUTED_VALUE"""),88.9)</f>
        <v>88.9</v>
      </c>
      <c r="BD1025" s="2006"/>
      <c r="LL1025" s="2007"/>
      <c r="LM1025" s="2007"/>
      <c r="MX1025" s="2007"/>
      <c r="ND1025" s="2007"/>
    </row>
    <row r="1026">
      <c r="A1026" s="2005">
        <f>IFERROR(__xludf.DUMMYFUNCTION("""COMPUTED_VALUE"""),1090336.0)</f>
        <v>1090336</v>
      </c>
      <c r="B1026" s="2005">
        <f>IFERROR(__xludf.DUMMYFUNCTION("""COMPUTED_VALUE"""),2403010.0)</f>
        <v>2403010</v>
      </c>
      <c r="C1026" s="2005" t="str">
        <f>IFERROR(__xludf.DUMMYFUNCTION("""COMPUTED_VALUE"""),"Toner")</f>
        <v>Toner</v>
      </c>
      <c r="D1026" s="2005" t="str">
        <f>IFERROR(__xludf.DUMMYFUNCTION("""COMPUTED_VALUE"""),"TN 423 Noir XL")</f>
        <v>TN 423 Noir XL</v>
      </c>
      <c r="E1026" s="2005" t="str">
        <f>IFERROR(__xludf.DUMMYFUNCTION("""COMPUTED_VALUE"""),"BROTHER")</f>
        <v>BROTHER</v>
      </c>
      <c r="F1026" s="2005" t="str">
        <f>IFERROR(__xludf.DUMMYFUNCTION("""COMPUTED_VALUE"""),"W")</f>
        <v>W</v>
      </c>
      <c r="G1026" s="2005" t="str">
        <f>IFERROR(__xludf.DUMMYFUNCTION("""COMPUTED_VALUE"""),"AC")</f>
        <v>AC</v>
      </c>
      <c r="H1026" s="2005">
        <f>IFERROR(__xludf.DUMMYFUNCTION("""COMPUTED_VALUE"""),155.99)</f>
        <v>155.99</v>
      </c>
      <c r="I1026" s="2005">
        <f>IFERROR(__xludf.DUMMYFUNCTION("""COMPUTED_VALUE"""),111.73)</f>
        <v>111.73</v>
      </c>
      <c r="BD1026" s="2006"/>
      <c r="LL1026" s="2007"/>
      <c r="LM1026" s="2007"/>
      <c r="MX1026" s="2007"/>
      <c r="ND1026" s="2007"/>
    </row>
    <row r="1027">
      <c r="A1027" s="2005">
        <f>IFERROR(__xludf.DUMMYFUNCTION("""COMPUTED_VALUE"""),1090337.0)</f>
        <v>1090337</v>
      </c>
      <c r="B1027" s="2005">
        <f>IFERROR(__xludf.DUMMYFUNCTION("""COMPUTED_VALUE"""),2403010.0)</f>
        <v>2403010</v>
      </c>
      <c r="C1027" s="2005" t="str">
        <f>IFERROR(__xludf.DUMMYFUNCTION("""COMPUTED_VALUE"""),"Toner")</f>
        <v>Toner</v>
      </c>
      <c r="D1027" s="2005" t="str">
        <f>IFERROR(__xludf.DUMMYFUNCTION("""COMPUTED_VALUE"""),"TN 423 Cyan XL")</f>
        <v>TN 423 Cyan XL</v>
      </c>
      <c r="E1027" s="2005" t="str">
        <f>IFERROR(__xludf.DUMMYFUNCTION("""COMPUTED_VALUE"""),"BROTHER")</f>
        <v>BROTHER</v>
      </c>
      <c r="F1027" s="2005" t="str">
        <f>IFERROR(__xludf.DUMMYFUNCTION("""COMPUTED_VALUE"""),"W")</f>
        <v>W</v>
      </c>
      <c r="G1027" s="2005" t="str">
        <f>IFERROR(__xludf.DUMMYFUNCTION("""COMPUTED_VALUE"""),"AC")</f>
        <v>AC</v>
      </c>
      <c r="H1027" s="2005">
        <f>IFERROR(__xludf.DUMMYFUNCTION("""COMPUTED_VALUE"""),211.99)</f>
        <v>211.99</v>
      </c>
      <c r="I1027" s="2005">
        <f>IFERROR(__xludf.DUMMYFUNCTION("""COMPUTED_VALUE"""),151.33)</f>
        <v>151.33</v>
      </c>
      <c r="BD1027" s="2006"/>
      <c r="LL1027" s="2007"/>
      <c r="LM1027" s="2007"/>
      <c r="MX1027" s="2007"/>
      <c r="ND1027" s="2007"/>
    </row>
    <row r="1028">
      <c r="A1028" s="2005">
        <f>IFERROR(__xludf.DUMMYFUNCTION("""COMPUTED_VALUE"""),1090338.0)</f>
        <v>1090338</v>
      </c>
      <c r="B1028" s="2005">
        <f>IFERROR(__xludf.DUMMYFUNCTION("""COMPUTED_VALUE"""),2403010.0)</f>
        <v>2403010</v>
      </c>
      <c r="C1028" s="2005" t="str">
        <f>IFERROR(__xludf.DUMMYFUNCTION("""COMPUTED_VALUE"""),"Toner")</f>
        <v>Toner</v>
      </c>
      <c r="D1028" s="2005" t="str">
        <f>IFERROR(__xludf.DUMMYFUNCTION("""COMPUTED_VALUE"""),"TN 423 Magenta XL")</f>
        <v>TN 423 Magenta XL</v>
      </c>
      <c r="E1028" s="2005" t="str">
        <f>IFERROR(__xludf.DUMMYFUNCTION("""COMPUTED_VALUE"""),"BROTHER")</f>
        <v>BROTHER</v>
      </c>
      <c r="F1028" s="2005" t="str">
        <f>IFERROR(__xludf.DUMMYFUNCTION("""COMPUTED_VALUE"""),"W")</f>
        <v>W</v>
      </c>
      <c r="G1028" s="2005" t="str">
        <f>IFERROR(__xludf.DUMMYFUNCTION("""COMPUTED_VALUE"""),"AC")</f>
        <v>AC</v>
      </c>
      <c r="H1028" s="2005">
        <f>IFERROR(__xludf.DUMMYFUNCTION("""COMPUTED_VALUE"""),211.99)</f>
        <v>211.99</v>
      </c>
      <c r="I1028" s="2005">
        <f>IFERROR(__xludf.DUMMYFUNCTION("""COMPUTED_VALUE"""),152.95)</f>
        <v>152.95</v>
      </c>
      <c r="BD1028" s="2006"/>
      <c r="LL1028" s="2007"/>
      <c r="LM1028" s="2007"/>
      <c r="MX1028" s="2007"/>
      <c r="ND1028" s="2007"/>
    </row>
    <row r="1029">
      <c r="A1029" s="2005">
        <f>IFERROR(__xludf.DUMMYFUNCTION("""COMPUTED_VALUE"""),1090339.0)</f>
        <v>1090339</v>
      </c>
      <c r="B1029" s="2005">
        <f>IFERROR(__xludf.DUMMYFUNCTION("""COMPUTED_VALUE"""),2403010.0)</f>
        <v>2403010</v>
      </c>
      <c r="C1029" s="2005" t="str">
        <f>IFERROR(__xludf.DUMMYFUNCTION("""COMPUTED_VALUE"""),"Toner")</f>
        <v>Toner</v>
      </c>
      <c r="D1029" s="2005" t="str">
        <f>IFERROR(__xludf.DUMMYFUNCTION("""COMPUTED_VALUE"""),"TN 423 Jaune XL")</f>
        <v>TN 423 Jaune XL</v>
      </c>
      <c r="E1029" s="2005" t="str">
        <f>IFERROR(__xludf.DUMMYFUNCTION("""COMPUTED_VALUE"""),"BROTHER")</f>
        <v>BROTHER</v>
      </c>
      <c r="F1029" s="2005" t="str">
        <f>IFERROR(__xludf.DUMMYFUNCTION("""COMPUTED_VALUE"""),"W")</f>
        <v>W</v>
      </c>
      <c r="G1029" s="2005" t="str">
        <f>IFERROR(__xludf.DUMMYFUNCTION("""COMPUTED_VALUE"""),"AC")</f>
        <v>AC</v>
      </c>
      <c r="H1029" s="2005">
        <f>IFERROR(__xludf.DUMMYFUNCTION("""COMPUTED_VALUE"""),211.99)</f>
        <v>211.99</v>
      </c>
      <c r="I1029" s="2005">
        <f>IFERROR(__xludf.DUMMYFUNCTION("""COMPUTED_VALUE"""),151.33)</f>
        <v>151.33</v>
      </c>
      <c r="BD1029" s="2006"/>
      <c r="LL1029" s="2008"/>
      <c r="LM1029" s="2007"/>
      <c r="MX1029" s="2007"/>
      <c r="ND1029" s="2007"/>
    </row>
    <row r="1030">
      <c r="A1030" s="2005">
        <f>IFERROR(__xludf.DUMMYFUNCTION("""COMPUTED_VALUE"""),1090357.0)</f>
        <v>1090357</v>
      </c>
      <c r="B1030" s="2005">
        <f>IFERROR(__xludf.DUMMYFUNCTION("""COMPUTED_VALUE"""),2209805.0)</f>
        <v>2209805</v>
      </c>
      <c r="C1030" s="2005" t="str">
        <f>IFERROR(__xludf.DUMMYFUNCTION("""COMPUTED_VALUE"""),"Lot")</f>
        <v>Lot</v>
      </c>
      <c r="D1030" s="2005" t="str">
        <f>IFERROR(__xludf.DUMMYFUNCTION("""COMPUTED_VALUE"""),"MFC-L8690CDW+Toner TN-421 Noir")</f>
        <v>MFC-L8690CDW+Toner TN-421 Noir</v>
      </c>
      <c r="E1030" s="2005" t="str">
        <f>IFERROR(__xludf.DUMMYFUNCTION("""COMPUTED_VALUE"""),"BROTHER")</f>
        <v>BROTHER</v>
      </c>
      <c r="F1030" s="2005" t="str">
        <f>IFERROR(__xludf.DUMMYFUNCTION("""COMPUTED_VALUE"""),"H")</f>
        <v>H</v>
      </c>
      <c r="G1030" s="2005" t="str">
        <f>IFERROR(__xludf.DUMMYFUNCTION("""COMPUTED_VALUE"""),"AC")</f>
        <v>AC</v>
      </c>
      <c r="H1030" s="2005">
        <f>IFERROR(__xludf.DUMMYFUNCTION("""COMPUTED_VALUE"""),770.38)</f>
        <v>770.38</v>
      </c>
      <c r="I1030" s="2005">
        <f>IFERROR(__xludf.DUMMYFUNCTION("""COMPUTED_VALUE"""),510.58)</f>
        <v>510.58</v>
      </c>
      <c r="BD1030" s="2006"/>
      <c r="LL1030" s="2007"/>
      <c r="LM1030" s="2007"/>
      <c r="MX1030" s="2007"/>
      <c r="ND1030" s="2007"/>
    </row>
    <row r="1031">
      <c r="A1031" s="2005">
        <f>IFERROR(__xludf.DUMMYFUNCTION("""COMPUTED_VALUE"""),1090358.0)</f>
        <v>1090358</v>
      </c>
      <c r="B1031" s="2005">
        <f>IFERROR(__xludf.DUMMYFUNCTION("""COMPUTED_VALUE"""),2209805.0)</f>
        <v>2209805</v>
      </c>
      <c r="C1031" s="2005" t="str">
        <f>IFERROR(__xludf.DUMMYFUNCTION("""COMPUTED_VALUE"""),"Lot")</f>
        <v>Lot</v>
      </c>
      <c r="D1031" s="2005" t="str">
        <f>IFERROR(__xludf.DUMMYFUNCTION("""COMPUTED_VALUE"""),"MFC-L8690CDW+Toner TN-423 Noir XL")</f>
        <v>MFC-L8690CDW+Toner TN-423 Noir XL</v>
      </c>
      <c r="E1031" s="2005" t="str">
        <f>IFERROR(__xludf.DUMMYFUNCTION("""COMPUTED_VALUE"""),"BROTHER")</f>
        <v>BROTHER</v>
      </c>
      <c r="F1031" s="2005" t="str">
        <f>IFERROR(__xludf.DUMMYFUNCTION("""COMPUTED_VALUE"""),"H")</f>
        <v>H</v>
      </c>
      <c r="G1031" s="2005" t="str">
        <f>IFERROR(__xludf.DUMMYFUNCTION("""COMPUTED_VALUE"""),"AC")</f>
        <v>AC</v>
      </c>
      <c r="H1031" s="2005">
        <f>IFERROR(__xludf.DUMMYFUNCTION("""COMPUTED_VALUE"""),788.38)</f>
        <v>788.38</v>
      </c>
      <c r="I1031" s="2005">
        <f>IFERROR(__xludf.DUMMYFUNCTION("""COMPUTED_VALUE"""),523.55)</f>
        <v>523.55</v>
      </c>
      <c r="BD1031" s="2006"/>
      <c r="LL1031" s="2007"/>
      <c r="LM1031" s="2007"/>
      <c r="MX1031" s="2007"/>
      <c r="ND1031" s="2007"/>
    </row>
    <row r="1032">
      <c r="A1032" s="2005">
        <f>IFERROR(__xludf.DUMMYFUNCTION("""COMPUTED_VALUE"""),1090612.0)</f>
        <v>1090612</v>
      </c>
      <c r="B1032" s="2005">
        <f>IFERROR(__xludf.DUMMYFUNCTION("""COMPUTED_VALUE"""),2704515.0)</f>
        <v>2704515</v>
      </c>
      <c r="C1032" s="2005" t="str">
        <f>IFERROR(__xludf.DUMMYFUNCTION("""COMPUTED_VALUE"""),"Calc-Impr")</f>
        <v>Calc-Impr</v>
      </c>
      <c r="D1032" s="2005" t="str">
        <f>IFERROR(__xludf.DUMMYFUNCTION("""COMPUTED_VALUE"""),"HR150RCE")</f>
        <v>HR150RCE</v>
      </c>
      <c r="E1032" s="2005" t="str">
        <f>IFERROR(__xludf.DUMMYFUNCTION("""COMPUTED_VALUE"""),"CASIO")</f>
        <v>CASIO</v>
      </c>
      <c r="F1032" s="2005" t="str">
        <f>IFERROR(__xludf.DUMMYFUNCTION("""COMPUTED_VALUE"""),"W")</f>
        <v>W</v>
      </c>
      <c r="G1032" s="2005" t="str">
        <f>IFERROR(__xludf.DUMMYFUNCTION("""COMPUTED_VALUE"""),"FR")</f>
        <v>FR</v>
      </c>
      <c r="H1032" s="2005">
        <f>IFERROR(__xludf.DUMMYFUNCTION("""COMPUTED_VALUE"""),42.99)</f>
        <v>42.99</v>
      </c>
      <c r="I1032" s="2005">
        <f>IFERROR(__xludf.DUMMYFUNCTION("""COMPUTED_VALUE"""),42.99)</f>
        <v>42.99</v>
      </c>
      <c r="BD1032" s="2006"/>
      <c r="LL1032" s="2007"/>
      <c r="LM1032" s="2007"/>
      <c r="MX1032" s="2007"/>
      <c r="ND1032" s="2007"/>
    </row>
    <row r="1033">
      <c r="A1033" s="2005">
        <f>IFERROR(__xludf.DUMMYFUNCTION("""COMPUTED_VALUE"""),1090680.0)</f>
        <v>1090680</v>
      </c>
      <c r="B1033" s="2005">
        <f>IFERROR(__xludf.DUMMYFUNCTION("""COMPUTED_VALUE"""),2402015.0)</f>
        <v>2402015</v>
      </c>
      <c r="C1033" s="2005" t="str">
        <f>IFERROR(__xludf.DUMMYFUNCTION("""COMPUTED_VALUE"""),"Papier")</f>
        <v>Papier</v>
      </c>
      <c r="D1033" s="2005" t="str">
        <f>IFERROR(__xludf.DUMMYFUNCTION("""COMPUTED_VALUE"""),"20 feuilles ZINK pour Sprocket")</f>
        <v>20 feuilles ZINK pour Sprocket</v>
      </c>
      <c r="E1033" s="2005" t="str">
        <f>IFERROR(__xludf.DUMMYFUNCTION("""COMPUTED_VALUE"""),"HP")</f>
        <v>HP</v>
      </c>
      <c r="F1033" s="2005" t="str">
        <f>IFERROR(__xludf.DUMMYFUNCTION("""COMPUTED_VALUE"""),"A")</f>
        <v>A</v>
      </c>
      <c r="G1033" s="2005" t="str">
        <f>IFERROR(__xludf.DUMMYFUNCTION("""COMPUTED_VALUE"""),"NN")</f>
        <v>NN</v>
      </c>
      <c r="H1033" s="2005">
        <f>IFERROR(__xludf.DUMMYFUNCTION("""COMPUTED_VALUE"""),12.99)</f>
        <v>12.99</v>
      </c>
      <c r="I1033" s="2005">
        <f>IFERROR(__xludf.DUMMYFUNCTION("""COMPUTED_VALUE"""),12.99)</f>
        <v>12.99</v>
      </c>
      <c r="BD1033" s="2006"/>
      <c r="LL1033" s="2007"/>
      <c r="LM1033" s="2007"/>
      <c r="MX1033" s="2007"/>
      <c r="ND1033" s="2007"/>
    </row>
    <row r="1034">
      <c r="A1034" s="2005">
        <f>IFERROR(__xludf.DUMMYFUNCTION("""COMPUTED_VALUE"""),1090804.0)</f>
        <v>1090804</v>
      </c>
      <c r="B1034" s="2005">
        <f>IFERROR(__xludf.DUMMYFUNCTION("""COMPUTED_VALUE"""),1108005.0)</f>
        <v>1108005</v>
      </c>
      <c r="C1034" s="2005" t="str">
        <f>IFERROR(__xludf.DUMMYFUNCTION("""COMPUTED_VALUE"""),"Talkie")</f>
        <v>Talkie</v>
      </c>
      <c r="D1034" s="2005" t="str">
        <f>IFERROR(__xludf.DUMMYFUNCTION("""COMPUTED_VALUE"""),"TW12 Disney Cars")</f>
        <v>TW12 Disney Cars</v>
      </c>
      <c r="E1034" s="2005" t="str">
        <f>IFERROR(__xludf.DUMMYFUNCTION("""COMPUTED_VALUE"""),"LEXIBOOK")</f>
        <v>LEXIBOOK</v>
      </c>
      <c r="F1034" s="2005" t="str">
        <f>IFERROR(__xludf.DUMMYFUNCTION("""COMPUTED_VALUE"""),"H")</f>
        <v>H</v>
      </c>
      <c r="G1034" s="2005" t="str">
        <f>IFERROR(__xludf.DUMMYFUNCTION("""COMPUTED_VALUE"""),"NN")</f>
        <v>NN</v>
      </c>
      <c r="H1034" s="2005">
        <f>IFERROR(__xludf.DUMMYFUNCTION("""COMPUTED_VALUE"""),14.99)</f>
        <v>14.99</v>
      </c>
      <c r="I1034" s="2005">
        <f>IFERROR(__xludf.DUMMYFUNCTION("""COMPUTED_VALUE"""),14.99)</f>
        <v>14.99</v>
      </c>
      <c r="BD1034" s="2006"/>
      <c r="LL1034" s="2007"/>
      <c r="LM1034" s="2007"/>
      <c r="MX1034" s="2007"/>
      <c r="ND1034" s="2007"/>
    </row>
    <row r="1035">
      <c r="A1035" s="2005">
        <f>IFERROR(__xludf.DUMMYFUNCTION("""COMPUTED_VALUE"""),1090811.0)</f>
        <v>1090811</v>
      </c>
      <c r="B1035" s="2005">
        <f>IFERROR(__xludf.DUMMYFUNCTION("""COMPUTED_VALUE"""),2207005.0)</f>
        <v>2207005</v>
      </c>
      <c r="C1035" s="2005" t="str">
        <f>IFERROR(__xludf.DUMMYFUNCTION("""COMPUTED_VALUE"""),"Imprimante")</f>
        <v>Imprimante</v>
      </c>
      <c r="D1035" s="2005" t="str">
        <f>IFERROR(__xludf.DUMMYFUNCTION("""COMPUTED_VALUE"""),"Creator Pro")</f>
        <v>Creator Pro</v>
      </c>
      <c r="E1035" s="2005" t="str">
        <f>IFERROR(__xludf.DUMMYFUNCTION("""COMPUTED_VALUE"""),"FLASHFORGE")</f>
        <v>FLASHFORGE</v>
      </c>
      <c r="F1035" s="2005" t="str">
        <f>IFERROR(__xludf.DUMMYFUNCTION("""COMPUTED_VALUE"""),"H")</f>
        <v>H</v>
      </c>
      <c r="G1035" s="2005" t="str">
        <f>IFERROR(__xludf.DUMMYFUNCTION("""COMPUTED_VALUE"""),"NN")</f>
        <v>NN</v>
      </c>
      <c r="H1035">
        <f>IFERROR(__xludf.DUMMYFUNCTION("""COMPUTED_VALUE"""),656.99)</f>
        <v>656.99</v>
      </c>
      <c r="I1035">
        <f>IFERROR(__xludf.DUMMYFUNCTION("""COMPUTED_VALUE"""),656.99)</f>
        <v>656.99</v>
      </c>
      <c r="BD1035" s="2006"/>
      <c r="LL1035" s="2007"/>
      <c r="LM1035" s="2007"/>
      <c r="MX1035" s="2007"/>
      <c r="ND1035" s="2007"/>
    </row>
    <row r="1036">
      <c r="A1036" s="2005">
        <f>IFERROR(__xludf.DUMMYFUNCTION("""COMPUTED_VALUE"""),1090871.0)</f>
        <v>1090871</v>
      </c>
      <c r="B1036" s="2005">
        <f>IFERROR(__xludf.DUMMYFUNCTION("""COMPUTED_VALUE"""),2502040.0)</f>
        <v>2502040</v>
      </c>
      <c r="C1036" s="2005" t="str">
        <f>IFERROR(__xludf.DUMMYFUNCTION("""COMPUTED_VALUE"""),"Adaptateur")</f>
        <v>Adaptateur</v>
      </c>
      <c r="D1036" s="2005" t="str">
        <f>IFERROR(__xludf.DUMMYFUNCTION("""COMPUTED_VALUE"""),"Mini Displayport VGA pour surface")</f>
        <v>Mini Displayport VGA pour surface</v>
      </c>
      <c r="E1036" s="2005" t="str">
        <f>IFERROR(__xludf.DUMMYFUNCTION("""COMPUTED_VALUE"""),"MICROSOFT")</f>
        <v>MICROSOFT</v>
      </c>
      <c r="F1036" s="2005" t="str">
        <f>IFERROR(__xludf.DUMMYFUNCTION("""COMPUTED_VALUE"""),"C")</f>
        <v>C</v>
      </c>
      <c r="G1036" s="2005" t="str">
        <f>IFERROR(__xludf.DUMMYFUNCTION("""COMPUTED_VALUE"""),"NN")</f>
        <v>NN</v>
      </c>
      <c r="H1036" s="2005">
        <f>IFERROR(__xludf.DUMMYFUNCTION("""COMPUTED_VALUE"""),24.99)</f>
        <v>24.99</v>
      </c>
      <c r="I1036" s="2005">
        <f>IFERROR(__xludf.DUMMYFUNCTION("""COMPUTED_VALUE"""),24.99)</f>
        <v>24.99</v>
      </c>
      <c r="BD1036" s="2006"/>
      <c r="LL1036" s="2007"/>
      <c r="LM1036" s="2007"/>
      <c r="MX1036" s="2007"/>
      <c r="ND1036" s="2007"/>
    </row>
    <row r="1037">
      <c r="A1037" s="2005">
        <f>IFERROR(__xludf.DUMMYFUNCTION("""COMPUTED_VALUE"""),1090940.0)</f>
        <v>1090940</v>
      </c>
      <c r="B1037" s="2005">
        <f>IFERROR(__xludf.DUMMYFUNCTION("""COMPUTED_VALUE"""),2704515.0)</f>
        <v>2704515</v>
      </c>
      <c r="C1037" s="2005" t="str">
        <f>IFERROR(__xludf.DUMMYFUNCTION("""COMPUTED_VALUE"""),"Calc.")</f>
        <v>Calc.</v>
      </c>
      <c r="D1037" s="2005" t="str">
        <f>IFERROR(__xludf.DUMMYFUNCTION("""COMPUTED_VALUE"""),"GRAPH90+E")</f>
        <v>GRAPH90+E</v>
      </c>
      <c r="E1037" s="2005" t="str">
        <f>IFERROR(__xludf.DUMMYFUNCTION("""COMPUTED_VALUE"""),"CASIO")</f>
        <v>CASIO</v>
      </c>
      <c r="F1037" s="2005" t="str">
        <f>IFERROR(__xludf.DUMMYFUNCTION("""COMPUTED_VALUE"""),"H")</f>
        <v>H</v>
      </c>
      <c r="G1037" s="2005" t="str">
        <f>IFERROR(__xludf.DUMMYFUNCTION("""COMPUTED_VALUE"""),"FR")</f>
        <v>FR</v>
      </c>
      <c r="H1037" s="2005">
        <f>IFERROR(__xludf.DUMMYFUNCTION("""COMPUTED_VALUE"""),84.99)</f>
        <v>84.99</v>
      </c>
      <c r="I1037" s="2005">
        <f>IFERROR(__xludf.DUMMYFUNCTION("""COMPUTED_VALUE"""),84.99)</f>
        <v>84.99</v>
      </c>
      <c r="BD1037" s="2006"/>
      <c r="LL1037" s="2007"/>
      <c r="LM1037" s="2007"/>
      <c r="MX1037" s="2007"/>
      <c r="ND1037" s="2007"/>
    </row>
    <row r="1038">
      <c r="A1038" s="2005">
        <f>IFERROR(__xludf.DUMMYFUNCTION("""COMPUTED_VALUE"""),1091443.0)</f>
        <v>1091443</v>
      </c>
      <c r="B1038" s="2005">
        <f>IFERROR(__xludf.DUMMYFUNCTION("""COMPUTED_VALUE"""),2703025.0)</f>
        <v>2703025</v>
      </c>
      <c r="C1038" s="2005" t="str">
        <f>IFERROR(__xludf.DUMMYFUNCTION("""COMPUTED_VALUE"""),"DESTRUCTEUR")</f>
        <v>DESTRUCTEUR</v>
      </c>
      <c r="D1038" s="2005" t="str">
        <f>IFERROR(__xludf.DUMMYFUNCTION("""COMPUTED_VALUE"""),"P-25S")</f>
        <v>P-25S</v>
      </c>
      <c r="E1038" s="2005" t="str">
        <f>IFERROR(__xludf.DUMMYFUNCTION("""COMPUTED_VALUE"""),"FELLOWES")</f>
        <v>FELLOWES</v>
      </c>
      <c r="F1038" s="2005" t="str">
        <f>IFERROR(__xludf.DUMMYFUNCTION("""COMPUTED_VALUE"""),"H")</f>
        <v>H</v>
      </c>
      <c r="G1038" s="2005" t="str">
        <f>IFERROR(__xludf.DUMMYFUNCTION("""COMPUTED_VALUE"""),"AC")</f>
        <v>AC</v>
      </c>
      <c r="H1038" s="2005">
        <f>IFERROR(__xludf.DUMMYFUNCTION("""COMPUTED_VALUE"""),34.98)</f>
        <v>34.98</v>
      </c>
      <c r="I1038" s="2005">
        <f>IFERROR(__xludf.DUMMYFUNCTION("""COMPUTED_VALUE"""),29.99)</f>
        <v>29.99</v>
      </c>
      <c r="BD1038" s="2006"/>
      <c r="LL1038" s="2007"/>
      <c r="LM1038" s="2007"/>
      <c r="MX1038" s="2007"/>
      <c r="ND1038" s="2007"/>
    </row>
    <row r="1039">
      <c r="A1039" s="2005">
        <f>IFERROR(__xludf.DUMMYFUNCTION("""COMPUTED_VALUE"""),1091445.0)</f>
        <v>1091445</v>
      </c>
      <c r="B1039" s="2005">
        <f>IFERROR(__xludf.DUMMYFUNCTION("""COMPUTED_VALUE"""),2403515.0)</f>
        <v>2403515</v>
      </c>
      <c r="C1039" s="2005" t="str">
        <f>IFERROR(__xludf.DUMMYFUNCTION("""COMPUTED_VALUE"""),"Conso")</f>
        <v>Conso</v>
      </c>
      <c r="D1039" s="2005" t="str">
        <f>IFERROR(__xludf.DUMMYFUNCTION("""COMPUTED_VALUE"""),"Huile lubrifiante 120ml pour destructeur")</f>
        <v>Huile lubrifiante 120ml pour destructeur</v>
      </c>
      <c r="E1039" s="2005" t="str">
        <f>IFERROR(__xludf.DUMMYFUNCTION("""COMPUTED_VALUE"""),"FELLOWES")</f>
        <v>FELLOWES</v>
      </c>
      <c r="F1039" s="2005" t="str">
        <f>IFERROR(__xludf.DUMMYFUNCTION("""COMPUTED_VALUE"""),"H")</f>
        <v>H</v>
      </c>
      <c r="G1039" s="2005" t="str">
        <f>IFERROR(__xludf.DUMMYFUNCTION("""COMPUTED_VALUE"""),"AC")</f>
        <v>AC</v>
      </c>
      <c r="H1039" s="2005">
        <f>IFERROR(__xludf.DUMMYFUNCTION("""COMPUTED_VALUE"""),8.9)</f>
        <v>8.9</v>
      </c>
      <c r="I1039" s="2005">
        <f>IFERROR(__xludf.DUMMYFUNCTION("""COMPUTED_VALUE"""),8.9)</f>
        <v>8.9</v>
      </c>
      <c r="BD1039" s="2006"/>
      <c r="LL1039" s="2007"/>
      <c r="LM1039" s="2007"/>
      <c r="MX1039" s="2007"/>
      <c r="ND1039" s="2007"/>
    </row>
    <row r="1040">
      <c r="A1040" s="2005">
        <f>IFERROR(__xludf.DUMMYFUNCTION("""COMPUTED_VALUE"""),1091447.0)</f>
        <v>1091447</v>
      </c>
      <c r="B1040" s="2005">
        <f>IFERROR(__xludf.DUMMYFUNCTION("""COMPUTED_VALUE"""),2403515.0)</f>
        <v>2403515</v>
      </c>
      <c r="C1040" s="2005" t="str">
        <f>IFERROR(__xludf.DUMMYFUNCTION("""COMPUTED_VALUE"""),"Plastifieuse")</f>
        <v>Plastifieuse</v>
      </c>
      <c r="D1040" s="2005" t="str">
        <f>IFERROR(__xludf.DUMMYFUNCTION("""COMPUTED_VALUE"""),"Starter kit plastification 80 microns")</f>
        <v>Starter kit plastification 80 microns</v>
      </c>
      <c r="E1040" s="2005" t="str">
        <f>IFERROR(__xludf.DUMMYFUNCTION("""COMPUTED_VALUE"""),"FELLOWES")</f>
        <v>FELLOWES</v>
      </c>
      <c r="F1040" s="2005" t="str">
        <f>IFERROR(__xludf.DUMMYFUNCTION("""COMPUTED_VALUE"""),"H")</f>
        <v>H</v>
      </c>
      <c r="G1040" s="2005" t="str">
        <f>IFERROR(__xludf.DUMMYFUNCTION("""COMPUTED_VALUE"""),"FR")</f>
        <v>FR</v>
      </c>
      <c r="H1040" s="2005">
        <f>IFERROR(__xludf.DUMMYFUNCTION("""COMPUTED_VALUE"""),8.99)</f>
        <v>8.99</v>
      </c>
      <c r="I1040" s="2005">
        <f>IFERROR(__xludf.DUMMYFUNCTION("""COMPUTED_VALUE"""),8.99)</f>
        <v>8.99</v>
      </c>
      <c r="BD1040" s="2006"/>
      <c r="LL1040" s="2007"/>
      <c r="LM1040" s="2007"/>
      <c r="MX1040" s="2007"/>
      <c r="ND1040" s="2007"/>
    </row>
    <row r="1041">
      <c r="A1041" s="2005">
        <f>IFERROR(__xludf.DUMMYFUNCTION("""COMPUTED_VALUE"""),1091448.0)</f>
        <v>1091448</v>
      </c>
      <c r="B1041" s="2005">
        <f>IFERROR(__xludf.DUMMYFUNCTION("""COMPUTED_VALUE"""),2703025.0)</f>
        <v>2703025</v>
      </c>
      <c r="C1041" s="2005" t="str">
        <f>IFERROR(__xludf.DUMMYFUNCTION("""COMPUTED_VALUE"""),"Relieuse")</f>
        <v>Relieuse</v>
      </c>
      <c r="D1041" s="2005" t="str">
        <f>IFERROR(__xludf.DUMMYFUNCTION("""COMPUTED_VALUE"""),"Starlet 2+ A4")</f>
        <v>Starlet 2+ A4</v>
      </c>
      <c r="E1041" s="2005" t="str">
        <f>IFERROR(__xludf.DUMMYFUNCTION("""COMPUTED_VALUE"""),"FELLOWES")</f>
        <v>FELLOWES</v>
      </c>
      <c r="F1041" s="2005" t="str">
        <f>IFERROR(__xludf.DUMMYFUNCTION("""COMPUTED_VALUE"""),"H")</f>
        <v>H</v>
      </c>
      <c r="G1041" s="2005" t="str">
        <f>IFERROR(__xludf.DUMMYFUNCTION("""COMPUTED_VALUE"""),"AC")</f>
        <v>AC</v>
      </c>
      <c r="H1041" s="2005">
        <f>IFERROR(__xludf.DUMMYFUNCTION("""COMPUTED_VALUE"""),79.91)</f>
        <v>79.91</v>
      </c>
      <c r="I1041" s="2005">
        <f>IFERROR(__xludf.DUMMYFUNCTION("""COMPUTED_VALUE"""),66.49)</f>
        <v>66.49</v>
      </c>
      <c r="BD1041" s="2006"/>
      <c r="LL1041" s="2007"/>
      <c r="LM1041" s="2007"/>
      <c r="MX1041" s="2007"/>
      <c r="ND1041" s="2007"/>
    </row>
    <row r="1042">
      <c r="A1042" s="2005">
        <f>IFERROR(__xludf.DUMMYFUNCTION("""COMPUTED_VALUE"""),1091522.0)</f>
        <v>1091522</v>
      </c>
      <c r="B1042" s="2005">
        <f>IFERROR(__xludf.DUMMYFUNCTION("""COMPUTED_VALUE"""),2403515.0)</f>
        <v>2403515</v>
      </c>
      <c r="C1042" s="2005" t="str">
        <f>IFERROR(__xludf.DUMMYFUNCTION("""COMPUTED_VALUE"""),"Conso Plastif")</f>
        <v>Conso Plastif</v>
      </c>
      <c r="D1042" s="2005" t="str">
        <f>IFERROR(__xludf.DUMMYFUNCTION("""COMPUTED_VALUE"""),"Kit de reliure 20 documents")</f>
        <v>Kit de reliure 20 documents</v>
      </c>
      <c r="E1042" s="2005" t="str">
        <f>IFERROR(__xludf.DUMMYFUNCTION("""COMPUTED_VALUE"""),"FELLOWES")</f>
        <v>FELLOWES</v>
      </c>
      <c r="F1042" s="2005" t="str">
        <f>IFERROR(__xludf.DUMMYFUNCTION("""COMPUTED_VALUE"""),"H")</f>
        <v>H</v>
      </c>
      <c r="G1042" s="2005" t="str">
        <f>IFERROR(__xludf.DUMMYFUNCTION("""COMPUTED_VALUE"""),"NN")</f>
        <v>NN</v>
      </c>
      <c r="H1042" s="2005">
        <f>IFERROR(__xludf.DUMMYFUNCTION("""COMPUTED_VALUE"""),21.9)</f>
        <v>21.9</v>
      </c>
      <c r="I1042" s="2005">
        <f>IFERROR(__xludf.DUMMYFUNCTION("""COMPUTED_VALUE"""),21.9)</f>
        <v>21.9</v>
      </c>
      <c r="BD1042" s="2006"/>
      <c r="LL1042" s="2007"/>
      <c r="LM1042" s="2007"/>
      <c r="MX1042" s="2007"/>
      <c r="ND1042" s="2007"/>
    </row>
    <row r="1043">
      <c r="A1043" s="2005">
        <f>IFERROR(__xludf.DUMMYFUNCTION("""COMPUTED_VALUE"""),1091551.0)</f>
        <v>1091551</v>
      </c>
      <c r="B1043" s="2005">
        <f>IFERROR(__xludf.DUMMYFUNCTION("""COMPUTED_VALUE"""),2502015.0)</f>
        <v>2502015</v>
      </c>
      <c r="C1043" s="2005" t="str">
        <f>IFERROR(__xludf.DUMMYFUNCTION("""COMPUTED_VALUE"""),"Clavier")</f>
        <v>Clavier</v>
      </c>
      <c r="D1043" s="2005" t="str">
        <f>IFERROR(__xludf.DUMMYFUNCTION("""COMPUTED_VALUE"""),"Magic Keyboard 2017 avec Pad Numérique")</f>
        <v>Magic Keyboard 2017 avec Pad Numérique</v>
      </c>
      <c r="E1043" s="2005" t="str">
        <f>IFERROR(__xludf.DUMMYFUNCTION("""COMPUTED_VALUE"""),"APPLE")</f>
        <v>APPLE</v>
      </c>
      <c r="F1043" s="2005" t="str">
        <f>IFERROR(__xludf.DUMMYFUNCTION("""COMPUTED_VALUE"""),"A")</f>
        <v>A</v>
      </c>
      <c r="G1043" s="2005" t="str">
        <f>IFERROR(__xludf.DUMMYFUNCTION("""COMPUTED_VALUE"""),"AC")</f>
        <v>AC</v>
      </c>
      <c r="H1043" s="2005">
        <f>IFERROR(__xludf.DUMMYFUNCTION("""COMPUTED_VALUE"""),149.0)</f>
        <v>149</v>
      </c>
      <c r="I1043" s="2005">
        <f>IFERROR(__xludf.DUMMYFUNCTION("""COMPUTED_VALUE"""),135.99)</f>
        <v>135.99</v>
      </c>
      <c r="BD1043" s="2006"/>
      <c r="LL1043" s="2007"/>
      <c r="LM1043" s="2007"/>
      <c r="MX1043" s="2007"/>
      <c r="ND1043" s="2007"/>
    </row>
    <row r="1044">
      <c r="A1044" s="2005">
        <f>IFERROR(__xludf.DUMMYFUNCTION("""COMPUTED_VALUE"""),1091622.0)</f>
        <v>1091622</v>
      </c>
      <c r="B1044" s="2005">
        <f>IFERROR(__xludf.DUMMYFUNCTION("""COMPUTED_VALUE"""),2202010.0)</f>
        <v>2202010</v>
      </c>
      <c r="C1044" s="2005" t="str">
        <f>IFERROR(__xludf.DUMMYFUNCTION("""COMPUTED_VALUE"""),"Multi Jet d'enc")</f>
        <v>Multi Jet d'enc</v>
      </c>
      <c r="D1044" s="2005" t="str">
        <f>IFERROR(__xludf.DUMMYFUNCTION("""COMPUTED_VALUE"""),"WF-4720DWF Pro")</f>
        <v>WF-4720DWF Pro</v>
      </c>
      <c r="E1044" s="2005" t="str">
        <f>IFERROR(__xludf.DUMMYFUNCTION("""COMPUTED_VALUE"""),"EPSON")</f>
        <v>EPSON</v>
      </c>
      <c r="F1044" s="2005" t="str">
        <f>IFERROR(__xludf.DUMMYFUNCTION("""COMPUTED_VALUE"""),"C")</f>
        <v>C</v>
      </c>
      <c r="G1044" s="2005" t="str">
        <f>IFERROR(__xludf.DUMMYFUNCTION("""COMPUTED_VALUE"""),"NN")</f>
        <v>NN</v>
      </c>
      <c r="H1044" s="2005">
        <f>IFERROR(__xludf.DUMMYFUNCTION("""COMPUTED_VALUE"""),120.99)</f>
        <v>120.99</v>
      </c>
      <c r="I1044" s="2005">
        <f>IFERROR(__xludf.DUMMYFUNCTION("""COMPUTED_VALUE"""),120.99)</f>
        <v>120.99</v>
      </c>
      <c r="BD1044" s="2006"/>
      <c r="LL1044" s="2007"/>
      <c r="LM1044" s="2007"/>
      <c r="MX1044" s="2007"/>
      <c r="ND1044" s="2007"/>
    </row>
    <row r="1045">
      <c r="A1045" s="2005">
        <f>IFERROR(__xludf.DUMMYFUNCTION("""COMPUTED_VALUE"""),1091642.0)</f>
        <v>1091642</v>
      </c>
      <c r="B1045" s="2005">
        <f>IFERROR(__xludf.DUMMYFUNCTION("""COMPUTED_VALUE"""),2403006.0)</f>
        <v>2403006</v>
      </c>
      <c r="C1045" s="2005" t="str">
        <f>IFERROR(__xludf.DUMMYFUNCTION("""COMPUTED_VALUE"""),"Imprimante")</f>
        <v>Imprimante</v>
      </c>
      <c r="D1045" s="2005" t="str">
        <f>IFERROR(__xludf.DUMMYFUNCTION("""COMPUTED_VALUE"""),"Polysher")</f>
        <v>Polysher</v>
      </c>
      <c r="E1045" s="2005" t="str">
        <f>IFERROR(__xludf.DUMMYFUNCTION("""COMPUTED_VALUE"""),"POLYMARK")</f>
        <v>POLYMARK</v>
      </c>
      <c r="F1045" s="2005" t="str">
        <f>IFERROR(__xludf.DUMMYFUNCTION("""COMPUTED_VALUE"""),"W")</f>
        <v>W</v>
      </c>
      <c r="G1045" s="2005" t="str">
        <f>IFERROR(__xludf.DUMMYFUNCTION("""COMPUTED_VALUE"""),"NN")</f>
        <v>NN</v>
      </c>
      <c r="H1045" s="2005">
        <f>IFERROR(__xludf.DUMMYFUNCTION("""COMPUTED_VALUE"""),349.0)</f>
        <v>349</v>
      </c>
      <c r="I1045" s="2005">
        <f>IFERROR(__xludf.DUMMYFUNCTION("""COMPUTED_VALUE"""),349.0)</f>
        <v>349</v>
      </c>
      <c r="BD1045" s="2006"/>
      <c r="LL1045" s="2007"/>
      <c r="LM1045" s="2007"/>
      <c r="MX1045" s="2007"/>
      <c r="ND1045" s="2007"/>
    </row>
    <row r="1046">
      <c r="A1046" s="2005">
        <f>IFERROR(__xludf.DUMMYFUNCTION("""COMPUTED_VALUE"""),1091674.0)</f>
        <v>1091674</v>
      </c>
      <c r="B1046" s="2005">
        <f>IFERROR(__xludf.DUMMYFUNCTION("""COMPUTED_VALUE"""),2502040.0)</f>
        <v>2502040</v>
      </c>
      <c r="C1046" s="2005" t="str">
        <f>IFERROR(__xludf.DUMMYFUNCTION("""COMPUTED_VALUE"""),"ACCESSOIRE")</f>
        <v>ACCESSOIRE</v>
      </c>
      <c r="D1046" s="2005" t="str">
        <f>IFERROR(__xludf.DUMMYFUNCTION("""COMPUTED_VALUE"""),"Demo Unit Surface Dial")</f>
        <v>Demo Unit Surface Dial</v>
      </c>
      <c r="E1046" s="2005" t="str">
        <f>IFERROR(__xludf.DUMMYFUNCTION("""COMPUTED_VALUE"""),"MICROSOFT")</f>
        <v>MICROSOFT</v>
      </c>
      <c r="F1046" s="2005" t="str">
        <f>IFERROR(__xludf.DUMMYFUNCTION("""COMPUTED_VALUE"""),"H")</f>
        <v>H</v>
      </c>
      <c r="G1046" s="2005" t="str">
        <f>IFERROR(__xludf.DUMMYFUNCTION("""COMPUTED_VALUE"""),"NN")</f>
        <v>NN</v>
      </c>
      <c r="H1046" s="2005">
        <f>IFERROR(__xludf.DUMMYFUNCTION("""COMPUTED_VALUE"""),36.99)</f>
        <v>36.99</v>
      </c>
      <c r="I1046" s="2005">
        <f>IFERROR(__xludf.DUMMYFUNCTION("""COMPUTED_VALUE"""),36.99)</f>
        <v>36.99</v>
      </c>
      <c r="BD1046" s="2006"/>
      <c r="LM1046" s="2007"/>
    </row>
    <row r="1047">
      <c r="A1047" s="2005">
        <f>IFERROR(__xludf.DUMMYFUNCTION("""COMPUTED_VALUE"""),1091675.0)</f>
        <v>1091675</v>
      </c>
      <c r="B1047" s="2005">
        <f>IFERROR(__xludf.DUMMYFUNCTION("""COMPUTED_VALUE"""),2502015.0)</f>
        <v>2502015</v>
      </c>
      <c r="C1047" s="2005" t="str">
        <f>IFERROR(__xludf.DUMMYFUNCTION("""COMPUTED_VALUE"""),"Clavier")</f>
        <v>Clavier</v>
      </c>
      <c r="D1047" s="2005" t="str">
        <f>IFERROR(__xludf.DUMMYFUNCTION("""COMPUTED_VALUE"""),"Demo Unit Type Cover Surface Pro 4 Black")</f>
        <v>Demo Unit Type Cover Surface Pro 4 Black</v>
      </c>
      <c r="E1047" s="2005" t="str">
        <f>IFERROR(__xludf.DUMMYFUNCTION("""COMPUTED_VALUE"""),"MICROSOFT")</f>
        <v>MICROSOFT</v>
      </c>
      <c r="F1047" s="2005" t="str">
        <f>IFERROR(__xludf.DUMMYFUNCTION("""COMPUTED_VALUE"""),"H")</f>
        <v>H</v>
      </c>
      <c r="G1047" s="2005" t="str">
        <f>IFERROR(__xludf.DUMMYFUNCTION("""COMPUTED_VALUE"""),"NN")</f>
        <v>NN</v>
      </c>
      <c r="H1047">
        <f>IFERROR(__xludf.DUMMYFUNCTION("""COMPUTED_VALUE"""),45.99)</f>
        <v>45.99</v>
      </c>
      <c r="I1047">
        <f>IFERROR(__xludf.DUMMYFUNCTION("""COMPUTED_VALUE"""),45.99)</f>
        <v>45.99</v>
      </c>
      <c r="BD1047" s="2006"/>
      <c r="LL1047" s="2007"/>
      <c r="LM1047" s="2007"/>
      <c r="MX1047" s="2007"/>
      <c r="ND1047" s="2007"/>
    </row>
    <row r="1048">
      <c r="A1048" s="2005">
        <f>IFERROR(__xludf.DUMMYFUNCTION("""COMPUTED_VALUE"""),1091676.0)</f>
        <v>1091676</v>
      </c>
      <c r="B1048" s="2005">
        <f>IFERROR(__xludf.DUMMYFUNCTION("""COMPUTED_VALUE"""),2502040.0)</f>
        <v>2502040</v>
      </c>
      <c r="C1048" s="2005" t="str">
        <f>IFERROR(__xludf.DUMMYFUNCTION("""COMPUTED_VALUE"""),"Clavier")</f>
        <v>Clavier</v>
      </c>
      <c r="D1048" s="2005" t="str">
        <f>IFERROR(__xludf.DUMMYFUNCTION("""COMPUTED_VALUE"""),"Demo Unit Type Cover NEW -  Bleu Cobalt")</f>
        <v>Demo Unit Type Cover NEW -  Bleu Cobalt</v>
      </c>
      <c r="E1048" s="2005" t="str">
        <f>IFERROR(__xludf.DUMMYFUNCTION("""COMPUTED_VALUE"""),"MICROSOFT")</f>
        <v>MICROSOFT</v>
      </c>
      <c r="F1048" s="2005" t="str">
        <f>IFERROR(__xludf.DUMMYFUNCTION("""COMPUTED_VALUE"""),"H")</f>
        <v>H</v>
      </c>
      <c r="G1048" s="2005" t="str">
        <f>IFERROR(__xludf.DUMMYFUNCTION("""COMPUTED_VALUE"""),"NN")</f>
        <v>NN</v>
      </c>
      <c r="H1048" s="2005">
        <f>IFERROR(__xludf.DUMMYFUNCTION("""COMPUTED_VALUE"""),54.99)</f>
        <v>54.99</v>
      </c>
      <c r="I1048" s="2005">
        <f>IFERROR(__xludf.DUMMYFUNCTION("""COMPUTED_VALUE"""),54.99)</f>
        <v>54.99</v>
      </c>
      <c r="BD1048" s="2006"/>
      <c r="LM1048" s="2007"/>
    </row>
    <row r="1049">
      <c r="A1049" s="2005">
        <f>IFERROR(__xludf.DUMMYFUNCTION("""COMPUTED_VALUE"""),1091677.0)</f>
        <v>1091677</v>
      </c>
      <c r="B1049" s="2005">
        <f>IFERROR(__xludf.DUMMYFUNCTION("""COMPUTED_VALUE"""),2502040.0)</f>
        <v>2502040</v>
      </c>
      <c r="C1049" s="2005" t="str">
        <f>IFERROR(__xludf.DUMMYFUNCTION("""COMPUTED_VALUE"""),"Clavier")</f>
        <v>Clavier</v>
      </c>
      <c r="D1049" s="2005" t="str">
        <f>IFERROR(__xludf.DUMMYFUNCTION("""COMPUTED_VALUE"""),"Demo Unit Type Cover NEW - Platine")</f>
        <v>Demo Unit Type Cover NEW - Platine</v>
      </c>
      <c r="E1049" s="2005" t="str">
        <f>IFERROR(__xludf.DUMMYFUNCTION("""COMPUTED_VALUE"""),"MICROSOFT")</f>
        <v>MICROSOFT</v>
      </c>
      <c r="F1049" s="2005" t="str">
        <f>IFERROR(__xludf.DUMMYFUNCTION("""COMPUTED_VALUE"""),"H")</f>
        <v>H</v>
      </c>
      <c r="G1049" s="2005" t="str">
        <f>IFERROR(__xludf.DUMMYFUNCTION("""COMPUTED_VALUE"""),"NN")</f>
        <v>NN</v>
      </c>
      <c r="H1049" s="2005">
        <f>IFERROR(__xludf.DUMMYFUNCTION("""COMPUTED_VALUE"""),54.99)</f>
        <v>54.99</v>
      </c>
      <c r="I1049" s="2005">
        <f>IFERROR(__xludf.DUMMYFUNCTION("""COMPUTED_VALUE"""),54.99)</f>
        <v>54.99</v>
      </c>
      <c r="BD1049" s="2006"/>
      <c r="LM1049" s="2007"/>
    </row>
    <row r="1050">
      <c r="A1050" s="2005">
        <f>IFERROR(__xludf.DUMMYFUNCTION("""COMPUTED_VALUE"""),1091959.0)</f>
        <v>1091959</v>
      </c>
      <c r="B1050" s="2005">
        <f>IFERROR(__xludf.DUMMYFUNCTION("""COMPUTED_VALUE"""),2403006.0)</f>
        <v>2403006</v>
      </c>
      <c r="C1050" s="2005" t="str">
        <f>IFERROR(__xludf.DUMMYFUNCTION("""COMPUTED_VALUE"""),"Capot")</f>
        <v>Capot</v>
      </c>
      <c r="D1050" s="2005" t="str">
        <f>IFERROR(__xludf.DUMMYFUNCTION("""COMPUTED_VALUE"""),"Capot Ultimaker 3")</f>
        <v>Capot Ultimaker 3</v>
      </c>
      <c r="E1050" s="2005" t="str">
        <f>IFERROR(__xludf.DUMMYFUNCTION("""COMPUTED_VALUE"""),"ULTIMAKER")</f>
        <v>ULTIMAKER</v>
      </c>
      <c r="F1050" s="2005" t="str">
        <f>IFERROR(__xludf.DUMMYFUNCTION("""COMPUTED_VALUE"""),"W")</f>
        <v>W</v>
      </c>
      <c r="G1050" s="2005" t="str">
        <f>IFERROR(__xludf.DUMMYFUNCTION("""COMPUTED_VALUE"""),"NN")</f>
        <v>NN</v>
      </c>
      <c r="H1050" s="2005">
        <f>IFERROR(__xludf.DUMMYFUNCTION("""COMPUTED_VALUE"""),289.99)</f>
        <v>289.99</v>
      </c>
      <c r="I1050" s="2005">
        <f>IFERROR(__xludf.DUMMYFUNCTION("""COMPUTED_VALUE"""),289.99)</f>
        <v>289.99</v>
      </c>
      <c r="BD1050" s="2006"/>
      <c r="LM1050" s="2007"/>
    </row>
    <row r="1051">
      <c r="A1051" s="2005">
        <f>IFERROR(__xludf.DUMMYFUNCTION("""COMPUTED_VALUE"""),1091970.0)</f>
        <v>1091970</v>
      </c>
      <c r="B1051" s="2005">
        <f>IFERROR(__xludf.DUMMYFUNCTION("""COMPUTED_VALUE"""),2502040.0)</f>
        <v>2502040</v>
      </c>
      <c r="C1051" s="2005" t="str">
        <f>IFERROR(__xludf.DUMMYFUNCTION("""COMPUTED_VALUE"""),"Clavier")</f>
        <v>Clavier</v>
      </c>
      <c r="D1051" s="2005" t="str">
        <f>IFERROR(__xludf.DUMMYFUNCTION("""COMPUTED_VALUE"""),"Type Cover Signature - Platine")</f>
        <v>Type Cover Signature - Platine</v>
      </c>
      <c r="E1051" s="2005" t="str">
        <f>IFERROR(__xludf.DUMMYFUNCTION("""COMPUTED_VALUE"""),"MICROSOFT")</f>
        <v>MICROSOFT</v>
      </c>
      <c r="F1051" s="2005" t="str">
        <f>IFERROR(__xludf.DUMMYFUNCTION("""COMPUTED_VALUE"""),"A")</f>
        <v>A</v>
      </c>
      <c r="G1051" s="2005" t="str">
        <f>IFERROR(__xludf.DUMMYFUNCTION("""COMPUTED_VALUE"""),"NN")</f>
        <v>NN</v>
      </c>
      <c r="H1051" s="2005">
        <f>IFERROR(__xludf.DUMMYFUNCTION("""COMPUTED_VALUE"""),109.99)</f>
        <v>109.99</v>
      </c>
      <c r="I1051" s="2005">
        <f>IFERROR(__xludf.DUMMYFUNCTION("""COMPUTED_VALUE"""),109.99)</f>
        <v>109.99</v>
      </c>
      <c r="BD1051" s="2006"/>
      <c r="LL1051" s="2007"/>
      <c r="LM1051" s="2007"/>
      <c r="MX1051" s="2007"/>
      <c r="ND1051" s="2007"/>
    </row>
    <row r="1052">
      <c r="A1052" s="2005">
        <f>IFERROR(__xludf.DUMMYFUNCTION("""COMPUTED_VALUE"""),1092059.0)</f>
        <v>1092059</v>
      </c>
      <c r="B1052" s="2005">
        <f>IFERROR(__xludf.DUMMYFUNCTION("""COMPUTED_VALUE"""),2403005.0)</f>
        <v>2403005</v>
      </c>
      <c r="C1052" s="2005" t="str">
        <f>IFERROR(__xludf.DUMMYFUNCTION("""COMPUTED_VALUE"""),"Cartouche")</f>
        <v>Cartouche</v>
      </c>
      <c r="D1052" s="2005" t="str">
        <f>IFERROR(__xludf.DUMMYFUNCTION("""COMPUTED_VALUE"""),"T3582 Cyan Série Cadenas")</f>
        <v>T3582 Cyan Série Cadenas</v>
      </c>
      <c r="E1052" s="2005" t="str">
        <f>IFERROR(__xludf.DUMMYFUNCTION("""COMPUTED_VALUE"""),"EPSON")</f>
        <v>EPSON</v>
      </c>
      <c r="F1052" s="2005" t="str">
        <f>IFERROR(__xludf.DUMMYFUNCTION("""COMPUTED_VALUE"""),"C")</f>
        <v>C</v>
      </c>
      <c r="G1052" s="2005" t="str">
        <f>IFERROR(__xludf.DUMMYFUNCTION("""COMPUTED_VALUE"""),"NN")</f>
        <v>NN</v>
      </c>
      <c r="H1052" s="2005">
        <f>IFERROR(__xludf.DUMMYFUNCTION("""COMPUTED_VALUE"""),24.99)</f>
        <v>24.99</v>
      </c>
      <c r="I1052" s="2005">
        <f>IFERROR(__xludf.DUMMYFUNCTION("""COMPUTED_VALUE"""),24.99)</f>
        <v>24.99</v>
      </c>
      <c r="BD1052" s="2006"/>
      <c r="LM1052" s="2007"/>
    </row>
    <row r="1053">
      <c r="A1053" s="2005">
        <f>IFERROR(__xludf.DUMMYFUNCTION("""COMPUTED_VALUE"""),1092062.0)</f>
        <v>1092062</v>
      </c>
      <c r="B1053" s="2005">
        <f>IFERROR(__xludf.DUMMYFUNCTION("""COMPUTED_VALUE"""),2403005.0)</f>
        <v>2403005</v>
      </c>
      <c r="C1053" s="2005" t="str">
        <f>IFERROR(__xludf.DUMMYFUNCTION("""COMPUTED_VALUE"""),"Cartouche")</f>
        <v>Cartouche</v>
      </c>
      <c r="D1053" s="2005" t="str">
        <f>IFERROR(__xludf.DUMMYFUNCTION("""COMPUTED_VALUE"""),"T3584 Jaune Série Cadenas")</f>
        <v>T3584 Jaune Série Cadenas</v>
      </c>
      <c r="E1053" s="2005" t="str">
        <f>IFERROR(__xludf.DUMMYFUNCTION("""COMPUTED_VALUE"""),"EPSON")</f>
        <v>EPSON</v>
      </c>
      <c r="F1053" s="2005" t="str">
        <f>IFERROR(__xludf.DUMMYFUNCTION("""COMPUTED_VALUE"""),"C")</f>
        <v>C</v>
      </c>
      <c r="G1053" s="2005" t="str">
        <f>IFERROR(__xludf.DUMMYFUNCTION("""COMPUTED_VALUE"""),"NN")</f>
        <v>NN</v>
      </c>
      <c r="H1053" s="2005">
        <f>IFERROR(__xludf.DUMMYFUNCTION("""COMPUTED_VALUE"""),24.99)</f>
        <v>24.99</v>
      </c>
      <c r="I1053" s="2005">
        <f>IFERROR(__xludf.DUMMYFUNCTION("""COMPUTED_VALUE"""),24.99)</f>
        <v>24.99</v>
      </c>
      <c r="BD1053" s="2006"/>
      <c r="LM1053" s="2007"/>
    </row>
    <row r="1054">
      <c r="A1054" s="2005">
        <f>IFERROR(__xludf.DUMMYFUNCTION("""COMPUTED_VALUE"""),1092065.0)</f>
        <v>1092065</v>
      </c>
      <c r="B1054" s="2005">
        <f>IFERROR(__xludf.DUMMYFUNCTION("""COMPUTED_VALUE"""),2403005.0)</f>
        <v>2403005</v>
      </c>
      <c r="C1054" s="2005" t="str">
        <f>IFERROR(__xludf.DUMMYFUNCTION("""COMPUTED_VALUE"""),"Cartouche")</f>
        <v>Cartouche</v>
      </c>
      <c r="D1054" s="2005" t="str">
        <f>IFERROR(__xludf.DUMMYFUNCTION("""COMPUTED_VALUE"""),"T3586 N/C/M/J Série Cadenas")</f>
        <v>T3586 N/C/M/J Série Cadenas</v>
      </c>
      <c r="E1054" s="2005" t="str">
        <f>IFERROR(__xludf.DUMMYFUNCTION("""COMPUTED_VALUE"""),"EPSON")</f>
        <v>EPSON</v>
      </c>
      <c r="F1054" s="2005" t="str">
        <f>IFERROR(__xludf.DUMMYFUNCTION("""COMPUTED_VALUE"""),"H")</f>
        <v>H</v>
      </c>
      <c r="G1054" s="2005" t="str">
        <f>IFERROR(__xludf.DUMMYFUNCTION("""COMPUTED_VALUE"""),"AC")</f>
        <v>AC</v>
      </c>
      <c r="H1054" s="2005">
        <f>IFERROR(__xludf.DUMMYFUNCTION("""COMPUTED_VALUE"""),120.0)</f>
        <v>120</v>
      </c>
      <c r="I1054" s="2005">
        <f>IFERROR(__xludf.DUMMYFUNCTION("""COMPUTED_VALUE"""),120.0)</f>
        <v>120</v>
      </c>
      <c r="BD1054" s="2006"/>
      <c r="LL1054" s="2007"/>
      <c r="LM1054" s="2007"/>
      <c r="MX1054" s="2007"/>
      <c r="ND1054" s="2008"/>
    </row>
    <row r="1055">
      <c r="A1055" s="2005">
        <f>IFERROR(__xludf.DUMMYFUNCTION("""COMPUTED_VALUE"""),1092066.0)</f>
        <v>1092066</v>
      </c>
      <c r="B1055" s="2005">
        <f>IFERROR(__xludf.DUMMYFUNCTION("""COMPUTED_VALUE"""),2403005.0)</f>
        <v>2403005</v>
      </c>
      <c r="C1055" s="2005" t="str">
        <f>IFERROR(__xludf.DUMMYFUNCTION("""COMPUTED_VALUE"""),"Cartouche")</f>
        <v>Cartouche</v>
      </c>
      <c r="D1055" s="2005" t="str">
        <f>IFERROR(__xludf.DUMMYFUNCTION("""COMPUTED_VALUE"""),"T3591 Noire XL Série Cadenas")</f>
        <v>T3591 Noire XL Série Cadenas</v>
      </c>
      <c r="E1055" s="2005" t="str">
        <f>IFERROR(__xludf.DUMMYFUNCTION("""COMPUTED_VALUE"""),"EPSON")</f>
        <v>EPSON</v>
      </c>
      <c r="F1055" s="2005" t="str">
        <f>IFERROR(__xludf.DUMMYFUNCTION("""COMPUTED_VALUE"""),"H")</f>
        <v>H</v>
      </c>
      <c r="G1055" s="2005" t="str">
        <f>IFERROR(__xludf.DUMMYFUNCTION("""COMPUTED_VALUE"""),"FR")</f>
        <v>FR</v>
      </c>
      <c r="H1055" s="2005">
        <f>IFERROR(__xludf.DUMMYFUNCTION("""COMPUTED_VALUE"""),54.99)</f>
        <v>54.99</v>
      </c>
      <c r="I1055" s="2005">
        <f>IFERROR(__xludf.DUMMYFUNCTION("""COMPUTED_VALUE"""),54.99)</f>
        <v>54.99</v>
      </c>
      <c r="BD1055" s="2006"/>
      <c r="LL1055" s="2008"/>
      <c r="LM1055" s="2007"/>
      <c r="MX1055" s="2007"/>
      <c r="ND1055" s="2008"/>
    </row>
    <row r="1056">
      <c r="A1056" s="2005">
        <f>IFERROR(__xludf.DUMMYFUNCTION("""COMPUTED_VALUE"""),1092067.0)</f>
        <v>1092067</v>
      </c>
      <c r="B1056" s="2005">
        <f>IFERROR(__xludf.DUMMYFUNCTION("""COMPUTED_VALUE"""),2403005.0)</f>
        <v>2403005</v>
      </c>
      <c r="C1056" s="2005" t="str">
        <f>IFERROR(__xludf.DUMMYFUNCTION("""COMPUTED_VALUE"""),"Cartouche")</f>
        <v>Cartouche</v>
      </c>
      <c r="D1056" s="2005" t="str">
        <f>IFERROR(__xludf.DUMMYFUNCTION("""COMPUTED_VALUE"""),"T3592 Cyan XL Série Cadenas")</f>
        <v>T3592 Cyan XL Série Cadenas</v>
      </c>
      <c r="E1056" s="2005" t="str">
        <f>IFERROR(__xludf.DUMMYFUNCTION("""COMPUTED_VALUE"""),"EPSON")</f>
        <v>EPSON</v>
      </c>
      <c r="F1056" s="2005" t="str">
        <f>IFERROR(__xludf.DUMMYFUNCTION("""COMPUTED_VALUE"""),"H")</f>
        <v>H</v>
      </c>
      <c r="G1056" s="2005" t="str">
        <f>IFERROR(__xludf.DUMMYFUNCTION("""COMPUTED_VALUE"""),"NN")</f>
        <v>NN</v>
      </c>
      <c r="H1056" s="2005">
        <f>IFERROR(__xludf.DUMMYFUNCTION("""COMPUTED_VALUE"""),41.99)</f>
        <v>41.99</v>
      </c>
      <c r="I1056" s="2005">
        <f>IFERROR(__xludf.DUMMYFUNCTION("""COMPUTED_VALUE"""),41.99)</f>
        <v>41.99</v>
      </c>
      <c r="BD1056" s="2006"/>
      <c r="LL1056" s="2007"/>
      <c r="LM1056" s="2007"/>
      <c r="MX1056" s="2007"/>
      <c r="ND1056" s="2008"/>
    </row>
    <row r="1057">
      <c r="A1057" s="2005">
        <f>IFERROR(__xludf.DUMMYFUNCTION("""COMPUTED_VALUE"""),1092068.0)</f>
        <v>1092068</v>
      </c>
      <c r="B1057" s="2005">
        <f>IFERROR(__xludf.DUMMYFUNCTION("""COMPUTED_VALUE"""),2403005.0)</f>
        <v>2403005</v>
      </c>
      <c r="C1057" s="2005" t="str">
        <f>IFERROR(__xludf.DUMMYFUNCTION("""COMPUTED_VALUE"""),"Cartouche")</f>
        <v>Cartouche</v>
      </c>
      <c r="D1057" s="2005" t="str">
        <f>IFERROR(__xludf.DUMMYFUNCTION("""COMPUTED_VALUE"""),"T3593 Magenta XL Série Cadenas")</f>
        <v>T3593 Magenta XL Série Cadenas</v>
      </c>
      <c r="E1057" s="2005" t="str">
        <f>IFERROR(__xludf.DUMMYFUNCTION("""COMPUTED_VALUE"""),"EPSON")</f>
        <v>EPSON</v>
      </c>
      <c r="F1057" s="2005" t="str">
        <f>IFERROR(__xludf.DUMMYFUNCTION("""COMPUTED_VALUE"""),"H")</f>
        <v>H</v>
      </c>
      <c r="G1057" s="2005" t="str">
        <f>IFERROR(__xludf.DUMMYFUNCTION("""COMPUTED_VALUE"""),"NN")</f>
        <v>NN</v>
      </c>
      <c r="H1057" s="2005">
        <f>IFERROR(__xludf.DUMMYFUNCTION("""COMPUTED_VALUE"""),41.99)</f>
        <v>41.99</v>
      </c>
      <c r="I1057" s="2005">
        <f>IFERROR(__xludf.DUMMYFUNCTION("""COMPUTED_VALUE"""),41.99)</f>
        <v>41.99</v>
      </c>
      <c r="BD1057" s="2006"/>
      <c r="LL1057" s="2007"/>
      <c r="LM1057" s="2007"/>
      <c r="MX1057" s="2007"/>
      <c r="ND1057" s="2008"/>
    </row>
    <row r="1058">
      <c r="A1058" s="2005">
        <f>IFERROR(__xludf.DUMMYFUNCTION("""COMPUTED_VALUE"""),1092069.0)</f>
        <v>1092069</v>
      </c>
      <c r="B1058" s="2005">
        <f>IFERROR(__xludf.DUMMYFUNCTION("""COMPUTED_VALUE"""),2403005.0)</f>
        <v>2403005</v>
      </c>
      <c r="C1058" s="2005" t="str">
        <f>IFERROR(__xludf.DUMMYFUNCTION("""COMPUTED_VALUE"""),"Cartouche")</f>
        <v>Cartouche</v>
      </c>
      <c r="D1058" s="2005" t="str">
        <f>IFERROR(__xludf.DUMMYFUNCTION("""COMPUTED_VALUE"""),"T3594 Jaune XL Série Cadenas")</f>
        <v>T3594 Jaune XL Série Cadenas</v>
      </c>
      <c r="E1058" s="2005" t="str">
        <f>IFERROR(__xludf.DUMMYFUNCTION("""COMPUTED_VALUE"""),"EPSON")</f>
        <v>EPSON</v>
      </c>
      <c r="F1058" s="2005" t="str">
        <f>IFERROR(__xludf.DUMMYFUNCTION("""COMPUTED_VALUE"""),"H")</f>
        <v>H</v>
      </c>
      <c r="G1058" s="2005" t="str">
        <f>IFERROR(__xludf.DUMMYFUNCTION("""COMPUTED_VALUE"""),"FR")</f>
        <v>FR</v>
      </c>
      <c r="H1058" s="2005">
        <f>IFERROR(__xludf.DUMMYFUNCTION("""COMPUTED_VALUE"""),41.99)</f>
        <v>41.99</v>
      </c>
      <c r="I1058" s="2005">
        <f>IFERROR(__xludf.DUMMYFUNCTION("""COMPUTED_VALUE"""),41.99)</f>
        <v>41.99</v>
      </c>
      <c r="BD1058" s="2006"/>
      <c r="LL1058" s="2007"/>
      <c r="LM1058" s="2007"/>
      <c r="MX1058" s="2007"/>
      <c r="ND1058" s="2008"/>
    </row>
    <row r="1059">
      <c r="A1059" s="2005">
        <f>IFERROR(__xludf.DUMMYFUNCTION("""COMPUTED_VALUE"""),1092070.0)</f>
        <v>1092070</v>
      </c>
      <c r="B1059" s="2005">
        <f>IFERROR(__xludf.DUMMYFUNCTION("""COMPUTED_VALUE"""),2403005.0)</f>
        <v>2403005</v>
      </c>
      <c r="C1059" s="2005" t="str">
        <f>IFERROR(__xludf.DUMMYFUNCTION("""COMPUTED_VALUE"""),"Cartouche")</f>
        <v>Cartouche</v>
      </c>
      <c r="D1059" s="2005" t="str">
        <f>IFERROR(__xludf.DUMMYFUNCTION("""COMPUTED_VALUE"""),"T3596 N/C/M/J XL Série Cadenas")</f>
        <v>T3596 N/C/M/J XL Série Cadenas</v>
      </c>
      <c r="E1059" s="2005" t="str">
        <f>IFERROR(__xludf.DUMMYFUNCTION("""COMPUTED_VALUE"""),"EPSON")</f>
        <v>EPSON</v>
      </c>
      <c r="F1059" s="2005" t="str">
        <f>IFERROR(__xludf.DUMMYFUNCTION("""COMPUTED_VALUE"""),"H")</f>
        <v>H</v>
      </c>
      <c r="G1059" s="2005" t="str">
        <f>IFERROR(__xludf.DUMMYFUNCTION("""COMPUTED_VALUE"""),"AC")</f>
        <v>AC</v>
      </c>
      <c r="H1059" s="2005">
        <f>IFERROR(__xludf.DUMMYFUNCTION("""COMPUTED_VALUE"""),189.0)</f>
        <v>189</v>
      </c>
      <c r="I1059" s="2005">
        <f>IFERROR(__xludf.DUMMYFUNCTION("""COMPUTED_VALUE"""),189.0)</f>
        <v>189</v>
      </c>
      <c r="BD1059" s="2006"/>
      <c r="LL1059" s="2007"/>
      <c r="LM1059" s="2007"/>
      <c r="MX1059" s="2007"/>
      <c r="ND1059" s="2008"/>
    </row>
    <row r="1060">
      <c r="A1060" s="2005">
        <f>IFERROR(__xludf.DUMMYFUNCTION("""COMPUTED_VALUE"""),1092131.0)</f>
        <v>1092131</v>
      </c>
      <c r="B1060" s="2005">
        <f>IFERROR(__xludf.DUMMYFUNCTION("""COMPUTED_VALUE"""),2403010.0)</f>
        <v>2403010</v>
      </c>
      <c r="C1060" s="2005" t="str">
        <f>IFERROR(__xludf.DUMMYFUNCTION("""COMPUTED_VALUE"""),"Toner")</f>
        <v>Toner</v>
      </c>
      <c r="D1060" s="2005" t="str">
        <f>IFERROR(__xludf.DUMMYFUNCTION("""COMPUTED_VALUE"""),"045 Noir")</f>
        <v>045 Noir</v>
      </c>
      <c r="E1060" s="2005" t="str">
        <f>IFERROR(__xludf.DUMMYFUNCTION("""COMPUTED_VALUE"""),"CANON")</f>
        <v>CANON</v>
      </c>
      <c r="F1060" s="2005" t="str">
        <f>IFERROR(__xludf.DUMMYFUNCTION("""COMPUTED_VALUE"""),"H")</f>
        <v>H</v>
      </c>
      <c r="G1060" s="2005" t="str">
        <f>IFERROR(__xludf.DUMMYFUNCTION("""COMPUTED_VALUE"""),"AC")</f>
        <v>AC</v>
      </c>
      <c r="H1060" s="2005">
        <f>IFERROR(__xludf.DUMMYFUNCTION("""COMPUTED_VALUE"""),79.99)</f>
        <v>79.99</v>
      </c>
      <c r="I1060" s="2005">
        <f>IFERROR(__xludf.DUMMYFUNCTION("""COMPUTED_VALUE"""),79.99)</f>
        <v>79.99</v>
      </c>
      <c r="BD1060" s="2006"/>
      <c r="LL1060" s="2007"/>
      <c r="LM1060" s="2007"/>
      <c r="MX1060" s="2007"/>
      <c r="ND1060" s="2008"/>
    </row>
    <row r="1061">
      <c r="A1061" s="2005">
        <f>IFERROR(__xludf.DUMMYFUNCTION("""COMPUTED_VALUE"""),1092132.0)</f>
        <v>1092132</v>
      </c>
      <c r="B1061" s="2005">
        <f>IFERROR(__xludf.DUMMYFUNCTION("""COMPUTED_VALUE"""),2403010.0)</f>
        <v>2403010</v>
      </c>
      <c r="C1061" s="2005" t="str">
        <f>IFERROR(__xludf.DUMMYFUNCTION("""COMPUTED_VALUE"""),"Toner")</f>
        <v>Toner</v>
      </c>
      <c r="D1061" s="2005" t="str">
        <f>IFERROR(__xludf.DUMMYFUNCTION("""COMPUTED_VALUE"""),"045H Noir")</f>
        <v>045H Noir</v>
      </c>
      <c r="E1061" s="2005" t="str">
        <f>IFERROR(__xludf.DUMMYFUNCTION("""COMPUTED_VALUE"""),"CANON")</f>
        <v>CANON</v>
      </c>
      <c r="F1061" s="2005" t="str">
        <f>IFERROR(__xludf.DUMMYFUNCTION("""COMPUTED_VALUE"""),"H")</f>
        <v>H</v>
      </c>
      <c r="G1061" s="2005" t="str">
        <f>IFERROR(__xludf.DUMMYFUNCTION("""COMPUTED_VALUE"""),"NN")</f>
        <v>NN</v>
      </c>
      <c r="H1061" s="2005">
        <f>IFERROR(__xludf.DUMMYFUNCTION("""COMPUTED_VALUE"""),99.99)</f>
        <v>99.99</v>
      </c>
      <c r="I1061" s="2005">
        <f>IFERROR(__xludf.DUMMYFUNCTION("""COMPUTED_VALUE"""),99.99)</f>
        <v>99.99</v>
      </c>
      <c r="BD1061" s="2006"/>
      <c r="LL1061" s="2007"/>
      <c r="LM1061" s="2007"/>
      <c r="MX1061" s="2007"/>
      <c r="ND1061" s="2008"/>
    </row>
    <row r="1062">
      <c r="A1062" s="2005">
        <f>IFERROR(__xludf.DUMMYFUNCTION("""COMPUTED_VALUE"""),1092133.0)</f>
        <v>1092133</v>
      </c>
      <c r="B1062" s="2005">
        <f>IFERROR(__xludf.DUMMYFUNCTION("""COMPUTED_VALUE"""),2403010.0)</f>
        <v>2403010</v>
      </c>
      <c r="C1062" s="2005" t="str">
        <f>IFERROR(__xludf.DUMMYFUNCTION("""COMPUTED_VALUE"""),"Toner")</f>
        <v>Toner</v>
      </c>
      <c r="D1062" s="2005" t="str">
        <f>IFERROR(__xludf.DUMMYFUNCTION("""COMPUTED_VALUE"""),"045 Cyan")</f>
        <v>045 Cyan</v>
      </c>
      <c r="E1062" s="2005" t="str">
        <f>IFERROR(__xludf.DUMMYFUNCTION("""COMPUTED_VALUE"""),"CANON")</f>
        <v>CANON</v>
      </c>
      <c r="F1062" s="2005" t="str">
        <f>IFERROR(__xludf.DUMMYFUNCTION("""COMPUTED_VALUE"""),"H")</f>
        <v>H</v>
      </c>
      <c r="G1062" s="2005" t="str">
        <f>IFERROR(__xludf.DUMMYFUNCTION("""COMPUTED_VALUE"""),"NN")</f>
        <v>NN</v>
      </c>
      <c r="H1062">
        <f>IFERROR(__xludf.DUMMYFUNCTION("""COMPUTED_VALUE"""),79.99)</f>
        <v>79.99</v>
      </c>
      <c r="I1062">
        <f>IFERROR(__xludf.DUMMYFUNCTION("""COMPUTED_VALUE"""),79.99)</f>
        <v>79.99</v>
      </c>
      <c r="BD1062" s="2006"/>
      <c r="LL1062" s="2007"/>
      <c r="LM1062" s="2007"/>
      <c r="MX1062" s="2007"/>
      <c r="ND1062" s="2008"/>
    </row>
    <row r="1063">
      <c r="A1063" s="2005">
        <f>IFERROR(__xludf.DUMMYFUNCTION("""COMPUTED_VALUE"""),1092134.0)</f>
        <v>1092134</v>
      </c>
      <c r="B1063" s="2005">
        <f>IFERROR(__xludf.DUMMYFUNCTION("""COMPUTED_VALUE"""),2403010.0)</f>
        <v>2403010</v>
      </c>
      <c r="C1063" s="2005" t="str">
        <f>IFERROR(__xludf.DUMMYFUNCTION("""COMPUTED_VALUE"""),"Toner")</f>
        <v>Toner</v>
      </c>
      <c r="D1063" s="2005" t="str">
        <f>IFERROR(__xludf.DUMMYFUNCTION("""COMPUTED_VALUE"""),"045 Magenta")</f>
        <v>045 Magenta</v>
      </c>
      <c r="E1063" s="2005" t="str">
        <f>IFERROR(__xludf.DUMMYFUNCTION("""COMPUTED_VALUE"""),"CANON")</f>
        <v>CANON</v>
      </c>
      <c r="F1063" s="2005" t="str">
        <f>IFERROR(__xludf.DUMMYFUNCTION("""COMPUTED_VALUE"""),"H")</f>
        <v>H</v>
      </c>
      <c r="G1063" s="2005" t="str">
        <f>IFERROR(__xludf.DUMMYFUNCTION("""COMPUTED_VALUE"""),"NN")</f>
        <v>NN</v>
      </c>
      <c r="H1063" s="2005">
        <f>IFERROR(__xludf.DUMMYFUNCTION("""COMPUTED_VALUE"""),60.99)</f>
        <v>60.99</v>
      </c>
      <c r="I1063" s="2005">
        <f>IFERROR(__xludf.DUMMYFUNCTION("""COMPUTED_VALUE"""),60.99)</f>
        <v>60.99</v>
      </c>
      <c r="BD1063" s="2006"/>
      <c r="LM1063" s="2007"/>
    </row>
    <row r="1064">
      <c r="A1064" s="2005">
        <f>IFERROR(__xludf.DUMMYFUNCTION("""COMPUTED_VALUE"""),1092135.0)</f>
        <v>1092135</v>
      </c>
      <c r="B1064" s="2005">
        <f>IFERROR(__xludf.DUMMYFUNCTION("""COMPUTED_VALUE"""),2403010.0)</f>
        <v>2403010</v>
      </c>
      <c r="C1064" s="2005" t="str">
        <f>IFERROR(__xludf.DUMMYFUNCTION("""COMPUTED_VALUE"""),"Toner")</f>
        <v>Toner</v>
      </c>
      <c r="D1064" s="2005" t="str">
        <f>IFERROR(__xludf.DUMMYFUNCTION("""COMPUTED_VALUE"""),"045 Jaune")</f>
        <v>045 Jaune</v>
      </c>
      <c r="E1064" s="2005" t="str">
        <f>IFERROR(__xludf.DUMMYFUNCTION("""COMPUTED_VALUE"""),"CANON")</f>
        <v>CANON</v>
      </c>
      <c r="F1064" s="2005" t="str">
        <f>IFERROR(__xludf.DUMMYFUNCTION("""COMPUTED_VALUE"""),"H")</f>
        <v>H</v>
      </c>
      <c r="G1064" s="2005" t="str">
        <f>IFERROR(__xludf.DUMMYFUNCTION("""COMPUTED_VALUE"""),"NN")</f>
        <v>NN</v>
      </c>
      <c r="H1064" s="2005">
        <f>IFERROR(__xludf.DUMMYFUNCTION("""COMPUTED_VALUE"""),64.99)</f>
        <v>64.99</v>
      </c>
      <c r="I1064" s="2005">
        <f>IFERROR(__xludf.DUMMYFUNCTION("""COMPUTED_VALUE"""),64.99)</f>
        <v>64.99</v>
      </c>
      <c r="BD1064" s="2006"/>
      <c r="LL1064" s="2007"/>
      <c r="LM1064" s="2007"/>
      <c r="MX1064" s="2007"/>
      <c r="ND1064" s="2008"/>
    </row>
    <row r="1065">
      <c r="A1065" s="2005">
        <f>IFERROR(__xludf.DUMMYFUNCTION("""COMPUTED_VALUE"""),1092138.0)</f>
        <v>1092138</v>
      </c>
      <c r="B1065" s="2005">
        <f>IFERROR(__xludf.DUMMYFUNCTION("""COMPUTED_VALUE"""),2403010.0)</f>
        <v>2403010</v>
      </c>
      <c r="C1065" s="2005" t="str">
        <f>IFERROR(__xludf.DUMMYFUNCTION("""COMPUTED_VALUE"""),"Toner")</f>
        <v>Toner</v>
      </c>
      <c r="D1065" s="2005" t="str">
        <f>IFERROR(__xludf.DUMMYFUNCTION("""COMPUTED_VALUE"""),"045H Cyan")</f>
        <v>045H Cyan</v>
      </c>
      <c r="E1065" s="2005" t="str">
        <f>IFERROR(__xludf.DUMMYFUNCTION("""COMPUTED_VALUE"""),"CANON")</f>
        <v>CANON</v>
      </c>
      <c r="F1065" s="2005" t="str">
        <f>IFERROR(__xludf.DUMMYFUNCTION("""COMPUTED_VALUE"""),"H")</f>
        <v>H</v>
      </c>
      <c r="G1065" s="2005" t="str">
        <f>IFERROR(__xludf.DUMMYFUNCTION("""COMPUTED_VALUE"""),"NN")</f>
        <v>NN</v>
      </c>
      <c r="H1065" s="2005">
        <f>IFERROR(__xludf.DUMMYFUNCTION("""COMPUTED_VALUE"""),109.0)</f>
        <v>109</v>
      </c>
      <c r="I1065" s="2005">
        <f>IFERROR(__xludf.DUMMYFUNCTION("""COMPUTED_VALUE"""),109.0)</f>
        <v>109</v>
      </c>
      <c r="BD1065" s="2006"/>
      <c r="LM1065" s="2008"/>
    </row>
    <row r="1066">
      <c r="A1066" s="2005">
        <f>IFERROR(__xludf.DUMMYFUNCTION("""COMPUTED_VALUE"""),1092139.0)</f>
        <v>1092139</v>
      </c>
      <c r="B1066" s="2005">
        <f>IFERROR(__xludf.DUMMYFUNCTION("""COMPUTED_VALUE"""),2403010.0)</f>
        <v>2403010</v>
      </c>
      <c r="C1066" s="2005" t="str">
        <f>IFERROR(__xludf.DUMMYFUNCTION("""COMPUTED_VALUE"""),"Toner")</f>
        <v>Toner</v>
      </c>
      <c r="D1066" s="2005" t="str">
        <f>IFERROR(__xludf.DUMMYFUNCTION("""COMPUTED_VALUE"""),"045H Magenta")</f>
        <v>045H Magenta</v>
      </c>
      <c r="E1066" s="2005" t="str">
        <f>IFERROR(__xludf.DUMMYFUNCTION("""COMPUTED_VALUE"""),"CANON")</f>
        <v>CANON</v>
      </c>
      <c r="F1066" s="2005" t="str">
        <f>IFERROR(__xludf.DUMMYFUNCTION("""COMPUTED_VALUE"""),"H")</f>
        <v>H</v>
      </c>
      <c r="G1066" s="2005" t="str">
        <f>IFERROR(__xludf.DUMMYFUNCTION("""COMPUTED_VALUE"""),"NN")</f>
        <v>NN</v>
      </c>
      <c r="H1066" s="2005">
        <f>IFERROR(__xludf.DUMMYFUNCTION("""COMPUTED_VALUE"""),79.99)</f>
        <v>79.99</v>
      </c>
      <c r="I1066" s="2005">
        <f>IFERROR(__xludf.DUMMYFUNCTION("""COMPUTED_VALUE"""),79.99)</f>
        <v>79.99</v>
      </c>
      <c r="BD1066" s="2006"/>
      <c r="LL1066" s="2007"/>
      <c r="LM1066" s="2008"/>
      <c r="MX1066" s="2007"/>
      <c r="ND1066" s="2007"/>
    </row>
    <row r="1067">
      <c r="A1067" s="2005">
        <f>IFERROR(__xludf.DUMMYFUNCTION("""COMPUTED_VALUE"""),1092140.0)</f>
        <v>1092140</v>
      </c>
      <c r="B1067" s="2005">
        <f>IFERROR(__xludf.DUMMYFUNCTION("""COMPUTED_VALUE"""),2403010.0)</f>
        <v>2403010</v>
      </c>
      <c r="C1067" s="2005" t="str">
        <f>IFERROR(__xludf.DUMMYFUNCTION("""COMPUTED_VALUE"""),"Toner")</f>
        <v>Toner</v>
      </c>
      <c r="D1067" s="2005" t="str">
        <f>IFERROR(__xludf.DUMMYFUNCTION("""COMPUTED_VALUE"""),"045H Jaune")</f>
        <v>045H Jaune</v>
      </c>
      <c r="E1067" s="2005" t="str">
        <f>IFERROR(__xludf.DUMMYFUNCTION("""COMPUTED_VALUE"""),"CANON")</f>
        <v>CANON</v>
      </c>
      <c r="F1067" s="2005" t="str">
        <f>IFERROR(__xludf.DUMMYFUNCTION("""COMPUTED_VALUE"""),"H")</f>
        <v>H</v>
      </c>
      <c r="G1067" s="2005" t="str">
        <f>IFERROR(__xludf.DUMMYFUNCTION("""COMPUTED_VALUE"""),"NN")</f>
        <v>NN</v>
      </c>
      <c r="H1067" s="2005">
        <f>IFERROR(__xludf.DUMMYFUNCTION("""COMPUTED_VALUE"""),109.0)</f>
        <v>109</v>
      </c>
      <c r="I1067" s="2005">
        <f>IFERROR(__xludf.DUMMYFUNCTION("""COMPUTED_VALUE"""),109.0)</f>
        <v>109</v>
      </c>
      <c r="BD1067" s="2006"/>
      <c r="LL1067" s="2008"/>
      <c r="LM1067" s="2008"/>
      <c r="MX1067" s="2007"/>
      <c r="ND1067" s="2008"/>
    </row>
    <row r="1068">
      <c r="A1068" s="2005">
        <f>IFERROR(__xludf.DUMMYFUNCTION("""COMPUTED_VALUE"""),1092966.0)</f>
        <v>1092966</v>
      </c>
      <c r="B1068" s="2005">
        <f>IFERROR(__xludf.DUMMYFUNCTION("""COMPUTED_VALUE"""),1101005.0)</f>
        <v>1101005</v>
      </c>
      <c r="C1068" s="2005" t="str">
        <f>IFERROR(__xludf.DUMMYFUNCTION("""COMPUTED_VALUE"""),"Tél.")</f>
        <v>Tél.</v>
      </c>
      <c r="D1068" s="2005" t="str">
        <f>IFERROR(__xludf.DUMMYFUNCTION("""COMPUTED_VALUE"""),"Phone Easy 331PH Blanc")</f>
        <v>Phone Easy 331PH Blanc</v>
      </c>
      <c r="E1068" s="2005" t="str">
        <f>IFERROR(__xludf.DUMMYFUNCTION("""COMPUTED_VALUE"""),"DORO")</f>
        <v>DORO</v>
      </c>
      <c r="F1068" s="2005" t="str">
        <f>IFERROR(__xludf.DUMMYFUNCTION("""COMPUTED_VALUE"""),"H")</f>
        <v>H</v>
      </c>
      <c r="G1068" s="2005" t="str">
        <f>IFERROR(__xludf.DUMMYFUNCTION("""COMPUTED_VALUE"""),"AC")</f>
        <v>AC</v>
      </c>
      <c r="H1068" s="2005">
        <f>IFERROR(__xludf.DUMMYFUNCTION("""COMPUTED_VALUE"""),39.99)</f>
        <v>39.99</v>
      </c>
      <c r="I1068" s="2005">
        <f>IFERROR(__xludf.DUMMYFUNCTION("""COMPUTED_VALUE"""),39.99)</f>
        <v>39.99</v>
      </c>
      <c r="BD1068" s="2006"/>
      <c r="LL1068" s="2007"/>
      <c r="LM1068" s="2008"/>
      <c r="MX1068" s="2007"/>
      <c r="ND1068" s="2007"/>
    </row>
    <row r="1069">
      <c r="A1069" s="2005">
        <f>IFERROR(__xludf.DUMMYFUNCTION("""COMPUTED_VALUE"""),1092967.0)</f>
        <v>1092967</v>
      </c>
      <c r="B1069" s="2005">
        <f>IFERROR(__xludf.DUMMYFUNCTION("""COMPUTED_VALUE"""),1103006.0)</f>
        <v>1103006</v>
      </c>
      <c r="C1069" s="2005" t="str">
        <f>IFERROR(__xludf.DUMMYFUNCTION("""COMPUTED_VALUE"""),"Tél.Rép.")</f>
        <v>Tél.Rép.</v>
      </c>
      <c r="D1069" s="2005" t="str">
        <f>IFERROR(__xludf.DUMMYFUNCTION("""COMPUTED_VALUE"""),"Comfort 4005 Noir")</f>
        <v>Comfort 4005 Noir</v>
      </c>
      <c r="E1069" s="2005" t="str">
        <f>IFERROR(__xludf.DUMMYFUNCTION("""COMPUTED_VALUE"""),"DORO")</f>
        <v>DORO</v>
      </c>
      <c r="F1069" s="2005" t="str">
        <f>IFERROR(__xludf.DUMMYFUNCTION("""COMPUTED_VALUE"""),"H")</f>
        <v>H</v>
      </c>
      <c r="G1069" s="2005" t="str">
        <f>IFERROR(__xludf.DUMMYFUNCTION("""COMPUTED_VALUE"""),"NN")</f>
        <v>NN</v>
      </c>
      <c r="H1069" s="2005">
        <f>IFERROR(__xludf.DUMMYFUNCTION("""COMPUTED_VALUE"""),89.99)</f>
        <v>89.99</v>
      </c>
      <c r="I1069" s="2005">
        <f>IFERROR(__xludf.DUMMYFUNCTION("""COMPUTED_VALUE"""),89.99)</f>
        <v>89.99</v>
      </c>
      <c r="BD1069" s="2006"/>
      <c r="LL1069" s="2007"/>
      <c r="LM1069" s="2008"/>
      <c r="MX1069" s="2007"/>
      <c r="ND1069" s="2008"/>
    </row>
    <row r="1070">
      <c r="A1070" s="2005">
        <f>IFERROR(__xludf.DUMMYFUNCTION("""COMPUTED_VALUE"""),1092985.0)</f>
        <v>1092985</v>
      </c>
      <c r="B1070" s="2005">
        <f>IFERROR(__xludf.DUMMYFUNCTION("""COMPUTED_VALUE"""),1103010.0)</f>
        <v>1103010</v>
      </c>
      <c r="C1070" s="2005" t="str">
        <f>IFERROR(__xludf.DUMMYFUNCTION("""COMPUTED_VALUE"""),"Base + 1 combi")</f>
        <v>Base + 1 combi</v>
      </c>
      <c r="D1070" s="2005" t="str">
        <f>IFERROR(__xludf.DUMMYFUNCTION("""COMPUTED_VALUE"""),"Phone Easy 110 duo Blanc")</f>
        <v>Phone Easy 110 duo Blanc</v>
      </c>
      <c r="E1070" s="2005" t="str">
        <f>IFERROR(__xludf.DUMMYFUNCTION("""COMPUTED_VALUE"""),"DORO")</f>
        <v>DORO</v>
      </c>
      <c r="F1070" s="2005" t="str">
        <f>IFERROR(__xludf.DUMMYFUNCTION("""COMPUTED_VALUE"""),"H")</f>
        <v>H</v>
      </c>
      <c r="G1070" s="2005" t="str">
        <f>IFERROR(__xludf.DUMMYFUNCTION("""COMPUTED_VALUE"""),"AC")</f>
        <v>AC</v>
      </c>
      <c r="H1070" s="2005">
        <f>IFERROR(__xludf.DUMMYFUNCTION("""COMPUTED_VALUE"""),79.99)</f>
        <v>79.99</v>
      </c>
      <c r="I1070" s="2005">
        <f>IFERROR(__xludf.DUMMYFUNCTION("""COMPUTED_VALUE"""),79.99)</f>
        <v>79.99</v>
      </c>
      <c r="BD1070" s="2006"/>
      <c r="LL1070" s="2008"/>
      <c r="LM1070" s="2008"/>
      <c r="MX1070" s="2007"/>
      <c r="ND1070" s="2008"/>
    </row>
    <row r="1071">
      <c r="A1071" s="2005">
        <f>IFERROR(__xludf.DUMMYFUNCTION("""COMPUTED_VALUE"""),1093003.0)</f>
        <v>1093003</v>
      </c>
      <c r="B1071" s="2005">
        <f>IFERROR(__xludf.DUMMYFUNCTION("""COMPUTED_VALUE"""),1103010.0)</f>
        <v>1103010</v>
      </c>
      <c r="C1071" s="2005" t="str">
        <f>IFERROR(__xludf.DUMMYFUNCTION("""COMPUTED_VALUE"""),"Tél.Rép.")</f>
        <v>Tél.Rép.</v>
      </c>
      <c r="D1071" s="2005" t="str">
        <f>IFERROR(__xludf.DUMMYFUNCTION("""COMPUTED_VALUE"""),"Comfort 1015 Blanc")</f>
        <v>Comfort 1015 Blanc</v>
      </c>
      <c r="E1071" s="2005" t="str">
        <f>IFERROR(__xludf.DUMMYFUNCTION("""COMPUTED_VALUE"""),"DORO")</f>
        <v>DORO</v>
      </c>
      <c r="F1071" s="2005" t="str">
        <f>IFERROR(__xludf.DUMMYFUNCTION("""COMPUTED_VALUE"""),"H")</f>
        <v>H</v>
      </c>
      <c r="G1071" s="2005" t="str">
        <f>IFERROR(__xludf.DUMMYFUNCTION("""COMPUTED_VALUE"""),"AC")</f>
        <v>AC</v>
      </c>
      <c r="H1071" s="2005">
        <f>IFERROR(__xludf.DUMMYFUNCTION("""COMPUTED_VALUE"""),49.99)</f>
        <v>49.99</v>
      </c>
      <c r="I1071" s="2005">
        <f>IFERROR(__xludf.DUMMYFUNCTION("""COMPUTED_VALUE"""),49.99)</f>
        <v>49.99</v>
      </c>
      <c r="BD1071" s="2006"/>
      <c r="LL1071" s="2007"/>
      <c r="LM1071" s="2008"/>
      <c r="MX1071" s="2007"/>
      <c r="ND1071" s="2008"/>
    </row>
    <row r="1072">
      <c r="A1072" s="2005">
        <f>IFERROR(__xludf.DUMMYFUNCTION("""COMPUTED_VALUE"""),1093139.0)</f>
        <v>1093139</v>
      </c>
      <c r="B1072" s="2005">
        <f>IFERROR(__xludf.DUMMYFUNCTION("""COMPUTED_VALUE"""),1101005.0)</f>
        <v>1101005</v>
      </c>
      <c r="C1072" s="2005" t="str">
        <f>IFERROR(__xludf.DUMMYFUNCTION("""COMPUTED_VALUE"""),"Tél.")</f>
        <v>Tél.</v>
      </c>
      <c r="D1072" s="2005" t="str">
        <f>IFERROR(__xludf.DUMMYFUNCTION("""COMPUTED_VALUE"""),"E560")</f>
        <v>E560</v>
      </c>
      <c r="E1072" s="2005" t="str">
        <f>IFERROR(__xludf.DUMMYFUNCTION("""COMPUTED_VALUE"""),"GIGASET")</f>
        <v>GIGASET</v>
      </c>
      <c r="F1072" s="2005" t="str">
        <f>IFERROR(__xludf.DUMMYFUNCTION("""COMPUTED_VALUE"""),"W")</f>
        <v>W</v>
      </c>
      <c r="G1072" s="2005" t="str">
        <f>IFERROR(__xludf.DUMMYFUNCTION("""COMPUTED_VALUE"""),"AC")</f>
        <v>AC</v>
      </c>
      <c r="H1072" s="2005">
        <f>IFERROR(__xludf.DUMMYFUNCTION("""COMPUTED_VALUE"""),74.99)</f>
        <v>74.99</v>
      </c>
      <c r="I1072" s="2005">
        <f>IFERROR(__xludf.DUMMYFUNCTION("""COMPUTED_VALUE"""),64.99)</f>
        <v>64.99</v>
      </c>
      <c r="BD1072" s="2006"/>
      <c r="LL1072" s="2007"/>
      <c r="LM1072" s="2008"/>
      <c r="MX1072" s="2007"/>
      <c r="ND1072" s="2008"/>
    </row>
    <row r="1073">
      <c r="A1073" s="2005">
        <f>IFERROR(__xludf.DUMMYFUNCTION("""COMPUTED_VALUE"""),1093140.0)</f>
        <v>1093140</v>
      </c>
      <c r="B1073" s="2005">
        <f>IFERROR(__xludf.DUMMYFUNCTION("""COMPUTED_VALUE"""),1101005.0)</f>
        <v>1101005</v>
      </c>
      <c r="C1073" s="2005" t="str">
        <f>IFERROR(__xludf.DUMMYFUNCTION("""COMPUTED_VALUE"""),"Tél.")</f>
        <v>Tél.</v>
      </c>
      <c r="D1073" s="2005" t="str">
        <f>IFERROR(__xludf.DUMMYFUNCTION("""COMPUTED_VALUE"""),"E560A")</f>
        <v>E560A</v>
      </c>
      <c r="E1073" s="2005" t="str">
        <f>IFERROR(__xludf.DUMMYFUNCTION("""COMPUTED_VALUE"""),"GIGASET")</f>
        <v>GIGASET</v>
      </c>
      <c r="F1073" s="2005" t="str">
        <f>IFERROR(__xludf.DUMMYFUNCTION("""COMPUTED_VALUE"""),"B")</f>
        <v>B</v>
      </c>
      <c r="G1073" s="2005" t="str">
        <f>IFERROR(__xludf.DUMMYFUNCTION("""COMPUTED_VALUE"""),"AC")</f>
        <v>AC</v>
      </c>
      <c r="H1073" s="2005">
        <f>IFERROR(__xludf.DUMMYFUNCTION("""COMPUTED_VALUE"""),89.99)</f>
        <v>89.99</v>
      </c>
      <c r="I1073" s="2005">
        <f>IFERROR(__xludf.DUMMYFUNCTION("""COMPUTED_VALUE"""),89.99)</f>
        <v>89.99</v>
      </c>
      <c r="BD1073" s="2006"/>
      <c r="LL1073" s="2008"/>
      <c r="LM1073" s="2008"/>
      <c r="MX1073" s="2007"/>
      <c r="ND1073" s="2008"/>
    </row>
    <row r="1074">
      <c r="A1074" s="2005">
        <f>IFERROR(__xludf.DUMMYFUNCTION("""COMPUTED_VALUE"""),1093141.0)</f>
        <v>1093141</v>
      </c>
      <c r="B1074" s="2005">
        <f>IFERROR(__xludf.DUMMYFUNCTION("""COMPUTED_VALUE"""),2403099.0)</f>
        <v>2403099</v>
      </c>
      <c r="C1074" s="2005" t="str">
        <f>IFERROR(__xludf.DUMMYFUNCTION("""COMPUTED_VALUE"""),"Kit")</f>
        <v>Kit</v>
      </c>
      <c r="D1074" s="2005" t="str">
        <f>IFERROR(__xludf.DUMMYFUNCTION("""COMPUTED_VALUE"""),"Kit créatif SELPHY")</f>
        <v>Kit créatif SELPHY</v>
      </c>
      <c r="E1074" s="2005" t="str">
        <f>IFERROR(__xludf.DUMMYFUNCTION("""COMPUTED_VALUE"""),"CANON")</f>
        <v>CANON</v>
      </c>
      <c r="F1074" s="2005" t="str">
        <f>IFERROR(__xludf.DUMMYFUNCTION("""COMPUTED_VALUE"""),"B")</f>
        <v>B</v>
      </c>
      <c r="G1074" s="2005" t="str">
        <f>IFERROR(__xludf.DUMMYFUNCTION("""COMPUTED_VALUE"""),"AC")</f>
        <v>AC</v>
      </c>
      <c r="H1074" s="2005">
        <f>IFERROR(__xludf.DUMMYFUNCTION("""COMPUTED_VALUE"""),39.0)</f>
        <v>39</v>
      </c>
      <c r="I1074" s="2005">
        <f>IFERROR(__xludf.DUMMYFUNCTION("""COMPUTED_VALUE"""),39.0)</f>
        <v>39</v>
      </c>
      <c r="BD1074" s="2006"/>
      <c r="LL1074" s="2007"/>
      <c r="LM1074" s="2008"/>
      <c r="MX1074" s="2007"/>
      <c r="ND1074" s="2008"/>
    </row>
    <row r="1075">
      <c r="A1075" s="2005">
        <f>IFERROR(__xludf.DUMMYFUNCTION("""COMPUTED_VALUE"""),1093400.0)</f>
        <v>1093400</v>
      </c>
      <c r="B1075" s="2005">
        <f>IFERROR(__xludf.DUMMYFUNCTION("""COMPUTED_VALUE"""),2502040.0)</f>
        <v>2502040</v>
      </c>
      <c r="C1075" s="2005" t="str">
        <f>IFERROR(__xludf.DUMMYFUNCTION("""COMPUTED_VALUE"""),"Stylet")</f>
        <v>Stylet</v>
      </c>
      <c r="D1075" s="2005" t="str">
        <f>IFERROR(__xludf.DUMMYFUNCTION("""COMPUTED_VALUE"""),"Surface Pen Platine")</f>
        <v>Surface Pen Platine</v>
      </c>
      <c r="E1075" s="2005" t="str">
        <f>IFERROR(__xludf.DUMMYFUNCTION("""COMPUTED_VALUE"""),"MICROSOFT")</f>
        <v>MICROSOFT</v>
      </c>
      <c r="F1075" s="2005" t="str">
        <f>IFERROR(__xludf.DUMMYFUNCTION("""COMPUTED_VALUE"""),"H")</f>
        <v>H</v>
      </c>
      <c r="G1075" s="2005" t="str">
        <f>IFERROR(__xludf.DUMMYFUNCTION("""COMPUTED_VALUE"""),"AC")</f>
        <v>AC</v>
      </c>
      <c r="H1075" s="2005">
        <f>IFERROR(__xludf.DUMMYFUNCTION("""COMPUTED_VALUE"""),109.9)</f>
        <v>109.9</v>
      </c>
      <c r="I1075" s="2005">
        <f>IFERROR(__xludf.DUMMYFUNCTION("""COMPUTED_VALUE"""),109.9)</f>
        <v>109.9</v>
      </c>
      <c r="BD1075" s="2006"/>
      <c r="LL1075" s="2007"/>
      <c r="LM1075" s="2008"/>
      <c r="MX1075" s="2007"/>
      <c r="ND1075" s="2008"/>
    </row>
    <row r="1076">
      <c r="A1076" s="2005">
        <f>IFERROR(__xludf.DUMMYFUNCTION("""COMPUTED_VALUE"""),1093441.0)</f>
        <v>1093441</v>
      </c>
      <c r="B1076" s="2005">
        <f>IFERROR(__xludf.DUMMYFUNCTION("""COMPUTED_VALUE"""),2502040.0)</f>
        <v>2502040</v>
      </c>
      <c r="C1076" s="2005" t="str">
        <f>IFERROR(__xludf.DUMMYFUNCTION("""COMPUTED_VALUE"""),"Stylet")</f>
        <v>Stylet</v>
      </c>
      <c r="D1076" s="2005" t="str">
        <f>IFERROR(__xludf.DUMMYFUNCTION("""COMPUTED_VALUE"""),"Surface Pen Noir")</f>
        <v>Surface Pen Noir</v>
      </c>
      <c r="E1076" s="2005" t="str">
        <f>IFERROR(__xludf.DUMMYFUNCTION("""COMPUTED_VALUE"""),"MICROSOFT")</f>
        <v>MICROSOFT</v>
      </c>
      <c r="F1076" s="2005" t="str">
        <f>IFERROR(__xludf.DUMMYFUNCTION("""COMPUTED_VALUE"""),"C")</f>
        <v>C</v>
      </c>
      <c r="G1076" s="2005" t="str">
        <f>IFERROR(__xludf.DUMMYFUNCTION("""COMPUTED_VALUE"""),"AC")</f>
        <v>AC</v>
      </c>
      <c r="H1076" s="2005">
        <f>IFERROR(__xludf.DUMMYFUNCTION("""COMPUTED_VALUE"""),109.9)</f>
        <v>109.9</v>
      </c>
      <c r="I1076" s="2005">
        <f>IFERROR(__xludf.DUMMYFUNCTION("""COMPUTED_VALUE"""),109.9)</f>
        <v>109.9</v>
      </c>
      <c r="BD1076" s="2006"/>
      <c r="LL1076" s="2008"/>
      <c r="LM1076" s="2008"/>
      <c r="MX1076" s="2007"/>
      <c r="ND1076" s="2008"/>
    </row>
    <row r="1077">
      <c r="A1077" s="2005">
        <f>IFERROR(__xludf.DUMMYFUNCTION("""COMPUTED_VALUE"""),1093616.0)</f>
        <v>1093616</v>
      </c>
      <c r="B1077" s="2005">
        <f>IFERROR(__xludf.DUMMYFUNCTION("""COMPUTED_VALUE"""),2502015.0)</f>
        <v>2502015</v>
      </c>
      <c r="C1077" s="2005" t="str">
        <f>IFERROR(__xludf.DUMMYFUNCTION("""COMPUTED_VALUE"""),"Clavier")</f>
        <v>Clavier</v>
      </c>
      <c r="D1077" s="2005" t="str">
        <f>IFERROR(__xludf.DUMMYFUNCTION("""COMPUTED_VALUE"""),"K375s Multi-Device")</f>
        <v>K375s Multi-Device</v>
      </c>
      <c r="E1077" s="2005" t="str">
        <f>IFERROR(__xludf.DUMMYFUNCTION("""COMPUTED_VALUE"""),"LOGITECH")</f>
        <v>LOGITECH</v>
      </c>
      <c r="F1077" s="2005" t="str">
        <f>IFERROR(__xludf.DUMMYFUNCTION("""COMPUTED_VALUE"""),"H")</f>
        <v>H</v>
      </c>
      <c r="G1077" s="2005" t="str">
        <f>IFERROR(__xludf.DUMMYFUNCTION("""COMPUTED_VALUE"""),"NN")</f>
        <v>NN</v>
      </c>
      <c r="H1077" s="2005">
        <f>IFERROR(__xludf.DUMMYFUNCTION("""COMPUTED_VALUE"""),44.99)</f>
        <v>44.99</v>
      </c>
      <c r="I1077" s="2005">
        <f>IFERROR(__xludf.DUMMYFUNCTION("""COMPUTED_VALUE"""),44.99)</f>
        <v>44.99</v>
      </c>
      <c r="BD1077" s="2006"/>
      <c r="LL1077" s="2007"/>
      <c r="LM1077" s="2008"/>
      <c r="MX1077" s="2007"/>
      <c r="ND1077" s="2008"/>
    </row>
    <row r="1078">
      <c r="A1078" s="2005">
        <f>IFERROR(__xludf.DUMMYFUNCTION("""COMPUTED_VALUE"""),1093756.0)</f>
        <v>1093756</v>
      </c>
      <c r="B1078" s="2005">
        <f>IFERROR(__xludf.DUMMYFUNCTION("""COMPUTED_VALUE"""),2502040.0)</f>
        <v>2502040</v>
      </c>
      <c r="C1078" s="2005" t="str">
        <f>IFERROR(__xludf.DUMMYFUNCTION("""COMPUTED_VALUE"""),"Souris")</f>
        <v>Souris</v>
      </c>
      <c r="D1078" s="2005" t="str">
        <f>IFERROR(__xludf.DUMMYFUNCTION("""COMPUTED_VALUE"""),"Arc Edition Surface Platine")</f>
        <v>Arc Edition Surface Platine</v>
      </c>
      <c r="E1078" s="2005" t="str">
        <f>IFERROR(__xludf.DUMMYFUNCTION("""COMPUTED_VALUE"""),"MICROSOFT")</f>
        <v>MICROSOFT</v>
      </c>
      <c r="F1078" s="2005" t="str">
        <f>IFERROR(__xludf.DUMMYFUNCTION("""COMPUTED_VALUE"""),"H")</f>
        <v>H</v>
      </c>
      <c r="G1078" s="2005" t="str">
        <f>IFERROR(__xludf.DUMMYFUNCTION("""COMPUTED_VALUE"""),"NN")</f>
        <v>NN</v>
      </c>
      <c r="H1078" s="2005">
        <f>IFERROR(__xludf.DUMMYFUNCTION("""COMPUTED_VALUE"""),59.91)</f>
        <v>59.91</v>
      </c>
      <c r="I1078" s="2005">
        <f>IFERROR(__xludf.DUMMYFUNCTION("""COMPUTED_VALUE"""),59.91)</f>
        <v>59.91</v>
      </c>
      <c r="BD1078" s="2006"/>
      <c r="LL1078" s="2007"/>
      <c r="LM1078" s="2008"/>
      <c r="MX1078" s="2007"/>
      <c r="ND1078" s="2008"/>
    </row>
    <row r="1079">
      <c r="A1079" s="2005">
        <f>IFERROR(__xludf.DUMMYFUNCTION("""COMPUTED_VALUE"""),1093757.0)</f>
        <v>1093757</v>
      </c>
      <c r="B1079" s="2005">
        <f>IFERROR(__xludf.DUMMYFUNCTION("""COMPUTED_VALUE"""),2502040.0)</f>
        <v>2502040</v>
      </c>
      <c r="C1079" s="2005" t="str">
        <f>IFERROR(__xludf.DUMMYFUNCTION("""COMPUTED_VALUE"""),"Souris")</f>
        <v>Souris</v>
      </c>
      <c r="D1079" s="2005" t="str">
        <f>IFERROR(__xludf.DUMMYFUNCTION("""COMPUTED_VALUE"""),"Arc Edition Surface Bordeaux")</f>
        <v>Arc Edition Surface Bordeaux</v>
      </c>
      <c r="E1079" s="2005" t="str">
        <f>IFERROR(__xludf.DUMMYFUNCTION("""COMPUTED_VALUE"""),"MICROSOFT")</f>
        <v>MICROSOFT</v>
      </c>
      <c r="F1079" s="2005" t="str">
        <f>IFERROR(__xludf.DUMMYFUNCTION("""COMPUTED_VALUE"""),"D")</f>
        <v>D</v>
      </c>
      <c r="G1079" s="2005" t="str">
        <f>IFERROR(__xludf.DUMMYFUNCTION("""COMPUTED_VALUE"""),"NN")</f>
        <v>NN</v>
      </c>
      <c r="H1079" s="2005">
        <f>IFERROR(__xludf.DUMMYFUNCTION("""COMPUTED_VALUE"""),59.91)</f>
        <v>59.91</v>
      </c>
      <c r="I1079" s="2005">
        <f>IFERROR(__xludf.DUMMYFUNCTION("""COMPUTED_VALUE"""),59.91)</f>
        <v>59.91</v>
      </c>
      <c r="BD1079" s="2006"/>
      <c r="LL1079" s="2007"/>
      <c r="LM1079" s="2007"/>
      <c r="MX1079" s="2007"/>
      <c r="ND1079" s="2008"/>
    </row>
    <row r="1080">
      <c r="A1080" s="2005">
        <f>IFERROR(__xludf.DUMMYFUNCTION("""COMPUTED_VALUE"""),1093758.0)</f>
        <v>1093758</v>
      </c>
      <c r="B1080" s="2005">
        <f>IFERROR(__xludf.DUMMYFUNCTION("""COMPUTED_VALUE"""),2502040.0)</f>
        <v>2502040</v>
      </c>
      <c r="C1080" s="2005" t="str">
        <f>IFERROR(__xludf.DUMMYFUNCTION("""COMPUTED_VALUE"""),"Souris")</f>
        <v>Souris</v>
      </c>
      <c r="D1080" s="2005" t="str">
        <f>IFERROR(__xludf.DUMMYFUNCTION("""COMPUTED_VALUE"""),"Arc Edition Surface Cobalt")</f>
        <v>Arc Edition Surface Cobalt</v>
      </c>
      <c r="E1080" s="2005" t="str">
        <f>IFERROR(__xludf.DUMMYFUNCTION("""COMPUTED_VALUE"""),"MICROSOFT")</f>
        <v>MICROSOFT</v>
      </c>
      <c r="F1080" s="2005" t="str">
        <f>IFERROR(__xludf.DUMMYFUNCTION("""COMPUTED_VALUE"""),"A")</f>
        <v>A</v>
      </c>
      <c r="G1080" s="2005" t="str">
        <f>IFERROR(__xludf.DUMMYFUNCTION("""COMPUTED_VALUE"""),"NN")</f>
        <v>NN</v>
      </c>
      <c r="H1080" s="2005">
        <f>IFERROR(__xludf.DUMMYFUNCTION("""COMPUTED_VALUE"""),59.91)</f>
        <v>59.91</v>
      </c>
      <c r="I1080" s="2005">
        <f>IFERROR(__xludf.DUMMYFUNCTION("""COMPUTED_VALUE"""),59.91)</f>
        <v>59.91</v>
      </c>
      <c r="BD1080" s="2006"/>
      <c r="LL1080" s="2007"/>
      <c r="LM1080" s="2007"/>
      <c r="MX1080" s="2007"/>
      <c r="ND1080" s="2008"/>
    </row>
    <row r="1081">
      <c r="A1081" s="2005">
        <f>IFERROR(__xludf.DUMMYFUNCTION("""COMPUTED_VALUE"""),1093906.0)</f>
        <v>1093906</v>
      </c>
      <c r="B1081" s="2005">
        <f>IFERROR(__xludf.DUMMYFUNCTION("""COMPUTED_VALUE"""),2703015.0)</f>
        <v>2703015</v>
      </c>
      <c r="C1081" s="2005" t="str">
        <f>IFERROR(__xludf.DUMMYFUNCTION("""COMPUTED_VALUE"""),"Plastifieuse")</f>
        <v>Plastifieuse</v>
      </c>
      <c r="D1081" s="2005" t="str">
        <f>IFERROR(__xludf.DUMMYFUNCTION("""COMPUTED_VALUE"""),"I-Lam Home Office A4 Gris")</f>
        <v>I-Lam Home Office A4 Gris</v>
      </c>
      <c r="E1081" s="2005" t="str">
        <f>IFERROR(__xludf.DUMMYFUNCTION("""COMPUTED_VALUE"""),"LEITZ")</f>
        <v>LEITZ</v>
      </c>
      <c r="F1081" s="2005" t="str">
        <f>IFERROR(__xludf.DUMMYFUNCTION("""COMPUTED_VALUE"""),"H")</f>
        <v>H</v>
      </c>
      <c r="G1081" s="2005" t="str">
        <f>IFERROR(__xludf.DUMMYFUNCTION("""COMPUTED_VALUE"""),"NN")</f>
        <v>NN</v>
      </c>
      <c r="H1081">
        <f>IFERROR(__xludf.DUMMYFUNCTION("""COMPUTED_VALUE"""),69.99)</f>
        <v>69.99</v>
      </c>
      <c r="I1081">
        <f>IFERROR(__xludf.DUMMYFUNCTION("""COMPUTED_VALUE"""),69.99)</f>
        <v>69.99</v>
      </c>
      <c r="BD1081" s="2006"/>
      <c r="LL1081" s="2007"/>
      <c r="LM1081" s="2007"/>
      <c r="MX1081" s="2008"/>
      <c r="ND1081" s="2008"/>
    </row>
    <row r="1082">
      <c r="A1082" s="2005">
        <f>IFERROR(__xludf.DUMMYFUNCTION("""COMPUTED_VALUE"""),1093907.0)</f>
        <v>1093907</v>
      </c>
      <c r="B1082" s="2005">
        <f>IFERROR(__xludf.DUMMYFUNCTION("""COMPUTED_VALUE"""),2703015.0)</f>
        <v>2703015</v>
      </c>
      <c r="C1082" s="2005" t="str">
        <f>IFERROR(__xludf.DUMMYFUNCTION("""COMPUTED_VALUE"""),"Plastifieuse")</f>
        <v>Plastifieuse</v>
      </c>
      <c r="D1082" s="2005" t="str">
        <f>IFERROR(__xludf.DUMMYFUNCTION("""COMPUTED_VALUE"""),"I-Lam Home Office A3 Gris")</f>
        <v>I-Lam Home Office A3 Gris</v>
      </c>
      <c r="E1082" s="2005" t="str">
        <f>IFERROR(__xludf.DUMMYFUNCTION("""COMPUTED_VALUE"""),"LEITZ")</f>
        <v>LEITZ</v>
      </c>
      <c r="F1082" s="2005" t="str">
        <f>IFERROR(__xludf.DUMMYFUNCTION("""COMPUTED_VALUE"""),"H")</f>
        <v>H</v>
      </c>
      <c r="G1082" s="2005" t="str">
        <f>IFERROR(__xludf.DUMMYFUNCTION("""COMPUTED_VALUE"""),"AC")</f>
        <v>AC</v>
      </c>
      <c r="H1082" s="2005">
        <f>IFERROR(__xludf.DUMMYFUNCTION("""COMPUTED_VALUE"""),99.99)</f>
        <v>99.99</v>
      </c>
      <c r="I1082" s="2005">
        <f>IFERROR(__xludf.DUMMYFUNCTION("""COMPUTED_VALUE"""),99.99)</f>
        <v>99.99</v>
      </c>
      <c r="BD1082" s="2006"/>
      <c r="LL1082" s="2007"/>
      <c r="LM1082" s="2007"/>
      <c r="MX1082" s="2007"/>
      <c r="ND1082" s="2007"/>
    </row>
    <row r="1083">
      <c r="A1083" s="2005">
        <f>IFERROR(__xludf.DUMMYFUNCTION("""COMPUTED_VALUE"""),1094374.0)</f>
        <v>1094374</v>
      </c>
      <c r="B1083" s="2005">
        <f>IFERROR(__xludf.DUMMYFUNCTION("""COMPUTED_VALUE"""),2502040.0)</f>
        <v>2502040</v>
      </c>
      <c r="D1083" s="2005" t="str">
        <f>IFERROR(__xludf.DUMMYFUNCTION("""COMPUTED_VALUE"""),"kit de mines pour stylet surface")</f>
        <v>kit de mines pour stylet surface</v>
      </c>
      <c r="E1083" s="2005" t="str">
        <f>IFERROR(__xludf.DUMMYFUNCTION("""COMPUTED_VALUE"""),"MICROSOFT")</f>
        <v>MICROSOFT</v>
      </c>
      <c r="F1083" s="2005" t="str">
        <f>IFERROR(__xludf.DUMMYFUNCTION("""COMPUTED_VALUE"""),"W")</f>
        <v>W</v>
      </c>
      <c r="G1083" s="2005" t="str">
        <f>IFERROR(__xludf.DUMMYFUNCTION("""COMPUTED_VALUE"""),"AC")</f>
        <v>AC</v>
      </c>
      <c r="H1083" s="2005">
        <f>IFERROR(__xludf.DUMMYFUNCTION("""COMPUTED_VALUE"""),20.05)</f>
        <v>20.05</v>
      </c>
      <c r="I1083" s="2005">
        <f>IFERROR(__xludf.DUMMYFUNCTION("""COMPUTED_VALUE"""),20.05)</f>
        <v>20.05</v>
      </c>
      <c r="BD1083" s="2006"/>
      <c r="LL1083" s="2008"/>
      <c r="LM1083" s="2007"/>
      <c r="MX1083" s="2007"/>
      <c r="ND1083" s="2007"/>
    </row>
    <row r="1084">
      <c r="A1084" s="2005">
        <f>IFERROR(__xludf.DUMMYFUNCTION("""COMPUTED_VALUE"""),1094812.0)</f>
        <v>1094812</v>
      </c>
      <c r="B1084" s="2005">
        <f>IFERROR(__xludf.DUMMYFUNCTION("""COMPUTED_VALUE"""),2502510.0)</f>
        <v>2502510</v>
      </c>
      <c r="C1084" s="2005" t="str">
        <f>IFERROR(__xludf.DUMMYFUNCTION("""COMPUTED_VALUE"""),"Support")</f>
        <v>Support</v>
      </c>
      <c r="D1084" s="2005" t="str">
        <f>IFERROR(__xludf.DUMMYFUNCTION("""COMPUTED_VALUE"""),"ventilé 17''Chill Mat With 4-Port Hub")</f>
        <v>ventilé 17''Chill Mat With 4-Port Hub</v>
      </c>
      <c r="E1084" s="2005" t="str">
        <f>IFERROR(__xludf.DUMMYFUNCTION("""COMPUTED_VALUE"""),"TARGUS")</f>
        <v>TARGUS</v>
      </c>
      <c r="F1084" s="2005" t="str">
        <f>IFERROR(__xludf.DUMMYFUNCTION("""COMPUTED_VALUE"""),"C")</f>
        <v>C</v>
      </c>
      <c r="G1084" s="2005" t="str">
        <f>IFERROR(__xludf.DUMMYFUNCTION("""COMPUTED_VALUE"""),"FF")</f>
        <v>FF</v>
      </c>
      <c r="H1084" s="2005">
        <f>IFERROR(__xludf.DUMMYFUNCTION("""COMPUTED_VALUE"""),44.99)</f>
        <v>44.99</v>
      </c>
      <c r="I1084" s="2005">
        <f>IFERROR(__xludf.DUMMYFUNCTION("""COMPUTED_VALUE"""),44.99)</f>
        <v>44.99</v>
      </c>
      <c r="BD1084" s="2006"/>
      <c r="LL1084" s="2008"/>
      <c r="LM1084" s="2007"/>
      <c r="MX1084" s="2007"/>
      <c r="ND1084" s="2007"/>
    </row>
    <row r="1085">
      <c r="A1085" s="2005">
        <f>IFERROR(__xludf.DUMMYFUNCTION("""COMPUTED_VALUE"""),1094814.0)</f>
        <v>1094814</v>
      </c>
      <c r="B1085" s="2005">
        <f>IFERROR(__xludf.DUMMYFUNCTION("""COMPUTED_VALUE"""),2502010.0)</f>
        <v>2502010</v>
      </c>
      <c r="C1085" s="2005" t="str">
        <f>IFERROR(__xludf.DUMMYFUNCTION("""COMPUTED_VALUE"""),"Présenteur")</f>
        <v>Présenteur</v>
      </c>
      <c r="D1085" s="2005" t="str">
        <f>IFERROR(__xludf.DUMMYFUNCTION("""COMPUTED_VALUE"""),"Multimedia Presentation Remote")</f>
        <v>Multimedia Presentation Remote</v>
      </c>
      <c r="E1085" s="2005" t="str">
        <f>IFERROR(__xludf.DUMMYFUNCTION("""COMPUTED_VALUE"""),"TARGUS")</f>
        <v>TARGUS</v>
      </c>
      <c r="F1085" s="2005" t="str">
        <f>IFERROR(__xludf.DUMMYFUNCTION("""COMPUTED_VALUE"""),"W")</f>
        <v>W</v>
      </c>
      <c r="G1085" s="2005" t="str">
        <f>IFERROR(__xludf.DUMMYFUNCTION("""COMPUTED_VALUE"""),"NN")</f>
        <v>NN</v>
      </c>
      <c r="H1085" s="2005">
        <f>IFERROR(__xludf.DUMMYFUNCTION("""COMPUTED_VALUE"""),59.99)</f>
        <v>59.99</v>
      </c>
      <c r="I1085" s="2005">
        <f>IFERROR(__xludf.DUMMYFUNCTION("""COMPUTED_VALUE"""),59.99)</f>
        <v>59.99</v>
      </c>
      <c r="BD1085" s="2006"/>
      <c r="LL1085" s="2008"/>
      <c r="LM1085" s="2007"/>
      <c r="MX1085" s="2007"/>
      <c r="ND1085" s="2007"/>
    </row>
    <row r="1086">
      <c r="A1086" s="2005">
        <f>IFERROR(__xludf.DUMMYFUNCTION("""COMPUTED_VALUE"""),1095379.0)</f>
        <v>1095379</v>
      </c>
      <c r="B1086" s="2005">
        <f>IFERROR(__xludf.DUMMYFUNCTION("""COMPUTED_VALUE"""),2202005.0)</f>
        <v>2202005</v>
      </c>
      <c r="C1086" s="2005" t="str">
        <f>IFERROR(__xludf.DUMMYFUNCTION("""COMPUTED_VALUE"""),"Multi Jet d'enc")</f>
        <v>Multi Jet d'enc</v>
      </c>
      <c r="D1086" s="2005" t="str">
        <f>IFERROR(__xludf.DUMMYFUNCTION("""COMPUTED_VALUE"""),"Deskjet 2630 éligible Instant Ink")</f>
        <v>Deskjet 2630 éligible Instant Ink</v>
      </c>
      <c r="E1086" s="2005" t="str">
        <f>IFERROR(__xludf.DUMMYFUNCTION("""COMPUTED_VALUE"""),"HP")</f>
        <v>HP</v>
      </c>
      <c r="F1086" s="2005" t="str">
        <f>IFERROR(__xludf.DUMMYFUNCTION("""COMPUTED_VALUE"""),"H")</f>
        <v>H</v>
      </c>
      <c r="G1086" s="2005" t="str">
        <f>IFERROR(__xludf.DUMMYFUNCTION("""COMPUTED_VALUE"""),"NN")</f>
        <v>NN</v>
      </c>
      <c r="H1086" s="2005">
        <f>IFERROR(__xludf.DUMMYFUNCTION("""COMPUTED_VALUE"""),29.99)</f>
        <v>29.99</v>
      </c>
      <c r="I1086" s="2005">
        <f>IFERROR(__xludf.DUMMYFUNCTION("""COMPUTED_VALUE"""),29.99)</f>
        <v>29.99</v>
      </c>
      <c r="BD1086" s="2006"/>
      <c r="LL1086" s="2007"/>
      <c r="LM1086" s="2007"/>
      <c r="MX1086" s="2007"/>
      <c r="ND1086" s="2007"/>
    </row>
    <row r="1087">
      <c r="A1087" s="2005">
        <f>IFERROR(__xludf.DUMMYFUNCTION("""COMPUTED_VALUE"""),1095380.0)</f>
        <v>1095380</v>
      </c>
      <c r="B1087" s="2005">
        <f>IFERROR(__xludf.DUMMYFUNCTION("""COMPUTED_VALUE"""),2202005.0)</f>
        <v>2202005</v>
      </c>
      <c r="C1087" s="2005" t="str">
        <f>IFERROR(__xludf.DUMMYFUNCTION("""COMPUTED_VALUE"""),"Multi Jet d'enc")</f>
        <v>Multi Jet d'enc</v>
      </c>
      <c r="D1087" s="2005" t="str">
        <f>IFERROR(__xludf.DUMMYFUNCTION("""COMPUTED_VALUE"""),"Deskjet 3639 éligible Instant Ink")</f>
        <v>Deskjet 3639 éligible Instant Ink</v>
      </c>
      <c r="E1087" s="2005" t="str">
        <f>IFERROR(__xludf.DUMMYFUNCTION("""COMPUTED_VALUE"""),"HP")</f>
        <v>HP</v>
      </c>
      <c r="F1087" s="2005" t="str">
        <f>IFERROR(__xludf.DUMMYFUNCTION("""COMPUTED_VALUE"""),"A")</f>
        <v>A</v>
      </c>
      <c r="G1087" s="2005" t="str">
        <f>IFERROR(__xludf.DUMMYFUNCTION("""COMPUTED_VALUE"""),"NN")</f>
        <v>NN</v>
      </c>
      <c r="H1087" s="2005">
        <f>IFERROR(__xludf.DUMMYFUNCTION("""COMPUTED_VALUE"""),35.99)</f>
        <v>35.99</v>
      </c>
      <c r="I1087" s="2005">
        <f>IFERROR(__xludf.DUMMYFUNCTION("""COMPUTED_VALUE"""),35.99)</f>
        <v>35.99</v>
      </c>
      <c r="BD1087" s="2006"/>
      <c r="LL1087" s="2008"/>
      <c r="LM1087" s="2007"/>
      <c r="MX1087" s="2007"/>
      <c r="ND1087" s="2008"/>
    </row>
    <row r="1088">
      <c r="A1088" s="2005">
        <f>IFERROR(__xludf.DUMMYFUNCTION("""COMPUTED_VALUE"""),1095412.0)</f>
        <v>1095412</v>
      </c>
      <c r="B1088" s="2005">
        <f>IFERROR(__xludf.DUMMYFUNCTION("""COMPUTED_VALUE"""),2202005.0)</f>
        <v>2202005</v>
      </c>
      <c r="C1088" s="2005" t="str">
        <f>IFERROR(__xludf.DUMMYFUNCTION("""COMPUTED_VALUE"""),"Multi Jet d'enc")</f>
        <v>Multi Jet d'enc</v>
      </c>
      <c r="D1088" s="2005" t="str">
        <f>IFERROR(__xludf.DUMMYFUNCTION("""COMPUTED_VALUE"""),"Envy 6232 éligible Instant Ink")</f>
        <v>Envy 6232 éligible Instant Ink</v>
      </c>
      <c r="E1088" s="2005" t="str">
        <f>IFERROR(__xludf.DUMMYFUNCTION("""COMPUTED_VALUE"""),"HP")</f>
        <v>HP</v>
      </c>
      <c r="F1088" s="2005" t="str">
        <f>IFERROR(__xludf.DUMMYFUNCTION("""COMPUTED_VALUE"""),"H")</f>
        <v>H</v>
      </c>
      <c r="G1088" s="2005" t="str">
        <f>IFERROR(__xludf.DUMMYFUNCTION("""COMPUTED_VALUE"""),"NN")</f>
        <v>NN</v>
      </c>
      <c r="H1088" s="2005">
        <f>IFERROR(__xludf.DUMMYFUNCTION("""COMPUTED_VALUE"""),109.9)</f>
        <v>109.9</v>
      </c>
      <c r="I1088" s="2005">
        <f>IFERROR(__xludf.DUMMYFUNCTION("""COMPUTED_VALUE"""),109.9)</f>
        <v>109.9</v>
      </c>
      <c r="BD1088" s="2006"/>
      <c r="LL1088" s="2007"/>
      <c r="LM1088" s="2007"/>
      <c r="MX1088" s="2007"/>
      <c r="ND1088" s="2007"/>
    </row>
    <row r="1089">
      <c r="A1089" s="2005">
        <f>IFERROR(__xludf.DUMMYFUNCTION("""COMPUTED_VALUE"""),1095415.0)</f>
        <v>1095415</v>
      </c>
      <c r="B1089" s="2005">
        <f>IFERROR(__xludf.DUMMYFUNCTION("""COMPUTED_VALUE"""),2202005.0)</f>
        <v>2202005</v>
      </c>
      <c r="C1089" s="2005" t="str">
        <f>IFERROR(__xludf.DUMMYFUNCTION("""COMPUTED_VALUE"""),"Multi Jet d'enc")</f>
        <v>Multi Jet d'enc</v>
      </c>
      <c r="D1089" s="2005" t="str">
        <f>IFERROR(__xludf.DUMMYFUNCTION("""COMPUTED_VALUE"""),"OfficeJet 5230 éligible Instant Ink")</f>
        <v>OfficeJet 5230 éligible Instant Ink</v>
      </c>
      <c r="E1089" s="2005" t="str">
        <f>IFERROR(__xludf.DUMMYFUNCTION("""COMPUTED_VALUE"""),"HP")</f>
        <v>HP</v>
      </c>
      <c r="F1089" s="2005" t="str">
        <f>IFERROR(__xludf.DUMMYFUNCTION("""COMPUTED_VALUE"""),"H")</f>
        <v>H</v>
      </c>
      <c r="G1089" s="2005" t="str">
        <f>IFERROR(__xludf.DUMMYFUNCTION("""COMPUTED_VALUE"""),"NN")</f>
        <v>NN</v>
      </c>
      <c r="H1089" s="2005">
        <f>IFERROR(__xludf.DUMMYFUNCTION("""COMPUTED_VALUE"""),74.99)</f>
        <v>74.99</v>
      </c>
      <c r="I1089" s="2005">
        <f>IFERROR(__xludf.DUMMYFUNCTION("""COMPUTED_VALUE"""),74.99)</f>
        <v>74.99</v>
      </c>
      <c r="BD1089" s="2006"/>
      <c r="LL1089" s="2008"/>
      <c r="LM1089" s="2007"/>
      <c r="MX1089" s="2008"/>
      <c r="ND1089" s="2007"/>
    </row>
    <row r="1090">
      <c r="A1090" s="2005">
        <f>IFERROR(__xludf.DUMMYFUNCTION("""COMPUTED_VALUE"""),1096696.0)</f>
        <v>1096696</v>
      </c>
      <c r="B1090" s="2005">
        <f>IFERROR(__xludf.DUMMYFUNCTION("""COMPUTED_VALUE"""),1105005.0)</f>
        <v>1105005</v>
      </c>
      <c r="C1090" s="2005" t="str">
        <f>IFERROR(__xludf.DUMMYFUNCTION("""COMPUTED_VALUE"""),"Tél.")</f>
        <v>Tél.</v>
      </c>
      <c r="D1090" s="2005" t="str">
        <f>IFERROR(__xludf.DUMMYFUNCTION("""COMPUTED_VALUE"""),"Conference 1500 CE")</f>
        <v>Conference 1500 CE</v>
      </c>
      <c r="E1090" s="2005" t="str">
        <f>IFERROR(__xludf.DUMMYFUNCTION("""COMPUTED_VALUE"""),"ALCATEL")</f>
        <v>ALCATEL</v>
      </c>
      <c r="F1090" s="2005" t="str">
        <f>IFERROR(__xludf.DUMMYFUNCTION("""COMPUTED_VALUE"""),"H")</f>
        <v>H</v>
      </c>
      <c r="G1090" s="2005" t="str">
        <f>IFERROR(__xludf.DUMMYFUNCTION("""COMPUTED_VALUE"""),"NN")</f>
        <v>NN</v>
      </c>
      <c r="H1090" s="2005">
        <f>IFERROR(__xludf.DUMMYFUNCTION("""COMPUTED_VALUE"""),243.99)</f>
        <v>243.99</v>
      </c>
      <c r="I1090" s="2005">
        <f>IFERROR(__xludf.DUMMYFUNCTION("""COMPUTED_VALUE"""),243.99)</f>
        <v>243.99</v>
      </c>
      <c r="BD1090" s="2006"/>
      <c r="LL1090" s="2007"/>
      <c r="LM1090" s="2007"/>
      <c r="MX1090" s="2007"/>
      <c r="ND1090" s="2008"/>
    </row>
    <row r="1091">
      <c r="A1091" s="2005">
        <f>IFERROR(__xludf.DUMMYFUNCTION("""COMPUTED_VALUE"""),1096698.0)</f>
        <v>1096698</v>
      </c>
      <c r="B1091" s="2005">
        <f>IFERROR(__xludf.DUMMYFUNCTION("""COMPUTED_VALUE"""),1105005.0)</f>
        <v>1105005</v>
      </c>
      <c r="C1091" s="2005" t="str">
        <f>IFERROR(__xludf.DUMMYFUNCTION("""COMPUTED_VALUE"""),"Tél.")</f>
        <v>Tél.</v>
      </c>
      <c r="D1091" s="2005" t="str">
        <f>IFERROR(__xludf.DUMMYFUNCTION("""COMPUTED_VALUE"""),"Conference 1800 CE")</f>
        <v>Conference 1800 CE</v>
      </c>
      <c r="E1091" s="2005" t="str">
        <f>IFERROR(__xludf.DUMMYFUNCTION("""COMPUTED_VALUE"""),"ALCATEL")</f>
        <v>ALCATEL</v>
      </c>
      <c r="F1091" s="2005" t="str">
        <f>IFERROR(__xludf.DUMMYFUNCTION("""COMPUTED_VALUE"""),"W")</f>
        <v>W</v>
      </c>
      <c r="G1091" s="2005" t="str">
        <f>IFERROR(__xludf.DUMMYFUNCTION("""COMPUTED_VALUE"""),"NN")</f>
        <v>NN</v>
      </c>
      <c r="H1091" s="2005">
        <f>IFERROR(__xludf.DUMMYFUNCTION("""COMPUTED_VALUE"""),280.99)</f>
        <v>280.99</v>
      </c>
      <c r="I1091" s="2005">
        <f>IFERROR(__xludf.DUMMYFUNCTION("""COMPUTED_VALUE"""),280.99)</f>
        <v>280.99</v>
      </c>
      <c r="BD1091" s="2006"/>
      <c r="LL1091" s="2008"/>
      <c r="LM1091" s="2007"/>
      <c r="MX1091" s="2007"/>
      <c r="ND1091" s="2008"/>
    </row>
    <row r="1092">
      <c r="A1092" s="2005">
        <f>IFERROR(__xludf.DUMMYFUNCTION("""COMPUTED_VALUE"""),1096712.0)</f>
        <v>1096712</v>
      </c>
      <c r="B1092" s="2005">
        <f>IFERROR(__xludf.DUMMYFUNCTION("""COMPUTED_VALUE"""),1105005.0)</f>
        <v>1105005</v>
      </c>
      <c r="C1092" s="2005" t="str">
        <f>IFERROR(__xludf.DUMMYFUNCTION("""COMPUTED_VALUE"""),"Tél.")</f>
        <v>Tél.</v>
      </c>
      <c r="D1092" s="2005" t="str">
        <f>IFERROR(__xludf.DUMMYFUNCTION("""COMPUTED_VALUE"""),"Temporis IP150")</f>
        <v>Temporis IP150</v>
      </c>
      <c r="E1092" s="2005" t="str">
        <f>IFERROR(__xludf.DUMMYFUNCTION("""COMPUTED_VALUE"""),"ALCATEL")</f>
        <v>ALCATEL</v>
      </c>
      <c r="F1092" s="2005" t="str">
        <f>IFERROR(__xludf.DUMMYFUNCTION("""COMPUTED_VALUE"""),"H")</f>
        <v>H</v>
      </c>
      <c r="G1092" s="2005" t="str">
        <f>IFERROR(__xludf.DUMMYFUNCTION("""COMPUTED_VALUE"""),"NN")</f>
        <v>NN</v>
      </c>
      <c r="H1092" s="2005">
        <f>IFERROR(__xludf.DUMMYFUNCTION("""COMPUTED_VALUE"""),69.99)</f>
        <v>69.99</v>
      </c>
      <c r="I1092" s="2005">
        <f>IFERROR(__xludf.DUMMYFUNCTION("""COMPUTED_VALUE"""),69.99)</f>
        <v>69.99</v>
      </c>
      <c r="BD1092" s="2006"/>
      <c r="LL1092" s="2008"/>
      <c r="LM1092" s="2007"/>
      <c r="MX1092" s="2007"/>
      <c r="ND1092" s="2008"/>
    </row>
    <row r="1093">
      <c r="A1093" s="2005">
        <f>IFERROR(__xludf.DUMMYFUNCTION("""COMPUTED_VALUE"""),1096716.0)</f>
        <v>1096716</v>
      </c>
      <c r="B1093" s="2005">
        <f>IFERROR(__xludf.DUMMYFUNCTION("""COMPUTED_VALUE"""),1105005.0)</f>
        <v>1105005</v>
      </c>
      <c r="C1093" s="2005" t="str">
        <f>IFERROR(__xludf.DUMMYFUNCTION("""COMPUTED_VALUE"""),"Tél.")</f>
        <v>Tél.</v>
      </c>
      <c r="D1093" s="2005" t="str">
        <f>IFERROR(__xludf.DUMMYFUNCTION("""COMPUTED_VALUE"""),"Temporis IP901G")</f>
        <v>Temporis IP901G</v>
      </c>
      <c r="E1093" s="2005" t="str">
        <f>IFERROR(__xludf.DUMMYFUNCTION("""COMPUTED_VALUE"""),"ALCATEL")</f>
        <v>ALCATEL</v>
      </c>
      <c r="F1093" s="2005" t="str">
        <f>IFERROR(__xludf.DUMMYFUNCTION("""COMPUTED_VALUE"""),"H")</f>
        <v>H</v>
      </c>
      <c r="G1093" s="2005" t="str">
        <f>IFERROR(__xludf.DUMMYFUNCTION("""COMPUTED_VALUE"""),"NN")</f>
        <v>NN</v>
      </c>
      <c r="H1093" s="2005">
        <f>IFERROR(__xludf.DUMMYFUNCTION("""COMPUTED_VALUE"""),117.99)</f>
        <v>117.99</v>
      </c>
      <c r="I1093" s="2005">
        <f>IFERROR(__xludf.DUMMYFUNCTION("""COMPUTED_VALUE"""),117.99)</f>
        <v>117.99</v>
      </c>
      <c r="BD1093" s="2006"/>
      <c r="LL1093" s="2007"/>
      <c r="LM1093" s="2008"/>
      <c r="MX1093" s="2008"/>
      <c r="ND1093" s="2007"/>
    </row>
    <row r="1094">
      <c r="A1094" s="2005">
        <f>IFERROR(__xludf.DUMMYFUNCTION("""COMPUTED_VALUE"""),1096795.0)</f>
        <v>1096795</v>
      </c>
      <c r="B1094" s="2005">
        <f>IFERROR(__xludf.DUMMYFUNCTION("""COMPUTED_VALUE"""),2403006.0)</f>
        <v>2403006</v>
      </c>
      <c r="C1094" s="2005" t="str">
        <f>IFERROR(__xludf.DUMMYFUNCTION("""COMPUTED_VALUE"""),"Cartouche")</f>
        <v>Cartouche</v>
      </c>
      <c r="D1094" s="2005" t="str">
        <f>IFERROR(__xludf.DUMMYFUNCTION("""COMPUTED_VALUE"""),"Pack filaments Stylo 3D Polaroid")</f>
        <v>Pack filaments Stylo 3D Polaroid</v>
      </c>
      <c r="E1094" s="2005" t="str">
        <f>IFERROR(__xludf.DUMMYFUNCTION("""COMPUTED_VALUE"""),"POLAROID")</f>
        <v>POLAROID</v>
      </c>
      <c r="F1094" s="2005" t="str">
        <f>IFERROR(__xludf.DUMMYFUNCTION("""COMPUTED_VALUE"""),"A")</f>
        <v>A</v>
      </c>
      <c r="G1094" s="2005" t="str">
        <f>IFERROR(__xludf.DUMMYFUNCTION("""COMPUTED_VALUE"""),"NN")</f>
        <v>NN</v>
      </c>
      <c r="H1094" s="2005">
        <f>IFERROR(__xludf.DUMMYFUNCTION("""COMPUTED_VALUE"""),23.99)</f>
        <v>23.99</v>
      </c>
      <c r="I1094" s="2005">
        <f>IFERROR(__xludf.DUMMYFUNCTION("""COMPUTED_VALUE"""),23.99)</f>
        <v>23.99</v>
      </c>
      <c r="BD1094" s="2006"/>
      <c r="LL1094" s="2007"/>
      <c r="LM1094" s="2008"/>
      <c r="MX1094" s="2007"/>
      <c r="ND1094" s="2007"/>
    </row>
    <row r="1095">
      <c r="A1095" s="2005">
        <f>IFERROR(__xludf.DUMMYFUNCTION("""COMPUTED_VALUE"""),1096853.0)</f>
        <v>1096853</v>
      </c>
      <c r="B1095" s="2005">
        <f>IFERROR(__xludf.DUMMYFUNCTION("""COMPUTED_VALUE"""),2502020.0)</f>
        <v>2502020</v>
      </c>
      <c r="C1095" s="2005" t="str">
        <f>IFERROR(__xludf.DUMMYFUNCTION("""COMPUTED_VALUE"""),"Webcam")</f>
        <v>Webcam</v>
      </c>
      <c r="D1095" s="2005" t="str">
        <f>IFERROR(__xludf.DUMMYFUNCTION("""COMPUTED_VALUE"""),"Brio 4K")</f>
        <v>Brio 4K</v>
      </c>
      <c r="E1095" s="2005" t="str">
        <f>IFERROR(__xludf.DUMMYFUNCTION("""COMPUTED_VALUE"""),"LOGITECH")</f>
        <v>LOGITECH</v>
      </c>
      <c r="F1095" s="2005" t="str">
        <f>IFERROR(__xludf.DUMMYFUNCTION("""COMPUTED_VALUE"""),"D")</f>
        <v>D</v>
      </c>
      <c r="G1095" s="2005" t="str">
        <f>IFERROR(__xludf.DUMMYFUNCTION("""COMPUTED_VALUE"""),"AC")</f>
        <v>AC</v>
      </c>
      <c r="H1095" s="2005">
        <f>IFERROR(__xludf.DUMMYFUNCTION("""COMPUTED_VALUE"""),269.99)</f>
        <v>269.99</v>
      </c>
      <c r="I1095" s="2005">
        <f>IFERROR(__xludf.DUMMYFUNCTION("""COMPUTED_VALUE"""),269.0)</f>
        <v>269</v>
      </c>
      <c r="BD1095" s="2006"/>
      <c r="LM1095" s="2007"/>
    </row>
    <row r="1096">
      <c r="A1096" s="2005">
        <f>IFERROR(__xludf.DUMMYFUNCTION("""COMPUTED_VALUE"""),1096856.0)</f>
        <v>1096856</v>
      </c>
      <c r="B1096" s="2005">
        <f>IFERROR(__xludf.DUMMYFUNCTION("""COMPUTED_VALUE"""),2502015.0)</f>
        <v>2502015</v>
      </c>
      <c r="C1096" s="2005" t="str">
        <f>IFERROR(__xludf.DUMMYFUNCTION("""COMPUTED_VALUE"""),"Clavier")</f>
        <v>Clavier</v>
      </c>
      <c r="D1096" s="2005" t="str">
        <f>IFERROR(__xludf.DUMMYFUNCTION("""COMPUTED_VALUE"""),"CRAFT")</f>
        <v>CRAFT</v>
      </c>
      <c r="E1096" s="2005" t="str">
        <f>IFERROR(__xludf.DUMMYFUNCTION("""COMPUTED_VALUE"""),"LOGITECH")</f>
        <v>LOGITECH</v>
      </c>
      <c r="F1096" s="2005" t="str">
        <f>IFERROR(__xludf.DUMMYFUNCTION("""COMPUTED_VALUE"""),"H")</f>
        <v>H</v>
      </c>
      <c r="G1096" s="2005" t="str">
        <f>IFERROR(__xludf.DUMMYFUNCTION("""COMPUTED_VALUE"""),"NN")</f>
        <v>NN</v>
      </c>
      <c r="H1096">
        <f>IFERROR(__xludf.DUMMYFUNCTION("""COMPUTED_VALUE"""),209.99)</f>
        <v>209.99</v>
      </c>
      <c r="I1096">
        <f>IFERROR(__xludf.DUMMYFUNCTION("""COMPUTED_VALUE"""),209.99)</f>
        <v>209.99</v>
      </c>
      <c r="LL1096" s="2007"/>
      <c r="LM1096" s="2008"/>
      <c r="MX1096" s="2007"/>
      <c r="ND1096" s="2007"/>
    </row>
    <row r="1097">
      <c r="A1097" s="2005">
        <f>IFERROR(__xludf.DUMMYFUNCTION("""COMPUTED_VALUE"""),1096857.0)</f>
        <v>1096857</v>
      </c>
      <c r="B1097" s="2005">
        <f>IFERROR(__xludf.DUMMYFUNCTION("""COMPUTED_VALUE"""),2502010.0)</f>
        <v>2502010</v>
      </c>
      <c r="C1097" s="2005" t="str">
        <f>IFERROR(__xludf.DUMMYFUNCTION("""COMPUTED_VALUE"""),"Souris")</f>
        <v>Souris</v>
      </c>
      <c r="D1097" s="2005" t="str">
        <f>IFERROR(__xludf.DUMMYFUNCTION("""COMPUTED_VALUE"""),"MX ERGO")</f>
        <v>MX ERGO</v>
      </c>
      <c r="E1097" s="2005" t="str">
        <f>IFERROR(__xludf.DUMMYFUNCTION("""COMPUTED_VALUE"""),"LOGITECH")</f>
        <v>LOGITECH</v>
      </c>
      <c r="F1097" s="2005" t="str">
        <f>IFERROR(__xludf.DUMMYFUNCTION("""COMPUTED_VALUE"""),"W")</f>
        <v>W</v>
      </c>
      <c r="G1097" s="2005" t="str">
        <f>IFERROR(__xludf.DUMMYFUNCTION("""COMPUTED_VALUE"""),"AC")</f>
        <v>AC</v>
      </c>
      <c r="H1097" s="2005">
        <f>IFERROR(__xludf.DUMMYFUNCTION("""COMPUTED_VALUE"""),119.99)</f>
        <v>119.99</v>
      </c>
      <c r="I1097" s="2005">
        <f>IFERROR(__xludf.DUMMYFUNCTION("""COMPUTED_VALUE"""),114.95)</f>
        <v>114.95</v>
      </c>
      <c r="BD1097" s="2006"/>
      <c r="LL1097" s="2007"/>
      <c r="LM1097" s="2008"/>
      <c r="MX1097" s="2007"/>
      <c r="ND1097" s="2007"/>
    </row>
    <row r="1098">
      <c r="A1098" s="2005">
        <f>IFERROR(__xludf.DUMMYFUNCTION("""COMPUTED_VALUE"""),1096859.0)</f>
        <v>1096859</v>
      </c>
      <c r="B1098" s="2005">
        <f>IFERROR(__xludf.DUMMYFUNCTION("""COMPUTED_VALUE"""),2503005.0)</f>
        <v>2503005</v>
      </c>
      <c r="C1098" s="2005" t="str">
        <f>IFERROR(__xludf.DUMMYFUNCTION("""COMPUTED_VALUE"""),"Enceinte")</f>
        <v>Enceinte</v>
      </c>
      <c r="D1098" s="2005" t="str">
        <f>IFERROR(__xludf.DUMMYFUNCTION("""COMPUTED_VALUE"""),"Z207 Bluetooth Noir")</f>
        <v>Z207 Bluetooth Noir</v>
      </c>
      <c r="E1098" s="2005" t="str">
        <f>IFERROR(__xludf.DUMMYFUNCTION("""COMPUTED_VALUE"""),"LOGITECH")</f>
        <v>LOGITECH</v>
      </c>
      <c r="F1098" s="2005" t="str">
        <f>IFERROR(__xludf.DUMMYFUNCTION("""COMPUTED_VALUE"""),"W")</f>
        <v>W</v>
      </c>
      <c r="G1098" s="2005" t="str">
        <f>IFERROR(__xludf.DUMMYFUNCTION("""COMPUTED_VALUE"""),"AC")</f>
        <v>AC</v>
      </c>
      <c r="H1098" s="2005">
        <f>IFERROR(__xludf.DUMMYFUNCTION("""COMPUTED_VALUE"""),69.99)</f>
        <v>69.99</v>
      </c>
      <c r="I1098" s="2005">
        <f>IFERROR(__xludf.DUMMYFUNCTION("""COMPUTED_VALUE"""),59.99)</f>
        <v>59.99</v>
      </c>
      <c r="BD1098" s="2006"/>
      <c r="LL1098" s="2007"/>
      <c r="LM1098" s="2008"/>
      <c r="MX1098" s="2007"/>
      <c r="ND1098" s="2007"/>
    </row>
    <row r="1099">
      <c r="A1099" s="2005">
        <f>IFERROR(__xludf.DUMMYFUNCTION("""COMPUTED_VALUE"""),1096870.0)</f>
        <v>1096870</v>
      </c>
      <c r="B1099" s="2005">
        <f>IFERROR(__xludf.DUMMYFUNCTION("""COMPUTED_VALUE"""),2202005.0)</f>
        <v>2202005</v>
      </c>
      <c r="C1099" s="2005" t="str">
        <f>IFERROR(__xludf.DUMMYFUNCTION("""COMPUTED_VALUE"""),"Multi Jet d'enc")</f>
        <v>Multi Jet d'enc</v>
      </c>
      <c r="D1099" s="2005" t="str">
        <f>IFERROR(__xludf.DUMMYFUNCTION("""COMPUTED_VALUE"""),"TS 8150 Noir")</f>
        <v>TS 8150 Noir</v>
      </c>
      <c r="E1099" s="2005" t="str">
        <f>IFERROR(__xludf.DUMMYFUNCTION("""COMPUTED_VALUE"""),"CANON")</f>
        <v>CANON</v>
      </c>
      <c r="F1099" s="2005" t="str">
        <f>IFERROR(__xludf.DUMMYFUNCTION("""COMPUTED_VALUE"""),"H")</f>
        <v>H</v>
      </c>
      <c r="G1099" s="2005" t="str">
        <f>IFERROR(__xludf.DUMMYFUNCTION("""COMPUTED_VALUE"""),"NN")</f>
        <v>NN</v>
      </c>
      <c r="H1099" s="2005">
        <f>IFERROR(__xludf.DUMMYFUNCTION("""COMPUTED_VALUE"""),179.99)</f>
        <v>179.99</v>
      </c>
      <c r="I1099" s="2005">
        <f>IFERROR(__xludf.DUMMYFUNCTION("""COMPUTED_VALUE"""),179.99)</f>
        <v>179.99</v>
      </c>
      <c r="BD1099" s="2006"/>
      <c r="LL1099" s="2007"/>
      <c r="LM1099" s="2008"/>
      <c r="MX1099" s="2007"/>
      <c r="ND1099" s="2007"/>
    </row>
    <row r="1100">
      <c r="A1100" s="2005">
        <f>IFERROR(__xludf.DUMMYFUNCTION("""COMPUTED_VALUE"""),1096935.0)</f>
        <v>1096935</v>
      </c>
      <c r="B1100" s="2005">
        <f>IFERROR(__xludf.DUMMYFUNCTION("""COMPUTED_VALUE"""),2502015.0)</f>
        <v>2502015</v>
      </c>
      <c r="C1100" s="2005" t="str">
        <f>IFERROR(__xludf.DUMMYFUNCTION("""COMPUTED_VALUE"""),"Clavier+Souris")</f>
        <v>Clavier+Souris</v>
      </c>
      <c r="D1100" s="2005" t="str">
        <f>IFERROR(__xludf.DUMMYFUNCTION("""COMPUTED_VALUE"""),"MK850")</f>
        <v>MK850</v>
      </c>
      <c r="E1100" s="2005" t="str">
        <f>IFERROR(__xludf.DUMMYFUNCTION("""COMPUTED_VALUE"""),"LOGITECH")</f>
        <v>LOGITECH</v>
      </c>
      <c r="F1100" s="2005" t="str">
        <f>IFERROR(__xludf.DUMMYFUNCTION("""COMPUTED_VALUE"""),"W")</f>
        <v>W</v>
      </c>
      <c r="G1100" s="2005" t="str">
        <f>IFERROR(__xludf.DUMMYFUNCTION("""COMPUTED_VALUE"""),"AC")</f>
        <v>AC</v>
      </c>
      <c r="H1100" s="2005">
        <f>IFERROR(__xludf.DUMMYFUNCTION("""COMPUTED_VALUE"""),129.99)</f>
        <v>129.99</v>
      </c>
      <c r="I1100" s="2005">
        <f>IFERROR(__xludf.DUMMYFUNCTION("""COMPUTED_VALUE"""),103.14)</f>
        <v>103.14</v>
      </c>
      <c r="BD1100" s="2006"/>
      <c r="LL1100" s="2007"/>
      <c r="LM1100" s="2008"/>
      <c r="MX1100" s="2007"/>
      <c r="ND1100" s="2007"/>
    </row>
    <row r="1101">
      <c r="A1101" s="2005">
        <f>IFERROR(__xludf.DUMMYFUNCTION("""COMPUTED_VALUE"""),1096937.0)</f>
        <v>1096937</v>
      </c>
      <c r="B1101" s="2005">
        <f>IFERROR(__xludf.DUMMYFUNCTION("""COMPUTED_VALUE"""),2502015.0)</f>
        <v>2502015</v>
      </c>
      <c r="C1101" s="2005" t="str">
        <f>IFERROR(__xludf.DUMMYFUNCTION("""COMPUTED_VALUE"""),"Clavier")</f>
        <v>Clavier</v>
      </c>
      <c r="D1101" s="2005" t="str">
        <f>IFERROR(__xludf.DUMMYFUNCTION("""COMPUTED_VALUE"""),"Slim Combo pour iPad Pro 12.9'")</f>
        <v>Slim Combo pour iPad Pro 12.9'</v>
      </c>
      <c r="E1101" s="2005" t="str">
        <f>IFERROR(__xludf.DUMMYFUNCTION("""COMPUTED_VALUE"""),"LOGITECH")</f>
        <v>LOGITECH</v>
      </c>
      <c r="F1101" s="2005" t="str">
        <f>IFERROR(__xludf.DUMMYFUNCTION("""COMPUTED_VALUE"""),"D")</f>
        <v>D</v>
      </c>
      <c r="G1101" s="2005" t="str">
        <f>IFERROR(__xludf.DUMMYFUNCTION("""COMPUTED_VALUE"""),"NN")</f>
        <v>NN</v>
      </c>
      <c r="H1101">
        <f>IFERROR(__xludf.DUMMYFUNCTION("""COMPUTED_VALUE"""),149.02)</f>
        <v>149.02</v>
      </c>
      <c r="I1101">
        <f>IFERROR(__xludf.DUMMYFUNCTION("""COMPUTED_VALUE"""),149.02)</f>
        <v>149.02</v>
      </c>
      <c r="BD1101" s="2006"/>
      <c r="LL1101" s="2007"/>
      <c r="LM1101" s="2008"/>
      <c r="MX1101" s="2007"/>
      <c r="ND1101" s="2007"/>
    </row>
    <row r="1102">
      <c r="A1102" s="2005">
        <f>IFERROR(__xludf.DUMMYFUNCTION("""COMPUTED_VALUE"""),1097123.0)</f>
        <v>1097123</v>
      </c>
      <c r="B1102" s="2005">
        <f>IFERROR(__xludf.DUMMYFUNCTION("""COMPUTED_VALUE"""),2502040.0)</f>
        <v>2502040</v>
      </c>
      <c r="C1102" s="2005" t="str">
        <f>IFERROR(__xludf.DUMMYFUNCTION("""COMPUTED_VALUE"""),"Clavier")</f>
        <v>Clavier</v>
      </c>
      <c r="D1102" s="2005" t="str">
        <f>IFERROR(__xludf.DUMMYFUNCTION("""COMPUTED_VALUE"""),"Type Cover Surface Pro Noir")</f>
        <v>Type Cover Surface Pro Noir</v>
      </c>
      <c r="E1102" s="2005" t="str">
        <f>IFERROR(__xludf.DUMMYFUNCTION("""COMPUTED_VALUE"""),"MICROSOFT")</f>
        <v>MICROSOFT</v>
      </c>
      <c r="F1102" s="2005" t="str">
        <f>IFERROR(__xludf.DUMMYFUNCTION("""COMPUTED_VALUE"""),"E")</f>
        <v>E</v>
      </c>
      <c r="G1102" s="2005" t="str">
        <f>IFERROR(__xludf.DUMMYFUNCTION("""COMPUTED_VALUE"""),"NN")</f>
        <v>NN</v>
      </c>
      <c r="H1102" s="2005">
        <f>IFERROR(__xludf.DUMMYFUNCTION("""COMPUTED_VALUE"""),149.95)</f>
        <v>149.95</v>
      </c>
      <c r="I1102" s="2005">
        <f>IFERROR(__xludf.DUMMYFUNCTION("""COMPUTED_VALUE"""),149.95)</f>
        <v>149.95</v>
      </c>
      <c r="BD1102" s="2006"/>
      <c r="LL1102" s="2007"/>
      <c r="LM1102" s="2008"/>
      <c r="MX1102" s="2007"/>
      <c r="ND1102" s="2007"/>
    </row>
    <row r="1103">
      <c r="A1103" s="2005">
        <f>IFERROR(__xludf.DUMMYFUNCTION("""COMPUTED_VALUE"""),1097125.0)</f>
        <v>1097125</v>
      </c>
      <c r="B1103" s="2005">
        <f>IFERROR(__xludf.DUMMYFUNCTION("""COMPUTED_VALUE"""),2502010.0)</f>
        <v>2502010</v>
      </c>
      <c r="C1103" s="2005" t="str">
        <f>IFERROR(__xludf.DUMMYFUNCTION("""COMPUTED_VALUE"""),"Souris")</f>
        <v>Souris</v>
      </c>
      <c r="D1103" s="2005" t="str">
        <f>IFERROR(__xludf.DUMMYFUNCTION("""COMPUTED_VALUE"""),"Arc-Noir")</f>
        <v>Arc-Noir</v>
      </c>
      <c r="E1103" s="2005" t="str">
        <f>IFERROR(__xludf.DUMMYFUNCTION("""COMPUTED_VALUE"""),"MICROSOFT")</f>
        <v>MICROSOFT</v>
      </c>
      <c r="F1103" s="2005" t="str">
        <f>IFERROR(__xludf.DUMMYFUNCTION("""COMPUTED_VALUE"""),"W")</f>
        <v>W</v>
      </c>
      <c r="G1103" s="2005" t="str">
        <f>IFERROR(__xludf.DUMMYFUNCTION("""COMPUTED_VALUE"""),"NN")</f>
        <v>NN</v>
      </c>
      <c r="H1103" s="2005">
        <f>IFERROR(__xludf.DUMMYFUNCTION("""COMPUTED_VALUE"""),89.99)</f>
        <v>89.99</v>
      </c>
      <c r="I1103" s="2005">
        <f>IFERROR(__xludf.DUMMYFUNCTION("""COMPUTED_VALUE"""),89.99)</f>
        <v>89.99</v>
      </c>
      <c r="BD1103" s="2006"/>
      <c r="LL1103" s="2007"/>
      <c r="LM1103" s="2008"/>
      <c r="MX1103" s="2007"/>
      <c r="ND1103" s="2007"/>
    </row>
    <row r="1104">
      <c r="A1104" s="2005">
        <f>IFERROR(__xludf.DUMMYFUNCTION("""COMPUTED_VALUE"""),1097214.0)</f>
        <v>1097214</v>
      </c>
      <c r="B1104" s="2005">
        <f>IFERROR(__xludf.DUMMYFUNCTION("""COMPUTED_VALUE"""),2403005.0)</f>
        <v>2403005</v>
      </c>
      <c r="C1104" s="2005" t="str">
        <f>IFERROR(__xludf.DUMMYFUNCTION("""COMPUTED_VALUE"""),"Pack")</f>
        <v>Pack</v>
      </c>
      <c r="D1104" s="2005" t="str">
        <f>IFERROR(__xludf.DUMMYFUNCTION("""COMPUTED_VALUE"""),"T3479 Noir XL+C/M/J Série Balle de golf")</f>
        <v>T3479 Noir XL+C/M/J Série Balle de golf</v>
      </c>
      <c r="E1104" s="2005" t="str">
        <f>IFERROR(__xludf.DUMMYFUNCTION("""COMPUTED_VALUE"""),"EPSON")</f>
        <v>EPSON</v>
      </c>
      <c r="F1104" s="2005" t="str">
        <f>IFERROR(__xludf.DUMMYFUNCTION("""COMPUTED_VALUE"""),"H")</f>
        <v>H</v>
      </c>
      <c r="G1104" s="2005" t="str">
        <f>IFERROR(__xludf.DUMMYFUNCTION("""COMPUTED_VALUE"""),"AC")</f>
        <v>AC</v>
      </c>
      <c r="H1104" s="2005">
        <f>IFERROR(__xludf.DUMMYFUNCTION("""COMPUTED_VALUE"""),92.0)</f>
        <v>92</v>
      </c>
      <c r="I1104" s="2005">
        <f>IFERROR(__xludf.DUMMYFUNCTION("""COMPUTED_VALUE"""),92.0)</f>
        <v>92</v>
      </c>
      <c r="BD1104" s="2006"/>
      <c r="LL1104" s="2007"/>
      <c r="LM1104" s="2008"/>
      <c r="MX1104" s="2007"/>
      <c r="ND1104" s="2007"/>
    </row>
    <row r="1105">
      <c r="A1105" s="2005">
        <f>IFERROR(__xludf.DUMMYFUNCTION("""COMPUTED_VALUE"""),1097360.0)</f>
        <v>1097360</v>
      </c>
      <c r="B1105" s="2005">
        <f>IFERROR(__xludf.DUMMYFUNCTION("""COMPUTED_VALUE"""),2403005.0)</f>
        <v>2403005</v>
      </c>
      <c r="C1105" s="2005" t="str">
        <f>IFERROR(__xludf.DUMMYFUNCTION("""COMPUTED_VALUE"""),"Cartouche")</f>
        <v>Cartouche</v>
      </c>
      <c r="D1105" s="2005" t="str">
        <f>IFERROR(__xludf.DUMMYFUNCTION("""COMPUTED_VALUE"""),"303 noire")</f>
        <v>303 noire</v>
      </c>
      <c r="E1105" s="2005" t="str">
        <f>IFERROR(__xludf.DUMMYFUNCTION("""COMPUTED_VALUE"""),"HP")</f>
        <v>HP</v>
      </c>
      <c r="F1105" s="2005" t="str">
        <f>IFERROR(__xludf.DUMMYFUNCTION("""COMPUTED_VALUE"""),"A")</f>
        <v>A</v>
      </c>
      <c r="G1105" s="2005" t="str">
        <f>IFERROR(__xludf.DUMMYFUNCTION("""COMPUTED_VALUE"""),"AC")</f>
        <v>AC</v>
      </c>
      <c r="H1105" s="2005">
        <f>IFERROR(__xludf.DUMMYFUNCTION("""COMPUTED_VALUE"""),21.99)</f>
        <v>21.99</v>
      </c>
      <c r="I1105" s="2005">
        <f>IFERROR(__xludf.DUMMYFUNCTION("""COMPUTED_VALUE"""),21.99)</f>
        <v>21.99</v>
      </c>
      <c r="BD1105" s="2006"/>
      <c r="LL1105" s="2007"/>
      <c r="LM1105" s="2008"/>
      <c r="MX1105" s="2007"/>
      <c r="ND1105" s="2007"/>
    </row>
    <row r="1106">
      <c r="A1106" s="2005">
        <f>IFERROR(__xludf.DUMMYFUNCTION("""COMPUTED_VALUE"""),1097521.0)</f>
        <v>1097521</v>
      </c>
      <c r="B1106" s="2005">
        <f>IFERROR(__xludf.DUMMYFUNCTION("""COMPUTED_VALUE"""),2403005.0)</f>
        <v>2403005</v>
      </c>
      <c r="C1106" s="2005" t="str">
        <f>IFERROR(__xludf.DUMMYFUNCTION("""COMPUTED_VALUE"""),"Cartouche")</f>
        <v>Cartouche</v>
      </c>
      <c r="D1106" s="2005" t="str">
        <f>IFERROR(__xludf.DUMMYFUNCTION("""COMPUTED_VALUE"""),"303 3 Couleurs")</f>
        <v>303 3 Couleurs</v>
      </c>
      <c r="E1106" s="2005" t="str">
        <f>IFERROR(__xludf.DUMMYFUNCTION("""COMPUTED_VALUE"""),"HP")</f>
        <v>HP</v>
      </c>
      <c r="F1106" s="2005" t="str">
        <f>IFERROR(__xludf.DUMMYFUNCTION("""COMPUTED_VALUE"""),"A")</f>
        <v>A</v>
      </c>
      <c r="G1106" s="2005" t="str">
        <f>IFERROR(__xludf.DUMMYFUNCTION("""COMPUTED_VALUE"""),"AC")</f>
        <v>AC</v>
      </c>
      <c r="H1106">
        <f>IFERROR(__xludf.DUMMYFUNCTION("""COMPUTED_VALUE"""),26.99)</f>
        <v>26.99</v>
      </c>
      <c r="I1106">
        <f>IFERROR(__xludf.DUMMYFUNCTION("""COMPUTED_VALUE"""),26.99)</f>
        <v>26.99</v>
      </c>
      <c r="BD1106" s="2006"/>
      <c r="LL1106" s="2008"/>
      <c r="LM1106" s="2008"/>
      <c r="MX1106" s="2007"/>
      <c r="ND1106" s="2007"/>
    </row>
    <row r="1107">
      <c r="A1107" s="2005">
        <f>IFERROR(__xludf.DUMMYFUNCTION("""COMPUTED_VALUE"""),1097522.0)</f>
        <v>1097522</v>
      </c>
      <c r="B1107" s="2005">
        <f>IFERROR(__xludf.DUMMYFUNCTION("""COMPUTED_VALUE"""),2403005.0)</f>
        <v>2403005</v>
      </c>
      <c r="C1107" s="2005" t="str">
        <f>IFERROR(__xludf.DUMMYFUNCTION("""COMPUTED_VALUE"""),"Cartouche")</f>
        <v>Cartouche</v>
      </c>
      <c r="D1107" s="2005" t="str">
        <f>IFERROR(__xludf.DUMMYFUNCTION("""COMPUTED_VALUE"""),"303 XL noire")</f>
        <v>303 XL noire</v>
      </c>
      <c r="E1107" s="2005" t="str">
        <f>IFERROR(__xludf.DUMMYFUNCTION("""COMPUTED_VALUE"""),"HP")</f>
        <v>HP</v>
      </c>
      <c r="F1107" s="2005" t="str">
        <f>IFERROR(__xludf.DUMMYFUNCTION("""COMPUTED_VALUE"""),"A")</f>
        <v>A</v>
      </c>
      <c r="G1107" s="2005" t="str">
        <f>IFERROR(__xludf.DUMMYFUNCTION("""COMPUTED_VALUE"""),"AC")</f>
        <v>AC</v>
      </c>
      <c r="H1107" s="2005">
        <f>IFERROR(__xludf.DUMMYFUNCTION("""COMPUTED_VALUE"""),44.99)</f>
        <v>44.99</v>
      </c>
      <c r="I1107" s="2005">
        <f>IFERROR(__xludf.DUMMYFUNCTION("""COMPUTED_VALUE"""),44.99)</f>
        <v>44.99</v>
      </c>
      <c r="BD1107" s="2006"/>
      <c r="LL1107" s="2008"/>
      <c r="LM1107" s="2008"/>
      <c r="MX1107" s="2007"/>
      <c r="ND1107" s="2007"/>
    </row>
    <row r="1108">
      <c r="A1108" s="2005">
        <f>IFERROR(__xludf.DUMMYFUNCTION("""COMPUTED_VALUE"""),1097523.0)</f>
        <v>1097523</v>
      </c>
      <c r="B1108" s="2005">
        <f>IFERROR(__xludf.DUMMYFUNCTION("""COMPUTED_VALUE"""),2403005.0)</f>
        <v>2403005</v>
      </c>
      <c r="C1108" s="2005" t="str">
        <f>IFERROR(__xludf.DUMMYFUNCTION("""COMPUTED_VALUE"""),"Cartouche")</f>
        <v>Cartouche</v>
      </c>
      <c r="D1108" s="2005" t="str">
        <f>IFERROR(__xludf.DUMMYFUNCTION("""COMPUTED_VALUE"""),"303 XL 3 Couleurs")</f>
        <v>303 XL 3 Couleurs</v>
      </c>
      <c r="E1108" s="2005" t="str">
        <f>IFERROR(__xludf.DUMMYFUNCTION("""COMPUTED_VALUE"""),"HP")</f>
        <v>HP</v>
      </c>
      <c r="F1108" s="2005" t="str">
        <f>IFERROR(__xludf.DUMMYFUNCTION("""COMPUTED_VALUE"""),"A")</f>
        <v>A</v>
      </c>
      <c r="G1108" s="2005" t="str">
        <f>IFERROR(__xludf.DUMMYFUNCTION("""COMPUTED_VALUE"""),"AC")</f>
        <v>AC</v>
      </c>
      <c r="H1108" s="2005">
        <f>IFERROR(__xludf.DUMMYFUNCTION("""COMPUTED_VALUE"""),50.99)</f>
        <v>50.99</v>
      </c>
      <c r="I1108" s="2005">
        <f>IFERROR(__xludf.DUMMYFUNCTION("""COMPUTED_VALUE"""),50.99)</f>
        <v>50.99</v>
      </c>
      <c r="BD1108" s="2006"/>
      <c r="LL1108" s="2007"/>
      <c r="LM1108" s="2008"/>
      <c r="MX1108" s="2007"/>
      <c r="ND1108" s="2007"/>
    </row>
    <row r="1109">
      <c r="A1109" s="2005">
        <f>IFERROR(__xludf.DUMMYFUNCTION("""COMPUTED_VALUE"""),1097524.0)</f>
        <v>1097524</v>
      </c>
      <c r="B1109" s="2005">
        <f>IFERROR(__xludf.DUMMYFUNCTION("""COMPUTED_VALUE"""),2403005.0)</f>
        <v>2403005</v>
      </c>
      <c r="C1109" s="2005" t="str">
        <f>IFERROR(__xludf.DUMMYFUNCTION("""COMPUTED_VALUE"""),"Cartouche")</f>
        <v>Cartouche</v>
      </c>
      <c r="D1109" s="2005" t="str">
        <f>IFERROR(__xludf.DUMMYFUNCTION("""COMPUTED_VALUE"""),"N°303 (1cart Noir+1 Coul)+40f pap 10x15")</f>
        <v>N°303 (1cart Noir+1 Coul)+40f pap 10x15</v>
      </c>
      <c r="E1109" s="2005" t="str">
        <f>IFERROR(__xludf.DUMMYFUNCTION("""COMPUTED_VALUE"""),"HP")</f>
        <v>HP</v>
      </c>
      <c r="F1109" s="2005" t="str">
        <f>IFERROR(__xludf.DUMMYFUNCTION("""COMPUTED_VALUE"""),"H")</f>
        <v>H</v>
      </c>
      <c r="G1109" s="2005" t="str">
        <f>IFERROR(__xludf.DUMMYFUNCTION("""COMPUTED_VALUE"""),"FR")</f>
        <v>FR</v>
      </c>
      <c r="H1109" s="2005">
        <f>IFERROR(__xludf.DUMMYFUNCTION("""COMPUTED_VALUE"""),33.99)</f>
        <v>33.99</v>
      </c>
      <c r="I1109" s="2005">
        <f>IFERROR(__xludf.DUMMYFUNCTION("""COMPUTED_VALUE"""),33.99)</f>
        <v>33.99</v>
      </c>
      <c r="BD1109" s="2006"/>
      <c r="LL1109" s="2007"/>
      <c r="LM1109" s="2008"/>
      <c r="MX1109" s="2007"/>
      <c r="ND1109" s="2007"/>
    </row>
    <row r="1110">
      <c r="A1110" s="2005">
        <f>IFERROR(__xludf.DUMMYFUNCTION("""COMPUTED_VALUE"""),1097659.0)</f>
        <v>1097659</v>
      </c>
      <c r="B1110" s="2005">
        <f>IFERROR(__xludf.DUMMYFUNCTION("""COMPUTED_VALUE"""),2203010.0)</f>
        <v>2203010</v>
      </c>
      <c r="C1110" s="2005" t="str">
        <f>IFERROR(__xludf.DUMMYFUNCTION("""COMPUTED_VALUE"""),"Scanner")</f>
        <v>Scanner</v>
      </c>
      <c r="D1110" s="2005" t="str">
        <f>IFERROR(__xludf.DUMMYFUNCTION("""COMPUTED_VALUE"""),"IRIScan Pro 5")</f>
        <v>IRIScan Pro 5</v>
      </c>
      <c r="E1110" s="2005" t="str">
        <f>IFERROR(__xludf.DUMMYFUNCTION("""COMPUTED_VALUE"""),"IRIS")</f>
        <v>IRIS</v>
      </c>
      <c r="F1110" s="2005" t="str">
        <f>IFERROR(__xludf.DUMMYFUNCTION("""COMPUTED_VALUE"""),"B")</f>
        <v>B</v>
      </c>
      <c r="G1110" s="2005" t="str">
        <f>IFERROR(__xludf.DUMMYFUNCTION("""COMPUTED_VALUE"""),"AC")</f>
        <v>AC</v>
      </c>
      <c r="H1110" s="2005">
        <f>IFERROR(__xludf.DUMMYFUNCTION("""COMPUTED_VALUE"""),298.99)</f>
        <v>298.99</v>
      </c>
      <c r="I1110" s="2005">
        <f>IFERROR(__xludf.DUMMYFUNCTION("""COMPUTED_VALUE"""),298.99)</f>
        <v>298.99</v>
      </c>
      <c r="BD1110" s="2006"/>
      <c r="LL1110" s="2007"/>
      <c r="LM1110" s="2008"/>
      <c r="MX1110" s="2008"/>
      <c r="ND1110" s="2007"/>
    </row>
    <row r="1111">
      <c r="A1111" s="2005">
        <f>IFERROR(__xludf.DUMMYFUNCTION("""COMPUTED_VALUE"""),1097861.0)</f>
        <v>1097861</v>
      </c>
      <c r="B1111" s="2005">
        <f>IFERROR(__xludf.DUMMYFUNCTION("""COMPUTED_VALUE"""),2207005.0)</f>
        <v>2207005</v>
      </c>
      <c r="C1111" s="2005" t="str">
        <f>IFERROR(__xludf.DUMMYFUNCTION("""COMPUTED_VALUE"""),"Imprimante")</f>
        <v>Imprimante</v>
      </c>
      <c r="D1111" s="2005" t="str">
        <f>IFERROR(__xludf.DUMMYFUNCTION("""COMPUTED_VALUE"""),"Nano 1tête")</f>
        <v>Nano 1tête</v>
      </c>
      <c r="E1111" s="2005" t="str">
        <f>IFERROR(__xludf.DUMMYFUNCTION("""COMPUTED_VALUE"""),"XYZ PRINTING")</f>
        <v>XYZ PRINTING</v>
      </c>
      <c r="F1111" s="2005" t="str">
        <f>IFERROR(__xludf.DUMMYFUNCTION("""COMPUTED_VALUE"""),"H")</f>
        <v>H</v>
      </c>
      <c r="G1111" s="2005" t="str">
        <f>IFERROR(__xludf.DUMMYFUNCTION("""COMPUTED_VALUE"""),"NN")</f>
        <v>NN</v>
      </c>
      <c r="H1111">
        <f>IFERROR(__xludf.DUMMYFUNCTION("""COMPUTED_VALUE"""),216.99)</f>
        <v>216.99</v>
      </c>
      <c r="I1111">
        <f>IFERROR(__xludf.DUMMYFUNCTION("""COMPUTED_VALUE"""),216.99)</f>
        <v>216.99</v>
      </c>
      <c r="BD1111" s="2006"/>
      <c r="LL1111" s="2007"/>
      <c r="LM1111" s="2008"/>
      <c r="MX1111" s="2007"/>
      <c r="ND1111" s="2007"/>
    </row>
    <row r="1112">
      <c r="A1112" s="2005">
        <f>IFERROR(__xludf.DUMMYFUNCTION("""COMPUTED_VALUE"""),1098140.0)</f>
        <v>1098140</v>
      </c>
      <c r="B1112" s="2005">
        <f>IFERROR(__xludf.DUMMYFUNCTION("""COMPUTED_VALUE"""),2403006.0)</f>
        <v>2403006</v>
      </c>
      <c r="C1112" s="2005" t="str">
        <f>IFERROR(__xludf.DUMMYFUNCTION("""COMPUTED_VALUE"""),"Cartouche")</f>
        <v>Cartouche</v>
      </c>
      <c r="D1112" s="2005" t="str">
        <f>IFERROR(__xludf.DUMMYFUNCTION("""COMPUTED_VALUE"""),"PLA Color Blanc")</f>
        <v>PLA Color Blanc</v>
      </c>
      <c r="E1112" s="2005" t="str">
        <f>IFERROR(__xludf.DUMMYFUNCTION("""COMPUTED_VALUE"""),"XYZ PRINTING")</f>
        <v>XYZ PRINTING</v>
      </c>
      <c r="F1112" s="2005" t="str">
        <f>IFERROR(__xludf.DUMMYFUNCTION("""COMPUTED_VALUE"""),"W")</f>
        <v>W</v>
      </c>
      <c r="G1112" s="2005" t="str">
        <f>IFERROR(__xludf.DUMMYFUNCTION("""COMPUTED_VALUE"""),"NN")</f>
        <v>NN</v>
      </c>
      <c r="H1112" s="2005">
        <f>IFERROR(__xludf.DUMMYFUNCTION("""COMPUTED_VALUE"""),39.0)</f>
        <v>39</v>
      </c>
      <c r="I1112" s="2005">
        <f>IFERROR(__xludf.DUMMYFUNCTION("""COMPUTED_VALUE"""),39.0)</f>
        <v>39</v>
      </c>
      <c r="BD1112" s="2006"/>
      <c r="LM1112" s="2008"/>
    </row>
    <row r="1113">
      <c r="A1113" s="2005">
        <f>IFERROR(__xludf.DUMMYFUNCTION("""COMPUTED_VALUE"""),1098220.0)</f>
        <v>1098220</v>
      </c>
      <c r="B1113" s="2005">
        <f>IFERROR(__xludf.DUMMYFUNCTION("""COMPUTED_VALUE"""),2403006.0)</f>
        <v>2403006</v>
      </c>
      <c r="C1113" s="2005" t="str">
        <f>IFERROR(__xludf.DUMMYFUNCTION("""COMPUTED_VALUE"""),"Cartouche")</f>
        <v>Cartouche</v>
      </c>
      <c r="D1113" s="2005" t="str">
        <f>IFERROR(__xludf.DUMMYFUNCTION("""COMPUTED_VALUE"""),"Encre Color Jaune")</f>
        <v>Encre Color Jaune</v>
      </c>
      <c r="E1113" s="2005" t="str">
        <f>IFERROR(__xludf.DUMMYFUNCTION("""COMPUTED_VALUE"""),"XYZ PRINTING")</f>
        <v>XYZ PRINTING</v>
      </c>
      <c r="F1113" s="2005" t="str">
        <f>IFERROR(__xludf.DUMMYFUNCTION("""COMPUTED_VALUE"""),"H")</f>
        <v>H</v>
      </c>
      <c r="G1113" s="2005" t="str">
        <f>IFERROR(__xludf.DUMMYFUNCTION("""COMPUTED_VALUE"""),"NN")</f>
        <v>NN</v>
      </c>
      <c r="H1113" s="2005">
        <f>IFERROR(__xludf.DUMMYFUNCTION("""COMPUTED_VALUE"""),10.0)</f>
        <v>10</v>
      </c>
      <c r="I1113" s="2005">
        <f>IFERROR(__xludf.DUMMYFUNCTION("""COMPUTED_VALUE"""),10.0)</f>
        <v>10</v>
      </c>
      <c r="BD1113" s="2006"/>
      <c r="LL1113" s="2007"/>
      <c r="LM1113" s="2008"/>
      <c r="MX1113" s="2007"/>
      <c r="ND1113" s="2007"/>
    </row>
    <row r="1114">
      <c r="A1114" s="2005">
        <f>IFERROR(__xludf.DUMMYFUNCTION("""COMPUTED_VALUE"""),1098241.0)</f>
        <v>1098241</v>
      </c>
      <c r="B1114" s="2005">
        <f>IFERROR(__xludf.DUMMYFUNCTION("""COMPUTED_VALUE"""),2207005.0)</f>
        <v>2207005</v>
      </c>
      <c r="C1114" s="2005" t="str">
        <f>IFERROR(__xludf.DUMMYFUNCTION("""COMPUTED_VALUE"""),"Imprimante")</f>
        <v>Imprimante</v>
      </c>
      <c r="D1114" s="2005" t="str">
        <f>IFERROR(__xludf.DUMMYFUNCTION("""COMPUTED_VALUE"""),"Super Fine")</f>
        <v>Super Fine</v>
      </c>
      <c r="E1114" s="2005" t="str">
        <f>IFERROR(__xludf.DUMMYFUNCTION("""COMPUTED_VALUE"""),"XYZ PRINTING")</f>
        <v>XYZ PRINTING</v>
      </c>
      <c r="F1114" s="2005" t="str">
        <f>IFERROR(__xludf.DUMMYFUNCTION("""COMPUTED_VALUE"""),"H")</f>
        <v>H</v>
      </c>
      <c r="G1114" s="2005" t="str">
        <f>IFERROR(__xludf.DUMMYFUNCTION("""COMPUTED_VALUE"""),"NN")</f>
        <v>NN</v>
      </c>
      <c r="H1114" s="2005">
        <f>IFERROR(__xludf.DUMMYFUNCTION("""COMPUTED_VALUE"""),2350.99)</f>
        <v>2350.99</v>
      </c>
      <c r="I1114" s="2005">
        <f>IFERROR(__xludf.DUMMYFUNCTION("""COMPUTED_VALUE"""),2349.0)</f>
        <v>2349</v>
      </c>
      <c r="BD1114" s="2006"/>
      <c r="LL1114" s="2007"/>
      <c r="LM1114" s="2007"/>
      <c r="MX1114" s="2007"/>
      <c r="ND1114" s="2007"/>
    </row>
    <row r="1115">
      <c r="A1115" s="2005">
        <f>IFERROR(__xludf.DUMMYFUNCTION("""COMPUTED_VALUE"""),1098400.0)</f>
        <v>1098400</v>
      </c>
      <c r="B1115" s="2005">
        <f>IFERROR(__xludf.DUMMYFUNCTION("""COMPUTED_VALUE"""),2502012.0)</f>
        <v>2502012</v>
      </c>
      <c r="C1115" s="2005" t="str">
        <f>IFERROR(__xludf.DUMMYFUNCTION("""COMPUTED_VALUE"""),"Tablette Graph")</f>
        <v>Tablette Graph</v>
      </c>
      <c r="D1115" s="2005" t="str">
        <f>IFERROR(__xludf.DUMMYFUNCTION("""COMPUTED_VALUE"""),"SLATE 2 +")</f>
        <v>SLATE 2 +</v>
      </c>
      <c r="E1115" s="2005" t="str">
        <f>IFERROR(__xludf.DUMMYFUNCTION("""COMPUTED_VALUE"""),"ISKN")</f>
        <v>ISKN</v>
      </c>
      <c r="F1115" s="2005" t="str">
        <f>IFERROR(__xludf.DUMMYFUNCTION("""COMPUTED_VALUE"""),"A")</f>
        <v>A</v>
      </c>
      <c r="G1115" s="2005" t="str">
        <f>IFERROR(__xludf.DUMMYFUNCTION("""COMPUTED_VALUE"""),"NN")</f>
        <v>NN</v>
      </c>
      <c r="H1115" s="2005">
        <f>IFERROR(__xludf.DUMMYFUNCTION("""COMPUTED_VALUE"""),129.99)</f>
        <v>129.99</v>
      </c>
      <c r="I1115" s="2005">
        <f>IFERROR(__xludf.DUMMYFUNCTION("""COMPUTED_VALUE"""),129.99)</f>
        <v>129.99</v>
      </c>
      <c r="BD1115" s="2006"/>
      <c r="LM1115" s="2007"/>
    </row>
    <row r="1116">
      <c r="A1116" s="2005">
        <f>IFERROR(__xludf.DUMMYFUNCTION("""COMPUTED_VALUE"""),1098447.0)</f>
        <v>1098447</v>
      </c>
      <c r="B1116" s="2005">
        <f>IFERROR(__xludf.DUMMYFUNCTION("""COMPUTED_VALUE"""),2209520.0)</f>
        <v>2209520</v>
      </c>
      <c r="C1116" s="2005" t="str">
        <f>IFERROR(__xludf.DUMMYFUNCTION("""COMPUTED_VALUE"""),"Garantie")</f>
        <v>Garantie</v>
      </c>
      <c r="D1116" s="2005" t="str">
        <f>IFERROR(__xludf.DUMMYFUNCTION("""COMPUTED_VALUE"""),"#ERROR!")</f>
        <v>#ERROR!</v>
      </c>
      <c r="E1116" s="2005" t="str">
        <f>IFERROR(__xludf.DUMMYFUNCTION("""COMPUTED_VALUE"""),"BOULANGER")</f>
        <v>BOULANGER</v>
      </c>
      <c r="F1116" s="2005" t="str">
        <f>IFERROR(__xludf.DUMMYFUNCTION("""COMPUTED_VALUE"""),"B")</f>
        <v>B</v>
      </c>
      <c r="G1116" s="2005" t="str">
        <f>IFERROR(__xludf.DUMMYFUNCTION("""COMPUTED_VALUE"""),"AC")</f>
        <v>AC</v>
      </c>
      <c r="H1116" s="2005">
        <f>IFERROR(__xludf.DUMMYFUNCTION("""COMPUTED_VALUE"""),59.0)</f>
        <v>59</v>
      </c>
      <c r="I1116" s="2005">
        <f>IFERROR(__xludf.DUMMYFUNCTION("""COMPUTED_VALUE"""),59.0)</f>
        <v>59</v>
      </c>
      <c r="BD1116" s="2006"/>
      <c r="LM1116" s="2007"/>
    </row>
    <row r="1117">
      <c r="A1117" s="2005">
        <f>IFERROR(__xludf.DUMMYFUNCTION("""COMPUTED_VALUE"""),1098449.0)</f>
        <v>1098449</v>
      </c>
      <c r="B1117" s="2005">
        <f>IFERROR(__xludf.DUMMYFUNCTION("""COMPUTED_VALUE"""),2209520.0)</f>
        <v>2209520</v>
      </c>
      <c r="C1117" s="2005" t="str">
        <f>IFERROR(__xludf.DUMMYFUNCTION("""COMPUTED_VALUE"""),"Garantie")</f>
        <v>Garantie</v>
      </c>
      <c r="D1117" s="2005" t="str">
        <f>IFERROR(__xludf.DUMMYFUNCTION("""COMPUTED_VALUE"""),"#ERROR!")</f>
        <v>#ERROR!</v>
      </c>
      <c r="E1117" s="2005" t="str">
        <f>IFERROR(__xludf.DUMMYFUNCTION("""COMPUTED_VALUE"""),"BOULANGER")</f>
        <v>BOULANGER</v>
      </c>
      <c r="F1117" s="2005" t="str">
        <f>IFERROR(__xludf.DUMMYFUNCTION("""COMPUTED_VALUE"""),"B")</f>
        <v>B</v>
      </c>
      <c r="G1117" s="2005" t="str">
        <f>IFERROR(__xludf.DUMMYFUNCTION("""COMPUTED_VALUE"""),"AC")</f>
        <v>AC</v>
      </c>
      <c r="H1117" s="2005">
        <f>IFERROR(__xludf.DUMMYFUNCTION("""COMPUTED_VALUE"""),119.0)</f>
        <v>119</v>
      </c>
      <c r="I1117" s="2005">
        <f>IFERROR(__xludf.DUMMYFUNCTION("""COMPUTED_VALUE"""),119.0)</f>
        <v>119</v>
      </c>
      <c r="BD1117" s="2006"/>
      <c r="LM1117" s="2007"/>
    </row>
    <row r="1118">
      <c r="A1118" s="2005">
        <f>IFERROR(__xludf.DUMMYFUNCTION("""COMPUTED_VALUE"""),1098450.0)</f>
        <v>1098450</v>
      </c>
      <c r="B1118" s="2005">
        <f>IFERROR(__xludf.DUMMYFUNCTION("""COMPUTED_VALUE"""),2209520.0)</f>
        <v>2209520</v>
      </c>
      <c r="C1118" s="2005" t="str">
        <f>IFERROR(__xludf.DUMMYFUNCTION("""COMPUTED_VALUE"""),"Garantie")</f>
        <v>Garantie</v>
      </c>
      <c r="D1118" s="2005" t="str">
        <f>IFERROR(__xludf.DUMMYFUNCTION("""COMPUTED_VALUE"""),"#ERROR!")</f>
        <v>#ERROR!</v>
      </c>
      <c r="E1118" s="2005" t="str">
        <f>IFERROR(__xludf.DUMMYFUNCTION("""COMPUTED_VALUE"""),"BOULANGER")</f>
        <v>BOULANGER</v>
      </c>
      <c r="F1118" s="2005" t="str">
        <f>IFERROR(__xludf.DUMMYFUNCTION("""COMPUTED_VALUE"""),"B")</f>
        <v>B</v>
      </c>
      <c r="G1118" s="2005" t="str">
        <f>IFERROR(__xludf.DUMMYFUNCTION("""COMPUTED_VALUE"""),"AC")</f>
        <v>AC</v>
      </c>
      <c r="H1118" s="2005">
        <f>IFERROR(__xludf.DUMMYFUNCTION("""COMPUTED_VALUE"""),469.0)</f>
        <v>469</v>
      </c>
      <c r="I1118" s="2005">
        <f>IFERROR(__xludf.DUMMYFUNCTION("""COMPUTED_VALUE"""),469.0)</f>
        <v>469</v>
      </c>
      <c r="BD1118" s="2006"/>
      <c r="LM1118" s="2007"/>
    </row>
    <row r="1119">
      <c r="A1119" s="2005">
        <f>IFERROR(__xludf.DUMMYFUNCTION("""COMPUTED_VALUE"""),1098744.0)</f>
        <v>1098744</v>
      </c>
      <c r="B1119" s="2005">
        <f>IFERROR(__xludf.DUMMYFUNCTION("""COMPUTED_VALUE"""),2502040.0)</f>
        <v>2502040</v>
      </c>
      <c r="C1119" s="2005" t="str">
        <f>IFERROR(__xludf.DUMMYFUNCTION("""COMPUTED_VALUE"""),"Adaptateur")</f>
        <v>Adaptateur</v>
      </c>
      <c r="D1119" s="2005" t="str">
        <f>IFERROR(__xludf.DUMMYFUNCTION("""COMPUTED_VALUE"""),"Ethernet 3.0 pour surface")</f>
        <v>Ethernet 3.0 pour surface</v>
      </c>
      <c r="E1119" s="2005" t="str">
        <f>IFERROR(__xludf.DUMMYFUNCTION("""COMPUTED_VALUE"""),"MICROSOFT")</f>
        <v>MICROSOFT</v>
      </c>
      <c r="F1119" s="2005" t="str">
        <f>IFERROR(__xludf.DUMMYFUNCTION("""COMPUTED_VALUE"""),"H")</f>
        <v>H</v>
      </c>
      <c r="G1119" s="2005" t="str">
        <f>IFERROR(__xludf.DUMMYFUNCTION("""COMPUTED_VALUE"""),"NN")</f>
        <v>NN</v>
      </c>
      <c r="H1119" s="2005">
        <f>IFERROR(__xludf.DUMMYFUNCTION("""COMPUTED_VALUE"""),24.98)</f>
        <v>24.98</v>
      </c>
      <c r="I1119" s="2005">
        <f>IFERROR(__xludf.DUMMYFUNCTION("""COMPUTED_VALUE"""),24.98)</f>
        <v>24.98</v>
      </c>
      <c r="BD1119" s="2006"/>
      <c r="LM1119" s="2007"/>
    </row>
    <row r="1120">
      <c r="A1120" s="2005">
        <f>IFERROR(__xludf.DUMMYFUNCTION("""COMPUTED_VALUE"""),1098766.0)</f>
        <v>1098766</v>
      </c>
      <c r="B1120" s="2005">
        <f>IFERROR(__xludf.DUMMYFUNCTION("""COMPUTED_VALUE"""),2202010.0)</f>
        <v>2202010</v>
      </c>
      <c r="C1120" s="2005" t="str">
        <f>IFERROR(__xludf.DUMMYFUNCTION("""COMPUTED_VALUE"""),"Multi Jet d'enc")</f>
        <v>Multi Jet d'enc</v>
      </c>
      <c r="D1120" s="2005" t="str">
        <f>IFERROR(__xludf.DUMMYFUNCTION("""COMPUTED_VALUE"""),"EcoTank ET-4750")</f>
        <v>EcoTank ET-4750</v>
      </c>
      <c r="E1120" s="2005" t="str">
        <f>IFERROR(__xludf.DUMMYFUNCTION("""COMPUTED_VALUE"""),"EPSON")</f>
        <v>EPSON</v>
      </c>
      <c r="F1120" s="2005" t="str">
        <f>IFERROR(__xludf.DUMMYFUNCTION("""COMPUTED_VALUE"""),"C")</f>
        <v>C</v>
      </c>
      <c r="G1120" s="2005" t="str">
        <f>IFERROR(__xludf.DUMMYFUNCTION("""COMPUTED_VALUE"""),"NN")</f>
        <v>NN</v>
      </c>
      <c r="H1120" s="2005">
        <f>IFERROR(__xludf.DUMMYFUNCTION("""COMPUTED_VALUE"""),351.99)</f>
        <v>351.99</v>
      </c>
      <c r="I1120" s="2005">
        <f>IFERROR(__xludf.DUMMYFUNCTION("""COMPUTED_VALUE"""),351.99)</f>
        <v>351.99</v>
      </c>
      <c r="BD1120" s="2006"/>
      <c r="LL1120" s="2007"/>
      <c r="LM1120" s="2007"/>
      <c r="MX1120" s="2007"/>
      <c r="ND1120" s="2007"/>
    </row>
    <row r="1121">
      <c r="A1121" s="2005">
        <f>IFERROR(__xludf.DUMMYFUNCTION("""COMPUTED_VALUE"""),1098767.0)</f>
        <v>1098767</v>
      </c>
      <c r="B1121" s="2005">
        <f>IFERROR(__xludf.DUMMYFUNCTION("""COMPUTED_VALUE"""),2202010.0)</f>
        <v>2202010</v>
      </c>
      <c r="C1121" s="2005" t="str">
        <f>IFERROR(__xludf.DUMMYFUNCTION("""COMPUTED_VALUE"""),"Multi Jet d'enc")</f>
        <v>Multi Jet d'enc</v>
      </c>
      <c r="D1121" s="2005" t="str">
        <f>IFERROR(__xludf.DUMMYFUNCTION("""COMPUTED_VALUE"""),"EcoTank ET-2750")</f>
        <v>EcoTank ET-2750</v>
      </c>
      <c r="E1121" s="2005" t="str">
        <f>IFERROR(__xludf.DUMMYFUNCTION("""COMPUTED_VALUE"""),"EPSON")</f>
        <v>EPSON</v>
      </c>
      <c r="F1121" s="2005" t="str">
        <f>IFERROR(__xludf.DUMMYFUNCTION("""COMPUTED_VALUE"""),"A")</f>
        <v>A</v>
      </c>
      <c r="G1121" s="2005" t="str">
        <f>IFERROR(__xludf.DUMMYFUNCTION("""COMPUTED_VALUE"""),"NN")</f>
        <v>NN</v>
      </c>
      <c r="H1121">
        <f>IFERROR(__xludf.DUMMYFUNCTION("""COMPUTED_VALUE"""),217.99)</f>
        <v>217.99</v>
      </c>
      <c r="I1121">
        <f>IFERROR(__xludf.DUMMYFUNCTION("""COMPUTED_VALUE"""),217.99)</f>
        <v>217.99</v>
      </c>
      <c r="BD1121" s="2006"/>
      <c r="LL1121" s="2007"/>
      <c r="LM1121" s="2007"/>
      <c r="MX1121" s="2007"/>
      <c r="ND1121" s="2007"/>
    </row>
    <row r="1122">
      <c r="A1122" s="2005">
        <f>IFERROR(__xludf.DUMMYFUNCTION("""COMPUTED_VALUE"""),1098821.0)</f>
        <v>1098821</v>
      </c>
      <c r="B1122" s="2005">
        <f>IFERROR(__xludf.DUMMYFUNCTION("""COMPUTED_VALUE"""),2209805.0)</f>
        <v>2209805</v>
      </c>
      <c r="C1122" s="2005" t="str">
        <f>IFERROR(__xludf.DUMMYFUNCTION("""COMPUTED_VALUE"""),"Lot")</f>
        <v>Lot</v>
      </c>
      <c r="D1122" s="2005" t="str">
        <f>IFERROR(__xludf.DUMMYFUNCTION("""COMPUTED_VALUE"""),"Envy 6232+cart. N° 303 noire")</f>
        <v>Envy 6232+cart. N° 303 noire</v>
      </c>
      <c r="E1122" s="2005" t="str">
        <f>IFERROR(__xludf.DUMMYFUNCTION("""COMPUTED_VALUE"""),"HP")</f>
        <v>HP</v>
      </c>
      <c r="F1122" s="2005" t="str">
        <f>IFERROR(__xludf.DUMMYFUNCTION("""COMPUTED_VALUE"""),"H")</f>
        <v>H</v>
      </c>
      <c r="G1122" s="2005" t="str">
        <f>IFERROR(__xludf.DUMMYFUNCTION("""COMPUTED_VALUE"""),"NN")</f>
        <v>NN</v>
      </c>
      <c r="H1122" s="2005">
        <f>IFERROR(__xludf.DUMMYFUNCTION("""COMPUTED_VALUE"""),125.34)</f>
        <v>125.34</v>
      </c>
      <c r="I1122" s="2005">
        <f>IFERROR(__xludf.DUMMYFUNCTION("""COMPUTED_VALUE"""),125.34)</f>
        <v>125.34</v>
      </c>
      <c r="BD1122" s="2006"/>
      <c r="LL1122" s="2007"/>
      <c r="LM1122" s="2007"/>
      <c r="MX1122" s="2007"/>
      <c r="ND1122" s="2007"/>
    </row>
    <row r="1123">
      <c r="A1123" s="2005">
        <f>IFERROR(__xludf.DUMMYFUNCTION("""COMPUTED_VALUE"""),1098935.0)</f>
        <v>1098935</v>
      </c>
      <c r="B1123" s="2005">
        <f>IFERROR(__xludf.DUMMYFUNCTION("""COMPUTED_VALUE"""),2403005.0)</f>
        <v>2403005</v>
      </c>
      <c r="C1123" s="2005" t="str">
        <f>IFERROR(__xludf.DUMMYFUNCTION("""COMPUTED_VALUE"""),"Cartouche")</f>
        <v>Cartouche</v>
      </c>
      <c r="D1123" s="2005" t="str">
        <f>IFERROR(__xludf.DUMMYFUNCTION("""COMPUTED_VALUE"""),"PGI-580 noire pigmentée")</f>
        <v>PGI-580 noire pigmentée</v>
      </c>
      <c r="E1123" s="2005" t="str">
        <f>IFERROR(__xludf.DUMMYFUNCTION("""COMPUTED_VALUE"""),"CANON")</f>
        <v>CANON</v>
      </c>
      <c r="F1123" s="2005" t="str">
        <f>IFERROR(__xludf.DUMMYFUNCTION("""COMPUTED_VALUE"""),"A")</f>
        <v>A</v>
      </c>
      <c r="G1123" s="2005" t="str">
        <f>IFERROR(__xludf.DUMMYFUNCTION("""COMPUTED_VALUE"""),"AC")</f>
        <v>AC</v>
      </c>
      <c r="H1123" s="2005">
        <f>IFERROR(__xludf.DUMMYFUNCTION("""COMPUTED_VALUE"""),15.49)</f>
        <v>15.49</v>
      </c>
      <c r="I1123" s="2005">
        <f>IFERROR(__xludf.DUMMYFUNCTION("""COMPUTED_VALUE"""),15.49)</f>
        <v>15.49</v>
      </c>
      <c r="BD1123" s="2006"/>
      <c r="LL1123" s="2007"/>
      <c r="LM1123" s="2007"/>
      <c r="MX1123" s="2007"/>
      <c r="ND1123" s="2007"/>
    </row>
    <row r="1124">
      <c r="A1124" s="2005">
        <f>IFERROR(__xludf.DUMMYFUNCTION("""COMPUTED_VALUE"""),1098936.0)</f>
        <v>1098936</v>
      </c>
      <c r="B1124" s="2005">
        <f>IFERROR(__xludf.DUMMYFUNCTION("""COMPUTED_VALUE"""),2403005.0)</f>
        <v>2403005</v>
      </c>
      <c r="C1124" s="2005" t="str">
        <f>IFERROR(__xludf.DUMMYFUNCTION("""COMPUTED_VALUE"""),"Cartouche")</f>
        <v>Cartouche</v>
      </c>
      <c r="D1124" s="2005" t="str">
        <f>IFERROR(__xludf.DUMMYFUNCTION("""COMPUTED_VALUE"""),"CLI581 Noir XL")</f>
        <v>CLI581 Noir XL</v>
      </c>
      <c r="E1124" s="2005" t="str">
        <f>IFERROR(__xludf.DUMMYFUNCTION("""COMPUTED_VALUE"""),"CANON")</f>
        <v>CANON</v>
      </c>
      <c r="F1124" s="2005" t="str">
        <f>IFERROR(__xludf.DUMMYFUNCTION("""COMPUTED_VALUE"""),"D")</f>
        <v>D</v>
      </c>
      <c r="G1124" s="2005" t="str">
        <f>IFERROR(__xludf.DUMMYFUNCTION("""COMPUTED_VALUE"""),"AC")</f>
        <v>AC</v>
      </c>
      <c r="H1124" s="2005">
        <f>IFERROR(__xludf.DUMMYFUNCTION("""COMPUTED_VALUE"""),18.49)</f>
        <v>18.49</v>
      </c>
      <c r="I1124" s="2005">
        <f>IFERROR(__xludf.DUMMYFUNCTION("""COMPUTED_VALUE"""),18.49)</f>
        <v>18.49</v>
      </c>
      <c r="BD1124" s="2006"/>
      <c r="LL1124" s="2007"/>
      <c r="LM1124" s="2007"/>
      <c r="MX1124" s="2007"/>
      <c r="ND1124" s="2007"/>
    </row>
    <row r="1125">
      <c r="A1125" s="2005">
        <f>IFERROR(__xludf.DUMMYFUNCTION("""COMPUTED_VALUE"""),1099435.0)</f>
        <v>1099435</v>
      </c>
      <c r="B1125" s="2005">
        <f>IFERROR(__xludf.DUMMYFUNCTION("""COMPUTED_VALUE"""),2403005.0)</f>
        <v>2403005</v>
      </c>
      <c r="C1125" s="2005" t="str">
        <f>IFERROR(__xludf.DUMMYFUNCTION("""COMPUTED_VALUE"""),"Cartouche")</f>
        <v>Cartouche</v>
      </c>
      <c r="D1125" s="2005" t="str">
        <f>IFERROR(__xludf.DUMMYFUNCTION("""COMPUTED_VALUE"""),"Ecotank bouteille 102 noire")</f>
        <v>Ecotank bouteille 102 noire</v>
      </c>
      <c r="E1125" s="2005" t="str">
        <f>IFERROR(__xludf.DUMMYFUNCTION("""COMPUTED_VALUE"""),"EPSON")</f>
        <v>EPSON</v>
      </c>
      <c r="F1125" s="2005" t="str">
        <f>IFERROR(__xludf.DUMMYFUNCTION("""COMPUTED_VALUE"""),"A")</f>
        <v>A</v>
      </c>
      <c r="G1125" s="2005" t="str">
        <f>IFERROR(__xludf.DUMMYFUNCTION("""COMPUTED_VALUE"""),"AC")</f>
        <v>AC</v>
      </c>
      <c r="H1125" s="2005">
        <f>IFERROR(__xludf.DUMMYFUNCTION("""COMPUTED_VALUE"""),15.98)</f>
        <v>15.98</v>
      </c>
      <c r="I1125" s="2005">
        <f>IFERROR(__xludf.DUMMYFUNCTION("""COMPUTED_VALUE"""),15.98)</f>
        <v>15.98</v>
      </c>
      <c r="BD1125" s="2006"/>
      <c r="LL1125" s="2007"/>
      <c r="LM1125" s="2007"/>
      <c r="MX1125" s="2007"/>
      <c r="ND1125" s="2007"/>
    </row>
    <row r="1126">
      <c r="A1126" s="2005">
        <f>IFERROR(__xludf.DUMMYFUNCTION("""COMPUTED_VALUE"""),1099436.0)</f>
        <v>1099436</v>
      </c>
      <c r="B1126" s="2005">
        <f>IFERROR(__xludf.DUMMYFUNCTION("""COMPUTED_VALUE"""),2403005.0)</f>
        <v>2403005</v>
      </c>
      <c r="C1126" s="2005" t="str">
        <f>IFERROR(__xludf.DUMMYFUNCTION("""COMPUTED_VALUE"""),"Cartouche")</f>
        <v>Cartouche</v>
      </c>
      <c r="D1126" s="2005" t="str">
        <f>IFERROR(__xludf.DUMMYFUNCTION("""COMPUTED_VALUE"""),"Ecotank Bouteille 102 Cyan")</f>
        <v>Ecotank Bouteille 102 Cyan</v>
      </c>
      <c r="E1126" s="2005" t="str">
        <f>IFERROR(__xludf.DUMMYFUNCTION("""COMPUTED_VALUE"""),"EPSON")</f>
        <v>EPSON</v>
      </c>
      <c r="F1126" s="2005" t="str">
        <f>IFERROR(__xludf.DUMMYFUNCTION("""COMPUTED_VALUE"""),"A")</f>
        <v>A</v>
      </c>
      <c r="G1126" s="2005" t="str">
        <f>IFERROR(__xludf.DUMMYFUNCTION("""COMPUTED_VALUE"""),"AC")</f>
        <v>AC</v>
      </c>
      <c r="H1126" s="2005">
        <f>IFERROR(__xludf.DUMMYFUNCTION("""COMPUTED_VALUE"""),9.98)</f>
        <v>9.98</v>
      </c>
      <c r="I1126" s="2005">
        <f>IFERROR(__xludf.DUMMYFUNCTION("""COMPUTED_VALUE"""),9.98)</f>
        <v>9.98</v>
      </c>
      <c r="BD1126" s="2006"/>
      <c r="LL1126" s="2007"/>
      <c r="LM1126" s="2007"/>
      <c r="MX1126" s="2007"/>
      <c r="ND1126" s="2007"/>
    </row>
    <row r="1127">
      <c r="A1127" s="2005">
        <f>IFERROR(__xludf.DUMMYFUNCTION("""COMPUTED_VALUE"""),1099437.0)</f>
        <v>1099437</v>
      </c>
      <c r="B1127" s="2005">
        <f>IFERROR(__xludf.DUMMYFUNCTION("""COMPUTED_VALUE"""),2403005.0)</f>
        <v>2403005</v>
      </c>
      <c r="C1127" s="2005" t="str">
        <f>IFERROR(__xludf.DUMMYFUNCTION("""COMPUTED_VALUE"""),"Cartouche")</f>
        <v>Cartouche</v>
      </c>
      <c r="D1127" s="2005" t="str">
        <f>IFERROR(__xludf.DUMMYFUNCTION("""COMPUTED_VALUE"""),"Ecotank Bouteille 102 Magenta")</f>
        <v>Ecotank Bouteille 102 Magenta</v>
      </c>
      <c r="E1127" s="2005" t="str">
        <f>IFERROR(__xludf.DUMMYFUNCTION("""COMPUTED_VALUE"""),"EPSON")</f>
        <v>EPSON</v>
      </c>
      <c r="F1127" s="2005" t="str">
        <f>IFERROR(__xludf.DUMMYFUNCTION("""COMPUTED_VALUE"""),"A")</f>
        <v>A</v>
      </c>
      <c r="G1127" s="2005" t="str">
        <f>IFERROR(__xludf.DUMMYFUNCTION("""COMPUTED_VALUE"""),"AC")</f>
        <v>AC</v>
      </c>
      <c r="H1127" s="2005">
        <f>IFERROR(__xludf.DUMMYFUNCTION("""COMPUTED_VALUE"""),9.98)</f>
        <v>9.98</v>
      </c>
      <c r="I1127" s="2005">
        <f>IFERROR(__xludf.DUMMYFUNCTION("""COMPUTED_VALUE"""),9.98)</f>
        <v>9.98</v>
      </c>
      <c r="BD1127" s="2006"/>
      <c r="LL1127" s="2007"/>
      <c r="LM1127" s="2007"/>
      <c r="MX1127" s="2007"/>
      <c r="ND1127" s="2007"/>
    </row>
    <row r="1128">
      <c r="A1128" s="2005">
        <f>IFERROR(__xludf.DUMMYFUNCTION("""COMPUTED_VALUE"""),1099438.0)</f>
        <v>1099438</v>
      </c>
      <c r="B1128" s="2005">
        <f>IFERROR(__xludf.DUMMYFUNCTION("""COMPUTED_VALUE"""),2403005.0)</f>
        <v>2403005</v>
      </c>
      <c r="C1128" s="2005" t="str">
        <f>IFERROR(__xludf.DUMMYFUNCTION("""COMPUTED_VALUE"""),"Cartouche")</f>
        <v>Cartouche</v>
      </c>
      <c r="D1128" s="2005" t="str">
        <f>IFERROR(__xludf.DUMMYFUNCTION("""COMPUTED_VALUE"""),"Ecotank Bouteille 102 Jaune")</f>
        <v>Ecotank Bouteille 102 Jaune</v>
      </c>
      <c r="E1128" s="2005" t="str">
        <f>IFERROR(__xludf.DUMMYFUNCTION("""COMPUTED_VALUE"""),"EPSON")</f>
        <v>EPSON</v>
      </c>
      <c r="F1128" s="2005" t="str">
        <f>IFERROR(__xludf.DUMMYFUNCTION("""COMPUTED_VALUE"""),"A")</f>
        <v>A</v>
      </c>
      <c r="G1128" s="2005" t="str">
        <f>IFERROR(__xludf.DUMMYFUNCTION("""COMPUTED_VALUE"""),"AC")</f>
        <v>AC</v>
      </c>
      <c r="H1128" s="2005">
        <f>IFERROR(__xludf.DUMMYFUNCTION("""COMPUTED_VALUE"""),9.98)</f>
        <v>9.98</v>
      </c>
      <c r="I1128" s="2005">
        <f>IFERROR(__xludf.DUMMYFUNCTION("""COMPUTED_VALUE"""),9.98)</f>
        <v>9.98</v>
      </c>
      <c r="BD1128" s="2006"/>
      <c r="LL1128" s="2007"/>
      <c r="LM1128" s="2007"/>
      <c r="MX1128" s="2007"/>
      <c r="ND1128" s="2007"/>
    </row>
    <row r="1129">
      <c r="A1129" s="2005">
        <f>IFERROR(__xludf.DUMMYFUNCTION("""COMPUTED_VALUE"""),1099439.0)</f>
        <v>1099439</v>
      </c>
      <c r="B1129" s="2005">
        <f>IFERROR(__xludf.DUMMYFUNCTION("""COMPUTED_VALUE"""),2209805.0)</f>
        <v>2209805</v>
      </c>
      <c r="C1129" s="2005" t="str">
        <f>IFERROR(__xludf.DUMMYFUNCTION("""COMPUTED_VALUE"""),"Lot")</f>
        <v>Lot</v>
      </c>
      <c r="D1129" s="2005" t="str">
        <f>IFERROR(__xludf.DUMMYFUNCTION("""COMPUTED_VALUE"""),"EcoTank ET-2750+Bouteille 102 Noire")</f>
        <v>EcoTank ET-2750+Bouteille 102 Noire</v>
      </c>
      <c r="E1129" s="2005" t="str">
        <f>IFERROR(__xludf.DUMMYFUNCTION("""COMPUTED_VALUE"""),"EPSON")</f>
        <v>EPSON</v>
      </c>
      <c r="F1129" s="2005" t="str">
        <f>IFERROR(__xludf.DUMMYFUNCTION("""COMPUTED_VALUE"""),"H")</f>
        <v>H</v>
      </c>
      <c r="G1129" s="2005" t="str">
        <f>IFERROR(__xludf.DUMMYFUNCTION("""COMPUTED_VALUE"""),"NN")</f>
        <v>NN</v>
      </c>
      <c r="H1129" s="2005">
        <f>IFERROR(__xludf.DUMMYFUNCTION("""COMPUTED_VALUE"""),229.2)</f>
        <v>229.2</v>
      </c>
      <c r="I1129" s="2005">
        <f>IFERROR(__xludf.DUMMYFUNCTION("""COMPUTED_VALUE"""),229.2)</f>
        <v>229.2</v>
      </c>
      <c r="BD1129" s="2006"/>
      <c r="LL1129" s="2007"/>
      <c r="LM1129" s="2007"/>
      <c r="MX1129" s="2007"/>
      <c r="ND1129" s="2007"/>
    </row>
    <row r="1130">
      <c r="A1130" s="2005">
        <f>IFERROR(__xludf.DUMMYFUNCTION("""COMPUTED_VALUE"""),1099440.0)</f>
        <v>1099440</v>
      </c>
      <c r="B1130" s="2005">
        <f>IFERROR(__xludf.DUMMYFUNCTION("""COMPUTED_VALUE"""),2209805.0)</f>
        <v>2209805</v>
      </c>
      <c r="C1130" s="2005" t="str">
        <f>IFERROR(__xludf.DUMMYFUNCTION("""COMPUTED_VALUE"""),"Lot")</f>
        <v>Lot</v>
      </c>
      <c r="D1130" s="2005" t="str">
        <f>IFERROR(__xludf.DUMMYFUNCTION("""COMPUTED_VALUE"""),"EcoTank ET-4750+Bouteille 102 Noire")</f>
        <v>EcoTank ET-4750+Bouteille 102 Noire</v>
      </c>
      <c r="E1130" s="2005" t="str">
        <f>IFERROR(__xludf.DUMMYFUNCTION("""COMPUTED_VALUE"""),"EPSON")</f>
        <v>EPSON</v>
      </c>
      <c r="F1130" s="2005" t="str">
        <f>IFERROR(__xludf.DUMMYFUNCTION("""COMPUTED_VALUE"""),"H")</f>
        <v>H</v>
      </c>
      <c r="G1130" s="2005" t="str">
        <f>IFERROR(__xludf.DUMMYFUNCTION("""COMPUTED_VALUE"""),"NN")</f>
        <v>NN</v>
      </c>
      <c r="H1130" s="2005">
        <f>IFERROR(__xludf.DUMMYFUNCTION("""COMPUTED_VALUE"""),363.19)</f>
        <v>363.19</v>
      </c>
      <c r="I1130" s="2005">
        <f>IFERROR(__xludf.DUMMYFUNCTION("""COMPUTED_VALUE"""),363.19)</f>
        <v>363.19</v>
      </c>
      <c r="BD1130" s="2006"/>
      <c r="LL1130" s="2007"/>
      <c r="LM1130" s="2007"/>
      <c r="MX1130" s="2007"/>
      <c r="ND1130" s="2007"/>
    </row>
    <row r="1131">
      <c r="A1131" s="2005">
        <f>IFERROR(__xludf.DUMMYFUNCTION("""COMPUTED_VALUE"""),1099466.0)</f>
        <v>1099466</v>
      </c>
      <c r="B1131" s="2005">
        <f>IFERROR(__xludf.DUMMYFUNCTION("""COMPUTED_VALUE"""),2403005.0)</f>
        <v>2403005</v>
      </c>
      <c r="C1131" s="2005" t="str">
        <f>IFERROR(__xludf.DUMMYFUNCTION("""COMPUTED_VALUE"""),"Cartouche")</f>
        <v>Cartouche</v>
      </c>
      <c r="D1131" s="2005" t="str">
        <f>IFERROR(__xludf.DUMMYFUNCTION("""COMPUTED_VALUE"""),"CLI-581 XL Cyan")</f>
        <v>CLI-581 XL Cyan</v>
      </c>
      <c r="E1131" s="2005" t="str">
        <f>IFERROR(__xludf.DUMMYFUNCTION("""COMPUTED_VALUE"""),"CANON")</f>
        <v>CANON</v>
      </c>
      <c r="F1131" s="2005" t="str">
        <f>IFERROR(__xludf.DUMMYFUNCTION("""COMPUTED_VALUE"""),"D")</f>
        <v>D</v>
      </c>
      <c r="G1131" s="2005" t="str">
        <f>IFERROR(__xludf.DUMMYFUNCTION("""COMPUTED_VALUE"""),"AC")</f>
        <v>AC</v>
      </c>
      <c r="H1131" s="2005">
        <f>IFERROR(__xludf.DUMMYFUNCTION("""COMPUTED_VALUE"""),18.49)</f>
        <v>18.49</v>
      </c>
      <c r="I1131" s="2005">
        <f>IFERROR(__xludf.DUMMYFUNCTION("""COMPUTED_VALUE"""),18.49)</f>
        <v>18.49</v>
      </c>
      <c r="BD1131" s="2006"/>
      <c r="LL1131" s="2007"/>
      <c r="LM1131" s="2007"/>
      <c r="MX1131" s="2007"/>
      <c r="ND1131" s="2007"/>
    </row>
    <row r="1132">
      <c r="A1132">
        <f>IFERROR(__xludf.DUMMYFUNCTION("""COMPUTED_VALUE"""),1099467.0)</f>
        <v>1099467</v>
      </c>
      <c r="B1132">
        <f>IFERROR(__xludf.DUMMYFUNCTION("""COMPUTED_VALUE"""),2403005.0)</f>
        <v>2403005</v>
      </c>
      <c r="C1132" t="str">
        <f>IFERROR(__xludf.DUMMYFUNCTION("""COMPUTED_VALUE"""),"Cartouche")</f>
        <v>Cartouche</v>
      </c>
      <c r="D1132" t="str">
        <f>IFERROR(__xludf.DUMMYFUNCTION("""COMPUTED_VALUE"""),"CLI-581 XL magenta")</f>
        <v>CLI-581 XL magenta</v>
      </c>
      <c r="E1132" t="str">
        <f>IFERROR(__xludf.DUMMYFUNCTION("""COMPUTED_VALUE"""),"CANON")</f>
        <v>CANON</v>
      </c>
      <c r="F1132" t="str">
        <f>IFERROR(__xludf.DUMMYFUNCTION("""COMPUTED_VALUE"""),"D")</f>
        <v>D</v>
      </c>
      <c r="G1132" t="str">
        <f>IFERROR(__xludf.DUMMYFUNCTION("""COMPUTED_VALUE"""),"AC")</f>
        <v>AC</v>
      </c>
      <c r="H1132">
        <f>IFERROR(__xludf.DUMMYFUNCTION("""COMPUTED_VALUE"""),18.49)</f>
        <v>18.49</v>
      </c>
      <c r="I1132">
        <f>IFERROR(__xludf.DUMMYFUNCTION("""COMPUTED_VALUE"""),18.49)</f>
        <v>18.49</v>
      </c>
      <c r="BD1132" s="2006"/>
      <c r="LL1132" s="2007"/>
      <c r="LM1132" s="2007"/>
      <c r="MX1132" s="2007"/>
      <c r="ND1132" s="2007"/>
    </row>
    <row r="1133">
      <c r="A1133" s="2005">
        <f>IFERROR(__xludf.DUMMYFUNCTION("""COMPUTED_VALUE"""),1099469.0)</f>
        <v>1099469</v>
      </c>
      <c r="B1133" s="2005">
        <f>IFERROR(__xludf.DUMMYFUNCTION("""COMPUTED_VALUE"""),2403005.0)</f>
        <v>2403005</v>
      </c>
      <c r="C1133" s="2005" t="str">
        <f>IFERROR(__xludf.DUMMYFUNCTION("""COMPUTED_VALUE"""),"Cartouche")</f>
        <v>Cartouche</v>
      </c>
      <c r="D1133" s="2005" t="str">
        <f>IFERROR(__xludf.DUMMYFUNCTION("""COMPUTED_VALUE"""),"CLI581 Jaune XL")</f>
        <v>CLI581 Jaune XL</v>
      </c>
      <c r="E1133" s="2005" t="str">
        <f>IFERROR(__xludf.DUMMYFUNCTION("""COMPUTED_VALUE"""),"CANON")</f>
        <v>CANON</v>
      </c>
      <c r="F1133" s="2005" t="str">
        <f>IFERROR(__xludf.DUMMYFUNCTION("""COMPUTED_VALUE"""),"D")</f>
        <v>D</v>
      </c>
      <c r="G1133" s="2005" t="str">
        <f>IFERROR(__xludf.DUMMYFUNCTION("""COMPUTED_VALUE"""),"AC")</f>
        <v>AC</v>
      </c>
      <c r="H1133" s="2005">
        <f>IFERROR(__xludf.DUMMYFUNCTION("""COMPUTED_VALUE"""),18.49)</f>
        <v>18.49</v>
      </c>
      <c r="I1133" s="2005">
        <f>IFERROR(__xludf.DUMMYFUNCTION("""COMPUTED_VALUE"""),18.49)</f>
        <v>18.49</v>
      </c>
      <c r="BD1133" s="2006"/>
      <c r="LL1133" s="2007"/>
      <c r="LM1133" s="2007"/>
      <c r="MX1133" s="2007"/>
      <c r="ND1133" s="2007"/>
    </row>
    <row r="1134">
      <c r="A1134" s="2005">
        <f>IFERROR(__xludf.DUMMYFUNCTION("""COMPUTED_VALUE"""),1099470.0)</f>
        <v>1099470</v>
      </c>
      <c r="B1134" s="2005">
        <f>IFERROR(__xludf.DUMMYFUNCTION("""COMPUTED_VALUE"""),2403005.0)</f>
        <v>2403005</v>
      </c>
      <c r="C1134" s="2005" t="str">
        <f>IFERROR(__xludf.DUMMYFUNCTION("""COMPUTED_VALUE"""),"Cartouche")</f>
        <v>Cartouche</v>
      </c>
      <c r="D1134" s="2005" t="str">
        <f>IFERROR(__xludf.DUMMYFUNCTION("""COMPUTED_VALUE"""),"CLI-581 XL bleu photo")</f>
        <v>CLI-581 XL bleu photo</v>
      </c>
      <c r="E1134" s="2005" t="str">
        <f>IFERROR(__xludf.DUMMYFUNCTION("""COMPUTED_VALUE"""),"CANON")</f>
        <v>CANON</v>
      </c>
      <c r="F1134" s="2005" t="str">
        <f>IFERROR(__xludf.DUMMYFUNCTION("""COMPUTED_VALUE"""),"D")</f>
        <v>D</v>
      </c>
      <c r="G1134" s="2005" t="str">
        <f>IFERROR(__xludf.DUMMYFUNCTION("""COMPUTED_VALUE"""),"AC")</f>
        <v>AC</v>
      </c>
      <c r="H1134" s="2005">
        <f>IFERROR(__xludf.DUMMYFUNCTION("""COMPUTED_VALUE"""),18.49)</f>
        <v>18.49</v>
      </c>
      <c r="I1134" s="2005">
        <f>IFERROR(__xludf.DUMMYFUNCTION("""COMPUTED_VALUE"""),18.49)</f>
        <v>18.49</v>
      </c>
      <c r="BD1134" s="2006"/>
      <c r="LL1134" s="2007"/>
      <c r="LM1134" s="2007"/>
      <c r="MX1134" s="2007"/>
      <c r="ND1134" s="2007"/>
    </row>
    <row r="1135">
      <c r="A1135" s="2005">
        <f>IFERROR(__xludf.DUMMYFUNCTION("""COMPUTED_VALUE"""),1099482.0)</f>
        <v>1099482</v>
      </c>
      <c r="B1135" s="2005">
        <f>IFERROR(__xludf.DUMMYFUNCTION("""COMPUTED_VALUE"""),2403005.0)</f>
        <v>2403005</v>
      </c>
      <c r="C1135" s="2005" t="str">
        <f>IFERROR(__xludf.DUMMYFUNCTION("""COMPUTED_VALUE"""),"Pack")</f>
        <v>Pack</v>
      </c>
      <c r="D1135" s="2005" t="str">
        <f>IFERROR(__xludf.DUMMYFUNCTION("""COMPUTED_VALUE"""),"CLI-581 (N CMJ)")</f>
        <v>CLI-581 (N CMJ)</v>
      </c>
      <c r="E1135" s="2005" t="str">
        <f>IFERROR(__xludf.DUMMYFUNCTION("""COMPUTED_VALUE"""),"CANON")</f>
        <v>CANON</v>
      </c>
      <c r="F1135" s="2005" t="str">
        <f>IFERROR(__xludf.DUMMYFUNCTION("""COMPUTED_VALUE"""),"A")</f>
        <v>A</v>
      </c>
      <c r="G1135" s="2005" t="str">
        <f>IFERROR(__xludf.DUMMYFUNCTION("""COMPUTED_VALUE"""),"AC")</f>
        <v>AC</v>
      </c>
      <c r="H1135" s="2005">
        <f>IFERROR(__xludf.DUMMYFUNCTION("""COMPUTED_VALUE"""),50.49)</f>
        <v>50.49</v>
      </c>
      <c r="I1135" s="2005">
        <f>IFERROR(__xludf.DUMMYFUNCTION("""COMPUTED_VALUE"""),50.49)</f>
        <v>50.49</v>
      </c>
      <c r="BD1135" s="2006"/>
      <c r="LL1135" s="2007"/>
      <c r="LM1135" s="2007"/>
      <c r="MX1135" s="2007"/>
      <c r="ND1135" s="2007"/>
    </row>
    <row r="1136">
      <c r="A1136" s="2005">
        <f>IFERROR(__xludf.DUMMYFUNCTION("""COMPUTED_VALUE"""),1099514.0)</f>
        <v>1099514</v>
      </c>
      <c r="B1136" s="2005">
        <f>IFERROR(__xludf.DUMMYFUNCTION("""COMPUTED_VALUE"""),2403005.0)</f>
        <v>2403005</v>
      </c>
      <c r="C1136" s="2005" t="str">
        <f>IFERROR(__xludf.DUMMYFUNCTION("""COMPUTED_VALUE"""),"Cartouche")</f>
        <v>Cartouche</v>
      </c>
      <c r="D1136" s="2005" t="str">
        <f>IFERROR(__xludf.DUMMYFUNCTION("""COMPUTED_VALUE"""),"202 série Kiwi noire")</f>
        <v>202 série Kiwi noire</v>
      </c>
      <c r="E1136" s="2005" t="str">
        <f>IFERROR(__xludf.DUMMYFUNCTION("""COMPUTED_VALUE"""),"EPSON")</f>
        <v>EPSON</v>
      </c>
      <c r="F1136" s="2005" t="str">
        <f>IFERROR(__xludf.DUMMYFUNCTION("""COMPUTED_VALUE"""),"A")</f>
        <v>A</v>
      </c>
      <c r="G1136" s="2005" t="str">
        <f>IFERROR(__xludf.DUMMYFUNCTION("""COMPUTED_VALUE"""),"AC")</f>
        <v>AC</v>
      </c>
      <c r="H1136" s="2005">
        <f>IFERROR(__xludf.DUMMYFUNCTION("""COMPUTED_VALUE"""),20.99)</f>
        <v>20.99</v>
      </c>
      <c r="I1136" s="2005">
        <f>IFERROR(__xludf.DUMMYFUNCTION("""COMPUTED_VALUE"""),20.99)</f>
        <v>20.99</v>
      </c>
      <c r="LL1136" s="2007"/>
      <c r="LM1136" s="2007"/>
    </row>
    <row r="1137">
      <c r="A1137" s="2005">
        <f>IFERROR(__xludf.DUMMYFUNCTION("""COMPUTED_VALUE"""),1099515.0)</f>
        <v>1099515</v>
      </c>
      <c r="B1137" s="2005">
        <f>IFERROR(__xludf.DUMMYFUNCTION("""COMPUTED_VALUE"""),2403005.0)</f>
        <v>2403005</v>
      </c>
      <c r="C1137" s="2005" t="str">
        <f>IFERROR(__xludf.DUMMYFUNCTION("""COMPUTED_VALUE"""),"Cartouche")</f>
        <v>Cartouche</v>
      </c>
      <c r="D1137" s="2005" t="str">
        <f>IFERROR(__xludf.DUMMYFUNCTION("""COMPUTED_VALUE"""),"202 Noir Photo Série Kiwi")</f>
        <v>202 Noir Photo Série Kiwi</v>
      </c>
      <c r="E1137" s="2005" t="str">
        <f>IFERROR(__xludf.DUMMYFUNCTION("""COMPUTED_VALUE"""),"EPSON")</f>
        <v>EPSON</v>
      </c>
      <c r="F1137" s="2005" t="str">
        <f>IFERROR(__xludf.DUMMYFUNCTION("""COMPUTED_VALUE"""),"C")</f>
        <v>C</v>
      </c>
      <c r="G1137" s="2005" t="str">
        <f>IFERROR(__xludf.DUMMYFUNCTION("""COMPUTED_VALUE"""),"AC")</f>
        <v>AC</v>
      </c>
      <c r="H1137" s="2005">
        <f>IFERROR(__xludf.DUMMYFUNCTION("""COMPUTED_VALUE"""),14.99)</f>
        <v>14.99</v>
      </c>
      <c r="I1137" s="2005">
        <f>IFERROR(__xludf.DUMMYFUNCTION("""COMPUTED_VALUE"""),14.99)</f>
        <v>14.99</v>
      </c>
      <c r="LL1137" s="2008"/>
      <c r="LM1137" s="2007"/>
    </row>
    <row r="1138">
      <c r="A1138" s="2005">
        <f>IFERROR(__xludf.DUMMYFUNCTION("""COMPUTED_VALUE"""),1099516.0)</f>
        <v>1099516</v>
      </c>
      <c r="B1138" s="2005">
        <f>IFERROR(__xludf.DUMMYFUNCTION("""COMPUTED_VALUE"""),2403005.0)</f>
        <v>2403005</v>
      </c>
      <c r="C1138" s="2005" t="str">
        <f>IFERROR(__xludf.DUMMYFUNCTION("""COMPUTED_VALUE"""),"Cartouche")</f>
        <v>Cartouche</v>
      </c>
      <c r="D1138" s="2005" t="str">
        <f>IFERROR(__xludf.DUMMYFUNCTION("""COMPUTED_VALUE"""),"202 Cyan Série Kiwi")</f>
        <v>202 Cyan Série Kiwi</v>
      </c>
      <c r="E1138" s="2005" t="str">
        <f>IFERROR(__xludf.DUMMYFUNCTION("""COMPUTED_VALUE"""),"EPSON")</f>
        <v>EPSON</v>
      </c>
      <c r="F1138" s="2005" t="str">
        <f>IFERROR(__xludf.DUMMYFUNCTION("""COMPUTED_VALUE"""),"C")</f>
        <v>C</v>
      </c>
      <c r="G1138" s="2005" t="str">
        <f>IFERROR(__xludf.DUMMYFUNCTION("""COMPUTED_VALUE"""),"AC")</f>
        <v>AC</v>
      </c>
      <c r="H1138">
        <f>IFERROR(__xludf.DUMMYFUNCTION("""COMPUTED_VALUE"""),14.99)</f>
        <v>14.99</v>
      </c>
      <c r="I1138">
        <f>IFERROR(__xludf.DUMMYFUNCTION("""COMPUTED_VALUE"""),14.99)</f>
        <v>14.99</v>
      </c>
      <c r="LL1138" s="2007"/>
      <c r="LM1138" s="2007"/>
    </row>
    <row r="1139">
      <c r="A1139" s="2005">
        <f>IFERROR(__xludf.DUMMYFUNCTION("""COMPUTED_VALUE"""),1099517.0)</f>
        <v>1099517</v>
      </c>
      <c r="B1139" s="2005">
        <f>IFERROR(__xludf.DUMMYFUNCTION("""COMPUTED_VALUE"""),2403005.0)</f>
        <v>2403005</v>
      </c>
      <c r="C1139" s="2005" t="str">
        <f>IFERROR(__xludf.DUMMYFUNCTION("""COMPUTED_VALUE"""),"Cartouche")</f>
        <v>Cartouche</v>
      </c>
      <c r="D1139" s="2005" t="str">
        <f>IFERROR(__xludf.DUMMYFUNCTION("""COMPUTED_VALUE"""),"202 Magenta Série Kiwi")</f>
        <v>202 Magenta Série Kiwi</v>
      </c>
      <c r="E1139" s="2005" t="str">
        <f>IFERROR(__xludf.DUMMYFUNCTION("""COMPUTED_VALUE"""),"EPSON")</f>
        <v>EPSON</v>
      </c>
      <c r="F1139" s="2005" t="str">
        <f>IFERROR(__xludf.DUMMYFUNCTION("""COMPUTED_VALUE"""),"C")</f>
        <v>C</v>
      </c>
      <c r="G1139" s="2005" t="str">
        <f>IFERROR(__xludf.DUMMYFUNCTION("""COMPUTED_VALUE"""),"AC")</f>
        <v>AC</v>
      </c>
      <c r="H1139">
        <f>IFERROR(__xludf.DUMMYFUNCTION("""COMPUTED_VALUE"""),14.99)</f>
        <v>14.99</v>
      </c>
      <c r="I1139">
        <f>IFERROR(__xludf.DUMMYFUNCTION("""COMPUTED_VALUE"""),14.99)</f>
        <v>14.99</v>
      </c>
      <c r="LL1139" s="2007"/>
      <c r="LM1139" s="2007"/>
    </row>
    <row r="1140">
      <c r="A1140" s="2005">
        <f>IFERROR(__xludf.DUMMYFUNCTION("""COMPUTED_VALUE"""),1099518.0)</f>
        <v>1099518</v>
      </c>
      <c r="B1140" s="2005">
        <f>IFERROR(__xludf.DUMMYFUNCTION("""COMPUTED_VALUE"""),2403005.0)</f>
        <v>2403005</v>
      </c>
      <c r="C1140" s="2005" t="str">
        <f>IFERROR(__xludf.DUMMYFUNCTION("""COMPUTED_VALUE"""),"Cartouche")</f>
        <v>Cartouche</v>
      </c>
      <c r="D1140" s="2005" t="str">
        <f>IFERROR(__xludf.DUMMYFUNCTION("""COMPUTED_VALUE"""),"202 Jaune Série Kiwi")</f>
        <v>202 Jaune Série Kiwi</v>
      </c>
      <c r="E1140" s="2005" t="str">
        <f>IFERROR(__xludf.DUMMYFUNCTION("""COMPUTED_VALUE"""),"EPSON")</f>
        <v>EPSON</v>
      </c>
      <c r="F1140" s="2005" t="str">
        <f>IFERROR(__xludf.DUMMYFUNCTION("""COMPUTED_VALUE"""),"C")</f>
        <v>C</v>
      </c>
      <c r="G1140" s="2005" t="str">
        <f>IFERROR(__xludf.DUMMYFUNCTION("""COMPUTED_VALUE"""),"AC")</f>
        <v>AC</v>
      </c>
      <c r="H1140" s="2005">
        <f>IFERROR(__xludf.DUMMYFUNCTION("""COMPUTED_VALUE"""),14.99)</f>
        <v>14.99</v>
      </c>
      <c r="I1140" s="2005">
        <f>IFERROR(__xludf.DUMMYFUNCTION("""COMPUTED_VALUE"""),14.99)</f>
        <v>14.99</v>
      </c>
      <c r="LL1140" s="2007"/>
      <c r="LM1140" s="2007"/>
    </row>
    <row r="1141">
      <c r="A1141" s="2005">
        <f>IFERROR(__xludf.DUMMYFUNCTION("""COMPUTED_VALUE"""),1099519.0)</f>
        <v>1099519</v>
      </c>
      <c r="B1141" s="2005">
        <f>IFERROR(__xludf.DUMMYFUNCTION("""COMPUTED_VALUE"""),2403005.0)</f>
        <v>2403005</v>
      </c>
      <c r="C1141" s="2005" t="str">
        <f>IFERROR(__xludf.DUMMYFUNCTION("""COMPUTED_VALUE"""),"Pack")</f>
        <v>Pack</v>
      </c>
      <c r="D1141" s="2005" t="str">
        <f>IFERROR(__xludf.DUMMYFUNCTION("""COMPUTED_VALUE"""),"202 série Kiwi (N/NP C/M/J)")</f>
        <v>202 série Kiwi (N/NP C/M/J)</v>
      </c>
      <c r="E1141" s="2005" t="str">
        <f>IFERROR(__xludf.DUMMYFUNCTION("""COMPUTED_VALUE"""),"EPSON")</f>
        <v>EPSON</v>
      </c>
      <c r="F1141" s="2005" t="str">
        <f>IFERROR(__xludf.DUMMYFUNCTION("""COMPUTED_VALUE"""),"A")</f>
        <v>A</v>
      </c>
      <c r="G1141" s="2005" t="str">
        <f>IFERROR(__xludf.DUMMYFUNCTION("""COMPUTED_VALUE"""),"AC")</f>
        <v>AC</v>
      </c>
      <c r="H1141" s="2005">
        <f>IFERROR(__xludf.DUMMYFUNCTION("""COMPUTED_VALUE"""),79.0)</f>
        <v>79</v>
      </c>
      <c r="I1141" s="2005">
        <f>IFERROR(__xludf.DUMMYFUNCTION("""COMPUTED_VALUE"""),79.0)</f>
        <v>79</v>
      </c>
      <c r="BD1141" s="2006"/>
      <c r="LL1141" s="2007"/>
      <c r="LM1141" s="2007"/>
      <c r="MX1141" s="2007"/>
      <c r="ND1141" s="2007"/>
    </row>
    <row r="1142">
      <c r="A1142" s="2005">
        <f>IFERROR(__xludf.DUMMYFUNCTION("""COMPUTED_VALUE"""),1099520.0)</f>
        <v>1099520</v>
      </c>
      <c r="B1142" s="2005">
        <f>IFERROR(__xludf.DUMMYFUNCTION("""COMPUTED_VALUE"""),2403005.0)</f>
        <v>2403005</v>
      </c>
      <c r="C1142" s="2005" t="str">
        <f>IFERROR(__xludf.DUMMYFUNCTION("""COMPUTED_VALUE"""),"Cartouche")</f>
        <v>Cartouche</v>
      </c>
      <c r="D1142" s="2005" t="str">
        <f>IFERROR(__xludf.DUMMYFUNCTION("""COMPUTED_VALUE"""),"202 Noir XL Série Kiwi")</f>
        <v>202 Noir XL Série Kiwi</v>
      </c>
      <c r="E1142" s="2005" t="str">
        <f>IFERROR(__xludf.DUMMYFUNCTION("""COMPUTED_VALUE"""),"EPSON")</f>
        <v>EPSON</v>
      </c>
      <c r="F1142" s="2005" t="str">
        <f>IFERROR(__xludf.DUMMYFUNCTION("""COMPUTED_VALUE"""),"H")</f>
        <v>H</v>
      </c>
      <c r="G1142" s="2005" t="str">
        <f>IFERROR(__xludf.DUMMYFUNCTION("""COMPUTED_VALUE"""),"AC")</f>
        <v>AC</v>
      </c>
      <c r="H1142" s="2005">
        <f>IFERROR(__xludf.DUMMYFUNCTION("""COMPUTED_VALUE"""),32.99)</f>
        <v>32.99</v>
      </c>
      <c r="I1142" s="2005">
        <f>IFERROR(__xludf.DUMMYFUNCTION("""COMPUTED_VALUE"""),32.99)</f>
        <v>32.99</v>
      </c>
      <c r="BD1142" s="2006"/>
      <c r="LL1142" s="2007"/>
      <c r="LM1142" s="2007"/>
      <c r="MX1142" s="2007"/>
      <c r="ND1142" s="2007"/>
    </row>
    <row r="1143">
      <c r="A1143" s="2005">
        <f>IFERROR(__xludf.DUMMYFUNCTION("""COMPUTED_VALUE"""),1099521.0)</f>
        <v>1099521</v>
      </c>
      <c r="B1143" s="2005">
        <f>IFERROR(__xludf.DUMMYFUNCTION("""COMPUTED_VALUE"""),2403005.0)</f>
        <v>2403005</v>
      </c>
      <c r="C1143" s="2005" t="str">
        <f>IFERROR(__xludf.DUMMYFUNCTION("""COMPUTED_VALUE"""),"Pack")</f>
        <v>Pack</v>
      </c>
      <c r="D1143" s="2005" t="str">
        <f>IFERROR(__xludf.DUMMYFUNCTION("""COMPUTED_VALUE"""),"202 (N/NP/C/M/J) XL Série Kiwi")</f>
        <v>202 (N/NP/C/M/J) XL Série Kiwi</v>
      </c>
      <c r="E1143" s="2005" t="str">
        <f>IFERROR(__xludf.DUMMYFUNCTION("""COMPUTED_VALUE"""),"EPSON")</f>
        <v>EPSON</v>
      </c>
      <c r="F1143" s="2005" t="str">
        <f>IFERROR(__xludf.DUMMYFUNCTION("""COMPUTED_VALUE"""),"H")</f>
        <v>H</v>
      </c>
      <c r="G1143" s="2005" t="str">
        <f>IFERROR(__xludf.DUMMYFUNCTION("""COMPUTED_VALUE"""),"AC")</f>
        <v>AC</v>
      </c>
      <c r="H1143" s="2005">
        <f>IFERROR(__xludf.DUMMYFUNCTION("""COMPUTED_VALUE"""),126.0)</f>
        <v>126</v>
      </c>
      <c r="I1143" s="2005">
        <f>IFERROR(__xludf.DUMMYFUNCTION("""COMPUTED_VALUE"""),126.0)</f>
        <v>126</v>
      </c>
      <c r="LL1143" s="2007"/>
      <c r="LM1143" s="2007"/>
    </row>
    <row r="1144">
      <c r="A1144" s="2005">
        <f>IFERROR(__xludf.DUMMYFUNCTION("""COMPUTED_VALUE"""),1099644.0)</f>
        <v>1099644</v>
      </c>
      <c r="B1144" s="2005">
        <f>IFERROR(__xludf.DUMMYFUNCTION("""COMPUTED_VALUE"""),2207015.0)</f>
        <v>2207015</v>
      </c>
      <c r="C1144" s="2005" t="str">
        <f>IFERROR(__xludf.DUMMYFUNCTION("""COMPUTED_VALUE"""),"Stylo")</f>
        <v>Stylo</v>
      </c>
      <c r="D1144" s="2005" t="str">
        <f>IFERROR(__xludf.DUMMYFUNCTION("""COMPUTED_VALUE"""),"Stylo 3D Start")</f>
        <v>Stylo 3D Start</v>
      </c>
      <c r="E1144" s="2005" t="str">
        <f>IFERROR(__xludf.DUMMYFUNCTION("""COMPUTED_VALUE"""),"3DOODLER")</f>
        <v>3DOODLER</v>
      </c>
      <c r="F1144" s="2005" t="str">
        <f>IFERROR(__xludf.DUMMYFUNCTION("""COMPUTED_VALUE"""),"E")</f>
        <v>E</v>
      </c>
      <c r="G1144" s="2005" t="str">
        <f>IFERROR(__xludf.DUMMYFUNCTION("""COMPUTED_VALUE"""),"NN")</f>
        <v>NN</v>
      </c>
      <c r="H1144" s="2005">
        <f>IFERROR(__xludf.DUMMYFUNCTION("""COMPUTED_VALUE"""),32.99)</f>
        <v>32.99</v>
      </c>
      <c r="I1144" s="2005">
        <f>IFERROR(__xludf.DUMMYFUNCTION("""COMPUTED_VALUE"""),32.99)</f>
        <v>32.99</v>
      </c>
      <c r="BD1144" s="2006"/>
      <c r="LL1144" s="2008"/>
      <c r="LM1144" s="2007"/>
      <c r="MX1144" s="2007"/>
      <c r="ND1144" s="2007"/>
    </row>
    <row r="1145">
      <c r="A1145" s="2005">
        <f>IFERROR(__xludf.DUMMYFUNCTION("""COMPUTED_VALUE"""),1099645.0)</f>
        <v>1099645</v>
      </c>
      <c r="B1145" s="2005">
        <f>IFERROR(__xludf.DUMMYFUNCTION("""COMPUTED_VALUE"""),2207005.0)</f>
        <v>2207005</v>
      </c>
      <c r="C1145" s="2005" t="str">
        <f>IFERROR(__xludf.DUMMYFUNCTION("""COMPUTED_VALUE"""),"Imprimante")</f>
        <v>Imprimante</v>
      </c>
      <c r="D1145" s="2005" t="str">
        <f>IFERROR(__xludf.DUMMYFUNCTION("""COMPUTED_VALUE"""),"Micro 3D")</f>
        <v>Micro 3D</v>
      </c>
      <c r="E1145" s="2005" t="str">
        <f>IFERROR(__xludf.DUMMYFUNCTION("""COMPUTED_VALUE"""),"M3D")</f>
        <v>M3D</v>
      </c>
      <c r="F1145" s="2005" t="str">
        <f>IFERROR(__xludf.DUMMYFUNCTION("""COMPUTED_VALUE"""),"H")</f>
        <v>H</v>
      </c>
      <c r="G1145" s="2005" t="str">
        <f>IFERROR(__xludf.DUMMYFUNCTION("""COMPUTED_VALUE"""),"NN")</f>
        <v>NN</v>
      </c>
      <c r="H1145" s="2005">
        <f>IFERROR(__xludf.DUMMYFUNCTION("""COMPUTED_VALUE"""),250.99)</f>
        <v>250.99</v>
      </c>
      <c r="I1145" s="2005">
        <f>IFERROR(__xludf.DUMMYFUNCTION("""COMPUTED_VALUE"""),250.99)</f>
        <v>250.99</v>
      </c>
      <c r="BD1145" s="2006"/>
      <c r="LL1145" s="2007"/>
      <c r="LM1145" s="2007"/>
      <c r="MX1145" s="2007"/>
      <c r="ND1145" s="2007"/>
    </row>
    <row r="1146">
      <c r="A1146" s="2005">
        <f>IFERROR(__xludf.DUMMYFUNCTION("""COMPUTED_VALUE"""),1099706.0)</f>
        <v>1099706</v>
      </c>
      <c r="B1146" s="2005">
        <f>IFERROR(__xludf.DUMMYFUNCTION("""COMPUTED_VALUE"""),1103010.0)</f>
        <v>1103010</v>
      </c>
      <c r="C1146" s="2005" t="str">
        <f>IFERROR(__xludf.DUMMYFUNCTION("""COMPUTED_VALUE"""),"Tél.")</f>
        <v>Tél.</v>
      </c>
      <c r="D1146" s="2005" t="str">
        <f>IFERROR(__xludf.DUMMYFUNCTION("""COMPUTED_VALUE"""),"C570A Noir")</f>
        <v>C570A Noir</v>
      </c>
      <c r="E1146" s="2005" t="str">
        <f>IFERROR(__xludf.DUMMYFUNCTION("""COMPUTED_VALUE"""),"GIGASET")</f>
        <v>GIGASET</v>
      </c>
      <c r="F1146" s="2005" t="str">
        <f>IFERROR(__xludf.DUMMYFUNCTION("""COMPUTED_VALUE"""),"B")</f>
        <v>B</v>
      </c>
      <c r="G1146" s="2005" t="str">
        <f>IFERROR(__xludf.DUMMYFUNCTION("""COMPUTED_VALUE"""),"NN")</f>
        <v>NN</v>
      </c>
      <c r="H1146" s="2005">
        <f>IFERROR(__xludf.DUMMYFUNCTION("""COMPUTED_VALUE"""),69.99)</f>
        <v>69.99</v>
      </c>
      <c r="I1146" s="2005">
        <f>IFERROR(__xludf.DUMMYFUNCTION("""COMPUTED_VALUE"""),69.99)</f>
        <v>69.99</v>
      </c>
      <c r="BD1146" s="2006"/>
      <c r="LL1146" s="2007"/>
      <c r="LM1146" s="2007"/>
      <c r="MX1146" s="2007"/>
      <c r="ND1146" s="2007"/>
    </row>
    <row r="1147">
      <c r="A1147" s="2005">
        <f>IFERROR(__xludf.DUMMYFUNCTION("""COMPUTED_VALUE"""),1099710.0)</f>
        <v>1099710</v>
      </c>
      <c r="B1147" s="2005">
        <f>IFERROR(__xludf.DUMMYFUNCTION("""COMPUTED_VALUE"""),1103010.0)</f>
        <v>1103010</v>
      </c>
      <c r="C1147" s="2005" t="str">
        <f>IFERROR(__xludf.DUMMYFUNCTION("""COMPUTED_VALUE"""),"Pack")</f>
        <v>Pack</v>
      </c>
      <c r="D1147" s="2005" t="str">
        <f>IFERROR(__xludf.DUMMYFUNCTION("""COMPUTED_VALUE"""),"C570A Duo Noir")</f>
        <v>C570A Duo Noir</v>
      </c>
      <c r="E1147" s="2005" t="str">
        <f>IFERROR(__xludf.DUMMYFUNCTION("""COMPUTED_VALUE"""),"GIGASET")</f>
        <v>GIGASET</v>
      </c>
      <c r="F1147" s="2005" t="str">
        <f>IFERROR(__xludf.DUMMYFUNCTION("""COMPUTED_VALUE"""),"A")</f>
        <v>A</v>
      </c>
      <c r="G1147" s="2005" t="str">
        <f>IFERROR(__xludf.DUMMYFUNCTION("""COMPUTED_VALUE"""),"NN")</f>
        <v>NN</v>
      </c>
      <c r="H1147" s="2005">
        <f>IFERROR(__xludf.DUMMYFUNCTION("""COMPUTED_VALUE"""),99.99)</f>
        <v>99.99</v>
      </c>
      <c r="I1147" s="2005">
        <f>IFERROR(__xludf.DUMMYFUNCTION("""COMPUTED_VALUE"""),99.99)</f>
        <v>99.99</v>
      </c>
      <c r="BD1147" s="2006"/>
      <c r="LL1147" s="2007"/>
      <c r="LM1147" s="2007"/>
      <c r="MX1147" s="2007"/>
      <c r="ND1147" s="2007"/>
    </row>
    <row r="1148">
      <c r="A1148" s="2005">
        <f>IFERROR(__xludf.DUMMYFUNCTION("""COMPUTED_VALUE"""),1099839.0)</f>
        <v>1099839</v>
      </c>
      <c r="B1148" s="2005">
        <f>IFERROR(__xludf.DUMMYFUNCTION("""COMPUTED_VALUE"""),2202005.0)</f>
        <v>2202005</v>
      </c>
      <c r="C1148" s="2005" t="str">
        <f>IFERROR(__xludf.DUMMYFUNCTION("""COMPUTED_VALUE"""),"Multi Jet d'enc")</f>
        <v>Multi Jet d'enc</v>
      </c>
      <c r="D1148" s="2005" t="str">
        <f>IFERROR(__xludf.DUMMYFUNCTION("""COMPUTED_VALUE"""),"WF-7715DWF Pro")</f>
        <v>WF-7715DWF Pro</v>
      </c>
      <c r="E1148" s="2005" t="str">
        <f>IFERROR(__xludf.DUMMYFUNCTION("""COMPUTED_VALUE"""),"EPSON")</f>
        <v>EPSON</v>
      </c>
      <c r="F1148" s="2005" t="str">
        <f>IFERROR(__xludf.DUMMYFUNCTION("""COMPUTED_VALUE"""),"H")</f>
        <v>H</v>
      </c>
      <c r="G1148" s="2005" t="str">
        <f>IFERROR(__xludf.DUMMYFUNCTION("""COMPUTED_VALUE"""),"NN")</f>
        <v>NN</v>
      </c>
      <c r="H1148" s="2005">
        <f>IFERROR(__xludf.DUMMYFUNCTION("""COMPUTED_VALUE"""),137.99)</f>
        <v>137.99</v>
      </c>
      <c r="I1148" s="2005">
        <f>IFERROR(__xludf.DUMMYFUNCTION("""COMPUTED_VALUE"""),137.99)</f>
        <v>137.99</v>
      </c>
      <c r="BD1148" s="2006"/>
      <c r="LL1148" s="2007"/>
      <c r="LM1148" s="2007"/>
      <c r="MX1148" s="2007"/>
      <c r="ND1148" s="2007"/>
    </row>
    <row r="1149">
      <c r="A1149" s="2005">
        <f>IFERROR(__xludf.DUMMYFUNCTION("""COMPUTED_VALUE"""),1099884.0)</f>
        <v>1099884</v>
      </c>
      <c r="B1149" s="2005">
        <f>IFERROR(__xludf.DUMMYFUNCTION("""COMPUTED_VALUE"""),1104020.0)</f>
        <v>1104020</v>
      </c>
      <c r="C1149" s="2005" t="str">
        <f>IFERROR(__xludf.DUMMYFUNCTION("""COMPUTED_VALUE"""),"Fax")</f>
        <v>Fax</v>
      </c>
      <c r="D1149" s="2005">
        <f>IFERROR(__xludf.DUMMYFUNCTION("""COMPUTED_VALUE"""),2840.0)</f>
        <v>2840</v>
      </c>
      <c r="E1149" s="2005" t="str">
        <f>IFERROR(__xludf.DUMMYFUNCTION("""COMPUTED_VALUE"""),"BROTHER")</f>
        <v>BROTHER</v>
      </c>
      <c r="F1149" s="2005" t="str">
        <f>IFERROR(__xludf.DUMMYFUNCTION("""COMPUTED_VALUE"""),"E")</f>
        <v>E</v>
      </c>
      <c r="G1149" s="2005" t="str">
        <f>IFERROR(__xludf.DUMMYFUNCTION("""COMPUTED_VALUE"""),"NN")</f>
        <v>NN</v>
      </c>
      <c r="H1149" s="2005">
        <f>IFERROR(__xludf.DUMMYFUNCTION("""COMPUTED_VALUE"""),282.0)</f>
        <v>282</v>
      </c>
      <c r="I1149" s="2005">
        <f>IFERROR(__xludf.DUMMYFUNCTION("""COMPUTED_VALUE"""),282.0)</f>
        <v>282</v>
      </c>
      <c r="BD1149" s="2006"/>
      <c r="LL1149" s="2007"/>
      <c r="LM1149" s="2007"/>
      <c r="MX1149" s="2007"/>
      <c r="ND1149" s="2007"/>
    </row>
    <row r="1150">
      <c r="A1150" s="2005">
        <f>IFERROR(__xludf.DUMMYFUNCTION("""COMPUTED_VALUE"""),1099888.0)</f>
        <v>1099888</v>
      </c>
      <c r="B1150" s="2005">
        <f>IFERROR(__xludf.DUMMYFUNCTION("""COMPUTED_VALUE"""),1104020.0)</f>
        <v>1104020</v>
      </c>
      <c r="C1150" s="2005" t="str">
        <f>IFERROR(__xludf.DUMMYFUNCTION("""COMPUTED_VALUE"""),"Fax")</f>
        <v>Fax</v>
      </c>
      <c r="D1150" s="2005">
        <f>IFERROR(__xludf.DUMMYFUNCTION("""COMPUTED_VALUE"""),2940.0)</f>
        <v>2940</v>
      </c>
      <c r="E1150" s="2005" t="str">
        <f>IFERROR(__xludf.DUMMYFUNCTION("""COMPUTED_VALUE"""),"BROTHER")</f>
        <v>BROTHER</v>
      </c>
      <c r="F1150" s="2005" t="str">
        <f>IFERROR(__xludf.DUMMYFUNCTION("""COMPUTED_VALUE"""),"H")</f>
        <v>H</v>
      </c>
      <c r="G1150" s="2005" t="str">
        <f>IFERROR(__xludf.DUMMYFUNCTION("""COMPUTED_VALUE"""),"NN")</f>
        <v>NN</v>
      </c>
      <c r="H1150" s="2005">
        <f>IFERROR(__xludf.DUMMYFUNCTION("""COMPUTED_VALUE"""),330.0)</f>
        <v>330</v>
      </c>
      <c r="I1150" s="2005">
        <f>IFERROR(__xludf.DUMMYFUNCTION("""COMPUTED_VALUE"""),330.0)</f>
        <v>330</v>
      </c>
      <c r="BD1150" s="2006"/>
      <c r="LL1150" s="2007"/>
      <c r="LM1150" s="2007"/>
      <c r="MX1150" s="2007"/>
      <c r="ND1150" s="2007"/>
    </row>
    <row r="1151">
      <c r="A1151" s="2005">
        <f>IFERROR(__xludf.DUMMYFUNCTION("""COMPUTED_VALUE"""),1099893.0)</f>
        <v>1099893</v>
      </c>
      <c r="B1151" s="2005">
        <f>IFERROR(__xludf.DUMMYFUNCTION("""COMPUTED_VALUE"""),2403020.0)</f>
        <v>2403020</v>
      </c>
      <c r="C1151" s="2005" t="str">
        <f>IFERROR(__xludf.DUMMYFUNCTION("""COMPUTED_VALUE"""),"Cartouche")</f>
        <v>Cartouche</v>
      </c>
      <c r="D1151" s="2005" t="str">
        <f>IFERROR(__xludf.DUMMYFUNCTION("""COMPUTED_VALUE"""),"PC72RF Recharge 2x140 pages")</f>
        <v>PC72RF Recharge 2x140 pages</v>
      </c>
      <c r="E1151" s="2005" t="str">
        <f>IFERROR(__xludf.DUMMYFUNCTION("""COMPUTED_VALUE"""),"BROTHER")</f>
        <v>BROTHER</v>
      </c>
      <c r="F1151" s="2005" t="str">
        <f>IFERROR(__xludf.DUMMYFUNCTION("""COMPUTED_VALUE"""),"H")</f>
        <v>H</v>
      </c>
      <c r="G1151" s="2005" t="str">
        <f>IFERROR(__xludf.DUMMYFUNCTION("""COMPUTED_VALUE"""),"NN")</f>
        <v>NN</v>
      </c>
      <c r="H1151" s="2005">
        <f>IFERROR(__xludf.DUMMYFUNCTION("""COMPUTED_VALUE"""),27.99)</f>
        <v>27.99</v>
      </c>
      <c r="I1151" s="2005">
        <f>IFERROR(__xludf.DUMMYFUNCTION("""COMPUTED_VALUE"""),27.99)</f>
        <v>27.99</v>
      </c>
      <c r="BD1151" s="2006"/>
      <c r="LL1151" s="2007"/>
      <c r="LM1151" s="2007"/>
      <c r="MX1151" s="2007"/>
      <c r="ND1151" s="2007"/>
    </row>
    <row r="1152">
      <c r="A1152" s="2005">
        <f>IFERROR(__xludf.DUMMYFUNCTION("""COMPUTED_VALUE"""),1099897.0)</f>
        <v>1099897</v>
      </c>
      <c r="B1152" s="2005">
        <f>IFERROR(__xludf.DUMMYFUNCTION("""COMPUTED_VALUE"""),2403005.0)</f>
        <v>2403005</v>
      </c>
      <c r="C1152" s="2005" t="str">
        <f>IFERROR(__xludf.DUMMYFUNCTION("""COMPUTED_VALUE"""),"Pack")</f>
        <v>Pack</v>
      </c>
      <c r="D1152" s="2005" t="str">
        <f>IFERROR(__xludf.DUMMYFUNCTION("""COMPUTED_VALUE"""),"CLI551 XL N/C/M/J+papier photo")</f>
        <v>CLI551 XL N/C/M/J+papier photo</v>
      </c>
      <c r="E1152" s="2005" t="str">
        <f>IFERROR(__xludf.DUMMYFUNCTION("""COMPUTED_VALUE"""),"CANON")</f>
        <v>CANON</v>
      </c>
      <c r="F1152" s="2005" t="str">
        <f>IFERROR(__xludf.DUMMYFUNCTION("""COMPUTED_VALUE"""),"D")</f>
        <v>D</v>
      </c>
      <c r="G1152" s="2005" t="str">
        <f>IFERROR(__xludf.DUMMYFUNCTION("""COMPUTED_VALUE"""),"FF")</f>
        <v>FF</v>
      </c>
      <c r="H1152" s="2005">
        <f>IFERROR(__xludf.DUMMYFUNCTION("""COMPUTED_VALUE"""),79.99)</f>
        <v>79.99</v>
      </c>
      <c r="I1152" s="2005">
        <f>IFERROR(__xludf.DUMMYFUNCTION("""COMPUTED_VALUE"""),79.99)</f>
        <v>79.99</v>
      </c>
      <c r="BD1152" s="2006"/>
      <c r="LL1152" s="2007"/>
      <c r="LM1152" s="2007"/>
      <c r="MX1152" s="2007"/>
      <c r="ND1152" s="2007"/>
    </row>
    <row r="1153">
      <c r="A1153" s="2005">
        <f>IFERROR(__xludf.DUMMYFUNCTION("""COMPUTED_VALUE"""),1100044.0)</f>
        <v>1100044</v>
      </c>
      <c r="B1153" s="2005">
        <f>IFERROR(__xludf.DUMMYFUNCTION("""COMPUTED_VALUE"""),2203015.0)</f>
        <v>2203015</v>
      </c>
      <c r="C1153" s="2005" t="str">
        <f>IFERROR(__xludf.DUMMYFUNCTION("""COMPUTED_VALUE"""),"Scanner")</f>
        <v>Scanner</v>
      </c>
      <c r="D1153" s="2005" t="str">
        <f>IFERROR(__xludf.DUMMYFUNCTION("""COMPUTED_VALUE"""),"3D Hand Scanner")</f>
        <v>3D Hand Scanner</v>
      </c>
      <c r="E1153" s="2005" t="str">
        <f>IFERROR(__xludf.DUMMYFUNCTION("""COMPUTED_VALUE"""),"XYZ PRINTING")</f>
        <v>XYZ PRINTING</v>
      </c>
      <c r="F1153" s="2005" t="str">
        <f>IFERROR(__xludf.DUMMYFUNCTION("""COMPUTED_VALUE"""),"H")</f>
        <v>H</v>
      </c>
      <c r="G1153" s="2005" t="str">
        <f>IFERROR(__xludf.DUMMYFUNCTION("""COMPUTED_VALUE"""),"NN")</f>
        <v>NN</v>
      </c>
      <c r="H1153">
        <f>IFERROR(__xludf.DUMMYFUNCTION("""COMPUTED_VALUE"""),186.99)</f>
        <v>186.99</v>
      </c>
      <c r="I1153">
        <f>IFERROR(__xludf.DUMMYFUNCTION("""COMPUTED_VALUE"""),186.99)</f>
        <v>186.99</v>
      </c>
      <c r="LM1153" s="2007"/>
    </row>
    <row r="1154">
      <c r="A1154" s="2005">
        <f>IFERROR(__xludf.DUMMYFUNCTION("""COMPUTED_VALUE"""),1100050.0)</f>
        <v>1100050</v>
      </c>
      <c r="B1154" s="2005">
        <f>IFERROR(__xludf.DUMMYFUNCTION("""COMPUTED_VALUE"""),2403005.0)</f>
        <v>2403005</v>
      </c>
      <c r="C1154" s="2005" t="str">
        <f>IFERROR(__xludf.DUMMYFUNCTION("""COMPUTED_VALUE"""),"Cartouche")</f>
        <v>Cartouche</v>
      </c>
      <c r="D1154" s="2005" t="str">
        <f>IFERROR(__xludf.DUMMYFUNCTION("""COMPUTED_VALUE"""),"Ecotank Bouteille 105 Noir")</f>
        <v>Ecotank Bouteille 105 Noir</v>
      </c>
      <c r="E1154" s="2005" t="str">
        <f>IFERROR(__xludf.DUMMYFUNCTION("""COMPUTED_VALUE"""),"EPSON")</f>
        <v>EPSON</v>
      </c>
      <c r="F1154" s="2005" t="str">
        <f>IFERROR(__xludf.DUMMYFUNCTION("""COMPUTED_VALUE"""),"H")</f>
        <v>H</v>
      </c>
      <c r="G1154" s="2005" t="str">
        <f>IFERROR(__xludf.DUMMYFUNCTION("""COMPUTED_VALUE"""),"AC")</f>
        <v>AC</v>
      </c>
      <c r="H1154">
        <f>IFERROR(__xludf.DUMMYFUNCTION("""COMPUTED_VALUE"""),19.99)</f>
        <v>19.99</v>
      </c>
      <c r="I1154">
        <f>IFERROR(__xludf.DUMMYFUNCTION("""COMPUTED_VALUE"""),19.99)</f>
        <v>19.99</v>
      </c>
      <c r="LM1154" s="2007"/>
    </row>
    <row r="1155">
      <c r="A1155" s="2005">
        <f>IFERROR(__xludf.DUMMYFUNCTION("""COMPUTED_VALUE"""),1100052.0)</f>
        <v>1100052</v>
      </c>
      <c r="B1155" s="2005">
        <f>IFERROR(__xludf.DUMMYFUNCTION("""COMPUTED_VALUE"""),2403005.0)</f>
        <v>2403005</v>
      </c>
      <c r="C1155" s="2005" t="str">
        <f>IFERROR(__xludf.DUMMYFUNCTION("""COMPUTED_VALUE"""),"Cartouche")</f>
        <v>Cartouche</v>
      </c>
      <c r="D1155" s="2005" t="str">
        <f>IFERROR(__xludf.DUMMYFUNCTION("""COMPUTED_VALUE"""),"Ecotank Bouteille 106 Noir photo")</f>
        <v>Ecotank Bouteille 106 Noir photo</v>
      </c>
      <c r="E1155" s="2005" t="str">
        <f>IFERROR(__xludf.DUMMYFUNCTION("""COMPUTED_VALUE"""),"EPSON")</f>
        <v>EPSON</v>
      </c>
      <c r="F1155" s="2005" t="str">
        <f>IFERROR(__xludf.DUMMYFUNCTION("""COMPUTED_VALUE"""),"H")</f>
        <v>H</v>
      </c>
      <c r="G1155" s="2005" t="str">
        <f>IFERROR(__xludf.DUMMYFUNCTION("""COMPUTED_VALUE"""),"AC")</f>
        <v>AC</v>
      </c>
      <c r="H1155" s="2005">
        <f>IFERROR(__xludf.DUMMYFUNCTION("""COMPUTED_VALUE"""),13.98)</f>
        <v>13.98</v>
      </c>
      <c r="I1155">
        <f>IFERROR(__xludf.DUMMYFUNCTION("""COMPUTED_VALUE"""),13.98)</f>
        <v>13.98</v>
      </c>
      <c r="LM1155" s="2007"/>
    </row>
    <row r="1156">
      <c r="A1156" s="2005">
        <f>IFERROR(__xludf.DUMMYFUNCTION("""COMPUTED_VALUE"""),1100053.0)</f>
        <v>1100053</v>
      </c>
      <c r="B1156" s="2005">
        <f>IFERROR(__xludf.DUMMYFUNCTION("""COMPUTED_VALUE"""),2403005.0)</f>
        <v>2403005</v>
      </c>
      <c r="C1156" s="2005" t="str">
        <f>IFERROR(__xludf.DUMMYFUNCTION("""COMPUTED_VALUE"""),"Cartouche")</f>
        <v>Cartouche</v>
      </c>
      <c r="D1156" s="2005" t="str">
        <f>IFERROR(__xludf.DUMMYFUNCTION("""COMPUTED_VALUE"""),"Ecotank Bouteille 106 Cyan")</f>
        <v>Ecotank Bouteille 106 Cyan</v>
      </c>
      <c r="E1156" s="2005" t="str">
        <f>IFERROR(__xludf.DUMMYFUNCTION("""COMPUTED_VALUE"""),"EPSON")</f>
        <v>EPSON</v>
      </c>
      <c r="F1156" s="2005" t="str">
        <f>IFERROR(__xludf.DUMMYFUNCTION("""COMPUTED_VALUE"""),"H")</f>
        <v>H</v>
      </c>
      <c r="G1156" s="2005" t="str">
        <f>IFERROR(__xludf.DUMMYFUNCTION("""COMPUTED_VALUE"""),"AC")</f>
        <v>AC</v>
      </c>
      <c r="H1156" s="2005">
        <f>IFERROR(__xludf.DUMMYFUNCTION("""COMPUTED_VALUE"""),13.98)</f>
        <v>13.98</v>
      </c>
      <c r="I1156" s="2005">
        <f>IFERROR(__xludf.DUMMYFUNCTION("""COMPUTED_VALUE"""),13.98)</f>
        <v>13.98</v>
      </c>
      <c r="LM1156" s="2007"/>
    </row>
    <row r="1157">
      <c r="A1157" s="2005">
        <f>IFERROR(__xludf.DUMMYFUNCTION("""COMPUTED_VALUE"""),1100054.0)</f>
        <v>1100054</v>
      </c>
      <c r="B1157" s="2005">
        <f>IFERROR(__xludf.DUMMYFUNCTION("""COMPUTED_VALUE"""),2403005.0)</f>
        <v>2403005</v>
      </c>
      <c r="C1157" s="2005" t="str">
        <f>IFERROR(__xludf.DUMMYFUNCTION("""COMPUTED_VALUE"""),"Cartouche")</f>
        <v>Cartouche</v>
      </c>
      <c r="D1157" s="2005" t="str">
        <f>IFERROR(__xludf.DUMMYFUNCTION("""COMPUTED_VALUE"""),"Ecotank Bouteille 106 Magenta")</f>
        <v>Ecotank Bouteille 106 Magenta</v>
      </c>
      <c r="E1157" s="2005" t="str">
        <f>IFERROR(__xludf.DUMMYFUNCTION("""COMPUTED_VALUE"""),"EPSON")</f>
        <v>EPSON</v>
      </c>
      <c r="F1157" s="2005" t="str">
        <f>IFERROR(__xludf.DUMMYFUNCTION("""COMPUTED_VALUE"""),"H")</f>
        <v>H</v>
      </c>
      <c r="G1157" s="2005" t="str">
        <f>IFERROR(__xludf.DUMMYFUNCTION("""COMPUTED_VALUE"""),"AC")</f>
        <v>AC</v>
      </c>
      <c r="H1157" s="2005">
        <f>IFERROR(__xludf.DUMMYFUNCTION("""COMPUTED_VALUE"""),13.98)</f>
        <v>13.98</v>
      </c>
      <c r="I1157" s="2005">
        <f>IFERROR(__xludf.DUMMYFUNCTION("""COMPUTED_VALUE"""),13.98)</f>
        <v>13.98</v>
      </c>
      <c r="LM1157" s="2007"/>
    </row>
    <row r="1158">
      <c r="A1158" s="2005">
        <f>IFERROR(__xludf.DUMMYFUNCTION("""COMPUTED_VALUE"""),1100055.0)</f>
        <v>1100055</v>
      </c>
      <c r="B1158" s="2005">
        <f>IFERROR(__xludf.DUMMYFUNCTION("""COMPUTED_VALUE"""),2403005.0)</f>
        <v>2403005</v>
      </c>
      <c r="C1158" s="2005" t="str">
        <f>IFERROR(__xludf.DUMMYFUNCTION("""COMPUTED_VALUE"""),"Cartouche")</f>
        <v>Cartouche</v>
      </c>
      <c r="D1158" s="2005" t="str">
        <f>IFERROR(__xludf.DUMMYFUNCTION("""COMPUTED_VALUE"""),"Ecotank Bouteille 106 Jaune")</f>
        <v>Ecotank Bouteille 106 Jaune</v>
      </c>
      <c r="E1158" s="2005" t="str">
        <f>IFERROR(__xludf.DUMMYFUNCTION("""COMPUTED_VALUE"""),"EPSON")</f>
        <v>EPSON</v>
      </c>
      <c r="F1158" s="2005" t="str">
        <f>IFERROR(__xludf.DUMMYFUNCTION("""COMPUTED_VALUE"""),"H")</f>
        <v>H</v>
      </c>
      <c r="G1158" s="2005" t="str">
        <f>IFERROR(__xludf.DUMMYFUNCTION("""COMPUTED_VALUE"""),"AC")</f>
        <v>AC</v>
      </c>
      <c r="H1158" s="2005">
        <f>IFERROR(__xludf.DUMMYFUNCTION("""COMPUTED_VALUE"""),13.98)</f>
        <v>13.98</v>
      </c>
      <c r="I1158" s="2005">
        <f>IFERROR(__xludf.DUMMYFUNCTION("""COMPUTED_VALUE"""),13.98)</f>
        <v>13.98</v>
      </c>
      <c r="BD1158" s="2006"/>
      <c r="LM1158" s="2007"/>
    </row>
    <row r="1159">
      <c r="A1159" s="2005">
        <f>IFERROR(__xludf.DUMMYFUNCTION("""COMPUTED_VALUE"""),1100156.0)</f>
        <v>1100156</v>
      </c>
      <c r="B1159" s="2005">
        <f>IFERROR(__xludf.DUMMYFUNCTION("""COMPUTED_VALUE"""),2709525.0)</f>
        <v>2709525</v>
      </c>
      <c r="C1159" s="2005" t="str">
        <f>IFERROR(__xludf.DUMMYFUNCTION("""COMPUTED_VALUE"""),"Assurance")</f>
        <v>Assurance</v>
      </c>
      <c r="D1159" s="2005" t="str">
        <f>IFERROR(__xludf.DUMMYFUNCTION("""COMPUTED_VALUE"""),"1an Ebook Consoles &lt;150EUR")</f>
        <v>1an Ebook Consoles &lt;150EUR</v>
      </c>
      <c r="E1159" s="2005" t="str">
        <f>IFERROR(__xludf.DUMMYFUNCTION("""COMPUTED_VALUE"""),"BOULANGER")</f>
        <v>BOULANGER</v>
      </c>
      <c r="F1159" s="2005" t="str">
        <f>IFERROR(__xludf.DUMMYFUNCTION("""COMPUTED_VALUE"""),"B")</f>
        <v>B</v>
      </c>
      <c r="G1159" s="2005" t="str">
        <f>IFERROR(__xludf.DUMMYFUNCTION("""COMPUTED_VALUE"""),"AC")</f>
        <v>AC</v>
      </c>
      <c r="H1159" s="2005">
        <f>IFERROR(__xludf.DUMMYFUNCTION("""COMPUTED_VALUE"""),23.0)</f>
        <v>23</v>
      </c>
      <c r="I1159">
        <f>IFERROR(__xludf.DUMMYFUNCTION("""COMPUTED_VALUE"""),23.0)</f>
        <v>23</v>
      </c>
      <c r="BD1159" s="2006"/>
      <c r="LM1159" s="2007"/>
    </row>
    <row r="1160">
      <c r="A1160" s="2005">
        <f>IFERROR(__xludf.DUMMYFUNCTION("""COMPUTED_VALUE"""),1100157.0)</f>
        <v>1100157</v>
      </c>
      <c r="B1160" s="2005">
        <f>IFERROR(__xludf.DUMMYFUNCTION("""COMPUTED_VALUE"""),2709525.0)</f>
        <v>2709525</v>
      </c>
      <c r="C1160" s="2005" t="str">
        <f>IFERROR(__xludf.DUMMYFUNCTION("""COMPUTED_VALUE"""),"Assurance")</f>
        <v>Assurance</v>
      </c>
      <c r="D1160" s="2005" t="str">
        <f>IFERROR(__xludf.DUMMYFUNCTION("""COMPUTED_VALUE"""),"1an Ebook Consoles 151 a 300EUR")</f>
        <v>1an Ebook Consoles 151 a 300EUR</v>
      </c>
      <c r="E1160" s="2005" t="str">
        <f>IFERROR(__xludf.DUMMYFUNCTION("""COMPUTED_VALUE"""),"BOULANGER")</f>
        <v>BOULANGER</v>
      </c>
      <c r="F1160" s="2005" t="str">
        <f>IFERROR(__xludf.DUMMYFUNCTION("""COMPUTED_VALUE"""),"B")</f>
        <v>B</v>
      </c>
      <c r="G1160" s="2005" t="str">
        <f>IFERROR(__xludf.DUMMYFUNCTION("""COMPUTED_VALUE"""),"AC")</f>
        <v>AC</v>
      </c>
      <c r="H1160" s="2005">
        <f>IFERROR(__xludf.DUMMYFUNCTION("""COMPUTED_VALUE"""),33.0)</f>
        <v>33</v>
      </c>
      <c r="I1160" s="2005">
        <f>IFERROR(__xludf.DUMMYFUNCTION("""COMPUTED_VALUE"""),33.0)</f>
        <v>33</v>
      </c>
      <c r="BD1160" s="2006"/>
      <c r="LM1160" s="2007"/>
    </row>
    <row r="1161">
      <c r="A1161" s="2005">
        <f>IFERROR(__xludf.DUMMYFUNCTION("""COMPUTED_VALUE"""),1100158.0)</f>
        <v>1100158</v>
      </c>
      <c r="B1161" s="2005">
        <f>IFERROR(__xludf.DUMMYFUNCTION("""COMPUTED_VALUE"""),2709525.0)</f>
        <v>2709525</v>
      </c>
      <c r="C1161" s="2005" t="str">
        <f>IFERROR(__xludf.DUMMYFUNCTION("""COMPUTED_VALUE"""),"Assurance")</f>
        <v>Assurance</v>
      </c>
      <c r="D1161" s="2005" t="str">
        <f>IFERROR(__xludf.DUMMYFUNCTION("""COMPUTED_VALUE"""),"1an Ebook Consoles 301 a 500EUR")</f>
        <v>1an Ebook Consoles 301 a 500EUR</v>
      </c>
      <c r="E1161" s="2005" t="str">
        <f>IFERROR(__xludf.DUMMYFUNCTION("""COMPUTED_VALUE"""),"BOULANGER")</f>
        <v>BOULANGER</v>
      </c>
      <c r="F1161" s="2005" t="str">
        <f>IFERROR(__xludf.DUMMYFUNCTION("""COMPUTED_VALUE"""),"B")</f>
        <v>B</v>
      </c>
      <c r="G1161" s="2005" t="str">
        <f>IFERROR(__xludf.DUMMYFUNCTION("""COMPUTED_VALUE"""),"AC")</f>
        <v>AC</v>
      </c>
      <c r="H1161" s="2005">
        <f>IFERROR(__xludf.DUMMYFUNCTION("""COMPUTED_VALUE"""),44.0)</f>
        <v>44</v>
      </c>
      <c r="I1161">
        <f>IFERROR(__xludf.DUMMYFUNCTION("""COMPUTED_VALUE"""),44.0)</f>
        <v>44</v>
      </c>
      <c r="BD1161" s="2006"/>
      <c r="LM1161" s="2007"/>
    </row>
    <row r="1162">
      <c r="A1162" s="2005">
        <f>IFERROR(__xludf.DUMMYFUNCTION("""COMPUTED_VALUE"""),1100159.0)</f>
        <v>1100159</v>
      </c>
      <c r="B1162" s="2005">
        <f>IFERROR(__xludf.DUMMYFUNCTION("""COMPUTED_VALUE"""),2709525.0)</f>
        <v>2709525</v>
      </c>
      <c r="C1162" s="2005" t="str">
        <f>IFERROR(__xludf.DUMMYFUNCTION("""COMPUTED_VALUE"""),"Assurance")</f>
        <v>Assurance</v>
      </c>
      <c r="D1162" s="2005" t="str">
        <f>IFERROR(__xludf.DUMMYFUNCTION("""COMPUTED_VALUE"""),"1an Ebook Consoles 501 a 700EUR")</f>
        <v>1an Ebook Consoles 501 a 700EUR</v>
      </c>
      <c r="E1162" s="2005" t="str">
        <f>IFERROR(__xludf.DUMMYFUNCTION("""COMPUTED_VALUE"""),"BOULANGER")</f>
        <v>BOULANGER</v>
      </c>
      <c r="F1162" s="2005" t="str">
        <f>IFERROR(__xludf.DUMMYFUNCTION("""COMPUTED_VALUE"""),"B")</f>
        <v>B</v>
      </c>
      <c r="G1162" s="2005" t="str">
        <f>IFERROR(__xludf.DUMMYFUNCTION("""COMPUTED_VALUE"""),"AC")</f>
        <v>AC</v>
      </c>
      <c r="H1162" s="2005">
        <f>IFERROR(__xludf.DUMMYFUNCTION("""COMPUTED_VALUE"""),66.0)</f>
        <v>66</v>
      </c>
      <c r="I1162" s="2005">
        <f>IFERROR(__xludf.DUMMYFUNCTION("""COMPUTED_VALUE"""),66.0)</f>
        <v>66</v>
      </c>
      <c r="BD1162" s="2006"/>
      <c r="LL1162" s="2007"/>
      <c r="LM1162" s="2007"/>
      <c r="MX1162" s="2007"/>
      <c r="ND1162" s="2007"/>
    </row>
    <row r="1163">
      <c r="A1163" s="2005">
        <f>IFERROR(__xludf.DUMMYFUNCTION("""COMPUTED_VALUE"""),1100160.0)</f>
        <v>1100160</v>
      </c>
      <c r="B1163" s="2005">
        <f>IFERROR(__xludf.DUMMYFUNCTION("""COMPUTED_VALUE"""),2709525.0)</f>
        <v>2709525</v>
      </c>
      <c r="C1163" s="2005" t="str">
        <f>IFERROR(__xludf.DUMMYFUNCTION("""COMPUTED_VALUE"""),"Assurance")</f>
        <v>Assurance</v>
      </c>
      <c r="D1163" s="2005" t="str">
        <f>IFERROR(__xludf.DUMMYFUNCTION("""COMPUTED_VALUE"""),"1an Ebook Consoles 701 a 1100EUR")</f>
        <v>1an Ebook Consoles 701 a 1100EUR</v>
      </c>
      <c r="E1163" s="2005" t="str">
        <f>IFERROR(__xludf.DUMMYFUNCTION("""COMPUTED_VALUE"""),"BOULANGER")</f>
        <v>BOULANGER</v>
      </c>
      <c r="F1163" s="2005" t="str">
        <f>IFERROR(__xludf.DUMMYFUNCTION("""COMPUTED_VALUE"""),"B")</f>
        <v>B</v>
      </c>
      <c r="G1163" s="2005" t="str">
        <f>IFERROR(__xludf.DUMMYFUNCTION("""COMPUTED_VALUE"""),"AC")</f>
        <v>AC</v>
      </c>
      <c r="H1163" s="2005">
        <f>IFERROR(__xludf.DUMMYFUNCTION("""COMPUTED_VALUE"""),88.0)</f>
        <v>88</v>
      </c>
      <c r="I1163" s="2005">
        <f>IFERROR(__xludf.DUMMYFUNCTION("""COMPUTED_VALUE"""),88.0)</f>
        <v>88</v>
      </c>
      <c r="BD1163" s="2006"/>
      <c r="LM1163" s="2007"/>
    </row>
    <row r="1164">
      <c r="A1164" s="2005">
        <f>IFERROR(__xludf.DUMMYFUNCTION("""COMPUTED_VALUE"""),1100161.0)</f>
        <v>1100161</v>
      </c>
      <c r="B1164" s="2005">
        <f>IFERROR(__xludf.DUMMYFUNCTION("""COMPUTED_VALUE"""),2709525.0)</f>
        <v>2709525</v>
      </c>
      <c r="C1164" s="2005" t="str">
        <f>IFERROR(__xludf.DUMMYFUNCTION("""COMPUTED_VALUE"""),"Assurance")</f>
        <v>Assurance</v>
      </c>
      <c r="D1164" s="2005" t="str">
        <f>IFERROR(__xludf.DUMMYFUNCTION("""COMPUTED_VALUE"""),"1an Ebook Consoles 1101 a 1500EUR")</f>
        <v>1an Ebook Consoles 1101 a 1500EUR</v>
      </c>
      <c r="E1164" s="2005" t="str">
        <f>IFERROR(__xludf.DUMMYFUNCTION("""COMPUTED_VALUE"""),"BOULANGER")</f>
        <v>BOULANGER</v>
      </c>
      <c r="F1164" s="2005" t="str">
        <f>IFERROR(__xludf.DUMMYFUNCTION("""COMPUTED_VALUE"""),"B")</f>
        <v>B</v>
      </c>
      <c r="G1164" s="2005" t="str">
        <f>IFERROR(__xludf.DUMMYFUNCTION("""COMPUTED_VALUE"""),"AC")</f>
        <v>AC</v>
      </c>
      <c r="H1164" s="2005">
        <f>IFERROR(__xludf.DUMMYFUNCTION("""COMPUTED_VALUE"""),104.0)</f>
        <v>104</v>
      </c>
      <c r="I1164" s="2005">
        <f>IFERROR(__xludf.DUMMYFUNCTION("""COMPUTED_VALUE"""),104.0)</f>
        <v>104</v>
      </c>
      <c r="BD1164" s="2006"/>
      <c r="LM1164" s="2007"/>
    </row>
    <row r="1165">
      <c r="A1165" s="2005">
        <f>IFERROR(__xludf.DUMMYFUNCTION("""COMPUTED_VALUE"""),1100162.0)</f>
        <v>1100162</v>
      </c>
      <c r="B1165" s="2005">
        <f>IFERROR(__xludf.DUMMYFUNCTION("""COMPUTED_VALUE"""),2709525.0)</f>
        <v>2709525</v>
      </c>
      <c r="C1165" s="2005" t="str">
        <f>IFERROR(__xludf.DUMMYFUNCTION("""COMPUTED_VALUE"""),"Assurance")</f>
        <v>Assurance</v>
      </c>
      <c r="D1165" s="2005" t="str">
        <f>IFERROR(__xludf.DUMMYFUNCTION("""COMPUTED_VALUE"""),"1an Ebook Consoles 1501 a 3000EUR")</f>
        <v>1an Ebook Consoles 1501 a 3000EUR</v>
      </c>
      <c r="E1165" s="2005" t="str">
        <f>IFERROR(__xludf.DUMMYFUNCTION("""COMPUTED_VALUE"""),"BOULANGER")</f>
        <v>BOULANGER</v>
      </c>
      <c r="F1165" s="2005" t="str">
        <f>IFERROR(__xludf.DUMMYFUNCTION("""COMPUTED_VALUE"""),"B")</f>
        <v>B</v>
      </c>
      <c r="G1165" s="2005" t="str">
        <f>IFERROR(__xludf.DUMMYFUNCTION("""COMPUTED_VALUE"""),"AC")</f>
        <v>AC</v>
      </c>
      <c r="H1165" s="2005">
        <f>IFERROR(__xludf.DUMMYFUNCTION("""COMPUTED_VALUE"""),120.0)</f>
        <v>120</v>
      </c>
      <c r="I1165" s="2005">
        <f>IFERROR(__xludf.DUMMYFUNCTION("""COMPUTED_VALUE"""),120.0)</f>
        <v>120</v>
      </c>
      <c r="BD1165" s="2006"/>
      <c r="LM1165" s="2007"/>
    </row>
    <row r="1166">
      <c r="A1166" s="2005">
        <f>IFERROR(__xludf.DUMMYFUNCTION("""COMPUTED_VALUE"""),1100163.0)</f>
        <v>1100163</v>
      </c>
      <c r="B1166" s="2005">
        <f>IFERROR(__xludf.DUMMYFUNCTION("""COMPUTED_VALUE"""),2709525.0)</f>
        <v>2709525</v>
      </c>
      <c r="C1166" s="2005" t="str">
        <f>IFERROR(__xludf.DUMMYFUNCTION("""COMPUTED_VALUE"""),"Assurance")</f>
        <v>Assurance</v>
      </c>
      <c r="D1166" s="2005" t="str">
        <f>IFERROR(__xludf.DUMMYFUNCTION("""COMPUTED_VALUE"""),"1an Ebook Consoles 3001 a 5000EUR")</f>
        <v>1an Ebook Consoles 3001 a 5000EUR</v>
      </c>
      <c r="E1166" s="2005" t="str">
        <f>IFERROR(__xludf.DUMMYFUNCTION("""COMPUTED_VALUE"""),"BOULANGER")</f>
        <v>BOULANGER</v>
      </c>
      <c r="F1166" s="2005" t="str">
        <f>IFERROR(__xludf.DUMMYFUNCTION("""COMPUTED_VALUE"""),"B")</f>
        <v>B</v>
      </c>
      <c r="G1166" s="2005" t="str">
        <f>IFERROR(__xludf.DUMMYFUNCTION("""COMPUTED_VALUE"""),"AC")</f>
        <v>AC</v>
      </c>
      <c r="H1166" s="2005">
        <f>IFERROR(__xludf.DUMMYFUNCTION("""COMPUTED_VALUE"""),196.0)</f>
        <v>196</v>
      </c>
      <c r="I1166" s="2005">
        <f>IFERROR(__xludf.DUMMYFUNCTION("""COMPUTED_VALUE"""),196.0)</f>
        <v>196</v>
      </c>
      <c r="BD1166" s="2006"/>
      <c r="LM1166" s="2007"/>
    </row>
    <row r="1167">
      <c r="A1167" s="2005">
        <f>IFERROR(__xludf.DUMMYFUNCTION("""COMPUTED_VALUE"""),1100220.0)</f>
        <v>1100220</v>
      </c>
      <c r="B1167" s="2005">
        <f>IFERROR(__xludf.DUMMYFUNCTION("""COMPUTED_VALUE"""),2403005.0)</f>
        <v>2403005</v>
      </c>
      <c r="C1167" s="2005" t="str">
        <f>IFERROR(__xludf.DUMMYFUNCTION("""COMPUTED_VALUE"""),"Cartouche")</f>
        <v>Cartouche</v>
      </c>
      <c r="D1167" s="2005" t="str">
        <f>IFERROR(__xludf.DUMMYFUNCTION("""COMPUTED_VALUE"""),"Cartouche Noir SC-P400")</f>
        <v>Cartouche Noir SC-P400</v>
      </c>
      <c r="E1167" s="2005" t="str">
        <f>IFERROR(__xludf.DUMMYFUNCTION("""COMPUTED_VALUE"""),"EPSON")</f>
        <v>EPSON</v>
      </c>
      <c r="F1167" s="2005" t="str">
        <f>IFERROR(__xludf.DUMMYFUNCTION("""COMPUTED_VALUE"""),"H")</f>
        <v>H</v>
      </c>
      <c r="G1167" s="2005" t="str">
        <f>IFERROR(__xludf.DUMMYFUNCTION("""COMPUTED_VALUE"""),"NN")</f>
        <v>NN</v>
      </c>
      <c r="H1167" s="2005">
        <f>IFERROR(__xludf.DUMMYFUNCTION("""COMPUTED_VALUE"""),17.99)</f>
        <v>17.99</v>
      </c>
      <c r="I1167" s="2005">
        <f>IFERROR(__xludf.DUMMYFUNCTION("""COMPUTED_VALUE"""),17.99)</f>
        <v>17.99</v>
      </c>
      <c r="BD1167" s="2006"/>
      <c r="LM1167" s="2007"/>
    </row>
    <row r="1168">
      <c r="A1168" s="2005">
        <f>IFERROR(__xludf.DUMMYFUNCTION("""COMPUTED_VALUE"""),1100232.0)</f>
        <v>1100232</v>
      </c>
      <c r="B1168" s="2005">
        <f>IFERROR(__xludf.DUMMYFUNCTION("""COMPUTED_VALUE"""),2403005.0)</f>
        <v>2403005</v>
      </c>
      <c r="C1168" s="2005" t="str">
        <f>IFERROR(__xludf.DUMMYFUNCTION("""COMPUTED_VALUE"""),"Cartouche")</f>
        <v>Cartouche</v>
      </c>
      <c r="D1168" s="2005" t="str">
        <f>IFERROR(__xludf.DUMMYFUNCTION("""COMPUTED_VALUE"""),"Cartouche Cyan SC-P400")</f>
        <v>Cartouche Cyan SC-P400</v>
      </c>
      <c r="E1168" s="2005" t="str">
        <f>IFERROR(__xludf.DUMMYFUNCTION("""COMPUTED_VALUE"""),"EPSON")</f>
        <v>EPSON</v>
      </c>
      <c r="F1168" s="2005" t="str">
        <f>IFERROR(__xludf.DUMMYFUNCTION("""COMPUTED_VALUE"""),"H")</f>
        <v>H</v>
      </c>
      <c r="G1168" s="2005" t="str">
        <f>IFERROR(__xludf.DUMMYFUNCTION("""COMPUTED_VALUE"""),"NN")</f>
        <v>NN</v>
      </c>
      <c r="H1168" s="2005">
        <f>IFERROR(__xludf.DUMMYFUNCTION("""COMPUTED_VALUE"""),17.99)</f>
        <v>17.99</v>
      </c>
      <c r="I1168" s="2005">
        <f>IFERROR(__xludf.DUMMYFUNCTION("""COMPUTED_VALUE"""),17.99)</f>
        <v>17.99</v>
      </c>
      <c r="BD1168" s="2006"/>
      <c r="LM1168" s="2007"/>
    </row>
    <row r="1169">
      <c r="A1169" s="2005">
        <f>IFERROR(__xludf.DUMMYFUNCTION("""COMPUTED_VALUE"""),1100235.0)</f>
        <v>1100235</v>
      </c>
      <c r="B1169" s="2005">
        <f>IFERROR(__xludf.DUMMYFUNCTION("""COMPUTED_VALUE"""),2403005.0)</f>
        <v>2403005</v>
      </c>
      <c r="C1169" s="2005" t="str">
        <f>IFERROR(__xludf.DUMMYFUNCTION("""COMPUTED_VALUE"""),"Cartouche")</f>
        <v>Cartouche</v>
      </c>
      <c r="D1169" s="2005" t="str">
        <f>IFERROR(__xludf.DUMMYFUNCTION("""COMPUTED_VALUE"""),"Cartouche Jaune SC-P400")</f>
        <v>Cartouche Jaune SC-P400</v>
      </c>
      <c r="E1169" s="2005" t="str">
        <f>IFERROR(__xludf.DUMMYFUNCTION("""COMPUTED_VALUE"""),"EPSON")</f>
        <v>EPSON</v>
      </c>
      <c r="F1169" s="2005" t="str">
        <f>IFERROR(__xludf.DUMMYFUNCTION("""COMPUTED_VALUE"""),"H")</f>
        <v>H</v>
      </c>
      <c r="G1169" s="2005" t="str">
        <f>IFERROR(__xludf.DUMMYFUNCTION("""COMPUTED_VALUE"""),"FR")</f>
        <v>FR</v>
      </c>
      <c r="H1169" s="2005">
        <f>IFERROR(__xludf.DUMMYFUNCTION("""COMPUTED_VALUE"""),17.99)</f>
        <v>17.99</v>
      </c>
      <c r="I1169" s="2005">
        <f>IFERROR(__xludf.DUMMYFUNCTION("""COMPUTED_VALUE"""),17.99)</f>
        <v>17.99</v>
      </c>
      <c r="LL1169" s="2007"/>
      <c r="LM1169" s="2007"/>
    </row>
    <row r="1170">
      <c r="A1170" s="2005">
        <f>IFERROR(__xludf.DUMMYFUNCTION("""COMPUTED_VALUE"""),1100236.0)</f>
        <v>1100236</v>
      </c>
      <c r="B1170" s="2005">
        <f>IFERROR(__xludf.DUMMYFUNCTION("""COMPUTED_VALUE"""),2403005.0)</f>
        <v>2403005</v>
      </c>
      <c r="C1170" s="2005" t="str">
        <f>IFERROR(__xludf.DUMMYFUNCTION("""COMPUTED_VALUE"""),"Cartouche")</f>
        <v>Cartouche</v>
      </c>
      <c r="D1170" s="2005" t="str">
        <f>IFERROR(__xludf.DUMMYFUNCTION("""COMPUTED_VALUE"""),"Cartouche Rouge SC-P400")</f>
        <v>Cartouche Rouge SC-P400</v>
      </c>
      <c r="E1170" s="2005" t="str">
        <f>IFERROR(__xludf.DUMMYFUNCTION("""COMPUTED_VALUE"""),"EPSON")</f>
        <v>EPSON</v>
      </c>
      <c r="F1170" s="2005" t="str">
        <f>IFERROR(__xludf.DUMMYFUNCTION("""COMPUTED_VALUE"""),"H")</f>
        <v>H</v>
      </c>
      <c r="G1170" s="2005" t="str">
        <f>IFERROR(__xludf.DUMMYFUNCTION("""COMPUTED_VALUE"""),"NN")</f>
        <v>NN</v>
      </c>
      <c r="H1170">
        <f>IFERROR(__xludf.DUMMYFUNCTION("""COMPUTED_VALUE"""),17.99)</f>
        <v>17.99</v>
      </c>
      <c r="I1170">
        <f>IFERROR(__xludf.DUMMYFUNCTION("""COMPUTED_VALUE"""),17.99)</f>
        <v>17.99</v>
      </c>
      <c r="LL1170" s="2007"/>
      <c r="LM1170" s="2007"/>
    </row>
    <row r="1171">
      <c r="A1171" s="2005">
        <f>IFERROR(__xludf.DUMMYFUNCTION("""COMPUTED_VALUE"""),1100238.0)</f>
        <v>1100238</v>
      </c>
      <c r="B1171" s="2005">
        <f>IFERROR(__xludf.DUMMYFUNCTION("""COMPUTED_VALUE"""),2403005.0)</f>
        <v>2403005</v>
      </c>
      <c r="C1171" s="2005" t="str">
        <f>IFERROR(__xludf.DUMMYFUNCTION("""COMPUTED_VALUE"""),"Cartouche")</f>
        <v>Cartouche</v>
      </c>
      <c r="D1171" s="2005" t="str">
        <f>IFERROR(__xludf.DUMMYFUNCTION("""COMPUTED_VALUE"""),"Cartouche Noir Mat SC-P400")</f>
        <v>Cartouche Noir Mat SC-P400</v>
      </c>
      <c r="E1171" s="2005" t="str">
        <f>IFERROR(__xludf.DUMMYFUNCTION("""COMPUTED_VALUE"""),"EPSON")</f>
        <v>EPSON</v>
      </c>
      <c r="F1171" s="2005" t="str">
        <f>IFERROR(__xludf.DUMMYFUNCTION("""COMPUTED_VALUE"""),"H")</f>
        <v>H</v>
      </c>
      <c r="G1171" s="2005" t="str">
        <f>IFERROR(__xludf.DUMMYFUNCTION("""COMPUTED_VALUE"""),"NN")</f>
        <v>NN</v>
      </c>
      <c r="H1171">
        <f>IFERROR(__xludf.DUMMYFUNCTION("""COMPUTED_VALUE"""),17.99)</f>
        <v>17.99</v>
      </c>
      <c r="I1171">
        <f>IFERROR(__xludf.DUMMYFUNCTION("""COMPUTED_VALUE"""),17.99)</f>
        <v>17.99</v>
      </c>
      <c r="LL1171" s="2007"/>
      <c r="LM1171" s="2007"/>
    </row>
    <row r="1172">
      <c r="A1172" s="2005">
        <f>IFERROR(__xludf.DUMMYFUNCTION("""COMPUTED_VALUE"""),1100239.0)</f>
        <v>1100239</v>
      </c>
      <c r="B1172" s="2005">
        <f>IFERROR(__xludf.DUMMYFUNCTION("""COMPUTED_VALUE"""),2403005.0)</f>
        <v>2403005</v>
      </c>
      <c r="C1172" s="2005" t="str">
        <f>IFERROR(__xludf.DUMMYFUNCTION("""COMPUTED_VALUE"""),"Cartouche")</f>
        <v>Cartouche</v>
      </c>
      <c r="D1172" s="2005" t="str">
        <f>IFERROR(__xludf.DUMMYFUNCTION("""COMPUTED_VALUE"""),"Cartouche Orange SC-P400")</f>
        <v>Cartouche Orange SC-P400</v>
      </c>
      <c r="E1172" s="2005" t="str">
        <f>IFERROR(__xludf.DUMMYFUNCTION("""COMPUTED_VALUE"""),"EPSON")</f>
        <v>EPSON</v>
      </c>
      <c r="F1172" s="2005" t="str">
        <f>IFERROR(__xludf.DUMMYFUNCTION("""COMPUTED_VALUE"""),"H")</f>
        <v>H</v>
      </c>
      <c r="G1172" s="2005" t="str">
        <f>IFERROR(__xludf.DUMMYFUNCTION("""COMPUTED_VALUE"""),"FR")</f>
        <v>FR</v>
      </c>
      <c r="H1172" s="2005">
        <f>IFERROR(__xludf.DUMMYFUNCTION("""COMPUTED_VALUE"""),17.99)</f>
        <v>17.99</v>
      </c>
      <c r="I1172" s="2005">
        <f>IFERROR(__xludf.DUMMYFUNCTION("""COMPUTED_VALUE"""),17.99)</f>
        <v>17.99</v>
      </c>
      <c r="LL1172" s="2007"/>
      <c r="LM1172" s="2007"/>
    </row>
    <row r="1173">
      <c r="A1173" s="2005">
        <f>IFERROR(__xludf.DUMMYFUNCTION("""COMPUTED_VALUE"""),1100406.0)</f>
        <v>1100406</v>
      </c>
      <c r="B1173" s="2005">
        <f>IFERROR(__xludf.DUMMYFUNCTION("""COMPUTED_VALUE"""),2709525.0)</f>
        <v>2709525</v>
      </c>
      <c r="C1173" s="2005" t="str">
        <f>IFERROR(__xludf.DUMMYFUNCTION("""COMPUTED_VALUE"""),"Assurance")</f>
        <v>Assurance</v>
      </c>
      <c r="D1173" s="2005" t="str">
        <f>IFERROR(__xludf.DUMMYFUNCTION("""COMPUTED_VALUE"""),"2ans Ebook Consoles &lt;150EUR")</f>
        <v>2ans Ebook Consoles &lt;150EUR</v>
      </c>
      <c r="E1173" s="2005" t="str">
        <f>IFERROR(__xludf.DUMMYFUNCTION("""COMPUTED_VALUE"""),"BOULANGER")</f>
        <v>BOULANGER</v>
      </c>
      <c r="F1173" s="2005" t="str">
        <f>IFERROR(__xludf.DUMMYFUNCTION("""COMPUTED_VALUE"""),"B")</f>
        <v>B</v>
      </c>
      <c r="G1173" s="2005" t="str">
        <f>IFERROR(__xludf.DUMMYFUNCTION("""COMPUTED_VALUE"""),"AC")</f>
        <v>AC</v>
      </c>
      <c r="H1173">
        <f>IFERROR(__xludf.DUMMYFUNCTION("""COMPUTED_VALUE"""),44.0)</f>
        <v>44</v>
      </c>
      <c r="I1173">
        <f>IFERROR(__xludf.DUMMYFUNCTION("""COMPUTED_VALUE"""),44.0)</f>
        <v>44</v>
      </c>
      <c r="LL1173" s="2007"/>
      <c r="LM1173" s="2007"/>
    </row>
    <row r="1174">
      <c r="A1174" s="2005">
        <f>IFERROR(__xludf.DUMMYFUNCTION("""COMPUTED_VALUE"""),1100407.0)</f>
        <v>1100407</v>
      </c>
      <c r="B1174" s="2005">
        <f>IFERROR(__xludf.DUMMYFUNCTION("""COMPUTED_VALUE"""),2709525.0)</f>
        <v>2709525</v>
      </c>
      <c r="C1174" s="2005" t="str">
        <f>IFERROR(__xludf.DUMMYFUNCTION("""COMPUTED_VALUE"""),"Assurance")</f>
        <v>Assurance</v>
      </c>
      <c r="D1174" s="2005" t="str">
        <f>IFERROR(__xludf.DUMMYFUNCTION("""COMPUTED_VALUE"""),"2ans Ebook Consoles 151 a 300EUR")</f>
        <v>2ans Ebook Consoles 151 a 300EUR</v>
      </c>
      <c r="E1174" s="2005" t="str">
        <f>IFERROR(__xludf.DUMMYFUNCTION("""COMPUTED_VALUE"""),"BOULANGER")</f>
        <v>BOULANGER</v>
      </c>
      <c r="F1174" s="2005" t="str">
        <f>IFERROR(__xludf.DUMMYFUNCTION("""COMPUTED_VALUE"""),"B")</f>
        <v>B</v>
      </c>
      <c r="G1174" s="2005" t="str">
        <f>IFERROR(__xludf.DUMMYFUNCTION("""COMPUTED_VALUE"""),"AC")</f>
        <v>AC</v>
      </c>
      <c r="H1174" s="2005">
        <f>IFERROR(__xludf.DUMMYFUNCTION("""COMPUTED_VALUE"""),66.0)</f>
        <v>66</v>
      </c>
      <c r="I1174" s="2005">
        <f>IFERROR(__xludf.DUMMYFUNCTION("""COMPUTED_VALUE"""),66.0)</f>
        <v>66</v>
      </c>
      <c r="LL1174" s="2007"/>
      <c r="LM1174" s="2007"/>
    </row>
    <row r="1175">
      <c r="A1175" s="2005">
        <f>IFERROR(__xludf.DUMMYFUNCTION("""COMPUTED_VALUE"""),1100408.0)</f>
        <v>1100408</v>
      </c>
      <c r="B1175" s="2005">
        <f>IFERROR(__xludf.DUMMYFUNCTION("""COMPUTED_VALUE"""),2709525.0)</f>
        <v>2709525</v>
      </c>
      <c r="C1175" s="2005" t="str">
        <f>IFERROR(__xludf.DUMMYFUNCTION("""COMPUTED_VALUE"""),"Assurance")</f>
        <v>Assurance</v>
      </c>
      <c r="D1175" s="2005" t="str">
        <f>IFERROR(__xludf.DUMMYFUNCTION("""COMPUTED_VALUE"""),"2ans Ebook Consoles 301 a 500EUR")</f>
        <v>2ans Ebook Consoles 301 a 500EUR</v>
      </c>
      <c r="E1175" s="2005" t="str">
        <f>IFERROR(__xludf.DUMMYFUNCTION("""COMPUTED_VALUE"""),"BOULANGER")</f>
        <v>BOULANGER</v>
      </c>
      <c r="F1175" s="2005" t="str">
        <f>IFERROR(__xludf.DUMMYFUNCTION("""COMPUTED_VALUE"""),"B")</f>
        <v>B</v>
      </c>
      <c r="G1175" s="2005" t="str">
        <f>IFERROR(__xludf.DUMMYFUNCTION("""COMPUTED_VALUE"""),"AC")</f>
        <v>AC</v>
      </c>
      <c r="H1175" s="2005">
        <f>IFERROR(__xludf.DUMMYFUNCTION("""COMPUTED_VALUE"""),88.0)</f>
        <v>88</v>
      </c>
      <c r="I1175" s="2005">
        <f>IFERROR(__xludf.DUMMYFUNCTION("""COMPUTED_VALUE"""),88.0)</f>
        <v>88</v>
      </c>
      <c r="LL1175" s="2008"/>
      <c r="LM1175" s="2007"/>
    </row>
    <row r="1176">
      <c r="A1176" s="2005">
        <f>IFERROR(__xludf.DUMMYFUNCTION("""COMPUTED_VALUE"""),1100409.0)</f>
        <v>1100409</v>
      </c>
      <c r="B1176" s="2005">
        <f>IFERROR(__xludf.DUMMYFUNCTION("""COMPUTED_VALUE"""),2709525.0)</f>
        <v>2709525</v>
      </c>
      <c r="C1176" s="2005" t="str">
        <f>IFERROR(__xludf.DUMMYFUNCTION("""COMPUTED_VALUE"""),"Assurance")</f>
        <v>Assurance</v>
      </c>
      <c r="D1176" s="2005" t="str">
        <f>IFERROR(__xludf.DUMMYFUNCTION("""COMPUTED_VALUE"""),"2ans Ebook Consoles 501 a 700EUR")</f>
        <v>2ans Ebook Consoles 501 a 700EUR</v>
      </c>
      <c r="E1176" s="2005" t="str">
        <f>IFERROR(__xludf.DUMMYFUNCTION("""COMPUTED_VALUE"""),"BOULANGER")</f>
        <v>BOULANGER</v>
      </c>
      <c r="F1176" s="2005" t="str">
        <f>IFERROR(__xludf.DUMMYFUNCTION("""COMPUTED_VALUE"""),"B")</f>
        <v>B</v>
      </c>
      <c r="G1176" s="2005" t="str">
        <f>IFERROR(__xludf.DUMMYFUNCTION("""COMPUTED_VALUE"""),"AC")</f>
        <v>AC</v>
      </c>
      <c r="H1176" s="2005">
        <f>IFERROR(__xludf.DUMMYFUNCTION("""COMPUTED_VALUE"""),131.0)</f>
        <v>131</v>
      </c>
      <c r="I1176" s="2005">
        <f>IFERROR(__xludf.DUMMYFUNCTION("""COMPUTED_VALUE"""),131.0)</f>
        <v>131</v>
      </c>
      <c r="LL1176" s="2008"/>
      <c r="LM1176" s="2007"/>
    </row>
    <row r="1177">
      <c r="A1177" s="2005">
        <f>IFERROR(__xludf.DUMMYFUNCTION("""COMPUTED_VALUE"""),1100410.0)</f>
        <v>1100410</v>
      </c>
      <c r="B1177" s="2005">
        <f>IFERROR(__xludf.DUMMYFUNCTION("""COMPUTED_VALUE"""),2709525.0)</f>
        <v>2709525</v>
      </c>
      <c r="C1177" s="2005" t="str">
        <f>IFERROR(__xludf.DUMMYFUNCTION("""COMPUTED_VALUE"""),"Assurance")</f>
        <v>Assurance</v>
      </c>
      <c r="D1177" s="2005" t="str">
        <f>IFERROR(__xludf.DUMMYFUNCTION("""COMPUTED_VALUE"""),"2ans Ebook Consoles 701 a 1100EUR")</f>
        <v>2ans Ebook Consoles 701 a 1100EUR</v>
      </c>
      <c r="E1177" s="2005" t="str">
        <f>IFERROR(__xludf.DUMMYFUNCTION("""COMPUTED_VALUE"""),"BOULANGER")</f>
        <v>BOULANGER</v>
      </c>
      <c r="F1177" s="2005" t="str">
        <f>IFERROR(__xludf.DUMMYFUNCTION("""COMPUTED_VALUE"""),"B")</f>
        <v>B</v>
      </c>
      <c r="G1177" s="2005" t="str">
        <f>IFERROR(__xludf.DUMMYFUNCTION("""COMPUTED_VALUE"""),"AC")</f>
        <v>AC</v>
      </c>
      <c r="H1177">
        <f>IFERROR(__xludf.DUMMYFUNCTION("""COMPUTED_VALUE"""),174.0)</f>
        <v>174</v>
      </c>
      <c r="I1177">
        <f>IFERROR(__xludf.DUMMYFUNCTION("""COMPUTED_VALUE"""),174.0)</f>
        <v>174</v>
      </c>
      <c r="LL1177" s="2008"/>
      <c r="LM1177" s="2007"/>
    </row>
    <row r="1178">
      <c r="A1178" s="2005">
        <f>IFERROR(__xludf.DUMMYFUNCTION("""COMPUTED_VALUE"""),1100411.0)</f>
        <v>1100411</v>
      </c>
      <c r="B1178" s="2005">
        <f>IFERROR(__xludf.DUMMYFUNCTION("""COMPUTED_VALUE"""),2709525.0)</f>
        <v>2709525</v>
      </c>
      <c r="C1178" s="2005" t="str">
        <f>IFERROR(__xludf.DUMMYFUNCTION("""COMPUTED_VALUE"""),"Assurance")</f>
        <v>Assurance</v>
      </c>
      <c r="D1178" s="2005" t="str">
        <f>IFERROR(__xludf.DUMMYFUNCTION("""COMPUTED_VALUE"""),"2ans Ebook Consoles 1101 a 1500EUR")</f>
        <v>2ans Ebook Consoles 1101 a 1500EUR</v>
      </c>
      <c r="E1178" s="2005" t="str">
        <f>IFERROR(__xludf.DUMMYFUNCTION("""COMPUTED_VALUE"""),"BOULANGER")</f>
        <v>BOULANGER</v>
      </c>
      <c r="F1178" s="2005" t="str">
        <f>IFERROR(__xludf.DUMMYFUNCTION("""COMPUTED_VALUE"""),"B")</f>
        <v>B</v>
      </c>
      <c r="G1178" s="2005" t="str">
        <f>IFERROR(__xludf.DUMMYFUNCTION("""COMPUTED_VALUE"""),"AC")</f>
        <v>AC</v>
      </c>
      <c r="H1178">
        <f>IFERROR(__xludf.DUMMYFUNCTION("""COMPUTED_VALUE"""),207.0)</f>
        <v>207</v>
      </c>
      <c r="I1178">
        <f>IFERROR(__xludf.DUMMYFUNCTION("""COMPUTED_VALUE"""),207.0)</f>
        <v>207</v>
      </c>
      <c r="LL1178" s="2007"/>
      <c r="LM1178" s="2007"/>
    </row>
    <row r="1179">
      <c r="A1179" s="2005">
        <f>IFERROR(__xludf.DUMMYFUNCTION("""COMPUTED_VALUE"""),1100412.0)</f>
        <v>1100412</v>
      </c>
      <c r="B1179" s="2005">
        <f>IFERROR(__xludf.DUMMYFUNCTION("""COMPUTED_VALUE"""),2709525.0)</f>
        <v>2709525</v>
      </c>
      <c r="C1179" s="2005" t="str">
        <f>IFERROR(__xludf.DUMMYFUNCTION("""COMPUTED_VALUE"""),"Assurance")</f>
        <v>Assurance</v>
      </c>
      <c r="D1179" s="2005" t="str">
        <f>IFERROR(__xludf.DUMMYFUNCTION("""COMPUTED_VALUE"""),"2ans Ebook Consoles 1501 a 3000EUR")</f>
        <v>2ans Ebook Consoles 1501 a 3000EUR</v>
      </c>
      <c r="E1179" s="2005" t="str">
        <f>IFERROR(__xludf.DUMMYFUNCTION("""COMPUTED_VALUE"""),"BOULANGER")</f>
        <v>BOULANGER</v>
      </c>
      <c r="F1179" s="2005" t="str">
        <f>IFERROR(__xludf.DUMMYFUNCTION("""COMPUTED_VALUE"""),"B")</f>
        <v>B</v>
      </c>
      <c r="G1179" s="2005" t="str">
        <f>IFERROR(__xludf.DUMMYFUNCTION("""COMPUTED_VALUE"""),"AC")</f>
        <v>AC</v>
      </c>
      <c r="H1179" s="2005">
        <f>IFERROR(__xludf.DUMMYFUNCTION("""COMPUTED_VALUE"""),239.0)</f>
        <v>239</v>
      </c>
      <c r="I1179">
        <f>IFERROR(__xludf.DUMMYFUNCTION("""COMPUTED_VALUE"""),239.0)</f>
        <v>239</v>
      </c>
      <c r="LL1179" s="2007"/>
      <c r="LM1179" s="2007"/>
    </row>
    <row r="1180">
      <c r="A1180" s="2005">
        <f>IFERROR(__xludf.DUMMYFUNCTION("""COMPUTED_VALUE"""),1100413.0)</f>
        <v>1100413</v>
      </c>
      <c r="B1180" s="2005">
        <f>IFERROR(__xludf.DUMMYFUNCTION("""COMPUTED_VALUE"""),2709525.0)</f>
        <v>2709525</v>
      </c>
      <c r="C1180" s="2005" t="str">
        <f>IFERROR(__xludf.DUMMYFUNCTION("""COMPUTED_VALUE"""),"Assurance")</f>
        <v>Assurance</v>
      </c>
      <c r="D1180" s="2005" t="str">
        <f>IFERROR(__xludf.DUMMYFUNCTION("""COMPUTED_VALUE"""),"2ans Ebook Consoles 3001 a 5000EUR")</f>
        <v>2ans Ebook Consoles 3001 a 5000EUR</v>
      </c>
      <c r="E1180" s="2005" t="str">
        <f>IFERROR(__xludf.DUMMYFUNCTION("""COMPUTED_VALUE"""),"BOULANGER")</f>
        <v>BOULANGER</v>
      </c>
      <c r="F1180" s="2005" t="str">
        <f>IFERROR(__xludf.DUMMYFUNCTION("""COMPUTED_VALUE"""),"B")</f>
        <v>B</v>
      </c>
      <c r="G1180" s="2005" t="str">
        <f>IFERROR(__xludf.DUMMYFUNCTION("""COMPUTED_VALUE"""),"AC")</f>
        <v>AC</v>
      </c>
      <c r="H1180" s="2005">
        <f>IFERROR(__xludf.DUMMYFUNCTION("""COMPUTED_VALUE"""),391.0)</f>
        <v>391</v>
      </c>
      <c r="I1180" s="2005">
        <f>IFERROR(__xludf.DUMMYFUNCTION("""COMPUTED_VALUE"""),391.0)</f>
        <v>391</v>
      </c>
      <c r="LL1180" s="2007"/>
      <c r="LM1180" s="2007"/>
    </row>
    <row r="1181">
      <c r="A1181" s="2005">
        <f>IFERROR(__xludf.DUMMYFUNCTION("""COMPUTED_VALUE"""),1100511.0)</f>
        <v>1100511</v>
      </c>
      <c r="B1181" s="2005">
        <f>IFERROR(__xludf.DUMMYFUNCTION("""COMPUTED_VALUE"""),2709525.0)</f>
        <v>2709525</v>
      </c>
      <c r="C1181" s="2005" t="str">
        <f>IFERROR(__xludf.DUMMYFUNCTION("""COMPUTED_VALUE"""),"Assurance")</f>
        <v>Assurance</v>
      </c>
      <c r="D1181" s="2005" t="str">
        <f>IFERROR(__xludf.DUMMYFUNCTION("""COMPUTED_VALUE"""),"Consoles/E-Book Vol &amp; Casse Mensu")</f>
        <v>Consoles/E-Book Vol &amp; Casse Mensu</v>
      </c>
      <c r="E1181" s="2005" t="str">
        <f>IFERROR(__xludf.DUMMYFUNCTION("""COMPUTED_VALUE"""),"BOULANGER")</f>
        <v>BOULANGER</v>
      </c>
      <c r="F1181" s="2005" t="str">
        <f>IFERROR(__xludf.DUMMYFUNCTION("""COMPUTED_VALUE"""),"B")</f>
        <v>B</v>
      </c>
      <c r="G1181" s="2005" t="str">
        <f>IFERROR(__xludf.DUMMYFUNCTION("""COMPUTED_VALUE"""),"AC")</f>
        <v>AC</v>
      </c>
      <c r="H1181" s="2005">
        <f>IFERROR(__xludf.DUMMYFUNCTION("""COMPUTED_VALUE"""),2.0)</f>
        <v>2</v>
      </c>
      <c r="I1181" s="2005">
        <f>IFERROR(__xludf.DUMMYFUNCTION("""COMPUTED_VALUE"""),2.0)</f>
        <v>2</v>
      </c>
      <c r="LL1181" s="2007"/>
      <c r="LM1181" s="2007"/>
    </row>
    <row r="1182">
      <c r="A1182" s="2005">
        <f>IFERROR(__xludf.DUMMYFUNCTION("""COMPUTED_VALUE"""),1100512.0)</f>
        <v>1100512</v>
      </c>
      <c r="B1182" s="2005">
        <f>IFERROR(__xludf.DUMMYFUNCTION("""COMPUTED_VALUE"""),2709525.0)</f>
        <v>2709525</v>
      </c>
      <c r="C1182" s="2005" t="str">
        <f>IFERROR(__xludf.DUMMYFUNCTION("""COMPUTED_VALUE"""),"Assurance")</f>
        <v>Assurance</v>
      </c>
      <c r="D1182" s="2005" t="str">
        <f>IFERROR(__xludf.DUMMYFUNCTION("""COMPUTED_VALUE"""),"Consoles/E-Book Vol &amp; Casse Mensu")</f>
        <v>Consoles/E-Book Vol &amp; Casse Mensu</v>
      </c>
      <c r="E1182" s="2005" t="str">
        <f>IFERROR(__xludf.DUMMYFUNCTION("""COMPUTED_VALUE"""),"BOULANGER")</f>
        <v>BOULANGER</v>
      </c>
      <c r="F1182" s="2005" t="str">
        <f>IFERROR(__xludf.DUMMYFUNCTION("""COMPUTED_VALUE"""),"B")</f>
        <v>B</v>
      </c>
      <c r="G1182" s="2005" t="str">
        <f>IFERROR(__xludf.DUMMYFUNCTION("""COMPUTED_VALUE"""),"AC")</f>
        <v>AC</v>
      </c>
      <c r="H1182" s="2005">
        <f>IFERROR(__xludf.DUMMYFUNCTION("""COMPUTED_VALUE"""),3.0)</f>
        <v>3</v>
      </c>
      <c r="I1182" s="2005">
        <f>IFERROR(__xludf.DUMMYFUNCTION("""COMPUTED_VALUE"""),3.0)</f>
        <v>3</v>
      </c>
      <c r="LL1182" s="2007"/>
      <c r="LM1182" s="2007"/>
    </row>
    <row r="1183">
      <c r="A1183" s="2005">
        <f>IFERROR(__xludf.DUMMYFUNCTION("""COMPUTED_VALUE"""),1100513.0)</f>
        <v>1100513</v>
      </c>
      <c r="B1183" s="2005">
        <f>IFERROR(__xludf.DUMMYFUNCTION("""COMPUTED_VALUE"""),2709525.0)</f>
        <v>2709525</v>
      </c>
      <c r="C1183" s="2005" t="str">
        <f>IFERROR(__xludf.DUMMYFUNCTION("""COMPUTED_VALUE"""),"Assurance")</f>
        <v>Assurance</v>
      </c>
      <c r="D1183" s="2005" t="str">
        <f>IFERROR(__xludf.DUMMYFUNCTION("""COMPUTED_VALUE"""),"Consoles/E-Book Vol &amp; Casse Mensu")</f>
        <v>Consoles/E-Book Vol &amp; Casse Mensu</v>
      </c>
      <c r="E1183" s="2005" t="str">
        <f>IFERROR(__xludf.DUMMYFUNCTION("""COMPUTED_VALUE"""),"BOULANGER")</f>
        <v>BOULANGER</v>
      </c>
      <c r="F1183" s="2005" t="str">
        <f>IFERROR(__xludf.DUMMYFUNCTION("""COMPUTED_VALUE"""),"B")</f>
        <v>B</v>
      </c>
      <c r="G1183" s="2005" t="str">
        <f>IFERROR(__xludf.DUMMYFUNCTION("""COMPUTED_VALUE"""),"AC")</f>
        <v>AC</v>
      </c>
      <c r="H1183">
        <f>IFERROR(__xludf.DUMMYFUNCTION("""COMPUTED_VALUE"""),4.0)</f>
        <v>4</v>
      </c>
      <c r="I1183">
        <f>IFERROR(__xludf.DUMMYFUNCTION("""COMPUTED_VALUE"""),4.0)</f>
        <v>4</v>
      </c>
      <c r="LL1183" s="2007"/>
      <c r="LM1183" s="2007"/>
    </row>
    <row r="1184">
      <c r="A1184" s="2005">
        <f>IFERROR(__xludf.DUMMYFUNCTION("""COMPUTED_VALUE"""),1100514.0)</f>
        <v>1100514</v>
      </c>
      <c r="B1184" s="2005">
        <f>IFERROR(__xludf.DUMMYFUNCTION("""COMPUTED_VALUE"""),2709525.0)</f>
        <v>2709525</v>
      </c>
      <c r="C1184" s="2005" t="str">
        <f>IFERROR(__xludf.DUMMYFUNCTION("""COMPUTED_VALUE"""),"Assurance")</f>
        <v>Assurance</v>
      </c>
      <c r="D1184" s="2005" t="str">
        <f>IFERROR(__xludf.DUMMYFUNCTION("""COMPUTED_VALUE"""),"Consoles/E-Book Vol &amp; Casse Mensu")</f>
        <v>Consoles/E-Book Vol &amp; Casse Mensu</v>
      </c>
      <c r="E1184" s="2005" t="str">
        <f>IFERROR(__xludf.DUMMYFUNCTION("""COMPUTED_VALUE"""),"BOULANGER")</f>
        <v>BOULANGER</v>
      </c>
      <c r="F1184" s="2005" t="str">
        <f>IFERROR(__xludf.DUMMYFUNCTION("""COMPUTED_VALUE"""),"B")</f>
        <v>B</v>
      </c>
      <c r="G1184" s="2005" t="str">
        <f>IFERROR(__xludf.DUMMYFUNCTION("""COMPUTED_VALUE"""),"AC")</f>
        <v>AC</v>
      </c>
      <c r="H1184" s="2005">
        <f>IFERROR(__xludf.DUMMYFUNCTION("""COMPUTED_VALUE"""),6.0)</f>
        <v>6</v>
      </c>
      <c r="I1184" s="2005">
        <f>IFERROR(__xludf.DUMMYFUNCTION("""COMPUTED_VALUE"""),6.0)</f>
        <v>6</v>
      </c>
      <c r="LL1184" s="2007"/>
      <c r="LM1184" s="2007"/>
    </row>
    <row r="1185">
      <c r="A1185" s="2005">
        <f>IFERROR(__xludf.DUMMYFUNCTION("""COMPUTED_VALUE"""),1100515.0)</f>
        <v>1100515</v>
      </c>
      <c r="B1185" s="2005">
        <f>IFERROR(__xludf.DUMMYFUNCTION("""COMPUTED_VALUE"""),2709525.0)</f>
        <v>2709525</v>
      </c>
      <c r="C1185" s="2005" t="str">
        <f>IFERROR(__xludf.DUMMYFUNCTION("""COMPUTED_VALUE"""),"Assurance")</f>
        <v>Assurance</v>
      </c>
      <c r="D1185" s="2005" t="str">
        <f>IFERROR(__xludf.DUMMYFUNCTION("""COMPUTED_VALUE"""),"Consoles/E-Book Vol &amp; Casse Mensu")</f>
        <v>Consoles/E-Book Vol &amp; Casse Mensu</v>
      </c>
      <c r="E1185" s="2005" t="str">
        <f>IFERROR(__xludf.DUMMYFUNCTION("""COMPUTED_VALUE"""),"BOULANGER")</f>
        <v>BOULANGER</v>
      </c>
      <c r="F1185" s="2005" t="str">
        <f>IFERROR(__xludf.DUMMYFUNCTION("""COMPUTED_VALUE"""),"B")</f>
        <v>B</v>
      </c>
      <c r="G1185" s="2005" t="str">
        <f>IFERROR(__xludf.DUMMYFUNCTION("""COMPUTED_VALUE"""),"AC")</f>
        <v>AC</v>
      </c>
      <c r="H1185">
        <f>IFERROR(__xludf.DUMMYFUNCTION("""COMPUTED_VALUE"""),8.0)</f>
        <v>8</v>
      </c>
      <c r="I1185">
        <f>IFERROR(__xludf.DUMMYFUNCTION("""COMPUTED_VALUE"""),8.0)</f>
        <v>8</v>
      </c>
      <c r="LL1185" s="2007"/>
      <c r="LM1185" s="2007"/>
    </row>
    <row r="1186">
      <c r="A1186" s="2005">
        <f>IFERROR(__xludf.DUMMYFUNCTION("""COMPUTED_VALUE"""),1100516.0)</f>
        <v>1100516</v>
      </c>
      <c r="B1186" s="2005">
        <f>IFERROR(__xludf.DUMMYFUNCTION("""COMPUTED_VALUE"""),2709525.0)</f>
        <v>2709525</v>
      </c>
      <c r="C1186" s="2005" t="str">
        <f>IFERROR(__xludf.DUMMYFUNCTION("""COMPUTED_VALUE"""),"Assurance")</f>
        <v>Assurance</v>
      </c>
      <c r="D1186" s="2005" t="str">
        <f>IFERROR(__xludf.DUMMYFUNCTION("""COMPUTED_VALUE"""),"Consoles/E-Book Vol &amp; Casse Mensu")</f>
        <v>Consoles/E-Book Vol &amp; Casse Mensu</v>
      </c>
      <c r="E1186" s="2005" t="str">
        <f>IFERROR(__xludf.DUMMYFUNCTION("""COMPUTED_VALUE"""),"BOULANGER")</f>
        <v>BOULANGER</v>
      </c>
      <c r="F1186" s="2005" t="str">
        <f>IFERROR(__xludf.DUMMYFUNCTION("""COMPUTED_VALUE"""),"B")</f>
        <v>B</v>
      </c>
      <c r="G1186" s="2005" t="str">
        <f>IFERROR(__xludf.DUMMYFUNCTION("""COMPUTED_VALUE"""),"AC")</f>
        <v>AC</v>
      </c>
      <c r="H1186" s="2005">
        <f>IFERROR(__xludf.DUMMYFUNCTION("""COMPUTED_VALUE"""),9.5)</f>
        <v>9.5</v>
      </c>
      <c r="I1186" s="2005">
        <f>IFERROR(__xludf.DUMMYFUNCTION("""COMPUTED_VALUE"""),9.5)</f>
        <v>9.5</v>
      </c>
      <c r="BD1186" s="2006"/>
      <c r="LM1186" s="2007"/>
    </row>
    <row r="1187">
      <c r="A1187" s="2005">
        <f>IFERROR(__xludf.DUMMYFUNCTION("""COMPUTED_VALUE"""),1100517.0)</f>
        <v>1100517</v>
      </c>
      <c r="B1187" s="2005">
        <f>IFERROR(__xludf.DUMMYFUNCTION("""COMPUTED_VALUE"""),2709525.0)</f>
        <v>2709525</v>
      </c>
      <c r="C1187" s="2005" t="str">
        <f>IFERROR(__xludf.DUMMYFUNCTION("""COMPUTED_VALUE"""),"Assurance")</f>
        <v>Assurance</v>
      </c>
      <c r="D1187" s="2005" t="str">
        <f>IFERROR(__xludf.DUMMYFUNCTION("""COMPUTED_VALUE"""),"Consoles/E-Book Vol &amp; Casse Mensu")</f>
        <v>Consoles/E-Book Vol &amp; Casse Mensu</v>
      </c>
      <c r="E1187" s="2005" t="str">
        <f>IFERROR(__xludf.DUMMYFUNCTION("""COMPUTED_VALUE"""),"BOULANGER")</f>
        <v>BOULANGER</v>
      </c>
      <c r="F1187" s="2005" t="str">
        <f>IFERROR(__xludf.DUMMYFUNCTION("""COMPUTED_VALUE"""),"B")</f>
        <v>B</v>
      </c>
      <c r="G1187" s="2005" t="str">
        <f>IFERROR(__xludf.DUMMYFUNCTION("""COMPUTED_VALUE"""),"AC")</f>
        <v>AC</v>
      </c>
      <c r="H1187" s="2005">
        <f>IFERROR(__xludf.DUMMYFUNCTION("""COMPUTED_VALUE"""),11.0)</f>
        <v>11</v>
      </c>
      <c r="I1187">
        <f>IFERROR(__xludf.DUMMYFUNCTION("""COMPUTED_VALUE"""),11.0)</f>
        <v>11</v>
      </c>
      <c r="BD1187" s="2006"/>
      <c r="LM1187" s="2007"/>
    </row>
    <row r="1188">
      <c r="A1188" s="2005">
        <f>IFERROR(__xludf.DUMMYFUNCTION("""COMPUTED_VALUE"""),1100518.0)</f>
        <v>1100518</v>
      </c>
      <c r="B1188" s="2005">
        <f>IFERROR(__xludf.DUMMYFUNCTION("""COMPUTED_VALUE"""),2709525.0)</f>
        <v>2709525</v>
      </c>
      <c r="C1188" s="2005" t="str">
        <f>IFERROR(__xludf.DUMMYFUNCTION("""COMPUTED_VALUE"""),"Assurance")</f>
        <v>Assurance</v>
      </c>
      <c r="D1188" s="2005" t="str">
        <f>IFERROR(__xludf.DUMMYFUNCTION("""COMPUTED_VALUE"""),"Consoles/E-Book Vol &amp; Casse Mensu")</f>
        <v>Consoles/E-Book Vol &amp; Casse Mensu</v>
      </c>
      <c r="E1188" s="2005" t="str">
        <f>IFERROR(__xludf.DUMMYFUNCTION("""COMPUTED_VALUE"""),"BOULANGER")</f>
        <v>BOULANGER</v>
      </c>
      <c r="F1188" s="2005" t="str">
        <f>IFERROR(__xludf.DUMMYFUNCTION("""COMPUTED_VALUE"""),"B")</f>
        <v>B</v>
      </c>
      <c r="G1188" s="2005" t="str">
        <f>IFERROR(__xludf.DUMMYFUNCTION("""COMPUTED_VALUE"""),"AC")</f>
        <v>AC</v>
      </c>
      <c r="H1188" s="2005">
        <f>IFERROR(__xludf.DUMMYFUNCTION("""COMPUTED_VALUE"""),18.0)</f>
        <v>18</v>
      </c>
      <c r="I1188" s="2005">
        <f>IFERROR(__xludf.DUMMYFUNCTION("""COMPUTED_VALUE"""),18.0)</f>
        <v>18</v>
      </c>
      <c r="BD1188" s="2006"/>
      <c r="LM1188" s="2007"/>
    </row>
    <row r="1189">
      <c r="A1189" s="2005">
        <f>IFERROR(__xludf.DUMMYFUNCTION("""COMPUTED_VALUE"""),1100859.0)</f>
        <v>1100859</v>
      </c>
      <c r="B1189" s="2005">
        <f>IFERROR(__xludf.DUMMYFUNCTION("""COMPUTED_VALUE"""),1103005.0)</f>
        <v>1103005</v>
      </c>
      <c r="C1189" s="2005" t="str">
        <f>IFERROR(__xludf.DUMMYFUNCTION("""COMPUTED_VALUE"""),"Tél.")</f>
        <v>Tél.</v>
      </c>
      <c r="D1189" s="2005" t="str">
        <f>IFERROR(__xludf.DUMMYFUNCTION("""COMPUTED_VALUE"""),"EPure Noir")</f>
        <v>EPure Noir</v>
      </c>
      <c r="E1189" s="2005" t="str">
        <f>IFERROR(__xludf.DUMMYFUNCTION("""COMPUTED_VALUE"""),"SWISSVOICE")</f>
        <v>SWISSVOICE</v>
      </c>
      <c r="F1189" s="2005" t="str">
        <f>IFERROR(__xludf.DUMMYFUNCTION("""COMPUTED_VALUE"""),"H")</f>
        <v>H</v>
      </c>
      <c r="G1189" s="2005" t="str">
        <f>IFERROR(__xludf.DUMMYFUNCTION("""COMPUTED_VALUE"""),"NN")</f>
        <v>NN</v>
      </c>
      <c r="H1189" s="2005">
        <f>IFERROR(__xludf.DUMMYFUNCTION("""COMPUTED_VALUE"""),59.99)</f>
        <v>59.99</v>
      </c>
      <c r="I1189" s="2005">
        <f>IFERROR(__xludf.DUMMYFUNCTION("""COMPUTED_VALUE"""),59.99)</f>
        <v>59.99</v>
      </c>
      <c r="LL1189" s="2007"/>
      <c r="LM1189" s="2007"/>
    </row>
    <row r="1190">
      <c r="A1190" s="2005">
        <f>IFERROR(__xludf.DUMMYFUNCTION("""COMPUTED_VALUE"""),1100860.0)</f>
        <v>1100860</v>
      </c>
      <c r="B1190" s="2005">
        <f>IFERROR(__xludf.DUMMYFUNCTION("""COMPUTED_VALUE"""),1103005.0)</f>
        <v>1103005</v>
      </c>
      <c r="C1190" s="2005" t="str">
        <f>IFERROR(__xludf.DUMMYFUNCTION("""COMPUTED_VALUE"""),"Tél.")</f>
        <v>Tél.</v>
      </c>
      <c r="D1190" s="2005" t="str">
        <f>IFERROR(__xludf.DUMMYFUNCTION("""COMPUTED_VALUE"""),"EPure Blanc/Noir")</f>
        <v>EPure Blanc/Noir</v>
      </c>
      <c r="E1190" s="2005" t="str">
        <f>IFERROR(__xludf.DUMMYFUNCTION("""COMPUTED_VALUE"""),"SWISSVOICE")</f>
        <v>SWISSVOICE</v>
      </c>
      <c r="F1190" s="2005" t="str">
        <f>IFERROR(__xludf.DUMMYFUNCTION("""COMPUTED_VALUE"""),"H")</f>
        <v>H</v>
      </c>
      <c r="G1190" s="2005" t="str">
        <f>IFERROR(__xludf.DUMMYFUNCTION("""COMPUTED_VALUE"""),"NN")</f>
        <v>NN</v>
      </c>
      <c r="H1190" s="2005">
        <f>IFERROR(__xludf.DUMMYFUNCTION("""COMPUTED_VALUE"""),59.99)</f>
        <v>59.99</v>
      </c>
      <c r="I1190" s="2005">
        <f>IFERROR(__xludf.DUMMYFUNCTION("""COMPUTED_VALUE"""),59.99)</f>
        <v>59.99</v>
      </c>
      <c r="LL1190" s="2007"/>
      <c r="LM1190" s="2007"/>
    </row>
    <row r="1191">
      <c r="A1191" s="2005">
        <f>IFERROR(__xludf.DUMMYFUNCTION("""COMPUTED_VALUE"""),1100871.0)</f>
        <v>1100871</v>
      </c>
      <c r="B1191" s="2005">
        <f>IFERROR(__xludf.DUMMYFUNCTION("""COMPUTED_VALUE"""),1101005.0)</f>
        <v>1101005</v>
      </c>
      <c r="C1191" s="2005" t="str">
        <f>IFERROR(__xludf.DUMMYFUNCTION("""COMPUTED_VALUE"""),"Tél.")</f>
        <v>Tél.</v>
      </c>
      <c r="D1191" s="2005" t="str">
        <f>IFERROR(__xludf.DUMMYFUNCTION("""COMPUTED_VALUE"""),"Serenities Blanc")</f>
        <v>Serenities Blanc</v>
      </c>
      <c r="E1191" s="2005" t="str">
        <f>IFERROR(__xludf.DUMMYFUNCTION("""COMPUTED_VALUE"""),"GEEMARC")</f>
        <v>GEEMARC</v>
      </c>
      <c r="F1191" s="2005" t="str">
        <f>IFERROR(__xludf.DUMMYFUNCTION("""COMPUTED_VALUE"""),"H")</f>
        <v>H</v>
      </c>
      <c r="G1191" s="2005" t="str">
        <f>IFERROR(__xludf.DUMMYFUNCTION("""COMPUTED_VALUE"""),"NN")</f>
        <v>NN</v>
      </c>
      <c r="H1191" s="2005">
        <f>IFERROR(__xludf.DUMMYFUNCTION("""COMPUTED_VALUE"""),80.09)</f>
        <v>80.09</v>
      </c>
      <c r="I1191" s="2005">
        <f>IFERROR(__xludf.DUMMYFUNCTION("""COMPUTED_VALUE"""),80.09)</f>
        <v>80.09</v>
      </c>
      <c r="LL1191" s="2007"/>
      <c r="LM1191" s="2007"/>
    </row>
    <row r="1192">
      <c r="A1192" s="2005">
        <f>IFERROR(__xludf.DUMMYFUNCTION("""COMPUTED_VALUE"""),1100879.0)</f>
        <v>1100879</v>
      </c>
      <c r="B1192" s="2005">
        <f>IFERROR(__xludf.DUMMYFUNCTION("""COMPUTED_VALUE"""),1101005.0)</f>
        <v>1101005</v>
      </c>
      <c r="C1192" s="2005" t="str">
        <f>IFERROR(__xludf.DUMMYFUNCTION("""COMPUTED_VALUE"""),"Tél.")</f>
        <v>Tél.</v>
      </c>
      <c r="D1192" s="2005" t="str">
        <f>IFERROR(__xludf.DUMMYFUNCTION("""COMPUTED_VALUE"""),"Photophone 100 Blanc")</f>
        <v>Photophone 100 Blanc</v>
      </c>
      <c r="E1192" s="2005" t="str">
        <f>IFERROR(__xludf.DUMMYFUNCTION("""COMPUTED_VALUE"""),"GEEMARC")</f>
        <v>GEEMARC</v>
      </c>
      <c r="F1192" s="2005" t="str">
        <f>IFERROR(__xludf.DUMMYFUNCTION("""COMPUTED_VALUE"""),"H")</f>
        <v>H</v>
      </c>
      <c r="G1192" s="2005" t="str">
        <f>IFERROR(__xludf.DUMMYFUNCTION("""COMPUTED_VALUE"""),"NN")</f>
        <v>NN</v>
      </c>
      <c r="H1192" s="2005">
        <f>IFERROR(__xludf.DUMMYFUNCTION("""COMPUTED_VALUE"""),32.99)</f>
        <v>32.99</v>
      </c>
      <c r="I1192" s="2005">
        <f>IFERROR(__xludf.DUMMYFUNCTION("""COMPUTED_VALUE"""),32.99)</f>
        <v>32.99</v>
      </c>
      <c r="BD1192" s="2006"/>
      <c r="LL1192" s="2008"/>
      <c r="LM1192" s="2007"/>
      <c r="MX1192" s="2007"/>
      <c r="ND1192" s="2007"/>
    </row>
    <row r="1193">
      <c r="A1193" s="2005">
        <f>IFERROR(__xludf.DUMMYFUNCTION("""COMPUTED_VALUE"""),1100880.0)</f>
        <v>1100880</v>
      </c>
      <c r="B1193" s="2005">
        <f>IFERROR(__xludf.DUMMYFUNCTION("""COMPUTED_VALUE"""),1101005.0)</f>
        <v>1101005</v>
      </c>
      <c r="C1193" s="2005" t="str">
        <f>IFERROR(__xludf.DUMMYFUNCTION("""COMPUTED_VALUE"""),"Tél.")</f>
        <v>Tél.</v>
      </c>
      <c r="D1193" s="2005" t="str">
        <f>IFERROR(__xludf.DUMMYFUNCTION("""COMPUTED_VALUE"""),"Amplidect 295 Blanc")</f>
        <v>Amplidect 295 Blanc</v>
      </c>
      <c r="E1193" s="2005" t="str">
        <f>IFERROR(__xludf.DUMMYFUNCTION("""COMPUTED_VALUE"""),"GEEMARC")</f>
        <v>GEEMARC</v>
      </c>
      <c r="F1193" s="2005" t="str">
        <f>IFERROR(__xludf.DUMMYFUNCTION("""COMPUTED_VALUE"""),"H")</f>
        <v>H</v>
      </c>
      <c r="G1193" s="2005" t="str">
        <f>IFERROR(__xludf.DUMMYFUNCTION("""COMPUTED_VALUE"""),"NN")</f>
        <v>NN</v>
      </c>
      <c r="H1193" s="2005">
        <f>IFERROR(__xludf.DUMMYFUNCTION("""COMPUTED_VALUE"""),69.99)</f>
        <v>69.99</v>
      </c>
      <c r="I1193" s="2005">
        <f>IFERROR(__xludf.DUMMYFUNCTION("""COMPUTED_VALUE"""),69.99)</f>
        <v>69.99</v>
      </c>
      <c r="BD1193" s="2006"/>
      <c r="LL1193" s="2007"/>
      <c r="LM1193" s="2007"/>
      <c r="MX1193" s="2007"/>
      <c r="ND1193" s="2007"/>
    </row>
    <row r="1194">
      <c r="A1194" s="2005">
        <f>IFERROR(__xludf.DUMMYFUNCTION("""COMPUTED_VALUE"""),1100912.0)</f>
        <v>1100912</v>
      </c>
      <c r="B1194" s="2005">
        <f>IFERROR(__xludf.DUMMYFUNCTION("""COMPUTED_VALUE"""),2403030.0)</f>
        <v>2403030</v>
      </c>
      <c r="C1194" s="2005" t="str">
        <f>IFERROR(__xludf.DUMMYFUNCTION("""COMPUTED_VALUE"""),"Forfait")</f>
        <v>Forfait</v>
      </c>
      <c r="D1194" s="2005" t="str">
        <f>IFERROR(__xludf.DUMMYFUNCTION("""COMPUTED_VALUE"""),"Instant Ink Abonnement cartouches")</f>
        <v>Instant Ink Abonnement cartouches</v>
      </c>
      <c r="E1194" s="2005" t="str">
        <f>IFERROR(__xludf.DUMMYFUNCTION("""COMPUTED_VALUE"""),"HP")</f>
        <v>HP</v>
      </c>
      <c r="F1194" s="2005" t="str">
        <f>IFERROR(__xludf.DUMMYFUNCTION("""COMPUTED_VALUE"""),"A")</f>
        <v>A</v>
      </c>
      <c r="G1194" s="2005" t="str">
        <f>IFERROR(__xludf.DUMMYFUNCTION("""COMPUTED_VALUE"""),"NN")</f>
        <v>NN</v>
      </c>
      <c r="H1194" s="2005">
        <f>IFERROR(__xludf.DUMMYFUNCTION("""COMPUTED_VALUE"""),5.0)</f>
        <v>5</v>
      </c>
      <c r="I1194" s="2005">
        <f>IFERROR(__xludf.DUMMYFUNCTION("""COMPUTED_VALUE"""),5.0)</f>
        <v>5</v>
      </c>
      <c r="BD1194" s="2006"/>
      <c r="LL1194" s="2007"/>
      <c r="LM1194" s="2007"/>
      <c r="MX1194" s="2007"/>
      <c r="ND1194" s="2007"/>
    </row>
    <row r="1195">
      <c r="A1195" s="2005">
        <f>IFERROR(__xludf.DUMMYFUNCTION("""COMPUTED_VALUE"""),1100924.0)</f>
        <v>1100924</v>
      </c>
      <c r="B1195" s="2005">
        <f>IFERROR(__xludf.DUMMYFUNCTION("""COMPUTED_VALUE"""),1101005.0)</f>
        <v>1101005</v>
      </c>
      <c r="C1195" s="2005" t="str">
        <f>IFERROR(__xludf.DUMMYFUNCTION("""COMPUTED_VALUE"""),"Tél.")</f>
        <v>Tél.</v>
      </c>
      <c r="D1195" s="2005" t="str">
        <f>IFERROR(__xludf.DUMMYFUNCTION("""COMPUTED_VALUE"""),"Amplidect Combi 295 Blanc")</f>
        <v>Amplidect Combi 295 Blanc</v>
      </c>
      <c r="E1195" s="2005" t="str">
        <f>IFERROR(__xludf.DUMMYFUNCTION("""COMPUTED_VALUE"""),"GEEMARC")</f>
        <v>GEEMARC</v>
      </c>
      <c r="F1195" s="2005" t="str">
        <f>IFERROR(__xludf.DUMMYFUNCTION("""COMPUTED_VALUE"""),"H")</f>
        <v>H</v>
      </c>
      <c r="G1195" s="2005" t="str">
        <f>IFERROR(__xludf.DUMMYFUNCTION("""COMPUTED_VALUE"""),"NN")</f>
        <v>NN</v>
      </c>
      <c r="H1195" s="2005">
        <f>IFERROR(__xludf.DUMMYFUNCTION("""COMPUTED_VALUE"""),99.99)</f>
        <v>99.99</v>
      </c>
      <c r="I1195" s="2005">
        <f>IFERROR(__xludf.DUMMYFUNCTION("""COMPUTED_VALUE"""),99.99)</f>
        <v>99.99</v>
      </c>
      <c r="BD1195" s="2006"/>
      <c r="LL1195" s="2007"/>
      <c r="LM1195" s="2007"/>
      <c r="MX1195" s="2007"/>
      <c r="ND1195" s="2007"/>
    </row>
    <row r="1196">
      <c r="A1196" s="2005">
        <f>IFERROR(__xludf.DUMMYFUNCTION("""COMPUTED_VALUE"""),1100925.0)</f>
        <v>1100925</v>
      </c>
      <c r="B1196" s="2005">
        <f>IFERROR(__xludf.DUMMYFUNCTION("""COMPUTED_VALUE"""),1101005.0)</f>
        <v>1101005</v>
      </c>
      <c r="C1196" s="2005" t="str">
        <f>IFERROR(__xludf.DUMMYFUNCTION("""COMPUTED_VALUE"""),"Pack")</f>
        <v>Pack</v>
      </c>
      <c r="D1196" s="2005" t="str">
        <f>IFERROR(__xludf.DUMMYFUNCTION("""COMPUTED_VALUE"""),"Pack Mobility 295 Blanc")</f>
        <v>Pack Mobility 295 Blanc</v>
      </c>
      <c r="E1196" s="2005" t="str">
        <f>IFERROR(__xludf.DUMMYFUNCTION("""COMPUTED_VALUE"""),"GEEMARC")</f>
        <v>GEEMARC</v>
      </c>
      <c r="F1196" s="2005" t="str">
        <f>IFERROR(__xludf.DUMMYFUNCTION("""COMPUTED_VALUE"""),"D")</f>
        <v>D</v>
      </c>
      <c r="G1196" s="2005" t="str">
        <f>IFERROR(__xludf.DUMMYFUNCTION("""COMPUTED_VALUE"""),"AC")</f>
        <v>AC</v>
      </c>
      <c r="H1196" s="2005">
        <f>IFERROR(__xludf.DUMMYFUNCTION("""COMPUTED_VALUE"""),119.99)</f>
        <v>119.99</v>
      </c>
      <c r="I1196" s="2005">
        <f>IFERROR(__xludf.DUMMYFUNCTION("""COMPUTED_VALUE"""),119.99)</f>
        <v>119.99</v>
      </c>
      <c r="BD1196" s="2006"/>
      <c r="LL1196" s="2007"/>
      <c r="LM1196" s="2007"/>
      <c r="MX1196" s="2007"/>
      <c r="ND1196" s="2007"/>
    </row>
    <row r="1197">
      <c r="A1197" s="2005">
        <f>IFERROR(__xludf.DUMMYFUNCTION("""COMPUTED_VALUE"""),1100935.0)</f>
        <v>1100935</v>
      </c>
      <c r="B1197" s="2005">
        <f>IFERROR(__xludf.DUMMYFUNCTION("""COMPUTED_VALUE"""),1101005.0)</f>
        <v>1101005</v>
      </c>
      <c r="C1197" s="2005" t="str">
        <f>IFERROR(__xludf.DUMMYFUNCTION("""COMPUTED_VALUE"""),"Tél.")</f>
        <v>Tél.</v>
      </c>
      <c r="D1197" s="2005" t="str">
        <f>IFERROR(__xludf.DUMMYFUNCTION("""COMPUTED_VALUE"""),"Amplidect 295 SOS Pro Blanc")</f>
        <v>Amplidect 295 SOS Pro Blanc</v>
      </c>
      <c r="E1197" s="2005" t="str">
        <f>IFERROR(__xludf.DUMMYFUNCTION("""COMPUTED_VALUE"""),"GEEMARC")</f>
        <v>GEEMARC</v>
      </c>
      <c r="F1197" s="2005" t="str">
        <f>IFERROR(__xludf.DUMMYFUNCTION("""COMPUTED_VALUE"""),"D")</f>
        <v>D</v>
      </c>
      <c r="G1197" s="2005" t="str">
        <f>IFERROR(__xludf.DUMMYFUNCTION("""COMPUTED_VALUE"""),"AC")</f>
        <v>AC</v>
      </c>
      <c r="H1197">
        <f>IFERROR(__xludf.DUMMYFUNCTION("""COMPUTED_VALUE"""),149.99)</f>
        <v>149.99</v>
      </c>
      <c r="I1197">
        <f>IFERROR(__xludf.DUMMYFUNCTION("""COMPUTED_VALUE"""),149.99)</f>
        <v>149.99</v>
      </c>
      <c r="BD1197" s="2006"/>
      <c r="LL1197" s="2007"/>
      <c r="LM1197" s="2007"/>
      <c r="MX1197" s="2007"/>
      <c r="ND1197" s="2007"/>
    </row>
    <row r="1198">
      <c r="A1198" s="2005">
        <f>IFERROR(__xludf.DUMMYFUNCTION("""COMPUTED_VALUE"""),1100937.0)</f>
        <v>1100937</v>
      </c>
      <c r="B1198" s="2005">
        <f>IFERROR(__xludf.DUMMYFUNCTION("""COMPUTED_VALUE"""),1103015.0)</f>
        <v>1103015</v>
      </c>
      <c r="C1198" s="2005" t="str">
        <f>IFERROR(__xludf.DUMMYFUNCTION("""COMPUTED_VALUE"""),"Ampli")</f>
        <v>Ampli</v>
      </c>
      <c r="D1198" s="2005" t="str">
        <f>IFERROR(__xludf.DUMMYFUNCTION("""COMPUTED_VALUE"""),"Amplicall 10 Noir")</f>
        <v>Amplicall 10 Noir</v>
      </c>
      <c r="E1198" s="2005" t="str">
        <f>IFERROR(__xludf.DUMMYFUNCTION("""COMPUTED_VALUE"""),"GEEMARC")</f>
        <v>GEEMARC</v>
      </c>
      <c r="F1198" s="2005" t="str">
        <f>IFERROR(__xludf.DUMMYFUNCTION("""COMPUTED_VALUE"""),"H")</f>
        <v>H</v>
      </c>
      <c r="G1198" s="2005" t="str">
        <f>IFERROR(__xludf.DUMMYFUNCTION("""COMPUTED_VALUE"""),"NN")</f>
        <v>NN</v>
      </c>
      <c r="H1198" s="2005">
        <f>IFERROR(__xludf.DUMMYFUNCTION("""COMPUTED_VALUE"""),19.99)</f>
        <v>19.99</v>
      </c>
      <c r="I1198" s="2005">
        <f>IFERROR(__xludf.DUMMYFUNCTION("""COMPUTED_VALUE"""),19.99)</f>
        <v>19.99</v>
      </c>
      <c r="BD1198" s="2006"/>
      <c r="LL1198" s="2007"/>
      <c r="LM1198" s="2007"/>
      <c r="MX1198" s="2007"/>
      <c r="ND1198" s="2007"/>
    </row>
    <row r="1199">
      <c r="A1199" s="2005">
        <f>IFERROR(__xludf.DUMMYFUNCTION("""COMPUTED_VALUE"""),1100939.0)</f>
        <v>1100939</v>
      </c>
      <c r="B1199" s="2005">
        <f>IFERROR(__xludf.DUMMYFUNCTION("""COMPUTED_VALUE"""),1103015.0)</f>
        <v>1103015</v>
      </c>
      <c r="C1199" s="2005" t="str">
        <f>IFERROR(__xludf.DUMMYFUNCTION("""COMPUTED_VALUE"""),"Ampli")</f>
        <v>Ampli</v>
      </c>
      <c r="D1199" s="2005" t="str">
        <f>IFERROR(__xludf.DUMMYFUNCTION("""COMPUTED_VALUE"""),"CL11 Blanc")</f>
        <v>CL11 Blanc</v>
      </c>
      <c r="E1199" s="2005" t="str">
        <f>IFERROR(__xludf.DUMMYFUNCTION("""COMPUTED_VALUE"""),"GEEMARC")</f>
        <v>GEEMARC</v>
      </c>
      <c r="F1199" s="2005" t="str">
        <f>IFERROR(__xludf.DUMMYFUNCTION("""COMPUTED_VALUE"""),"W")</f>
        <v>W</v>
      </c>
      <c r="G1199" s="2005" t="str">
        <f>IFERROR(__xludf.DUMMYFUNCTION("""COMPUTED_VALUE"""),"AC")</f>
        <v>AC</v>
      </c>
      <c r="H1199" s="2005">
        <f>IFERROR(__xludf.DUMMYFUNCTION("""COMPUTED_VALUE"""),24.99)</f>
        <v>24.99</v>
      </c>
      <c r="I1199" s="2005">
        <f>IFERROR(__xludf.DUMMYFUNCTION("""COMPUTED_VALUE"""),24.99)</f>
        <v>24.99</v>
      </c>
      <c r="BD1199" s="2006"/>
      <c r="LL1199" s="2007"/>
      <c r="LM1199" s="2007"/>
      <c r="MX1199" s="2008"/>
      <c r="ND1199" s="2007"/>
    </row>
    <row r="1200">
      <c r="A1200" s="2005">
        <f>IFERROR(__xludf.DUMMYFUNCTION("""COMPUTED_VALUE"""),1100966.0)</f>
        <v>1100966</v>
      </c>
      <c r="B1200" s="2005">
        <f>IFERROR(__xludf.DUMMYFUNCTION("""COMPUTED_VALUE"""),2503005.0)</f>
        <v>2503005</v>
      </c>
      <c r="C1200" s="2005" t="str">
        <f>IFERROR(__xludf.DUMMYFUNCTION("""COMPUTED_VALUE"""),"Enceinte")</f>
        <v>Enceinte</v>
      </c>
      <c r="D1200" s="2005" t="str">
        <f>IFERROR(__xludf.DUMMYFUNCTION("""COMPUTED_VALUE"""),"GXT618 Asto")</f>
        <v>GXT618 Asto</v>
      </c>
      <c r="E1200" s="2005" t="str">
        <f>IFERROR(__xludf.DUMMYFUNCTION("""COMPUTED_VALUE"""),"TRUST")</f>
        <v>TRUST</v>
      </c>
      <c r="F1200" s="2005" t="str">
        <f>IFERROR(__xludf.DUMMYFUNCTION("""COMPUTED_VALUE"""),"H")</f>
        <v>H</v>
      </c>
      <c r="G1200" s="2005" t="str">
        <f>IFERROR(__xludf.DUMMYFUNCTION("""COMPUTED_VALUE"""),"NN")</f>
        <v>NN</v>
      </c>
      <c r="H1200" s="2005">
        <f>IFERROR(__xludf.DUMMYFUNCTION("""COMPUTED_VALUE"""),39.99)</f>
        <v>39.99</v>
      </c>
      <c r="I1200" s="2005">
        <f>IFERROR(__xludf.DUMMYFUNCTION("""COMPUTED_VALUE"""),39.99)</f>
        <v>39.99</v>
      </c>
      <c r="BD1200" s="2006"/>
      <c r="LL1200" s="2007"/>
      <c r="LM1200" s="2007"/>
      <c r="MX1200" s="2008"/>
      <c r="ND1200" s="2007"/>
    </row>
    <row r="1201">
      <c r="A1201" s="2005">
        <f>IFERROR(__xludf.DUMMYFUNCTION("""COMPUTED_VALUE"""),1100982.0)</f>
        <v>1100982</v>
      </c>
      <c r="B1201" s="2005">
        <f>IFERROR(__xludf.DUMMYFUNCTION("""COMPUTED_VALUE"""),2403010.0)</f>
        <v>2403010</v>
      </c>
      <c r="C1201" s="2005" t="str">
        <f>IFERROR(__xludf.DUMMYFUNCTION("""COMPUTED_VALUE"""),"Toner")</f>
        <v>Toner</v>
      </c>
      <c r="D1201" s="2005" t="str">
        <f>IFERROR(__xludf.DUMMYFUNCTION("""COMPUTED_VALUE"""),"203A Noir")</f>
        <v>203A Noir</v>
      </c>
      <c r="E1201" s="2005" t="str">
        <f>IFERROR(__xludf.DUMMYFUNCTION("""COMPUTED_VALUE"""),"HP")</f>
        <v>HP</v>
      </c>
      <c r="F1201" s="2005" t="str">
        <f>IFERROR(__xludf.DUMMYFUNCTION("""COMPUTED_VALUE"""),"C")</f>
        <v>C</v>
      </c>
      <c r="G1201" s="2005" t="str">
        <f>IFERROR(__xludf.DUMMYFUNCTION("""COMPUTED_VALUE"""),"AC")</f>
        <v>AC</v>
      </c>
      <c r="H1201" s="2005">
        <f>IFERROR(__xludf.DUMMYFUNCTION("""COMPUTED_VALUE"""),86.99)</f>
        <v>86.99</v>
      </c>
      <c r="I1201" s="2005">
        <f>IFERROR(__xludf.DUMMYFUNCTION("""COMPUTED_VALUE"""),86.99)</f>
        <v>86.99</v>
      </c>
      <c r="BD1201" s="2006"/>
      <c r="LL1201" s="2007"/>
      <c r="LM1201" s="2007"/>
      <c r="MX1201" s="2008"/>
      <c r="ND1201" s="2007"/>
    </row>
    <row r="1202">
      <c r="A1202" s="2005">
        <f>IFERROR(__xludf.DUMMYFUNCTION("""COMPUTED_VALUE"""),1100983.0)</f>
        <v>1100983</v>
      </c>
      <c r="B1202" s="2005">
        <f>IFERROR(__xludf.DUMMYFUNCTION("""COMPUTED_VALUE"""),2403010.0)</f>
        <v>2403010</v>
      </c>
      <c r="C1202" s="2005" t="str">
        <f>IFERROR(__xludf.DUMMYFUNCTION("""COMPUTED_VALUE"""),"Toner")</f>
        <v>Toner</v>
      </c>
      <c r="D1202" s="2005" t="str">
        <f>IFERROR(__xludf.DUMMYFUNCTION("""COMPUTED_VALUE"""),"203X Noir")</f>
        <v>203X Noir</v>
      </c>
      <c r="E1202" s="2005" t="str">
        <f>IFERROR(__xludf.DUMMYFUNCTION("""COMPUTED_VALUE"""),"HP")</f>
        <v>HP</v>
      </c>
      <c r="F1202" s="2005" t="str">
        <f>IFERROR(__xludf.DUMMYFUNCTION("""COMPUTED_VALUE"""),"D")</f>
        <v>D</v>
      </c>
      <c r="G1202" s="2005" t="str">
        <f>IFERROR(__xludf.DUMMYFUNCTION("""COMPUTED_VALUE"""),"AC")</f>
        <v>AC</v>
      </c>
      <c r="H1202" s="2005">
        <f>IFERROR(__xludf.DUMMYFUNCTION("""COMPUTED_VALUE"""),128.99)</f>
        <v>128.99</v>
      </c>
      <c r="I1202" s="2005">
        <f>IFERROR(__xludf.DUMMYFUNCTION("""COMPUTED_VALUE"""),128.99)</f>
        <v>128.99</v>
      </c>
      <c r="BD1202" s="2006"/>
      <c r="LL1202" s="2007"/>
      <c r="LM1202" s="2007"/>
      <c r="MX1202" s="2007"/>
      <c r="ND1202" s="2007"/>
    </row>
    <row r="1203">
      <c r="A1203" s="2005">
        <f>IFERROR(__xludf.DUMMYFUNCTION("""COMPUTED_VALUE"""),1100984.0)</f>
        <v>1100984</v>
      </c>
      <c r="B1203" s="2005">
        <f>IFERROR(__xludf.DUMMYFUNCTION("""COMPUTED_VALUE"""),2403010.0)</f>
        <v>2403010</v>
      </c>
      <c r="C1203" s="2005" t="str">
        <f>IFERROR(__xludf.DUMMYFUNCTION("""COMPUTED_VALUE"""),"Toner")</f>
        <v>Toner</v>
      </c>
      <c r="D1203" s="2005" t="str">
        <f>IFERROR(__xludf.DUMMYFUNCTION("""COMPUTED_VALUE"""),"203A Cyan")</f>
        <v>203A Cyan</v>
      </c>
      <c r="E1203" s="2005" t="str">
        <f>IFERROR(__xludf.DUMMYFUNCTION("""COMPUTED_VALUE"""),"HP")</f>
        <v>HP</v>
      </c>
      <c r="F1203" s="2005" t="str">
        <f>IFERROR(__xludf.DUMMYFUNCTION("""COMPUTED_VALUE"""),"D")</f>
        <v>D</v>
      </c>
      <c r="G1203" s="2005" t="str">
        <f>IFERROR(__xludf.DUMMYFUNCTION("""COMPUTED_VALUE"""),"AC")</f>
        <v>AC</v>
      </c>
      <c r="H1203" s="2005">
        <f>IFERROR(__xludf.DUMMYFUNCTION("""COMPUTED_VALUE"""),101.99)</f>
        <v>101.99</v>
      </c>
      <c r="I1203" s="2005">
        <f>IFERROR(__xludf.DUMMYFUNCTION("""COMPUTED_VALUE"""),101.99)</f>
        <v>101.99</v>
      </c>
      <c r="BD1203" s="2006"/>
      <c r="LL1203" s="2007"/>
      <c r="LM1203" s="2007"/>
      <c r="MX1203" s="2007"/>
      <c r="ND1203" s="2007"/>
    </row>
    <row r="1204">
      <c r="A1204" s="2005">
        <f>IFERROR(__xludf.DUMMYFUNCTION("""COMPUTED_VALUE"""),1100985.0)</f>
        <v>1100985</v>
      </c>
      <c r="B1204" s="2005">
        <f>IFERROR(__xludf.DUMMYFUNCTION("""COMPUTED_VALUE"""),2403010.0)</f>
        <v>2403010</v>
      </c>
      <c r="C1204" s="2005" t="str">
        <f>IFERROR(__xludf.DUMMYFUNCTION("""COMPUTED_VALUE"""),"Toner")</f>
        <v>Toner</v>
      </c>
      <c r="D1204" s="2005" t="str">
        <f>IFERROR(__xludf.DUMMYFUNCTION("""COMPUTED_VALUE"""),"203X Cyan")</f>
        <v>203X Cyan</v>
      </c>
      <c r="E1204" s="2005" t="str">
        <f>IFERROR(__xludf.DUMMYFUNCTION("""COMPUTED_VALUE"""),"HP")</f>
        <v>HP</v>
      </c>
      <c r="F1204" s="2005" t="str">
        <f>IFERROR(__xludf.DUMMYFUNCTION("""COMPUTED_VALUE"""),"H")</f>
        <v>H</v>
      </c>
      <c r="G1204" s="2005" t="str">
        <f>IFERROR(__xludf.DUMMYFUNCTION("""COMPUTED_VALUE"""),"AC")</f>
        <v>AC</v>
      </c>
      <c r="H1204">
        <f>IFERROR(__xludf.DUMMYFUNCTION("""COMPUTED_VALUE"""),135.99)</f>
        <v>135.99</v>
      </c>
      <c r="I1204">
        <f>IFERROR(__xludf.DUMMYFUNCTION("""COMPUTED_VALUE"""),135.99)</f>
        <v>135.99</v>
      </c>
      <c r="BD1204" s="2006"/>
      <c r="LL1204" s="2007"/>
      <c r="LM1204" s="2007"/>
      <c r="MX1204" s="2007"/>
      <c r="ND1204" s="2007"/>
    </row>
    <row r="1205">
      <c r="A1205">
        <f>IFERROR(__xludf.DUMMYFUNCTION("""COMPUTED_VALUE"""),1100986.0)</f>
        <v>1100986</v>
      </c>
      <c r="B1205">
        <f>IFERROR(__xludf.DUMMYFUNCTION("""COMPUTED_VALUE"""),2403010.0)</f>
        <v>2403010</v>
      </c>
      <c r="C1205" t="str">
        <f>IFERROR(__xludf.DUMMYFUNCTION("""COMPUTED_VALUE"""),"Toner")</f>
        <v>Toner</v>
      </c>
      <c r="D1205" t="str">
        <f>IFERROR(__xludf.DUMMYFUNCTION("""COMPUTED_VALUE"""),"203A Jaune")</f>
        <v>203A Jaune</v>
      </c>
      <c r="E1205" t="str">
        <f>IFERROR(__xludf.DUMMYFUNCTION("""COMPUTED_VALUE"""),"HP")</f>
        <v>HP</v>
      </c>
      <c r="F1205" t="str">
        <f>IFERROR(__xludf.DUMMYFUNCTION("""COMPUTED_VALUE"""),"D")</f>
        <v>D</v>
      </c>
      <c r="G1205" t="str">
        <f>IFERROR(__xludf.DUMMYFUNCTION("""COMPUTED_VALUE"""),"AC")</f>
        <v>AC</v>
      </c>
      <c r="H1205">
        <f>IFERROR(__xludf.DUMMYFUNCTION("""COMPUTED_VALUE"""),101.99)</f>
        <v>101.99</v>
      </c>
      <c r="I1205">
        <f>IFERROR(__xludf.DUMMYFUNCTION("""COMPUTED_VALUE"""),101.99)</f>
        <v>101.99</v>
      </c>
      <c r="BD1205" s="2006"/>
      <c r="LL1205" s="2007"/>
      <c r="LM1205" s="2007"/>
      <c r="MX1205" s="2007"/>
      <c r="ND1205" s="2007"/>
    </row>
    <row r="1206">
      <c r="A1206" s="2005">
        <f>IFERROR(__xludf.DUMMYFUNCTION("""COMPUTED_VALUE"""),1100987.0)</f>
        <v>1100987</v>
      </c>
      <c r="B1206" s="2005">
        <f>IFERROR(__xludf.DUMMYFUNCTION("""COMPUTED_VALUE"""),2403010.0)</f>
        <v>2403010</v>
      </c>
      <c r="C1206" s="2005" t="str">
        <f>IFERROR(__xludf.DUMMYFUNCTION("""COMPUTED_VALUE"""),"Toner")</f>
        <v>Toner</v>
      </c>
      <c r="D1206" s="2005" t="str">
        <f>IFERROR(__xludf.DUMMYFUNCTION("""COMPUTED_VALUE"""),"203X Jaune")</f>
        <v>203X Jaune</v>
      </c>
      <c r="E1206" s="2005" t="str">
        <f>IFERROR(__xludf.DUMMYFUNCTION("""COMPUTED_VALUE"""),"HP")</f>
        <v>HP</v>
      </c>
      <c r="F1206" s="2005" t="str">
        <f>IFERROR(__xludf.DUMMYFUNCTION("""COMPUTED_VALUE"""),"H")</f>
        <v>H</v>
      </c>
      <c r="G1206" s="2005" t="str">
        <f>IFERROR(__xludf.DUMMYFUNCTION("""COMPUTED_VALUE"""),"NN")</f>
        <v>NN</v>
      </c>
      <c r="H1206">
        <f>IFERROR(__xludf.DUMMYFUNCTION("""COMPUTED_VALUE"""),135.99)</f>
        <v>135.99</v>
      </c>
      <c r="I1206">
        <f>IFERROR(__xludf.DUMMYFUNCTION("""COMPUTED_VALUE"""),135.99)</f>
        <v>135.99</v>
      </c>
      <c r="BD1206" s="2006"/>
      <c r="LL1206" s="2008"/>
      <c r="LM1206" s="2007"/>
      <c r="MX1206" s="2007"/>
      <c r="ND1206" s="2007"/>
    </row>
    <row r="1207">
      <c r="A1207" s="2005">
        <f>IFERROR(__xludf.DUMMYFUNCTION("""COMPUTED_VALUE"""),1100988.0)</f>
        <v>1100988</v>
      </c>
      <c r="B1207" s="2005">
        <f>IFERROR(__xludf.DUMMYFUNCTION("""COMPUTED_VALUE"""),2403010.0)</f>
        <v>2403010</v>
      </c>
      <c r="C1207" s="2005" t="str">
        <f>IFERROR(__xludf.DUMMYFUNCTION("""COMPUTED_VALUE"""),"Toner")</f>
        <v>Toner</v>
      </c>
      <c r="D1207" s="2005" t="str">
        <f>IFERROR(__xludf.DUMMYFUNCTION("""COMPUTED_VALUE"""),"203A Magenta")</f>
        <v>203A Magenta</v>
      </c>
      <c r="E1207" s="2005" t="str">
        <f>IFERROR(__xludf.DUMMYFUNCTION("""COMPUTED_VALUE"""),"HP")</f>
        <v>HP</v>
      </c>
      <c r="F1207" s="2005" t="str">
        <f>IFERROR(__xludf.DUMMYFUNCTION("""COMPUTED_VALUE"""),"D")</f>
        <v>D</v>
      </c>
      <c r="G1207" s="2005" t="str">
        <f>IFERROR(__xludf.DUMMYFUNCTION("""COMPUTED_VALUE"""),"AC")</f>
        <v>AC</v>
      </c>
      <c r="H1207" s="2005">
        <f>IFERROR(__xludf.DUMMYFUNCTION("""COMPUTED_VALUE"""),101.99)</f>
        <v>101.99</v>
      </c>
      <c r="I1207" s="2005">
        <f>IFERROR(__xludf.DUMMYFUNCTION("""COMPUTED_VALUE"""),101.99)</f>
        <v>101.99</v>
      </c>
      <c r="BD1207" s="2006"/>
      <c r="LL1207" s="2008"/>
      <c r="LM1207" s="2007"/>
      <c r="MX1207" s="2007"/>
      <c r="ND1207" s="2007"/>
    </row>
    <row r="1208">
      <c r="A1208" s="2005">
        <f>IFERROR(__xludf.DUMMYFUNCTION("""COMPUTED_VALUE"""),1100989.0)</f>
        <v>1100989</v>
      </c>
      <c r="B1208" s="2005">
        <f>IFERROR(__xludf.DUMMYFUNCTION("""COMPUTED_VALUE"""),2403010.0)</f>
        <v>2403010</v>
      </c>
      <c r="C1208" s="2005" t="str">
        <f>IFERROR(__xludf.DUMMYFUNCTION("""COMPUTED_VALUE"""),"Toner")</f>
        <v>Toner</v>
      </c>
      <c r="D1208" s="2005" t="str">
        <f>IFERROR(__xludf.DUMMYFUNCTION("""COMPUTED_VALUE"""),"203X Magenta")</f>
        <v>203X Magenta</v>
      </c>
      <c r="E1208" s="2005" t="str">
        <f>IFERROR(__xludf.DUMMYFUNCTION("""COMPUTED_VALUE"""),"HP")</f>
        <v>HP</v>
      </c>
      <c r="F1208" s="2005" t="str">
        <f>IFERROR(__xludf.DUMMYFUNCTION("""COMPUTED_VALUE"""),"H")</f>
        <v>H</v>
      </c>
      <c r="G1208" s="2005" t="str">
        <f>IFERROR(__xludf.DUMMYFUNCTION("""COMPUTED_VALUE"""),"AC")</f>
        <v>AC</v>
      </c>
      <c r="H1208" s="2005">
        <f>IFERROR(__xludf.DUMMYFUNCTION("""COMPUTED_VALUE"""),135.99)</f>
        <v>135.99</v>
      </c>
      <c r="I1208" s="2005">
        <f>IFERROR(__xludf.DUMMYFUNCTION("""COMPUTED_VALUE"""),135.99)</f>
        <v>135.99</v>
      </c>
      <c r="BD1208" s="2006"/>
      <c r="LL1208" s="2007"/>
      <c r="LM1208" s="2007"/>
      <c r="MX1208" s="2007"/>
      <c r="ND1208" s="2007"/>
    </row>
    <row r="1209">
      <c r="A1209" s="2005">
        <f>IFERROR(__xludf.DUMMYFUNCTION("""COMPUTED_VALUE"""),1101353.0)</f>
        <v>1101353</v>
      </c>
      <c r="B1209" s="2005">
        <f>IFERROR(__xludf.DUMMYFUNCTION("""COMPUTED_VALUE"""),2203005.0)</f>
        <v>2203005</v>
      </c>
      <c r="C1209" s="2005" t="str">
        <f>IFERROR(__xludf.DUMMYFUNCTION("""COMPUTED_VALUE"""),"Scanner")</f>
        <v>Scanner</v>
      </c>
      <c r="D1209" s="2005" t="str">
        <f>IFERROR(__xludf.DUMMYFUNCTION("""COMPUTED_VALUE"""),"SP-1425")</f>
        <v>SP-1425</v>
      </c>
      <c r="E1209" s="2005" t="str">
        <f>IFERROR(__xludf.DUMMYFUNCTION("""COMPUTED_VALUE"""),"FUJITSU")</f>
        <v>FUJITSU</v>
      </c>
      <c r="F1209" s="2005" t="str">
        <f>IFERROR(__xludf.DUMMYFUNCTION("""COMPUTED_VALUE"""),"H")</f>
        <v>H</v>
      </c>
      <c r="G1209" s="2005" t="str">
        <f>IFERROR(__xludf.DUMMYFUNCTION("""COMPUTED_VALUE"""),"NN")</f>
        <v>NN</v>
      </c>
      <c r="H1209">
        <f>IFERROR(__xludf.DUMMYFUNCTION("""COMPUTED_VALUE"""),649.0)</f>
        <v>649</v>
      </c>
      <c r="I1209">
        <f>IFERROR(__xludf.DUMMYFUNCTION("""COMPUTED_VALUE"""),649.0)</f>
        <v>649</v>
      </c>
      <c r="BD1209" s="2006"/>
      <c r="LL1209" s="2007"/>
      <c r="LM1209" s="2007"/>
      <c r="MX1209" s="2007"/>
      <c r="ND1209" s="2008"/>
    </row>
    <row r="1210">
      <c r="A1210" s="2005">
        <f>IFERROR(__xludf.DUMMYFUNCTION("""COMPUTED_VALUE"""),1101359.0)</f>
        <v>1101359</v>
      </c>
      <c r="B1210" s="2005">
        <f>IFERROR(__xludf.DUMMYFUNCTION("""COMPUTED_VALUE"""),2403005.0)</f>
        <v>2403005</v>
      </c>
      <c r="C1210" s="2005" t="str">
        <f>IFERROR(__xludf.DUMMYFUNCTION("""COMPUTED_VALUE"""),"Cartouche")</f>
        <v>Cartouche</v>
      </c>
      <c r="D1210" s="2005" t="str">
        <f>IFERROR(__xludf.DUMMYFUNCTION("""COMPUTED_VALUE"""),"378 Noir Série Ecureuil")</f>
        <v>378 Noir Série Ecureuil</v>
      </c>
      <c r="E1210" s="2005" t="str">
        <f>IFERROR(__xludf.DUMMYFUNCTION("""COMPUTED_VALUE"""),"EPSON")</f>
        <v>EPSON</v>
      </c>
      <c r="F1210" s="2005" t="str">
        <f>IFERROR(__xludf.DUMMYFUNCTION("""COMPUTED_VALUE"""),"H")</f>
        <v>H</v>
      </c>
      <c r="G1210" s="2005" t="str">
        <f>IFERROR(__xludf.DUMMYFUNCTION("""COMPUTED_VALUE"""),"AC")</f>
        <v>AC</v>
      </c>
      <c r="H1210" s="2005">
        <f>IFERROR(__xludf.DUMMYFUNCTION("""COMPUTED_VALUE"""),13.99)</f>
        <v>13.99</v>
      </c>
      <c r="I1210" s="2005">
        <f>IFERROR(__xludf.DUMMYFUNCTION("""COMPUTED_VALUE"""),13.99)</f>
        <v>13.99</v>
      </c>
      <c r="BD1210" s="2006"/>
      <c r="LL1210" s="2007"/>
      <c r="LM1210" s="2007"/>
      <c r="MX1210" s="2007"/>
      <c r="ND1210" s="2007"/>
    </row>
    <row r="1211">
      <c r="A1211" s="2005">
        <f>IFERROR(__xludf.DUMMYFUNCTION("""COMPUTED_VALUE"""),1101360.0)</f>
        <v>1101360</v>
      </c>
      <c r="B1211" s="2005">
        <f>IFERROR(__xludf.DUMMYFUNCTION("""COMPUTED_VALUE"""),2403005.0)</f>
        <v>2403005</v>
      </c>
      <c r="C1211" s="2005" t="str">
        <f>IFERROR(__xludf.DUMMYFUNCTION("""COMPUTED_VALUE"""),"Cartouche")</f>
        <v>Cartouche</v>
      </c>
      <c r="D1211" s="2005" t="str">
        <f>IFERROR(__xludf.DUMMYFUNCTION("""COMPUTED_VALUE"""),"378 Cyan Série Ecureuil")</f>
        <v>378 Cyan Série Ecureuil</v>
      </c>
      <c r="E1211" s="2005" t="str">
        <f>IFERROR(__xludf.DUMMYFUNCTION("""COMPUTED_VALUE"""),"EPSON")</f>
        <v>EPSON</v>
      </c>
      <c r="F1211" s="2005" t="str">
        <f>IFERROR(__xludf.DUMMYFUNCTION("""COMPUTED_VALUE"""),"H")</f>
        <v>H</v>
      </c>
      <c r="G1211" s="2005" t="str">
        <f>IFERROR(__xludf.DUMMYFUNCTION("""COMPUTED_VALUE"""),"AC")</f>
        <v>AC</v>
      </c>
      <c r="H1211" s="2005">
        <f>IFERROR(__xludf.DUMMYFUNCTION("""COMPUTED_VALUE"""),13.99)</f>
        <v>13.99</v>
      </c>
      <c r="I1211" s="2005">
        <f>IFERROR(__xludf.DUMMYFUNCTION("""COMPUTED_VALUE"""),13.99)</f>
        <v>13.99</v>
      </c>
      <c r="BD1211" s="2006"/>
      <c r="LL1211" s="2007"/>
      <c r="LM1211" s="2007"/>
      <c r="MX1211" s="2008"/>
      <c r="ND1211" s="2007"/>
    </row>
    <row r="1212">
      <c r="A1212" s="2005">
        <f>IFERROR(__xludf.DUMMYFUNCTION("""COMPUTED_VALUE"""),1101363.0)</f>
        <v>1101363</v>
      </c>
      <c r="B1212" s="2005">
        <f>IFERROR(__xludf.DUMMYFUNCTION("""COMPUTED_VALUE"""),2403005.0)</f>
        <v>2403005</v>
      </c>
      <c r="C1212" s="2005" t="str">
        <f>IFERROR(__xludf.DUMMYFUNCTION("""COMPUTED_VALUE"""),"Cartouche")</f>
        <v>Cartouche</v>
      </c>
      <c r="D1212" s="2005" t="str">
        <f>IFERROR(__xludf.DUMMYFUNCTION("""COMPUTED_VALUE"""),"378 Magenta Série Ecureuil")</f>
        <v>378 Magenta Série Ecureuil</v>
      </c>
      <c r="E1212" s="2005" t="str">
        <f>IFERROR(__xludf.DUMMYFUNCTION("""COMPUTED_VALUE"""),"EPSON")</f>
        <v>EPSON</v>
      </c>
      <c r="F1212" s="2005" t="str">
        <f>IFERROR(__xludf.DUMMYFUNCTION("""COMPUTED_VALUE"""),"H")</f>
        <v>H</v>
      </c>
      <c r="G1212" s="2005" t="str">
        <f>IFERROR(__xludf.DUMMYFUNCTION("""COMPUTED_VALUE"""),"FR")</f>
        <v>FR</v>
      </c>
      <c r="H1212" s="2005">
        <f>IFERROR(__xludf.DUMMYFUNCTION("""COMPUTED_VALUE"""),13.99)</f>
        <v>13.99</v>
      </c>
      <c r="I1212" s="2005">
        <f>IFERROR(__xludf.DUMMYFUNCTION("""COMPUTED_VALUE"""),13.99)</f>
        <v>13.99</v>
      </c>
      <c r="BD1212" s="2006"/>
      <c r="LL1212" s="2007"/>
      <c r="LM1212" s="2007"/>
      <c r="MX1212" s="2007"/>
      <c r="ND1212" s="2007"/>
    </row>
    <row r="1213">
      <c r="A1213" s="2005">
        <f>IFERROR(__xludf.DUMMYFUNCTION("""COMPUTED_VALUE"""),1101364.0)</f>
        <v>1101364</v>
      </c>
      <c r="B1213" s="2005">
        <f>IFERROR(__xludf.DUMMYFUNCTION("""COMPUTED_VALUE"""),2403005.0)</f>
        <v>2403005</v>
      </c>
      <c r="C1213" s="2005" t="str">
        <f>IFERROR(__xludf.DUMMYFUNCTION("""COMPUTED_VALUE"""),"Cartouche")</f>
        <v>Cartouche</v>
      </c>
      <c r="D1213" s="2005" t="str">
        <f>IFERROR(__xludf.DUMMYFUNCTION("""COMPUTED_VALUE"""),"378 Jaune Série Ecureuil")</f>
        <v>378 Jaune Série Ecureuil</v>
      </c>
      <c r="E1213" s="2005" t="str">
        <f>IFERROR(__xludf.DUMMYFUNCTION("""COMPUTED_VALUE"""),"EPSON")</f>
        <v>EPSON</v>
      </c>
      <c r="F1213" s="2005" t="str">
        <f>IFERROR(__xludf.DUMMYFUNCTION("""COMPUTED_VALUE"""),"H")</f>
        <v>H</v>
      </c>
      <c r="G1213" s="2005" t="str">
        <f>IFERROR(__xludf.DUMMYFUNCTION("""COMPUTED_VALUE"""),"AC")</f>
        <v>AC</v>
      </c>
      <c r="H1213" s="2005">
        <f>IFERROR(__xludf.DUMMYFUNCTION("""COMPUTED_VALUE"""),13.99)</f>
        <v>13.99</v>
      </c>
      <c r="I1213" s="2005">
        <f>IFERROR(__xludf.DUMMYFUNCTION("""COMPUTED_VALUE"""),13.99)</f>
        <v>13.99</v>
      </c>
      <c r="BD1213" s="2006"/>
      <c r="LL1213" s="2007"/>
      <c r="LM1213" s="2007"/>
      <c r="MX1213" s="2008"/>
      <c r="ND1213" s="2007"/>
    </row>
    <row r="1214">
      <c r="A1214" s="2005">
        <f>IFERROR(__xludf.DUMMYFUNCTION("""COMPUTED_VALUE"""),1101366.0)</f>
        <v>1101366</v>
      </c>
      <c r="B1214" s="2005">
        <f>IFERROR(__xludf.DUMMYFUNCTION("""COMPUTED_VALUE"""),2403005.0)</f>
        <v>2403005</v>
      </c>
      <c r="C1214" s="2005" t="str">
        <f>IFERROR(__xludf.DUMMYFUNCTION("""COMPUTED_VALUE"""),"Cartouche")</f>
        <v>Cartouche</v>
      </c>
      <c r="D1214" s="2005" t="str">
        <f>IFERROR(__xludf.DUMMYFUNCTION("""COMPUTED_VALUE"""),"378 Magenta clair Série Ecureuil")</f>
        <v>378 Magenta clair Série Ecureuil</v>
      </c>
      <c r="E1214" s="2005" t="str">
        <f>IFERROR(__xludf.DUMMYFUNCTION("""COMPUTED_VALUE"""),"EPSON")</f>
        <v>EPSON</v>
      </c>
      <c r="F1214" s="2005" t="str">
        <f>IFERROR(__xludf.DUMMYFUNCTION("""COMPUTED_VALUE"""),"H")</f>
        <v>H</v>
      </c>
      <c r="G1214" s="2005" t="str">
        <f>IFERROR(__xludf.DUMMYFUNCTION("""COMPUTED_VALUE"""),"FR")</f>
        <v>FR</v>
      </c>
      <c r="H1214" s="2005">
        <f>IFERROR(__xludf.DUMMYFUNCTION("""COMPUTED_VALUE"""),13.99)</f>
        <v>13.99</v>
      </c>
      <c r="I1214" s="2005">
        <f>IFERROR(__xludf.DUMMYFUNCTION("""COMPUTED_VALUE"""),13.99)</f>
        <v>13.99</v>
      </c>
      <c r="BD1214" s="2006"/>
      <c r="LL1214" s="2007"/>
      <c r="LM1214" s="2007"/>
      <c r="MX1214" s="2007"/>
      <c r="ND1214" s="2008"/>
    </row>
    <row r="1215">
      <c r="A1215" s="2005">
        <f>IFERROR(__xludf.DUMMYFUNCTION("""COMPUTED_VALUE"""),1101382.0)</f>
        <v>1101382</v>
      </c>
      <c r="B1215" s="2005">
        <f>IFERROR(__xludf.DUMMYFUNCTION("""COMPUTED_VALUE"""),2403005.0)</f>
        <v>2403005</v>
      </c>
      <c r="C1215" s="2005" t="str">
        <f>IFERROR(__xludf.DUMMYFUNCTION("""COMPUTED_VALUE"""),"Pack")</f>
        <v>Pack</v>
      </c>
      <c r="D1215" s="2005" t="str">
        <f>IFERROR(__xludf.DUMMYFUNCTION("""COMPUTED_VALUE"""),"378 (N/C/M/J/CC/MC) Série Ecureuil")</f>
        <v>378 (N/C/M/J/CC/MC) Série Ecureuil</v>
      </c>
      <c r="E1215" s="2005" t="str">
        <f>IFERROR(__xludf.DUMMYFUNCTION("""COMPUTED_VALUE"""),"EPSON")</f>
        <v>EPSON</v>
      </c>
      <c r="F1215" s="2005" t="str">
        <f>IFERROR(__xludf.DUMMYFUNCTION("""COMPUTED_VALUE"""),"H")</f>
        <v>H</v>
      </c>
      <c r="G1215" s="2005" t="str">
        <f>IFERROR(__xludf.DUMMYFUNCTION("""COMPUTED_VALUE"""),"AC")</f>
        <v>AC</v>
      </c>
      <c r="H1215" s="2005">
        <f>IFERROR(__xludf.DUMMYFUNCTION("""COMPUTED_VALUE"""),79.0)</f>
        <v>79</v>
      </c>
      <c r="I1215" s="2005">
        <f>IFERROR(__xludf.DUMMYFUNCTION("""COMPUTED_VALUE"""),79.0)</f>
        <v>79</v>
      </c>
      <c r="BD1215" s="2006"/>
      <c r="LL1215" s="2007"/>
      <c r="LM1215" s="2007"/>
      <c r="MX1215" s="2007"/>
      <c r="ND1215" s="2007"/>
    </row>
    <row r="1216">
      <c r="A1216" s="2005">
        <f>IFERROR(__xludf.DUMMYFUNCTION("""COMPUTED_VALUE"""),1101383.0)</f>
        <v>1101383</v>
      </c>
      <c r="B1216" s="2005">
        <f>IFERROR(__xludf.DUMMYFUNCTION("""COMPUTED_VALUE"""),2403005.0)</f>
        <v>2403005</v>
      </c>
      <c r="C1216" s="2005" t="str">
        <f>IFERROR(__xludf.DUMMYFUNCTION("""COMPUTED_VALUE"""),"Cartouche")</f>
        <v>Cartouche</v>
      </c>
      <c r="D1216" s="2005" t="str">
        <f>IFERROR(__xludf.DUMMYFUNCTION("""COMPUTED_VALUE"""),"378 Noir XL Série Ecureuil")</f>
        <v>378 Noir XL Série Ecureuil</v>
      </c>
      <c r="E1216" s="2005" t="str">
        <f>IFERROR(__xludf.DUMMYFUNCTION("""COMPUTED_VALUE"""),"EPSON")</f>
        <v>EPSON</v>
      </c>
      <c r="F1216" s="2005" t="str">
        <f>IFERROR(__xludf.DUMMYFUNCTION("""COMPUTED_VALUE"""),"H")</f>
        <v>H</v>
      </c>
      <c r="G1216" s="2005" t="str">
        <f>IFERROR(__xludf.DUMMYFUNCTION("""COMPUTED_VALUE"""),"AC")</f>
        <v>AC</v>
      </c>
      <c r="H1216" s="2005">
        <f>IFERROR(__xludf.DUMMYFUNCTION("""COMPUTED_VALUE"""),23.99)</f>
        <v>23.99</v>
      </c>
      <c r="I1216">
        <f>IFERROR(__xludf.DUMMYFUNCTION("""COMPUTED_VALUE"""),23.99)</f>
        <v>23.99</v>
      </c>
      <c r="BD1216" s="2006"/>
      <c r="LL1216" s="2007"/>
      <c r="LM1216" s="2007"/>
      <c r="MX1216" s="2007"/>
      <c r="ND1216" s="2007"/>
    </row>
    <row r="1217">
      <c r="A1217" s="2005">
        <f>IFERROR(__xludf.DUMMYFUNCTION("""COMPUTED_VALUE"""),1101384.0)</f>
        <v>1101384</v>
      </c>
      <c r="B1217" s="2005">
        <f>IFERROR(__xludf.DUMMYFUNCTION("""COMPUTED_VALUE"""),2403005.0)</f>
        <v>2403005</v>
      </c>
      <c r="C1217" s="2005" t="str">
        <f>IFERROR(__xludf.DUMMYFUNCTION("""COMPUTED_VALUE"""),"Pack")</f>
        <v>Pack</v>
      </c>
      <c r="D1217" s="2005" t="str">
        <f>IFERROR(__xludf.DUMMYFUNCTION("""COMPUTED_VALUE"""),"378 (N/C/M/J/CC/MC) XL Série Ecureuil")</f>
        <v>378 (N/C/M/J/CC/MC) XL Série Ecureuil</v>
      </c>
      <c r="E1217" s="2005" t="str">
        <f>IFERROR(__xludf.DUMMYFUNCTION("""COMPUTED_VALUE"""),"EPSON")</f>
        <v>EPSON</v>
      </c>
      <c r="F1217" s="2005" t="str">
        <f>IFERROR(__xludf.DUMMYFUNCTION("""COMPUTED_VALUE"""),"H")</f>
        <v>H</v>
      </c>
      <c r="G1217" s="2005" t="str">
        <f>IFERROR(__xludf.DUMMYFUNCTION("""COMPUTED_VALUE"""),"AC")</f>
        <v>AC</v>
      </c>
      <c r="H1217" s="2005">
        <f>IFERROR(__xludf.DUMMYFUNCTION("""COMPUTED_VALUE"""),144.0)</f>
        <v>144</v>
      </c>
      <c r="I1217" s="2005">
        <f>IFERROR(__xludf.DUMMYFUNCTION("""COMPUTED_VALUE"""),144.0)</f>
        <v>144</v>
      </c>
      <c r="BD1217" s="2006"/>
      <c r="LL1217" s="2007"/>
      <c r="LM1217" s="2007"/>
      <c r="MX1217" s="2007"/>
      <c r="ND1217" s="2007"/>
    </row>
    <row r="1218">
      <c r="A1218" s="2005">
        <f>IFERROR(__xludf.DUMMYFUNCTION("""COMPUTED_VALUE"""),1101462.0)</f>
        <v>1101462</v>
      </c>
      <c r="B1218" s="2005">
        <f>IFERROR(__xludf.DUMMYFUNCTION("""COMPUTED_VALUE"""),1101005.0)</f>
        <v>1101005</v>
      </c>
      <c r="C1218" s="2005" t="str">
        <f>IFERROR(__xludf.DUMMYFUNCTION("""COMPUTED_VALUE"""),"Tél.")</f>
        <v>Tél.</v>
      </c>
      <c r="D1218" s="2005" t="str">
        <f>IFERROR(__xludf.DUMMYFUNCTION("""COMPUTED_VALUE"""),"Amplidect 295 Photo Blanc")</f>
        <v>Amplidect 295 Photo Blanc</v>
      </c>
      <c r="E1218" s="2005" t="str">
        <f>IFERROR(__xludf.DUMMYFUNCTION("""COMPUTED_VALUE"""),"GEEMARC")</f>
        <v>GEEMARC</v>
      </c>
      <c r="F1218" s="2005" t="str">
        <f>IFERROR(__xludf.DUMMYFUNCTION("""COMPUTED_VALUE"""),"C")</f>
        <v>C</v>
      </c>
      <c r="G1218" s="2005" t="str">
        <f>IFERROR(__xludf.DUMMYFUNCTION("""COMPUTED_VALUE"""),"AC")</f>
        <v>AC</v>
      </c>
      <c r="H1218" s="2005">
        <f>IFERROR(__xludf.DUMMYFUNCTION("""COMPUTED_VALUE"""),79.99)</f>
        <v>79.99</v>
      </c>
      <c r="I1218" s="2005">
        <f>IFERROR(__xludf.DUMMYFUNCTION("""COMPUTED_VALUE"""),79.99)</f>
        <v>79.99</v>
      </c>
      <c r="BD1218" s="2006"/>
      <c r="LL1218" s="2007"/>
      <c r="LM1218" s="2007"/>
      <c r="MX1218" s="2007"/>
      <c r="ND1218" s="2007"/>
    </row>
    <row r="1219">
      <c r="A1219" s="2005">
        <f>IFERROR(__xludf.DUMMYFUNCTION("""COMPUTED_VALUE"""),1103164.0)</f>
        <v>1103164</v>
      </c>
      <c r="B1219" s="2005">
        <f>IFERROR(__xludf.DUMMYFUNCTION("""COMPUTED_VALUE"""),2202005.0)</f>
        <v>2202005</v>
      </c>
      <c r="C1219" s="2005" t="str">
        <f>IFERROR(__xludf.DUMMYFUNCTION("""COMPUTED_VALUE"""),"Multi Jet d'enc")</f>
        <v>Multi Jet d'enc</v>
      </c>
      <c r="D1219" s="2005" t="str">
        <f>IFERROR(__xludf.DUMMYFUNCTION("""COMPUTED_VALUE"""),"JETPRO 7730")</f>
        <v>JETPRO 7730</v>
      </c>
      <c r="E1219" s="2005" t="str">
        <f>IFERROR(__xludf.DUMMYFUNCTION("""COMPUTED_VALUE"""),"HP")</f>
        <v>HP</v>
      </c>
      <c r="F1219" s="2005" t="str">
        <f>IFERROR(__xludf.DUMMYFUNCTION("""COMPUTED_VALUE"""),"H")</f>
        <v>H</v>
      </c>
      <c r="G1219" s="2005" t="str">
        <f>IFERROR(__xludf.DUMMYFUNCTION("""COMPUTED_VALUE"""),"NN")</f>
        <v>NN</v>
      </c>
      <c r="H1219" s="2005">
        <f>IFERROR(__xludf.DUMMYFUNCTION("""COMPUTED_VALUE"""),249.9)</f>
        <v>249.9</v>
      </c>
      <c r="I1219" s="2005">
        <f>IFERROR(__xludf.DUMMYFUNCTION("""COMPUTED_VALUE"""),249.9)</f>
        <v>249.9</v>
      </c>
      <c r="BD1219" s="2006"/>
      <c r="LL1219" s="2008"/>
      <c r="LM1219" s="2007"/>
      <c r="MX1219" s="2007"/>
      <c r="ND1219" s="2007"/>
    </row>
    <row r="1220">
      <c r="A1220" s="2005">
        <f>IFERROR(__xludf.DUMMYFUNCTION("""COMPUTED_VALUE"""),1103309.0)</f>
        <v>1103309</v>
      </c>
      <c r="B1220" s="2005">
        <f>IFERROR(__xludf.DUMMYFUNCTION("""COMPUTED_VALUE"""),2403010.0)</f>
        <v>2403010</v>
      </c>
      <c r="C1220" s="2005" t="str">
        <f>IFERROR(__xludf.DUMMYFUNCTION("""COMPUTED_VALUE"""),"Toner")</f>
        <v>Toner</v>
      </c>
      <c r="D1220" s="2005" t="str">
        <f>IFERROR(__xludf.DUMMYFUNCTION("""COMPUTED_VALUE"""),"17A Noir")</f>
        <v>17A Noir</v>
      </c>
      <c r="E1220" s="2005" t="str">
        <f>IFERROR(__xludf.DUMMYFUNCTION("""COMPUTED_VALUE"""),"HP")</f>
        <v>HP</v>
      </c>
      <c r="F1220" s="2005" t="str">
        <f>IFERROR(__xludf.DUMMYFUNCTION("""COMPUTED_VALUE"""),"H")</f>
        <v>H</v>
      </c>
      <c r="G1220" s="2005" t="str">
        <f>IFERROR(__xludf.DUMMYFUNCTION("""COMPUTED_VALUE"""),"AC")</f>
        <v>AC</v>
      </c>
      <c r="H1220" s="2005">
        <f>IFERROR(__xludf.DUMMYFUNCTION("""COMPUTED_VALUE"""),91.99)</f>
        <v>91.99</v>
      </c>
      <c r="I1220" s="2005">
        <f>IFERROR(__xludf.DUMMYFUNCTION("""COMPUTED_VALUE"""),91.99)</f>
        <v>91.99</v>
      </c>
      <c r="BD1220" s="2006"/>
      <c r="LL1220" s="2007"/>
      <c r="LM1220" s="2007"/>
      <c r="MX1220" s="2007"/>
      <c r="ND1220" s="2007"/>
    </row>
    <row r="1221">
      <c r="A1221" s="2005">
        <f>IFERROR(__xludf.DUMMYFUNCTION("""COMPUTED_VALUE"""),1103310.0)</f>
        <v>1103310</v>
      </c>
      <c r="B1221" s="2005">
        <f>IFERROR(__xludf.DUMMYFUNCTION("""COMPUTED_VALUE"""),2403010.0)</f>
        <v>2403010</v>
      </c>
      <c r="C1221" s="2005" t="str">
        <f>IFERROR(__xludf.DUMMYFUNCTION("""COMPUTED_VALUE"""),"Toner")</f>
        <v>Toner</v>
      </c>
      <c r="D1221" s="2005" t="str">
        <f>IFERROR(__xludf.DUMMYFUNCTION("""COMPUTED_VALUE"""),"26A Noir")</f>
        <v>26A Noir</v>
      </c>
      <c r="E1221" s="2005" t="str">
        <f>IFERROR(__xludf.DUMMYFUNCTION("""COMPUTED_VALUE"""),"HP")</f>
        <v>HP</v>
      </c>
      <c r="F1221" s="2005" t="str">
        <f>IFERROR(__xludf.DUMMYFUNCTION("""COMPUTED_VALUE"""),"H")</f>
        <v>H</v>
      </c>
      <c r="G1221" s="2005" t="str">
        <f>IFERROR(__xludf.DUMMYFUNCTION("""COMPUTED_VALUE"""),"NN")</f>
        <v>NN</v>
      </c>
      <c r="H1221" s="2005">
        <f>IFERROR(__xludf.DUMMYFUNCTION("""COMPUTED_VALUE"""),168.99)</f>
        <v>168.99</v>
      </c>
      <c r="I1221" s="2005">
        <f>IFERROR(__xludf.DUMMYFUNCTION("""COMPUTED_VALUE"""),168.99)</f>
        <v>168.99</v>
      </c>
      <c r="BD1221" s="2006"/>
      <c r="LL1221" s="2008"/>
      <c r="LM1221" s="2007"/>
      <c r="MX1221" s="2007"/>
      <c r="ND1221" s="2007"/>
    </row>
    <row r="1222">
      <c r="A1222" s="2005">
        <f>IFERROR(__xludf.DUMMYFUNCTION("""COMPUTED_VALUE"""),1103341.0)</f>
        <v>1103341</v>
      </c>
      <c r="B1222" s="2005">
        <f>IFERROR(__xludf.DUMMYFUNCTION("""COMPUTED_VALUE"""),2403010.0)</f>
        <v>2403010</v>
      </c>
      <c r="C1222" s="2005" t="str">
        <f>IFERROR(__xludf.DUMMYFUNCTION("""COMPUTED_VALUE"""),"Toner")</f>
        <v>Toner</v>
      </c>
      <c r="D1222" s="2005" t="str">
        <f>IFERROR(__xludf.DUMMYFUNCTION("""COMPUTED_VALUE"""),"26X Noir")</f>
        <v>26X Noir</v>
      </c>
      <c r="E1222" s="2005" t="str">
        <f>IFERROR(__xludf.DUMMYFUNCTION("""COMPUTED_VALUE"""),"HP")</f>
        <v>HP</v>
      </c>
      <c r="F1222" s="2005" t="str">
        <f>IFERROR(__xludf.DUMMYFUNCTION("""COMPUTED_VALUE"""),"H")</f>
        <v>H</v>
      </c>
      <c r="G1222" s="2005" t="str">
        <f>IFERROR(__xludf.DUMMYFUNCTION("""COMPUTED_VALUE"""),"NN")</f>
        <v>NN</v>
      </c>
      <c r="H1222" s="2005">
        <f>IFERROR(__xludf.DUMMYFUNCTION("""COMPUTED_VALUE"""),289.99)</f>
        <v>289.99</v>
      </c>
      <c r="I1222" s="2005">
        <f>IFERROR(__xludf.DUMMYFUNCTION("""COMPUTED_VALUE"""),289.99)</f>
        <v>289.99</v>
      </c>
      <c r="BD1222" s="2006"/>
      <c r="LL1222" s="2007"/>
      <c r="LM1222" s="2007"/>
      <c r="MX1222" s="2008"/>
      <c r="ND1222" s="2007"/>
    </row>
    <row r="1223">
      <c r="A1223">
        <f>IFERROR(__xludf.DUMMYFUNCTION("""COMPUTED_VALUE"""),1103815.0)</f>
        <v>1103815</v>
      </c>
      <c r="B1223">
        <f>IFERROR(__xludf.DUMMYFUNCTION("""COMPUTED_VALUE"""),2202008.0)</f>
        <v>2202008</v>
      </c>
      <c r="C1223" t="str">
        <f>IFERROR(__xludf.DUMMYFUNCTION("""COMPUTED_VALUE"""),"Multi Laser")</f>
        <v>Multi Laser</v>
      </c>
      <c r="D1223" t="str">
        <f>IFERROR(__xludf.DUMMYFUNCTION("""COMPUTED_VALUE"""),"DCP-L2530DW")</f>
        <v>DCP-L2530DW</v>
      </c>
      <c r="E1223" t="str">
        <f>IFERROR(__xludf.DUMMYFUNCTION("""COMPUTED_VALUE"""),"BROTHER")</f>
        <v>BROTHER</v>
      </c>
      <c r="F1223" t="str">
        <f>IFERROR(__xludf.DUMMYFUNCTION("""COMPUTED_VALUE"""),"H")</f>
        <v>H</v>
      </c>
      <c r="G1223" t="str">
        <f>IFERROR(__xludf.DUMMYFUNCTION("""COMPUTED_VALUE"""),"FI")</f>
        <v>FI</v>
      </c>
      <c r="H1223">
        <f>IFERROR(__xludf.DUMMYFUNCTION("""COMPUTED_VALUE"""),204.99)</f>
        <v>204.99</v>
      </c>
      <c r="I1223">
        <f>IFERROR(__xludf.DUMMYFUNCTION("""COMPUTED_VALUE"""),204.99)</f>
        <v>204.99</v>
      </c>
      <c r="BD1223" s="2006"/>
      <c r="LL1223" s="2007"/>
      <c r="LM1223" s="2007"/>
      <c r="MX1223" s="2007"/>
      <c r="ND1223" s="2007"/>
    </row>
    <row r="1224">
      <c r="A1224" s="2005">
        <f>IFERROR(__xludf.DUMMYFUNCTION("""COMPUTED_VALUE"""),1103816.0)</f>
        <v>1103816</v>
      </c>
      <c r="B1224" s="2005">
        <f>IFERROR(__xludf.DUMMYFUNCTION("""COMPUTED_VALUE"""),2201020.0)</f>
        <v>2201020</v>
      </c>
      <c r="C1224" s="2005" t="str">
        <f>IFERROR(__xludf.DUMMYFUNCTION("""COMPUTED_VALUE"""),"Mono Laser")</f>
        <v>Mono Laser</v>
      </c>
      <c r="D1224" s="2005" t="str">
        <f>IFERROR(__xludf.DUMMYFUNCTION("""COMPUTED_VALUE"""),"HL-L2310D")</f>
        <v>HL-L2310D</v>
      </c>
      <c r="E1224" s="2005" t="str">
        <f>IFERROR(__xludf.DUMMYFUNCTION("""COMPUTED_VALUE"""),"BROTHER")</f>
        <v>BROTHER</v>
      </c>
      <c r="F1224" s="2005" t="str">
        <f>IFERROR(__xludf.DUMMYFUNCTION("""COMPUTED_VALUE"""),"C")</f>
        <v>C</v>
      </c>
      <c r="G1224" s="2005" t="str">
        <f>IFERROR(__xludf.DUMMYFUNCTION("""COMPUTED_VALUE"""),"FI")</f>
        <v>FI</v>
      </c>
      <c r="H1224" s="2005">
        <f>IFERROR(__xludf.DUMMYFUNCTION("""COMPUTED_VALUE"""),129.99)</f>
        <v>129.99</v>
      </c>
      <c r="I1224" s="2005">
        <f>IFERROR(__xludf.DUMMYFUNCTION("""COMPUTED_VALUE"""),129.99)</f>
        <v>129.99</v>
      </c>
      <c r="BD1224" s="2006"/>
      <c r="LL1224" s="2007"/>
      <c r="LM1224" s="2007"/>
      <c r="MX1224" s="2007"/>
      <c r="ND1224" s="2007"/>
    </row>
    <row r="1225">
      <c r="A1225" s="2005">
        <f>IFERROR(__xludf.DUMMYFUNCTION("""COMPUTED_VALUE"""),1103954.0)</f>
        <v>1103954</v>
      </c>
      <c r="B1225" s="2005">
        <f>IFERROR(__xludf.DUMMYFUNCTION("""COMPUTED_VALUE"""),2403005.0)</f>
        <v>2403005</v>
      </c>
      <c r="C1225" s="2005" t="str">
        <f>IFERROR(__xludf.DUMMYFUNCTION("""COMPUTED_VALUE"""),"Cartouche")</f>
        <v>Cartouche</v>
      </c>
      <c r="D1225" s="2005" t="str">
        <f>IFERROR(__xludf.DUMMYFUNCTION("""COMPUTED_VALUE"""),"LC3211 Noir")</f>
        <v>LC3211 Noir</v>
      </c>
      <c r="E1225" s="2005" t="str">
        <f>IFERROR(__xludf.DUMMYFUNCTION("""COMPUTED_VALUE"""),"BROTHER")</f>
        <v>BROTHER</v>
      </c>
      <c r="F1225" s="2005" t="str">
        <f>IFERROR(__xludf.DUMMYFUNCTION("""COMPUTED_VALUE"""),"W")</f>
        <v>W</v>
      </c>
      <c r="G1225" s="2005" t="str">
        <f>IFERROR(__xludf.DUMMYFUNCTION("""COMPUTED_VALUE"""),"NN")</f>
        <v>NN</v>
      </c>
      <c r="H1225" s="2005">
        <f>IFERROR(__xludf.DUMMYFUNCTION("""COMPUTED_VALUE"""),15.99)</f>
        <v>15.99</v>
      </c>
      <c r="I1225" s="2005">
        <f>IFERROR(__xludf.DUMMYFUNCTION("""COMPUTED_VALUE"""),15.99)</f>
        <v>15.99</v>
      </c>
      <c r="BD1225" s="2006"/>
      <c r="LL1225" s="2007"/>
      <c r="LM1225" s="2007"/>
      <c r="MX1225" s="2007"/>
      <c r="ND1225" s="2007"/>
    </row>
    <row r="1226">
      <c r="A1226" s="2005">
        <f>IFERROR(__xludf.DUMMYFUNCTION("""COMPUTED_VALUE"""),1103955.0)</f>
        <v>1103955</v>
      </c>
      <c r="B1226" s="2005">
        <f>IFERROR(__xludf.DUMMYFUNCTION("""COMPUTED_VALUE"""),2403005.0)</f>
        <v>2403005</v>
      </c>
      <c r="C1226" s="2005" t="str">
        <f>IFERROR(__xludf.DUMMYFUNCTION("""COMPUTED_VALUE"""),"Cartouche")</f>
        <v>Cartouche</v>
      </c>
      <c r="D1226" s="2005" t="str">
        <f>IFERROR(__xludf.DUMMYFUNCTION("""COMPUTED_VALUE"""),"LC3211 Cyan")</f>
        <v>LC3211 Cyan</v>
      </c>
      <c r="E1226" s="2005" t="str">
        <f>IFERROR(__xludf.DUMMYFUNCTION("""COMPUTED_VALUE"""),"BROTHER")</f>
        <v>BROTHER</v>
      </c>
      <c r="F1226" s="2005" t="str">
        <f>IFERROR(__xludf.DUMMYFUNCTION("""COMPUTED_VALUE"""),"W")</f>
        <v>W</v>
      </c>
      <c r="G1226" s="2005" t="str">
        <f>IFERROR(__xludf.DUMMYFUNCTION("""COMPUTED_VALUE"""),"NN")</f>
        <v>NN</v>
      </c>
      <c r="H1226" s="2005">
        <f>IFERROR(__xludf.DUMMYFUNCTION("""COMPUTED_VALUE"""),9.99)</f>
        <v>9.99</v>
      </c>
      <c r="I1226" s="2005">
        <f>IFERROR(__xludf.DUMMYFUNCTION("""COMPUTED_VALUE"""),9.99)</f>
        <v>9.99</v>
      </c>
      <c r="BD1226" s="2006"/>
      <c r="LM1226" s="2007"/>
    </row>
    <row r="1227">
      <c r="A1227" s="2005">
        <f>IFERROR(__xludf.DUMMYFUNCTION("""COMPUTED_VALUE"""),1103958.0)</f>
        <v>1103958</v>
      </c>
      <c r="B1227" s="2005">
        <f>IFERROR(__xludf.DUMMYFUNCTION("""COMPUTED_VALUE"""),2403005.0)</f>
        <v>2403005</v>
      </c>
      <c r="C1227" s="2005" t="str">
        <f>IFERROR(__xludf.DUMMYFUNCTION("""COMPUTED_VALUE"""),"Cartouche")</f>
        <v>Cartouche</v>
      </c>
      <c r="D1227" s="2005" t="str">
        <f>IFERROR(__xludf.DUMMYFUNCTION("""COMPUTED_VALUE"""),"LC3211 Magenta")</f>
        <v>LC3211 Magenta</v>
      </c>
      <c r="E1227" s="2005" t="str">
        <f>IFERROR(__xludf.DUMMYFUNCTION("""COMPUTED_VALUE"""),"BROTHER")</f>
        <v>BROTHER</v>
      </c>
      <c r="F1227" s="2005" t="str">
        <f>IFERROR(__xludf.DUMMYFUNCTION("""COMPUTED_VALUE"""),"W")</f>
        <v>W</v>
      </c>
      <c r="G1227" s="2005" t="str">
        <f>IFERROR(__xludf.DUMMYFUNCTION("""COMPUTED_VALUE"""),"NN")</f>
        <v>NN</v>
      </c>
      <c r="H1227" s="2005">
        <f>IFERROR(__xludf.DUMMYFUNCTION("""COMPUTED_VALUE"""),9.99)</f>
        <v>9.99</v>
      </c>
      <c r="I1227" s="2005">
        <f>IFERROR(__xludf.DUMMYFUNCTION("""COMPUTED_VALUE"""),9.99)</f>
        <v>9.99</v>
      </c>
      <c r="BD1227" s="2006"/>
      <c r="LL1227" s="2007"/>
      <c r="LM1227" s="2007"/>
      <c r="MX1227" s="2007"/>
      <c r="NB1227" s="2009"/>
      <c r="ND1227" s="2007"/>
    </row>
    <row r="1228">
      <c r="A1228" s="2005">
        <f>IFERROR(__xludf.DUMMYFUNCTION("""COMPUTED_VALUE"""),1103959.0)</f>
        <v>1103959</v>
      </c>
      <c r="B1228" s="2005">
        <f>IFERROR(__xludf.DUMMYFUNCTION("""COMPUTED_VALUE"""),2403005.0)</f>
        <v>2403005</v>
      </c>
      <c r="C1228" s="2005" t="str">
        <f>IFERROR(__xludf.DUMMYFUNCTION("""COMPUTED_VALUE"""),"Cartouche")</f>
        <v>Cartouche</v>
      </c>
      <c r="D1228" s="2005" t="str">
        <f>IFERROR(__xludf.DUMMYFUNCTION("""COMPUTED_VALUE"""),"LC3211 Jaune")</f>
        <v>LC3211 Jaune</v>
      </c>
      <c r="E1228" s="2005" t="str">
        <f>IFERROR(__xludf.DUMMYFUNCTION("""COMPUTED_VALUE"""),"BROTHER")</f>
        <v>BROTHER</v>
      </c>
      <c r="F1228" s="2005" t="str">
        <f>IFERROR(__xludf.DUMMYFUNCTION("""COMPUTED_VALUE"""),"W")</f>
        <v>W</v>
      </c>
      <c r="G1228" s="2005" t="str">
        <f>IFERROR(__xludf.DUMMYFUNCTION("""COMPUTED_VALUE"""),"NN")</f>
        <v>NN</v>
      </c>
      <c r="H1228" s="2005">
        <f>IFERROR(__xludf.DUMMYFUNCTION("""COMPUTED_VALUE"""),9.99)</f>
        <v>9.99</v>
      </c>
      <c r="I1228" s="2005">
        <f>IFERROR(__xludf.DUMMYFUNCTION("""COMPUTED_VALUE"""),9.99)</f>
        <v>9.99</v>
      </c>
      <c r="BD1228" s="2006"/>
      <c r="LL1228" s="2007"/>
      <c r="LM1228" s="2007"/>
      <c r="MX1228" s="2007"/>
      <c r="ND1228" s="2007"/>
    </row>
    <row r="1229">
      <c r="A1229" s="2005">
        <f>IFERROR(__xludf.DUMMYFUNCTION("""COMPUTED_VALUE"""),1103960.0)</f>
        <v>1103960</v>
      </c>
      <c r="B1229" s="2005">
        <f>IFERROR(__xludf.DUMMYFUNCTION("""COMPUTED_VALUE"""),2403005.0)</f>
        <v>2403005</v>
      </c>
      <c r="C1229" s="2005" t="str">
        <f>IFERROR(__xludf.DUMMYFUNCTION("""COMPUTED_VALUE"""),"Pack")</f>
        <v>Pack</v>
      </c>
      <c r="D1229" s="2005" t="str">
        <f>IFERROR(__xludf.DUMMYFUNCTION("""COMPUTED_VALUE"""),"LC3211 (N/C/M/J)")</f>
        <v>LC3211 (N/C/M/J)</v>
      </c>
      <c r="E1229" s="2005" t="str">
        <f>IFERROR(__xludf.DUMMYFUNCTION("""COMPUTED_VALUE"""),"BROTHER")</f>
        <v>BROTHER</v>
      </c>
      <c r="F1229" s="2005" t="str">
        <f>IFERROR(__xludf.DUMMYFUNCTION("""COMPUTED_VALUE"""),"W")</f>
        <v>W</v>
      </c>
      <c r="G1229" s="2005" t="str">
        <f>IFERROR(__xludf.DUMMYFUNCTION("""COMPUTED_VALUE"""),"AC")</f>
        <v>AC</v>
      </c>
      <c r="H1229">
        <f>IFERROR(__xludf.DUMMYFUNCTION("""COMPUTED_VALUE"""),43.99)</f>
        <v>43.99</v>
      </c>
      <c r="I1229">
        <f>IFERROR(__xludf.DUMMYFUNCTION("""COMPUTED_VALUE"""),36.99)</f>
        <v>36.99</v>
      </c>
      <c r="BD1229" s="2006"/>
      <c r="LM1229" s="2007"/>
    </row>
    <row r="1230">
      <c r="A1230" s="2005">
        <f>IFERROR(__xludf.DUMMYFUNCTION("""COMPUTED_VALUE"""),1103964.0)</f>
        <v>1103964</v>
      </c>
      <c r="B1230" s="2005">
        <f>IFERROR(__xludf.DUMMYFUNCTION("""COMPUTED_VALUE"""),2403010.0)</f>
        <v>2403010</v>
      </c>
      <c r="C1230" s="2005" t="str">
        <f>IFERROR(__xludf.DUMMYFUNCTION("""COMPUTED_VALUE"""),"Toner")</f>
        <v>Toner</v>
      </c>
      <c r="D1230" s="2005" t="str">
        <f>IFERROR(__xludf.DUMMYFUNCTION("""COMPUTED_VALUE"""),"TN2410 Noir")</f>
        <v>TN2410 Noir</v>
      </c>
      <c r="E1230" s="2005" t="str">
        <f>IFERROR(__xludf.DUMMYFUNCTION("""COMPUTED_VALUE"""),"BROTHER")</f>
        <v>BROTHER</v>
      </c>
      <c r="F1230" s="2005" t="str">
        <f>IFERROR(__xludf.DUMMYFUNCTION("""COMPUTED_VALUE"""),"C")</f>
        <v>C</v>
      </c>
      <c r="G1230" s="2005" t="str">
        <f>IFERROR(__xludf.DUMMYFUNCTION("""COMPUTED_VALUE"""),"AC")</f>
        <v>AC</v>
      </c>
      <c r="H1230" s="2005">
        <f>IFERROR(__xludf.DUMMYFUNCTION("""COMPUTED_VALUE"""),61.05)</f>
        <v>61.05</v>
      </c>
      <c r="I1230">
        <f>IFERROR(__xludf.DUMMYFUNCTION("""COMPUTED_VALUE"""),61.05)</f>
        <v>61.05</v>
      </c>
      <c r="BD1230" s="2006"/>
      <c r="LM1230" s="2007"/>
    </row>
    <row r="1231">
      <c r="A1231" s="2005">
        <f>IFERROR(__xludf.DUMMYFUNCTION("""COMPUTED_VALUE"""),1103965.0)</f>
        <v>1103965</v>
      </c>
      <c r="B1231" s="2005">
        <f>IFERROR(__xludf.DUMMYFUNCTION("""COMPUTED_VALUE"""),2209805.0)</f>
        <v>2209805</v>
      </c>
      <c r="C1231" s="2005" t="str">
        <f>IFERROR(__xludf.DUMMYFUNCTION("""COMPUTED_VALUE"""),"Lot")</f>
        <v>Lot</v>
      </c>
      <c r="D1231" s="2005" t="str">
        <f>IFERROR(__xludf.DUMMYFUNCTION("""COMPUTED_VALUE"""),"DCP-L2530DW+Toner TN2410 Noir")</f>
        <v>DCP-L2530DW+Toner TN2410 Noir</v>
      </c>
      <c r="E1231" s="2005" t="str">
        <f>IFERROR(__xludf.DUMMYFUNCTION("""COMPUTED_VALUE"""),"BROTHER")</f>
        <v>BROTHER</v>
      </c>
      <c r="F1231" s="2005" t="str">
        <f>IFERROR(__xludf.DUMMYFUNCTION("""COMPUTED_VALUE"""),"H")</f>
        <v>H</v>
      </c>
      <c r="G1231" s="2005" t="str">
        <f>IFERROR(__xludf.DUMMYFUNCTION("""COMPUTED_VALUE"""),"FI")</f>
        <v>FI</v>
      </c>
      <c r="H1231" s="2005">
        <f>IFERROR(__xludf.DUMMYFUNCTION("""COMPUTED_VALUE"""),252.81)</f>
        <v>252.81</v>
      </c>
      <c r="I1231" s="2005">
        <f>IFERROR(__xludf.DUMMYFUNCTION("""COMPUTED_VALUE"""),252.81)</f>
        <v>252.81</v>
      </c>
      <c r="BD1231" s="2006"/>
      <c r="LL1231" s="2008"/>
      <c r="LM1231" s="2007"/>
      <c r="MX1231" s="2007"/>
      <c r="ND1231" s="2007"/>
    </row>
    <row r="1232">
      <c r="A1232" s="2005">
        <f>IFERROR(__xludf.DUMMYFUNCTION("""COMPUTED_VALUE"""),1103966.0)</f>
        <v>1103966</v>
      </c>
      <c r="B1232" s="2005">
        <f>IFERROR(__xludf.DUMMYFUNCTION("""COMPUTED_VALUE"""),2403010.0)</f>
        <v>2403010</v>
      </c>
      <c r="C1232" s="2005" t="str">
        <f>IFERROR(__xludf.DUMMYFUNCTION("""COMPUTED_VALUE"""),"Toner")</f>
        <v>Toner</v>
      </c>
      <c r="D1232" s="2005" t="str">
        <f>IFERROR(__xludf.DUMMYFUNCTION("""COMPUTED_VALUE"""),"TN2420 Noir")</f>
        <v>TN2420 Noir</v>
      </c>
      <c r="E1232" s="2005" t="str">
        <f>IFERROR(__xludf.DUMMYFUNCTION("""COMPUTED_VALUE"""),"BROTHER")</f>
        <v>BROTHER</v>
      </c>
      <c r="F1232" s="2005" t="str">
        <f>IFERROR(__xludf.DUMMYFUNCTION("""COMPUTED_VALUE"""),"C")</f>
        <v>C</v>
      </c>
      <c r="G1232" s="2005" t="str">
        <f>IFERROR(__xludf.DUMMYFUNCTION("""COMPUTED_VALUE"""),"AC")</f>
        <v>AC</v>
      </c>
      <c r="H1232" s="2005">
        <f>IFERROR(__xludf.DUMMYFUNCTION("""COMPUTED_VALUE"""),109.05)</f>
        <v>109.05</v>
      </c>
      <c r="I1232" s="2005">
        <f>IFERROR(__xludf.DUMMYFUNCTION("""COMPUTED_VALUE"""),109.05)</f>
        <v>109.05</v>
      </c>
      <c r="BD1232" s="2006"/>
      <c r="LM1232" s="2007"/>
    </row>
    <row r="1233">
      <c r="A1233" s="2005">
        <f>IFERROR(__xludf.DUMMYFUNCTION("""COMPUTED_VALUE"""),1103967.0)</f>
        <v>1103967</v>
      </c>
      <c r="B1233" s="2005">
        <f>IFERROR(__xludf.DUMMYFUNCTION("""COMPUTED_VALUE"""),2209805.0)</f>
        <v>2209805</v>
      </c>
      <c r="C1233" s="2005" t="str">
        <f>IFERROR(__xludf.DUMMYFUNCTION("""COMPUTED_VALUE"""),"Lot")</f>
        <v>Lot</v>
      </c>
      <c r="D1233" s="2005" t="str">
        <f>IFERROR(__xludf.DUMMYFUNCTION("""COMPUTED_VALUE"""),"HL-L2310D+Toner TN2410 Noir")</f>
        <v>HL-L2310D+Toner TN2410 Noir</v>
      </c>
      <c r="E1233" s="2005" t="str">
        <f>IFERROR(__xludf.DUMMYFUNCTION("""COMPUTED_VALUE"""),"BROTHER")</f>
        <v>BROTHER</v>
      </c>
      <c r="F1233" s="2005" t="str">
        <f>IFERROR(__xludf.DUMMYFUNCTION("""COMPUTED_VALUE"""),"H")</f>
        <v>H</v>
      </c>
      <c r="G1233" s="2005" t="str">
        <f>IFERROR(__xludf.DUMMYFUNCTION("""COMPUTED_VALUE"""),"FI")</f>
        <v>FI</v>
      </c>
      <c r="H1233" s="2005">
        <f>IFERROR(__xludf.DUMMYFUNCTION("""COMPUTED_VALUE"""),181.53)</f>
        <v>181.53</v>
      </c>
      <c r="I1233" s="2005">
        <f>IFERROR(__xludf.DUMMYFUNCTION("""COMPUTED_VALUE"""),181.53)</f>
        <v>181.53</v>
      </c>
      <c r="BD1233" s="2006"/>
      <c r="LM1233" s="2007"/>
    </row>
    <row r="1234">
      <c r="A1234" s="2005">
        <f>IFERROR(__xludf.DUMMYFUNCTION("""COMPUTED_VALUE"""),1104101.0)</f>
        <v>1104101</v>
      </c>
      <c r="B1234" s="2005">
        <f>IFERROR(__xludf.DUMMYFUNCTION("""COMPUTED_VALUE"""),2403005.0)</f>
        <v>2403005</v>
      </c>
      <c r="C1234" s="2005" t="str">
        <f>IFERROR(__xludf.DUMMYFUNCTION("""COMPUTED_VALUE"""),"Pack")</f>
        <v>Pack</v>
      </c>
      <c r="D1234" s="2005" t="str">
        <f>IFERROR(__xludf.DUMMYFUNCTION("""COMPUTED_VALUE"""),"T3476 (N/C/M/J) XL Série Balle de golf")</f>
        <v>T3476 (N/C/M/J) XL Série Balle de golf</v>
      </c>
      <c r="E1234" s="2005" t="str">
        <f>IFERROR(__xludf.DUMMYFUNCTION("""COMPUTED_VALUE"""),"EPSON")</f>
        <v>EPSON</v>
      </c>
      <c r="F1234" s="2005" t="str">
        <f>IFERROR(__xludf.DUMMYFUNCTION("""COMPUTED_VALUE"""),"H")</f>
        <v>H</v>
      </c>
      <c r="G1234" s="2005" t="str">
        <f>IFERROR(__xludf.DUMMYFUNCTION("""COMPUTED_VALUE"""),"AC")</f>
        <v>AC</v>
      </c>
      <c r="H1234" s="2005">
        <f>IFERROR(__xludf.DUMMYFUNCTION("""COMPUTED_VALUE"""),137.0)</f>
        <v>137</v>
      </c>
      <c r="I1234" s="2005">
        <f>IFERROR(__xludf.DUMMYFUNCTION("""COMPUTED_VALUE"""),137.0)</f>
        <v>137</v>
      </c>
      <c r="BD1234" s="2006"/>
      <c r="LL1234" s="2007"/>
      <c r="LM1234" s="2007"/>
      <c r="MX1234" s="2007"/>
      <c r="ND1234" s="2007"/>
    </row>
    <row r="1235">
      <c r="A1235" s="2005">
        <f>IFERROR(__xludf.DUMMYFUNCTION("""COMPUTED_VALUE"""),1104116.0)</f>
        <v>1104116</v>
      </c>
      <c r="B1235" s="2005">
        <f>IFERROR(__xludf.DUMMYFUNCTION("""COMPUTED_VALUE"""),2201010.0)</f>
        <v>2201010</v>
      </c>
      <c r="C1235" s="2005" t="str">
        <f>IFERROR(__xludf.DUMMYFUNCTION("""COMPUTED_VALUE"""),"Mono Jet d'encr")</f>
        <v>Mono Jet d'encr</v>
      </c>
      <c r="D1235" s="2005" t="str">
        <f>IFERROR(__xludf.DUMMYFUNCTION("""COMPUTED_VALUE"""),"TS 205")</f>
        <v>TS 205</v>
      </c>
      <c r="E1235" s="2005" t="str">
        <f>IFERROR(__xludf.DUMMYFUNCTION("""COMPUTED_VALUE"""),"CANON")</f>
        <v>CANON</v>
      </c>
      <c r="F1235" s="2005" t="str">
        <f>IFERROR(__xludf.DUMMYFUNCTION("""COMPUTED_VALUE"""),"W")</f>
        <v>W</v>
      </c>
      <c r="G1235" s="2005" t="str">
        <f>IFERROR(__xludf.DUMMYFUNCTION("""COMPUTED_VALUE"""),"NN")</f>
        <v>NN</v>
      </c>
      <c r="H1235" s="2005">
        <f>IFERROR(__xludf.DUMMYFUNCTION("""COMPUTED_VALUE"""),49.99)</f>
        <v>49.99</v>
      </c>
      <c r="I1235" s="2005">
        <f>IFERROR(__xludf.DUMMYFUNCTION("""COMPUTED_VALUE"""),49.99)</f>
        <v>49.99</v>
      </c>
      <c r="BD1235" s="2006"/>
      <c r="LL1235" s="2007"/>
      <c r="LM1235" s="2007"/>
      <c r="MX1235" s="2007"/>
      <c r="ND1235" s="2007"/>
    </row>
    <row r="1236">
      <c r="A1236" s="2005">
        <f>IFERROR(__xludf.DUMMYFUNCTION("""COMPUTED_VALUE"""),1104117.0)</f>
        <v>1104117</v>
      </c>
      <c r="B1236" s="2005">
        <f>IFERROR(__xludf.DUMMYFUNCTION("""COMPUTED_VALUE"""),2201010.0)</f>
        <v>2201010</v>
      </c>
      <c r="C1236" s="2005" t="str">
        <f>IFERROR(__xludf.DUMMYFUNCTION("""COMPUTED_VALUE"""),"Mono Jet d'encr")</f>
        <v>Mono Jet d'encr</v>
      </c>
      <c r="D1236" s="2005" t="str">
        <f>IFERROR(__xludf.DUMMYFUNCTION("""COMPUTED_VALUE"""),"TS 305")</f>
        <v>TS 305</v>
      </c>
      <c r="E1236" s="2005" t="str">
        <f>IFERROR(__xludf.DUMMYFUNCTION("""COMPUTED_VALUE"""),"CANON")</f>
        <v>CANON</v>
      </c>
      <c r="F1236" s="2005" t="str">
        <f>IFERROR(__xludf.DUMMYFUNCTION("""COMPUTED_VALUE"""),"H")</f>
        <v>H</v>
      </c>
      <c r="G1236" s="2005" t="str">
        <f>IFERROR(__xludf.DUMMYFUNCTION("""COMPUTED_VALUE"""),"NN")</f>
        <v>NN</v>
      </c>
      <c r="H1236" s="2005">
        <f>IFERROR(__xludf.DUMMYFUNCTION("""COMPUTED_VALUE"""),38.99)</f>
        <v>38.99</v>
      </c>
      <c r="I1236" s="2005">
        <f>IFERROR(__xludf.DUMMYFUNCTION("""COMPUTED_VALUE"""),38.99)</f>
        <v>38.99</v>
      </c>
      <c r="BD1236" s="2006"/>
      <c r="LL1236" s="2008"/>
      <c r="LM1236" s="2007"/>
      <c r="MX1236" s="2007"/>
      <c r="ND1236" s="2007"/>
    </row>
    <row r="1237">
      <c r="A1237" s="2005">
        <f>IFERROR(__xludf.DUMMYFUNCTION("""COMPUTED_VALUE"""),1104119.0)</f>
        <v>1104119</v>
      </c>
      <c r="B1237" s="2005">
        <f>IFERROR(__xludf.DUMMYFUNCTION("""COMPUTED_VALUE"""),2209805.0)</f>
        <v>2209805</v>
      </c>
      <c r="C1237" s="2005" t="str">
        <f>IFERROR(__xludf.DUMMYFUNCTION("""COMPUTED_VALUE"""),"Lot")</f>
        <v>Lot</v>
      </c>
      <c r="D1237" s="2005" t="str">
        <f>IFERROR(__xludf.DUMMYFUNCTION("""COMPUTED_VALUE"""),"TS 205 + cartouche PG 545 Noir")</f>
        <v>TS 205 + cartouche PG 545 Noir</v>
      </c>
      <c r="E1237" s="2005" t="str">
        <f>IFERROR(__xludf.DUMMYFUNCTION("""COMPUTED_VALUE"""),"CANON")</f>
        <v>CANON</v>
      </c>
      <c r="F1237" s="2005" t="str">
        <f>IFERROR(__xludf.DUMMYFUNCTION("""COMPUTED_VALUE"""),"H")</f>
        <v>H</v>
      </c>
      <c r="G1237" s="2005" t="str">
        <f>IFERROR(__xludf.DUMMYFUNCTION("""COMPUTED_VALUE"""),"NN")</f>
        <v>NN</v>
      </c>
      <c r="H1237" s="2005">
        <f>IFERROR(__xludf.DUMMYFUNCTION("""COMPUTED_VALUE"""),66.99)</f>
        <v>66.99</v>
      </c>
      <c r="I1237" s="2005">
        <f>IFERROR(__xludf.DUMMYFUNCTION("""COMPUTED_VALUE"""),66.99)</f>
        <v>66.99</v>
      </c>
      <c r="BD1237" s="2006"/>
      <c r="LL1237" s="2007"/>
      <c r="LM1237" s="2007"/>
      <c r="MX1237" s="2007"/>
      <c r="ND1237" s="2007"/>
    </row>
    <row r="1238">
      <c r="A1238" s="2005">
        <f>IFERROR(__xludf.DUMMYFUNCTION("""COMPUTED_VALUE"""),1104188.0)</f>
        <v>1104188</v>
      </c>
      <c r="B1238" s="2005">
        <f>IFERROR(__xludf.DUMMYFUNCTION("""COMPUTED_VALUE"""),2502040.0)</f>
        <v>2502040</v>
      </c>
      <c r="C1238" s="2005" t="str">
        <f>IFERROR(__xludf.DUMMYFUNCTION("""COMPUTED_VALUE"""),"Adaptateur")</f>
        <v>Adaptateur</v>
      </c>
      <c r="D1238" s="2005" t="str">
        <f>IFERROR(__xludf.DUMMYFUNCTION("""COMPUTED_VALUE"""),"USB Type-C vers HDMI SurfaceBook2")</f>
        <v>USB Type-C vers HDMI SurfaceBook2</v>
      </c>
      <c r="E1238" s="2005" t="str">
        <f>IFERROR(__xludf.DUMMYFUNCTION("""COMPUTED_VALUE"""),"MICROSOFT")</f>
        <v>MICROSOFT</v>
      </c>
      <c r="F1238" s="2005" t="str">
        <f>IFERROR(__xludf.DUMMYFUNCTION("""COMPUTED_VALUE"""),"C")</f>
        <v>C</v>
      </c>
      <c r="G1238" s="2005" t="str">
        <f>IFERROR(__xludf.DUMMYFUNCTION("""COMPUTED_VALUE"""),"NN")</f>
        <v>NN</v>
      </c>
      <c r="H1238">
        <f>IFERROR(__xludf.DUMMYFUNCTION("""COMPUTED_VALUE"""),39.99)</f>
        <v>39.99</v>
      </c>
      <c r="I1238">
        <f>IFERROR(__xludf.DUMMYFUNCTION("""COMPUTED_VALUE"""),39.99)</f>
        <v>39.99</v>
      </c>
      <c r="LM1238" s="2007"/>
    </row>
    <row r="1239">
      <c r="A1239">
        <f>IFERROR(__xludf.DUMMYFUNCTION("""COMPUTED_VALUE"""),1104207.0)</f>
        <v>1104207</v>
      </c>
      <c r="B1239">
        <f>IFERROR(__xludf.DUMMYFUNCTION("""COMPUTED_VALUE"""),2201010.0)</f>
        <v>2201010</v>
      </c>
      <c r="C1239" t="str">
        <f>IFERROR(__xludf.DUMMYFUNCTION("""COMPUTED_VALUE"""),"Mono Jet d'encr")</f>
        <v>Mono Jet d'encr</v>
      </c>
      <c r="D1239" t="str">
        <f>IFERROR(__xludf.DUMMYFUNCTION("""COMPUTED_VALUE"""),"XP 15000")</f>
        <v>XP 15000</v>
      </c>
      <c r="E1239" t="str">
        <f>IFERROR(__xludf.DUMMYFUNCTION("""COMPUTED_VALUE"""),"EPSON")</f>
        <v>EPSON</v>
      </c>
      <c r="F1239" t="str">
        <f>IFERROR(__xludf.DUMMYFUNCTION("""COMPUTED_VALUE"""),"W")</f>
        <v>W</v>
      </c>
      <c r="G1239" t="str">
        <f>IFERROR(__xludf.DUMMYFUNCTION("""COMPUTED_VALUE"""),"AC")</f>
        <v>AC</v>
      </c>
      <c r="H1239">
        <f>IFERROR(__xludf.DUMMYFUNCTION("""COMPUTED_VALUE"""),379.99)</f>
        <v>379.99</v>
      </c>
      <c r="I1239">
        <f>IFERROR(__xludf.DUMMYFUNCTION("""COMPUTED_VALUE"""),359.95)</f>
        <v>359.95</v>
      </c>
      <c r="BD1239" s="2006"/>
      <c r="LM1239" s="2007"/>
    </row>
    <row r="1240">
      <c r="A1240" s="2005">
        <f>IFERROR(__xludf.DUMMYFUNCTION("""COMPUTED_VALUE"""),1104208.0)</f>
        <v>1104208</v>
      </c>
      <c r="B1240" s="2005">
        <f>IFERROR(__xludf.DUMMYFUNCTION("""COMPUTED_VALUE"""),2403005.0)</f>
        <v>2403005</v>
      </c>
      <c r="C1240" s="2005" t="str">
        <f>IFERROR(__xludf.DUMMYFUNCTION("""COMPUTED_VALUE"""),"Cartouche")</f>
        <v>Cartouche</v>
      </c>
      <c r="D1240" s="2005" t="str">
        <f>IFERROR(__xludf.DUMMYFUNCTION("""COMPUTED_VALUE"""),"478 Rouge XL Série Ecureuil")</f>
        <v>478 Rouge XL Série Ecureuil</v>
      </c>
      <c r="E1240" s="2005" t="str">
        <f>IFERROR(__xludf.DUMMYFUNCTION("""COMPUTED_VALUE"""),"EPSON")</f>
        <v>EPSON</v>
      </c>
      <c r="F1240" s="2005" t="str">
        <f>IFERROR(__xludf.DUMMYFUNCTION("""COMPUTED_VALUE"""),"H")</f>
        <v>H</v>
      </c>
      <c r="G1240" s="2005" t="str">
        <f>IFERROR(__xludf.DUMMYFUNCTION("""COMPUTED_VALUE"""),"NN")</f>
        <v>NN</v>
      </c>
      <c r="H1240" s="2005">
        <f>IFERROR(__xludf.DUMMYFUNCTION("""COMPUTED_VALUE"""),24.99)</f>
        <v>24.99</v>
      </c>
      <c r="I1240">
        <f>IFERROR(__xludf.DUMMYFUNCTION("""COMPUTED_VALUE"""),24.99)</f>
        <v>24.99</v>
      </c>
      <c r="BD1240" s="2006"/>
      <c r="LL1240" s="2007"/>
      <c r="LM1240" s="2007"/>
      <c r="MX1240" s="2007"/>
      <c r="ND1240" s="2007"/>
    </row>
    <row r="1241">
      <c r="A1241" s="2005">
        <f>IFERROR(__xludf.DUMMYFUNCTION("""COMPUTED_VALUE"""),1104209.0)</f>
        <v>1104209</v>
      </c>
      <c r="B1241" s="2005">
        <f>IFERROR(__xludf.DUMMYFUNCTION("""COMPUTED_VALUE"""),2403005.0)</f>
        <v>2403005</v>
      </c>
      <c r="C1241" s="2005" t="str">
        <f>IFERROR(__xludf.DUMMYFUNCTION("""COMPUTED_VALUE"""),"Cartouche")</f>
        <v>Cartouche</v>
      </c>
      <c r="D1241" s="2005" t="str">
        <f>IFERROR(__xludf.DUMMYFUNCTION("""COMPUTED_VALUE"""),"478 Gris XL Série Ecureuil")</f>
        <v>478 Gris XL Série Ecureuil</v>
      </c>
      <c r="E1241" s="2005" t="str">
        <f>IFERROR(__xludf.DUMMYFUNCTION("""COMPUTED_VALUE"""),"EPSON")</f>
        <v>EPSON</v>
      </c>
      <c r="F1241" s="2005" t="str">
        <f>IFERROR(__xludf.DUMMYFUNCTION("""COMPUTED_VALUE"""),"H")</f>
        <v>H</v>
      </c>
      <c r="G1241" s="2005" t="str">
        <f>IFERROR(__xludf.DUMMYFUNCTION("""COMPUTED_VALUE"""),"AC")</f>
        <v>AC</v>
      </c>
      <c r="H1241" s="2005">
        <f>IFERROR(__xludf.DUMMYFUNCTION("""COMPUTED_VALUE"""),24.99)</f>
        <v>24.99</v>
      </c>
      <c r="I1241" s="2005">
        <f>IFERROR(__xludf.DUMMYFUNCTION("""COMPUTED_VALUE"""),24.99)</f>
        <v>24.99</v>
      </c>
      <c r="BD1241" s="2006"/>
      <c r="LL1241" s="2007"/>
      <c r="LM1241" s="2007"/>
      <c r="MX1241" s="2008"/>
      <c r="ND1241" s="2007"/>
    </row>
    <row r="1242">
      <c r="A1242" s="2005">
        <f>IFERROR(__xludf.DUMMYFUNCTION("""COMPUTED_VALUE"""),1104210.0)</f>
        <v>1104210</v>
      </c>
      <c r="B1242" s="2005">
        <f>IFERROR(__xludf.DUMMYFUNCTION("""COMPUTED_VALUE"""),2403005.0)</f>
        <v>2403005</v>
      </c>
      <c r="C1242" s="2005" t="str">
        <f>IFERROR(__xludf.DUMMYFUNCTION("""COMPUTED_VALUE"""),"Pack")</f>
        <v>Pack</v>
      </c>
      <c r="D1242" s="2005" t="str">
        <f>IFERROR(__xludf.DUMMYFUNCTION("""COMPUTED_VALUE"""),"478 (N/C/M/J/R/G) XL Série Ecureuil")</f>
        <v>478 (N/C/M/J/R/G) XL Série Ecureuil</v>
      </c>
      <c r="E1242" s="2005" t="str">
        <f>IFERROR(__xludf.DUMMYFUNCTION("""COMPUTED_VALUE"""),"EPSON")</f>
        <v>EPSON</v>
      </c>
      <c r="F1242" s="2005" t="str">
        <f>IFERROR(__xludf.DUMMYFUNCTION("""COMPUTED_VALUE"""),"H")</f>
        <v>H</v>
      </c>
      <c r="G1242" s="2005" t="str">
        <f>IFERROR(__xludf.DUMMYFUNCTION("""COMPUTED_VALUE"""),"AC")</f>
        <v>AC</v>
      </c>
      <c r="H1242" s="2005">
        <f>IFERROR(__xludf.DUMMYFUNCTION("""COMPUTED_VALUE"""),144.0)</f>
        <v>144</v>
      </c>
      <c r="I1242" s="2005">
        <f>IFERROR(__xludf.DUMMYFUNCTION("""COMPUTED_VALUE"""),144.0)</f>
        <v>144</v>
      </c>
      <c r="BD1242" s="2006"/>
      <c r="LL1242" s="2007"/>
      <c r="LM1242" s="2007"/>
      <c r="MX1242" s="2007"/>
      <c r="ND1242" s="2007"/>
    </row>
    <row r="1243">
      <c r="A1243" s="2005">
        <f>IFERROR(__xludf.DUMMYFUNCTION("""COMPUTED_VALUE"""),1104272.0)</f>
        <v>1104272</v>
      </c>
      <c r="B1243" s="2005">
        <f>IFERROR(__xludf.DUMMYFUNCTION("""COMPUTED_VALUE"""),1108005.0)</f>
        <v>1108005</v>
      </c>
      <c r="C1243" s="2005" t="str">
        <f>IFERROR(__xludf.DUMMYFUNCTION("""COMPUTED_VALUE"""),"Talkie")</f>
        <v>Talkie</v>
      </c>
      <c r="D1243" s="2005" t="str">
        <f>IFERROR(__xludf.DUMMYFUNCTION("""COMPUTED_VALUE"""),"TALKABOUT T82")</f>
        <v>TALKABOUT T82</v>
      </c>
      <c r="E1243" s="2005" t="str">
        <f>IFERROR(__xludf.DUMMYFUNCTION("""COMPUTED_VALUE"""),"MOTOROLA")</f>
        <v>MOTOROLA</v>
      </c>
      <c r="F1243" s="2005" t="str">
        <f>IFERROR(__xludf.DUMMYFUNCTION("""COMPUTED_VALUE"""),"C")</f>
        <v>C</v>
      </c>
      <c r="G1243" s="2005" t="str">
        <f>IFERROR(__xludf.DUMMYFUNCTION("""COMPUTED_VALUE"""),"AC")</f>
        <v>AC</v>
      </c>
      <c r="H1243" s="2005">
        <f>IFERROR(__xludf.DUMMYFUNCTION("""COMPUTED_VALUE"""),109.99)</f>
        <v>109.99</v>
      </c>
      <c r="I1243" s="2005">
        <f>IFERROR(__xludf.DUMMYFUNCTION("""COMPUTED_VALUE"""),109.99)</f>
        <v>109.99</v>
      </c>
      <c r="BD1243" s="2006"/>
      <c r="LM1243" s="2007"/>
    </row>
    <row r="1244">
      <c r="A1244" s="2005">
        <f>IFERROR(__xludf.DUMMYFUNCTION("""COMPUTED_VALUE"""),1104273.0)</f>
        <v>1104273</v>
      </c>
      <c r="B1244" s="2005">
        <f>IFERROR(__xludf.DUMMYFUNCTION("""COMPUTED_VALUE"""),1108005.0)</f>
        <v>1108005</v>
      </c>
      <c r="C1244" s="2005" t="str">
        <f>IFERROR(__xludf.DUMMYFUNCTION("""COMPUTED_VALUE"""),"Talkie")</f>
        <v>Talkie</v>
      </c>
      <c r="D1244" s="2005" t="str">
        <f>IFERROR(__xludf.DUMMYFUNCTION("""COMPUTED_VALUE"""),"T82 Extreme Twin Noir/Jaune")</f>
        <v>T82 Extreme Twin Noir/Jaune</v>
      </c>
      <c r="E1244" s="2005" t="str">
        <f>IFERROR(__xludf.DUMMYFUNCTION("""COMPUTED_VALUE"""),"MOTOROLA")</f>
        <v>MOTOROLA</v>
      </c>
      <c r="F1244" s="2005" t="str">
        <f>IFERROR(__xludf.DUMMYFUNCTION("""COMPUTED_VALUE"""),"A")</f>
        <v>A</v>
      </c>
      <c r="G1244" s="2005" t="str">
        <f>IFERROR(__xludf.DUMMYFUNCTION("""COMPUTED_VALUE"""),"AC")</f>
        <v>AC</v>
      </c>
      <c r="H1244" s="2005">
        <f>IFERROR(__xludf.DUMMYFUNCTION("""COMPUTED_VALUE"""),131.99)</f>
        <v>131.99</v>
      </c>
      <c r="I1244" s="2005">
        <f>IFERROR(__xludf.DUMMYFUNCTION("""COMPUTED_VALUE"""),131.99)</f>
        <v>131.99</v>
      </c>
      <c r="BD1244" s="2006"/>
      <c r="LL1244" s="2007"/>
      <c r="LM1244" s="2007"/>
      <c r="MX1244" s="2007"/>
      <c r="ND1244" s="2007"/>
    </row>
    <row r="1245">
      <c r="A1245" s="2005">
        <f>IFERROR(__xludf.DUMMYFUNCTION("""COMPUTED_VALUE"""),1104274.0)</f>
        <v>1104274</v>
      </c>
      <c r="B1245" s="2005">
        <f>IFERROR(__xludf.DUMMYFUNCTION("""COMPUTED_VALUE"""),1108005.0)</f>
        <v>1108005</v>
      </c>
      <c r="C1245" s="2005" t="str">
        <f>IFERROR(__xludf.DUMMYFUNCTION("""COMPUTED_VALUE"""),"Talkie")</f>
        <v>Talkie</v>
      </c>
      <c r="D1245" s="2005" t="str">
        <f>IFERROR(__xludf.DUMMYFUNCTION("""COMPUTED_VALUE"""),"T82 Extreme Quadpack")</f>
        <v>T82 Extreme Quadpack</v>
      </c>
      <c r="E1245" s="2005" t="str">
        <f>IFERROR(__xludf.DUMMYFUNCTION("""COMPUTED_VALUE"""),"MOTOROLA")</f>
        <v>MOTOROLA</v>
      </c>
      <c r="F1245" s="2005" t="str">
        <f>IFERROR(__xludf.DUMMYFUNCTION("""COMPUTED_VALUE"""),"D")</f>
        <v>D</v>
      </c>
      <c r="G1245" s="2005" t="str">
        <f>IFERROR(__xludf.DUMMYFUNCTION("""COMPUTED_VALUE"""),"AC")</f>
        <v>AC</v>
      </c>
      <c r="H1245" s="2005">
        <f>IFERROR(__xludf.DUMMYFUNCTION("""COMPUTED_VALUE"""),240.99)</f>
        <v>240.99</v>
      </c>
      <c r="I1245" s="2005">
        <f>IFERROR(__xludf.DUMMYFUNCTION("""COMPUTED_VALUE"""),240.99)</f>
        <v>240.99</v>
      </c>
      <c r="BD1245" s="2006"/>
      <c r="LL1245" s="2007"/>
      <c r="LM1245" s="2007"/>
      <c r="MX1245" s="2007"/>
      <c r="ND1245" s="2007"/>
    </row>
    <row r="1246">
      <c r="A1246" s="2005">
        <f>IFERROR(__xludf.DUMMYFUNCTION("""COMPUTED_VALUE"""),1104356.0)</f>
        <v>1104356</v>
      </c>
      <c r="B1246" s="2005">
        <f>IFERROR(__xludf.DUMMYFUNCTION("""COMPUTED_VALUE"""),2403006.0)</f>
        <v>2403006</v>
      </c>
      <c r="C1246" s="2005" t="str">
        <f>IFERROR(__xludf.DUMMYFUNCTION("""COMPUTED_VALUE"""),"Tapis")</f>
        <v>Tapis</v>
      </c>
      <c r="D1246" s="2005" t="str">
        <f>IFERROR(__xludf.DUMMYFUNCTION("""COMPUTED_VALUE"""),"Buildtak Magis")</f>
        <v>Buildtak Magis</v>
      </c>
      <c r="E1246" s="2005" t="str">
        <f>IFERROR(__xludf.DUMMYFUNCTION("""COMPUTED_VALUE"""),"DAGOMA")</f>
        <v>DAGOMA</v>
      </c>
      <c r="F1246" s="2005" t="str">
        <f>IFERROR(__xludf.DUMMYFUNCTION("""COMPUTED_VALUE"""),"W")</f>
        <v>W</v>
      </c>
      <c r="G1246" s="2005" t="str">
        <f>IFERROR(__xludf.DUMMYFUNCTION("""COMPUTED_VALUE"""),"NN")</f>
        <v>NN</v>
      </c>
      <c r="H1246">
        <f>IFERROR(__xludf.DUMMYFUNCTION("""COMPUTED_VALUE"""),11.99)</f>
        <v>11.99</v>
      </c>
      <c r="I1246">
        <f>IFERROR(__xludf.DUMMYFUNCTION("""COMPUTED_VALUE"""),11.99)</f>
        <v>11.99</v>
      </c>
      <c r="BD1246" s="2006"/>
      <c r="LL1246" s="2007"/>
      <c r="LM1246" s="2007"/>
      <c r="MX1246" s="2007"/>
      <c r="ND1246" s="2007"/>
    </row>
    <row r="1247">
      <c r="A1247" s="2005">
        <f>IFERROR(__xludf.DUMMYFUNCTION("""COMPUTED_VALUE"""),1104696.0)</f>
        <v>1104696</v>
      </c>
      <c r="B1247" s="2005">
        <f>IFERROR(__xludf.DUMMYFUNCTION("""COMPUTED_VALUE"""),2403006.0)</f>
        <v>2403006</v>
      </c>
      <c r="C1247" s="2005" t="str">
        <f>IFERROR(__xludf.DUMMYFUNCTION("""COMPUTED_VALUE"""),"Ecran")</f>
        <v>Ecran</v>
      </c>
      <c r="D1247" s="2005" t="str">
        <f>IFERROR(__xludf.DUMMYFUNCTION("""COMPUTED_VALUE"""),"écran pour DiscoEasy 200")</f>
        <v>écran pour DiscoEasy 200</v>
      </c>
      <c r="E1247" s="2005" t="str">
        <f>IFERROR(__xludf.DUMMYFUNCTION("""COMPUTED_VALUE"""),"DAGOMA")</f>
        <v>DAGOMA</v>
      </c>
      <c r="F1247" s="2005" t="str">
        <f>IFERROR(__xludf.DUMMYFUNCTION("""COMPUTED_VALUE"""),"W")</f>
        <v>W</v>
      </c>
      <c r="G1247" s="2005" t="str">
        <f>IFERROR(__xludf.DUMMYFUNCTION("""COMPUTED_VALUE"""),"NN")</f>
        <v>NN</v>
      </c>
      <c r="H1247">
        <f>IFERROR(__xludf.DUMMYFUNCTION("""COMPUTED_VALUE"""),39.99)</f>
        <v>39.99</v>
      </c>
      <c r="I1247">
        <f>IFERROR(__xludf.DUMMYFUNCTION("""COMPUTED_VALUE"""),39.99)</f>
        <v>39.99</v>
      </c>
      <c r="BD1247" s="2006"/>
      <c r="LL1247" s="2007"/>
      <c r="LM1247" s="2007"/>
      <c r="MX1247" s="2007"/>
      <c r="ND1247" s="2007"/>
    </row>
    <row r="1248">
      <c r="A1248" s="2005">
        <f>IFERROR(__xludf.DUMMYFUNCTION("""COMPUTED_VALUE"""),1104697.0)</f>
        <v>1104697</v>
      </c>
      <c r="B1248" s="2005">
        <f>IFERROR(__xludf.DUMMYFUNCTION("""COMPUTED_VALUE"""),2202011.0)</f>
        <v>2202011</v>
      </c>
      <c r="C1248" s="2005" t="str">
        <f>IFERROR(__xludf.DUMMYFUNCTION("""COMPUTED_VALUE"""),"Multi Laser")</f>
        <v>Multi Laser</v>
      </c>
      <c r="D1248" s="2005" t="str">
        <f>IFERROR(__xludf.DUMMYFUNCTION("""COMPUTED_VALUE"""),"MFC-L2730DW")</f>
        <v>MFC-L2730DW</v>
      </c>
      <c r="E1248" s="2005" t="str">
        <f>IFERROR(__xludf.DUMMYFUNCTION("""COMPUTED_VALUE"""),"BROTHER")</f>
        <v>BROTHER</v>
      </c>
      <c r="F1248" s="2005" t="str">
        <f>IFERROR(__xludf.DUMMYFUNCTION("""COMPUTED_VALUE"""),"W")</f>
        <v>W</v>
      </c>
      <c r="G1248" s="2005" t="str">
        <f>IFERROR(__xludf.DUMMYFUNCTION("""COMPUTED_VALUE"""),"FR")</f>
        <v>FR</v>
      </c>
      <c r="H1248">
        <f>IFERROR(__xludf.DUMMYFUNCTION("""COMPUTED_VALUE"""),334.99)</f>
        <v>334.99</v>
      </c>
      <c r="I1248">
        <f>IFERROR(__xludf.DUMMYFUNCTION("""COMPUTED_VALUE"""),334.99)</f>
        <v>334.99</v>
      </c>
      <c r="BD1248" s="2006"/>
      <c r="LL1248" s="2008"/>
      <c r="LM1248" s="2007"/>
      <c r="MX1248" s="2007"/>
      <c r="ND1248" s="2007"/>
    </row>
    <row r="1249">
      <c r="A1249" s="2005">
        <f>IFERROR(__xludf.DUMMYFUNCTION("""COMPUTED_VALUE"""),1104698.0)</f>
        <v>1104698</v>
      </c>
      <c r="B1249" s="2005">
        <f>IFERROR(__xludf.DUMMYFUNCTION("""COMPUTED_VALUE"""),2209805.0)</f>
        <v>2209805</v>
      </c>
      <c r="C1249" s="2005" t="str">
        <f>IFERROR(__xludf.DUMMYFUNCTION("""COMPUTED_VALUE"""),"Lot")</f>
        <v>Lot</v>
      </c>
      <c r="D1249" s="2005" t="str">
        <f>IFERROR(__xludf.DUMMYFUNCTION("""COMPUTED_VALUE"""),"MFC-L2730DW+Toner TN2410 Noir")</f>
        <v>MFC-L2730DW+Toner TN2410 Noir</v>
      </c>
      <c r="E1249" s="2005" t="str">
        <f>IFERROR(__xludf.DUMMYFUNCTION("""COMPUTED_VALUE"""),"BROTHER")</f>
        <v>BROTHER</v>
      </c>
      <c r="F1249" s="2005" t="str">
        <f>IFERROR(__xludf.DUMMYFUNCTION("""COMPUTED_VALUE"""),"H")</f>
        <v>H</v>
      </c>
      <c r="G1249" s="2005" t="str">
        <f>IFERROR(__xludf.DUMMYFUNCTION("""COMPUTED_VALUE"""),"AC")</f>
        <v>AC</v>
      </c>
      <c r="H1249" s="2005">
        <f>IFERROR(__xludf.DUMMYFUNCTION("""COMPUTED_VALUE"""),376.31)</f>
        <v>376.31</v>
      </c>
      <c r="I1249" s="2005">
        <f>IFERROR(__xludf.DUMMYFUNCTION("""COMPUTED_VALUE"""),376.31)</f>
        <v>376.31</v>
      </c>
      <c r="BD1249" s="2006"/>
      <c r="LL1249" s="2007"/>
      <c r="LM1249" s="2007"/>
      <c r="MX1249" s="2007"/>
      <c r="ND1249" s="2007"/>
    </row>
    <row r="1250">
      <c r="A1250" s="2005">
        <f>IFERROR(__xludf.DUMMYFUNCTION("""COMPUTED_VALUE"""),1104729.0)</f>
        <v>1104729</v>
      </c>
      <c r="B1250" s="2005">
        <f>IFERROR(__xludf.DUMMYFUNCTION("""COMPUTED_VALUE"""),2403006.0)</f>
        <v>2403006</v>
      </c>
      <c r="C1250" s="2005" t="str">
        <f>IFERROR(__xludf.DUMMYFUNCTION("""COMPUTED_VALUE"""),"Cartouche")</f>
        <v>Cartouche</v>
      </c>
      <c r="D1250" s="2005" t="str">
        <f>IFERROR(__xludf.DUMMYFUNCTION("""COMPUTED_VALUE"""),"PLA S 750g 2.85mm Gris")</f>
        <v>PLA S 750g 2.85mm Gris</v>
      </c>
      <c r="E1250" s="2005" t="str">
        <f>IFERROR(__xludf.DUMMYFUNCTION("""COMPUTED_VALUE"""),"ARMOR")</f>
        <v>ARMOR</v>
      </c>
      <c r="F1250" s="2005" t="str">
        <f>IFERROR(__xludf.DUMMYFUNCTION("""COMPUTED_VALUE"""),"H")</f>
        <v>H</v>
      </c>
      <c r="G1250" s="2005" t="str">
        <f>IFERROR(__xludf.DUMMYFUNCTION("""COMPUTED_VALUE"""),"NN")</f>
        <v>NN</v>
      </c>
      <c r="H1250" s="2005">
        <f>IFERROR(__xludf.DUMMYFUNCTION("""COMPUTED_VALUE"""),29.99)</f>
        <v>29.99</v>
      </c>
      <c r="I1250" s="2005">
        <f>IFERROR(__xludf.DUMMYFUNCTION("""COMPUTED_VALUE"""),29.99)</f>
        <v>29.99</v>
      </c>
      <c r="BD1250" s="2006"/>
      <c r="LL1250" s="2007"/>
      <c r="LM1250" s="2007"/>
      <c r="MX1250" s="2007"/>
      <c r="ND1250" s="2007"/>
    </row>
    <row r="1251">
      <c r="A1251" s="2005">
        <f>IFERROR(__xludf.DUMMYFUNCTION("""COMPUTED_VALUE"""),1104777.0)</f>
        <v>1104777</v>
      </c>
      <c r="B1251" s="2005">
        <f>IFERROR(__xludf.DUMMYFUNCTION("""COMPUTED_VALUE"""),2502012.0)</f>
        <v>2502012</v>
      </c>
      <c r="C1251" s="2005" t="str">
        <f>IFERROR(__xludf.DUMMYFUNCTION("""COMPUTED_VALUE"""),"Tablette Graph")</f>
        <v>Tablette Graph</v>
      </c>
      <c r="D1251" s="2005" t="str">
        <f>IFERROR(__xludf.DUMMYFUNCTION("""COMPUTED_VALUE"""),"Intuos Comfort smal Pistachio")</f>
        <v>Intuos Comfort smal Pistachio</v>
      </c>
      <c r="E1251" s="2005" t="str">
        <f>IFERROR(__xludf.DUMMYFUNCTION("""COMPUTED_VALUE"""),"WACOM")</f>
        <v>WACOM</v>
      </c>
      <c r="F1251" s="2005" t="str">
        <f>IFERROR(__xludf.DUMMYFUNCTION("""COMPUTED_VALUE"""),"H")</f>
        <v>H</v>
      </c>
      <c r="G1251" s="2005" t="str">
        <f>IFERROR(__xludf.DUMMYFUNCTION("""COMPUTED_VALUE"""),"NN")</f>
        <v>NN</v>
      </c>
      <c r="H1251">
        <f>IFERROR(__xludf.DUMMYFUNCTION("""COMPUTED_VALUE"""),99.99)</f>
        <v>99.99</v>
      </c>
      <c r="I1251">
        <f>IFERROR(__xludf.DUMMYFUNCTION("""COMPUTED_VALUE"""),82.99)</f>
        <v>82.99</v>
      </c>
      <c r="BD1251" s="2006"/>
      <c r="LL1251" s="2007"/>
      <c r="LM1251" s="2007"/>
      <c r="MX1251" s="2007"/>
      <c r="ND1251" s="2007"/>
    </row>
    <row r="1252">
      <c r="A1252" s="2005">
        <f>IFERROR(__xludf.DUMMYFUNCTION("""COMPUTED_VALUE"""),1104779.0)</f>
        <v>1104779</v>
      </c>
      <c r="B1252" s="2005">
        <f>IFERROR(__xludf.DUMMYFUNCTION("""COMPUTED_VALUE"""),2502012.0)</f>
        <v>2502012</v>
      </c>
      <c r="C1252" s="2005" t="str">
        <f>IFERROR(__xludf.DUMMYFUNCTION("""COMPUTED_VALUE"""),"Tablette Graph")</f>
        <v>Tablette Graph</v>
      </c>
      <c r="D1252" s="2005" t="str">
        <f>IFERROR(__xludf.DUMMYFUNCTION("""COMPUTED_VALUE"""),"Intuos S Noir")</f>
        <v>Intuos S Noir</v>
      </c>
      <c r="E1252" s="2005" t="str">
        <f>IFERROR(__xludf.DUMMYFUNCTION("""COMPUTED_VALUE"""),"WACOM")</f>
        <v>WACOM</v>
      </c>
      <c r="F1252" s="2005" t="str">
        <f>IFERROR(__xludf.DUMMYFUNCTION("""COMPUTED_VALUE"""),"B")</f>
        <v>B</v>
      </c>
      <c r="G1252" s="2005" t="str">
        <f>IFERROR(__xludf.DUMMYFUNCTION("""COMPUTED_VALUE"""),"AC")</f>
        <v>AC</v>
      </c>
      <c r="H1252" s="2005">
        <f>IFERROR(__xludf.DUMMYFUNCTION("""COMPUTED_VALUE"""),79.99)</f>
        <v>79.99</v>
      </c>
      <c r="I1252" s="2005">
        <f>IFERROR(__xludf.DUMMYFUNCTION("""COMPUTED_VALUE"""),49.99)</f>
        <v>49.99</v>
      </c>
      <c r="BD1252" s="2006"/>
      <c r="LL1252" s="2007"/>
      <c r="LM1252" s="2007"/>
      <c r="MX1252" s="2007"/>
      <c r="ND1252" s="2007"/>
    </row>
    <row r="1253">
      <c r="A1253" s="2005">
        <f>IFERROR(__xludf.DUMMYFUNCTION("""COMPUTED_VALUE"""),1104780.0)</f>
        <v>1104780</v>
      </c>
      <c r="B1253" s="2005">
        <f>IFERROR(__xludf.DUMMYFUNCTION("""COMPUTED_VALUE"""),2502012.0)</f>
        <v>2502012</v>
      </c>
      <c r="C1253" s="2005" t="str">
        <f>IFERROR(__xludf.DUMMYFUNCTION("""COMPUTED_VALUE"""),"Tablette Graph")</f>
        <v>Tablette Graph</v>
      </c>
      <c r="D1253" s="2005" t="str">
        <f>IFERROR(__xludf.DUMMYFUNCTION("""COMPUTED_VALUE"""),"Intuos Bluetooth intégré S Noir")</f>
        <v>Intuos Bluetooth intégré S Noir</v>
      </c>
      <c r="E1253" s="2005" t="str">
        <f>IFERROR(__xludf.DUMMYFUNCTION("""COMPUTED_VALUE"""),"WACOM")</f>
        <v>WACOM</v>
      </c>
      <c r="F1253" s="2005" t="str">
        <f>IFERROR(__xludf.DUMMYFUNCTION("""COMPUTED_VALUE"""),"A")</f>
        <v>A</v>
      </c>
      <c r="G1253" s="2005" t="str">
        <f>IFERROR(__xludf.DUMMYFUNCTION("""COMPUTED_VALUE"""),"AC")</f>
        <v>AC</v>
      </c>
      <c r="H1253" s="2005">
        <f>IFERROR(__xludf.DUMMYFUNCTION("""COMPUTED_VALUE"""),99.99)</f>
        <v>99.99</v>
      </c>
      <c r="I1253" s="2005">
        <f>IFERROR(__xludf.DUMMYFUNCTION("""COMPUTED_VALUE"""),99.99)</f>
        <v>99.99</v>
      </c>
      <c r="BD1253" s="2006"/>
      <c r="LL1253" s="2007"/>
      <c r="LM1253" s="2007"/>
      <c r="MX1253" s="2007"/>
      <c r="ND1253" s="2007"/>
    </row>
    <row r="1254">
      <c r="A1254" s="2005">
        <f>IFERROR(__xludf.DUMMYFUNCTION("""COMPUTED_VALUE"""),1104821.0)</f>
        <v>1104821</v>
      </c>
      <c r="B1254" s="2005">
        <f>IFERROR(__xludf.DUMMYFUNCTION("""COMPUTED_VALUE"""),2502012.0)</f>
        <v>2502012</v>
      </c>
      <c r="C1254" s="2005" t="str">
        <f>IFERROR(__xludf.DUMMYFUNCTION("""COMPUTED_VALUE"""),"Tablette Graph")</f>
        <v>Tablette Graph</v>
      </c>
      <c r="D1254" s="2005" t="str">
        <f>IFERROR(__xludf.DUMMYFUNCTION("""COMPUTED_VALUE"""),"Intuos Bluetooth intégré M Pistache")</f>
        <v>Intuos Bluetooth intégré M Pistache</v>
      </c>
      <c r="E1254" s="2005" t="str">
        <f>IFERROR(__xludf.DUMMYFUNCTION("""COMPUTED_VALUE"""),"WACOM")</f>
        <v>WACOM</v>
      </c>
      <c r="F1254" s="2005" t="str">
        <f>IFERROR(__xludf.DUMMYFUNCTION("""COMPUTED_VALUE"""),"E")</f>
        <v>E</v>
      </c>
      <c r="G1254" s="2005" t="str">
        <f>IFERROR(__xludf.DUMMYFUNCTION("""COMPUTED_VALUE"""),"AC")</f>
        <v>AC</v>
      </c>
      <c r="H1254" s="2005">
        <f>IFERROR(__xludf.DUMMYFUNCTION("""COMPUTED_VALUE"""),199.99)</f>
        <v>199.99</v>
      </c>
      <c r="I1254" s="2005">
        <f>IFERROR(__xludf.DUMMYFUNCTION("""COMPUTED_VALUE"""),199.99)</f>
        <v>199.99</v>
      </c>
      <c r="BD1254" s="2006"/>
      <c r="LL1254" s="2007"/>
      <c r="LM1254" s="2007"/>
      <c r="MX1254" s="2007"/>
      <c r="ND1254" s="2007"/>
    </row>
    <row r="1255">
      <c r="A1255" s="2005">
        <f>IFERROR(__xludf.DUMMYFUNCTION("""COMPUTED_VALUE"""),1104823.0)</f>
        <v>1104823</v>
      </c>
      <c r="B1255" s="2005">
        <f>IFERROR(__xludf.DUMMYFUNCTION("""COMPUTED_VALUE"""),2502012.0)</f>
        <v>2502012</v>
      </c>
      <c r="C1255" s="2005" t="str">
        <f>IFERROR(__xludf.DUMMYFUNCTION("""COMPUTED_VALUE"""),"Tablette Graph")</f>
        <v>Tablette Graph</v>
      </c>
      <c r="D1255" s="2005" t="str">
        <f>IFERROR(__xludf.DUMMYFUNCTION("""COMPUTED_VALUE"""),"Intuos Bluetooth intégré M Noir")</f>
        <v>Intuos Bluetooth intégré M Noir</v>
      </c>
      <c r="E1255" s="2005" t="str">
        <f>IFERROR(__xludf.DUMMYFUNCTION("""COMPUTED_VALUE"""),"WACOM")</f>
        <v>WACOM</v>
      </c>
      <c r="F1255" s="2005" t="str">
        <f>IFERROR(__xludf.DUMMYFUNCTION("""COMPUTED_VALUE"""),"A")</f>
        <v>A</v>
      </c>
      <c r="G1255" s="2005" t="str">
        <f>IFERROR(__xludf.DUMMYFUNCTION("""COMPUTED_VALUE"""),"AC")</f>
        <v>AC</v>
      </c>
      <c r="H1255" s="2005">
        <f>IFERROR(__xludf.DUMMYFUNCTION("""COMPUTED_VALUE"""),159.99)</f>
        <v>159.99</v>
      </c>
      <c r="I1255" s="2005">
        <f>IFERROR(__xludf.DUMMYFUNCTION("""COMPUTED_VALUE"""),159.99)</f>
        <v>159.99</v>
      </c>
      <c r="BD1255" s="2006"/>
      <c r="LL1255" s="2007"/>
      <c r="LM1255" s="2007"/>
      <c r="MX1255" s="2007"/>
      <c r="ND1255" s="2007"/>
    </row>
    <row r="1256">
      <c r="A1256" s="2005">
        <f>IFERROR(__xludf.DUMMYFUNCTION("""COMPUTED_VALUE"""),1104914.0)</f>
        <v>1104914</v>
      </c>
      <c r="B1256" s="2005">
        <f>IFERROR(__xludf.DUMMYFUNCTION("""COMPUTED_VALUE"""),2202010.0)</f>
        <v>2202010</v>
      </c>
      <c r="C1256" s="2005" t="str">
        <f>IFERROR(__xludf.DUMMYFUNCTION("""COMPUTED_VALUE"""),"Multi Jet d'enc")</f>
        <v>Multi Jet d'enc</v>
      </c>
      <c r="D1256" s="2005" t="str">
        <f>IFERROR(__xludf.DUMMYFUNCTION("""COMPUTED_VALUE"""),"Smart Tank 455")</f>
        <v>Smart Tank 455</v>
      </c>
      <c r="E1256" s="2005" t="str">
        <f>IFERROR(__xludf.DUMMYFUNCTION("""COMPUTED_VALUE"""),"HP")</f>
        <v>HP</v>
      </c>
      <c r="F1256" s="2005" t="str">
        <f>IFERROR(__xludf.DUMMYFUNCTION("""COMPUTED_VALUE"""),"B")</f>
        <v>B</v>
      </c>
      <c r="G1256" s="2005" t="str">
        <f>IFERROR(__xludf.DUMMYFUNCTION("""COMPUTED_VALUE"""),"NN")</f>
        <v>NN</v>
      </c>
      <c r="H1256" s="2005">
        <f>IFERROR(__xludf.DUMMYFUNCTION("""COMPUTED_VALUE"""),229.9)</f>
        <v>229.9</v>
      </c>
      <c r="I1256" s="2005">
        <f>IFERROR(__xludf.DUMMYFUNCTION("""COMPUTED_VALUE"""),229.9)</f>
        <v>229.9</v>
      </c>
      <c r="BD1256" s="2006"/>
      <c r="LL1256" s="2007"/>
      <c r="LM1256" s="2007"/>
      <c r="MX1256" s="2007"/>
      <c r="ND1256" s="2007"/>
    </row>
    <row r="1257">
      <c r="A1257" s="2005">
        <f>IFERROR(__xludf.DUMMYFUNCTION("""COMPUTED_VALUE"""),1105015.0)</f>
        <v>1105015</v>
      </c>
      <c r="B1257" s="2005">
        <f>IFERROR(__xludf.DUMMYFUNCTION("""COMPUTED_VALUE"""),2502015.0)</f>
        <v>2502015</v>
      </c>
      <c r="C1257" s="2005" t="str">
        <f>IFERROR(__xludf.DUMMYFUNCTION("""COMPUTED_VALUE"""),"Pavé filaire")</f>
        <v>Pavé filaire</v>
      </c>
      <c r="D1257" s="2005" t="str">
        <f>IFERROR(__xludf.DUMMYFUNCTION("""COMPUTED_VALUE"""),"Hub 3 ports 3.0")</f>
        <v>Hub 3 ports 3.0</v>
      </c>
      <c r="E1257" s="2005" t="str">
        <f>IFERROR(__xludf.DUMMYFUNCTION("""COMPUTED_VALUE"""),"XTREMEMAC")</f>
        <v>XTREMEMAC</v>
      </c>
      <c r="F1257" s="2005" t="str">
        <f>IFERROR(__xludf.DUMMYFUNCTION("""COMPUTED_VALUE"""),"D")</f>
        <v>D</v>
      </c>
      <c r="G1257" s="2005" t="str">
        <f>IFERROR(__xludf.DUMMYFUNCTION("""COMPUTED_VALUE"""),"NN")</f>
        <v>NN</v>
      </c>
      <c r="H1257" s="2005">
        <f>IFERROR(__xludf.DUMMYFUNCTION("""COMPUTED_VALUE"""),28.99)</f>
        <v>28.99</v>
      </c>
      <c r="I1257" s="2005">
        <f>IFERROR(__xludf.DUMMYFUNCTION("""COMPUTED_VALUE"""),28.99)</f>
        <v>28.99</v>
      </c>
      <c r="BD1257" s="2006"/>
      <c r="LL1257" s="2007"/>
      <c r="LM1257" s="2007"/>
      <c r="MX1257" s="2007"/>
      <c r="ND1257" s="2007"/>
    </row>
    <row r="1258">
      <c r="A1258" s="2005">
        <f>IFERROR(__xludf.DUMMYFUNCTION("""COMPUTED_VALUE"""),1105066.0)</f>
        <v>1105066</v>
      </c>
      <c r="B1258" s="2005">
        <f>IFERROR(__xludf.DUMMYFUNCTION("""COMPUTED_VALUE"""),2403005.0)</f>
        <v>2403005</v>
      </c>
      <c r="C1258" s="2005" t="str">
        <f>IFERROR(__xludf.DUMMYFUNCTION("""COMPUTED_VALUE"""),"Cartouche")</f>
        <v>Cartouche</v>
      </c>
      <c r="D1258" s="2005" t="str">
        <f>IFERROR(__xludf.DUMMYFUNCTION("""COMPUTED_VALUE"""),"Cyan 31 Bouteille")</f>
        <v>Cyan 31 Bouteille</v>
      </c>
      <c r="E1258" s="2005" t="str">
        <f>IFERROR(__xludf.DUMMYFUNCTION("""COMPUTED_VALUE"""),"HP")</f>
        <v>HP</v>
      </c>
      <c r="F1258" s="2005" t="str">
        <f>IFERROR(__xludf.DUMMYFUNCTION("""COMPUTED_VALUE"""),"C")</f>
        <v>C</v>
      </c>
      <c r="G1258" s="2005" t="str">
        <f>IFERROR(__xludf.DUMMYFUNCTION("""COMPUTED_VALUE"""),"AC")</f>
        <v>AC</v>
      </c>
      <c r="H1258" s="2005">
        <f>IFERROR(__xludf.DUMMYFUNCTION("""COMPUTED_VALUE"""),11.99)</f>
        <v>11.99</v>
      </c>
      <c r="I1258" s="2005">
        <f>IFERROR(__xludf.DUMMYFUNCTION("""COMPUTED_VALUE"""),11.99)</f>
        <v>11.99</v>
      </c>
      <c r="BD1258" s="2006"/>
      <c r="LL1258" s="2007"/>
      <c r="LM1258" s="2007"/>
      <c r="MX1258" s="2007"/>
      <c r="ND1258" s="2007"/>
    </row>
    <row r="1259">
      <c r="A1259" s="2005">
        <f>IFERROR(__xludf.DUMMYFUNCTION("""COMPUTED_VALUE"""),1105067.0)</f>
        <v>1105067</v>
      </c>
      <c r="B1259" s="2005">
        <f>IFERROR(__xludf.DUMMYFUNCTION("""COMPUTED_VALUE"""),2403005.0)</f>
        <v>2403005</v>
      </c>
      <c r="C1259" s="2005" t="str">
        <f>IFERROR(__xludf.DUMMYFUNCTION("""COMPUTED_VALUE"""),"Cartouche")</f>
        <v>Cartouche</v>
      </c>
      <c r="D1259" s="2005" t="str">
        <f>IFERROR(__xludf.DUMMYFUNCTION("""COMPUTED_VALUE"""),"Bouteille 31 Magenta")</f>
        <v>Bouteille 31 Magenta</v>
      </c>
      <c r="E1259" s="2005" t="str">
        <f>IFERROR(__xludf.DUMMYFUNCTION("""COMPUTED_VALUE"""),"HP")</f>
        <v>HP</v>
      </c>
      <c r="F1259" s="2005" t="str">
        <f>IFERROR(__xludf.DUMMYFUNCTION("""COMPUTED_VALUE"""),"C")</f>
        <v>C</v>
      </c>
      <c r="G1259" s="2005" t="str">
        <f>IFERROR(__xludf.DUMMYFUNCTION("""COMPUTED_VALUE"""),"AC")</f>
        <v>AC</v>
      </c>
      <c r="H1259">
        <f>IFERROR(__xludf.DUMMYFUNCTION("""COMPUTED_VALUE"""),12.99)</f>
        <v>12.99</v>
      </c>
      <c r="I1259">
        <f>IFERROR(__xludf.DUMMYFUNCTION("""COMPUTED_VALUE"""),12.99)</f>
        <v>12.99</v>
      </c>
      <c r="BD1259" s="2006"/>
      <c r="LL1259" s="2007"/>
      <c r="LM1259" s="2007"/>
      <c r="MX1259" s="2007"/>
      <c r="ND1259" s="2007"/>
    </row>
    <row r="1260">
      <c r="A1260" s="2005">
        <f>IFERROR(__xludf.DUMMYFUNCTION("""COMPUTED_VALUE"""),1105068.0)</f>
        <v>1105068</v>
      </c>
      <c r="B1260" s="2005">
        <f>IFERROR(__xludf.DUMMYFUNCTION("""COMPUTED_VALUE"""),2403005.0)</f>
        <v>2403005</v>
      </c>
      <c r="C1260" s="2005" t="str">
        <f>IFERROR(__xludf.DUMMYFUNCTION("""COMPUTED_VALUE"""),"Cartouche")</f>
        <v>Cartouche</v>
      </c>
      <c r="D1260" s="2005" t="str">
        <f>IFERROR(__xludf.DUMMYFUNCTION("""COMPUTED_VALUE"""),"Bouteille 31 Jaune")</f>
        <v>Bouteille 31 Jaune</v>
      </c>
      <c r="E1260" s="2005" t="str">
        <f>IFERROR(__xludf.DUMMYFUNCTION("""COMPUTED_VALUE"""),"HP")</f>
        <v>HP</v>
      </c>
      <c r="F1260" s="2005" t="str">
        <f>IFERROR(__xludf.DUMMYFUNCTION("""COMPUTED_VALUE"""),"B")</f>
        <v>B</v>
      </c>
      <c r="G1260" s="2005" t="str">
        <f>IFERROR(__xludf.DUMMYFUNCTION("""COMPUTED_VALUE"""),"AC")</f>
        <v>AC</v>
      </c>
      <c r="H1260" s="2005">
        <f>IFERROR(__xludf.DUMMYFUNCTION("""COMPUTED_VALUE"""),12.99)</f>
        <v>12.99</v>
      </c>
      <c r="I1260" s="2005">
        <f>IFERROR(__xludf.DUMMYFUNCTION("""COMPUTED_VALUE"""),12.99)</f>
        <v>12.99</v>
      </c>
      <c r="BD1260" s="2006"/>
      <c r="LL1260" s="2007"/>
      <c r="LM1260" s="2007"/>
      <c r="MX1260" s="2007"/>
      <c r="ND1260" s="2007"/>
    </row>
    <row r="1261">
      <c r="A1261" s="2005">
        <f>IFERROR(__xludf.DUMMYFUNCTION("""COMPUTED_VALUE"""),1105153.0)</f>
        <v>1105153</v>
      </c>
      <c r="B1261" s="2005">
        <f>IFERROR(__xludf.DUMMYFUNCTION("""COMPUTED_VALUE"""),2703025.0)</f>
        <v>2703025</v>
      </c>
      <c r="C1261" s="2005" t="str">
        <f>IFERROR(__xludf.DUMMYFUNCTION("""COMPUTED_VALUE"""),"DESTRUCTEUR")</f>
        <v>DESTRUCTEUR</v>
      </c>
      <c r="D1261" s="2005" t="str">
        <f>IFERROR(__xludf.DUMMYFUNCTION("""COMPUTED_VALUE"""),"8CD")</f>
        <v>8CD</v>
      </c>
      <c r="E1261" s="2005" t="str">
        <f>IFERROR(__xludf.DUMMYFUNCTION("""COMPUTED_VALUE"""),"FELLOWES")</f>
        <v>FELLOWES</v>
      </c>
      <c r="F1261" s="2005" t="str">
        <f>IFERROR(__xludf.DUMMYFUNCTION("""COMPUTED_VALUE"""),"H")</f>
        <v>H</v>
      </c>
      <c r="G1261" s="2005" t="str">
        <f>IFERROR(__xludf.DUMMYFUNCTION("""COMPUTED_VALUE"""),"AC")</f>
        <v>AC</v>
      </c>
      <c r="H1261" s="2005">
        <f>IFERROR(__xludf.DUMMYFUNCTION("""COMPUTED_VALUE"""),91.13)</f>
        <v>91.13</v>
      </c>
      <c r="I1261" s="2005">
        <f>IFERROR(__xludf.DUMMYFUNCTION("""COMPUTED_VALUE"""),91.13)</f>
        <v>91.13</v>
      </c>
      <c r="BD1261" s="2006"/>
      <c r="LL1261" s="2007"/>
      <c r="LM1261" s="2007"/>
      <c r="MX1261" s="2007"/>
      <c r="ND1261" s="2007"/>
    </row>
    <row r="1262">
      <c r="A1262" s="2005">
        <f>IFERROR(__xludf.DUMMYFUNCTION("""COMPUTED_VALUE"""),1105154.0)</f>
        <v>1105154</v>
      </c>
      <c r="B1262" s="2005">
        <f>IFERROR(__xludf.DUMMYFUNCTION("""COMPUTED_VALUE"""),2703025.0)</f>
        <v>2703025</v>
      </c>
      <c r="C1262" s="2005" t="str">
        <f>IFERROR(__xludf.DUMMYFUNCTION("""COMPUTED_VALUE"""),"DESTRUCTEUR")</f>
        <v>DESTRUCTEUR</v>
      </c>
      <c r="D1262" s="2005" t="str">
        <f>IFERROR(__xludf.DUMMYFUNCTION("""COMPUTED_VALUE"""),"M-7CM")</f>
        <v>M-7CM</v>
      </c>
      <c r="E1262" s="2005" t="str">
        <f>IFERROR(__xludf.DUMMYFUNCTION("""COMPUTED_VALUE"""),"FELLOWES")</f>
        <v>FELLOWES</v>
      </c>
      <c r="F1262" s="2005" t="str">
        <f>IFERROR(__xludf.DUMMYFUNCTION("""COMPUTED_VALUE"""),"D")</f>
        <v>D</v>
      </c>
      <c r="G1262" s="2005" t="str">
        <f>IFERROR(__xludf.DUMMYFUNCTION("""COMPUTED_VALUE"""),"AC")</f>
        <v>AC</v>
      </c>
      <c r="H1262">
        <f>IFERROR(__xludf.DUMMYFUNCTION("""COMPUTED_VALUE"""),79.98)</f>
        <v>79.98</v>
      </c>
      <c r="I1262">
        <f>IFERROR(__xludf.DUMMYFUNCTION("""COMPUTED_VALUE"""),79.98)</f>
        <v>79.98</v>
      </c>
      <c r="BD1262" s="2006"/>
      <c r="LL1262" s="2008"/>
      <c r="LM1262" s="2007"/>
      <c r="MX1262" s="2007"/>
      <c r="ND1262" s="2007"/>
    </row>
    <row r="1263">
      <c r="A1263" s="2005">
        <f>IFERROR(__xludf.DUMMYFUNCTION("""COMPUTED_VALUE"""),1105373.0)</f>
        <v>1105373</v>
      </c>
      <c r="B1263" s="2005">
        <f>IFERROR(__xludf.DUMMYFUNCTION("""COMPUTED_VALUE"""),2202005.0)</f>
        <v>2202005</v>
      </c>
      <c r="C1263" s="2005" t="str">
        <f>IFERROR(__xludf.DUMMYFUNCTION("""COMPUTED_VALUE"""),"Multi Jet d'enc")</f>
        <v>Multi Jet d'enc</v>
      </c>
      <c r="D1263" s="2005" t="str">
        <f>IFERROR(__xludf.DUMMYFUNCTION("""COMPUTED_VALUE"""),"XP 5100")</f>
        <v>XP 5100</v>
      </c>
      <c r="E1263" s="2005" t="str">
        <f>IFERROR(__xludf.DUMMYFUNCTION("""COMPUTED_VALUE"""),"EPSON")</f>
        <v>EPSON</v>
      </c>
      <c r="F1263" s="2005" t="str">
        <f>IFERROR(__xludf.DUMMYFUNCTION("""COMPUTED_VALUE"""),"C")</f>
        <v>C</v>
      </c>
      <c r="G1263" s="2005" t="str">
        <f>IFERROR(__xludf.DUMMYFUNCTION("""COMPUTED_VALUE"""),"NN")</f>
        <v>NN</v>
      </c>
      <c r="H1263">
        <f>IFERROR(__xludf.DUMMYFUNCTION("""COMPUTED_VALUE"""),74.99)</f>
        <v>74.99</v>
      </c>
      <c r="I1263">
        <f>IFERROR(__xludf.DUMMYFUNCTION("""COMPUTED_VALUE"""),74.99)</f>
        <v>74.99</v>
      </c>
      <c r="BD1263" s="2006"/>
      <c r="LL1263" s="2007"/>
      <c r="LM1263" s="2007"/>
      <c r="MX1263" s="2007"/>
      <c r="ND1263" s="2007"/>
    </row>
    <row r="1264">
      <c r="A1264" s="2005">
        <f>IFERROR(__xludf.DUMMYFUNCTION("""COMPUTED_VALUE"""),1105477.0)</f>
        <v>1105477</v>
      </c>
      <c r="B1264" s="2005">
        <f>IFERROR(__xludf.DUMMYFUNCTION("""COMPUTED_VALUE"""),2403005.0)</f>
        <v>2403005</v>
      </c>
      <c r="C1264" s="2005" t="str">
        <f>IFERROR(__xludf.DUMMYFUNCTION("""COMPUTED_VALUE"""),"Cartouche")</f>
        <v>Cartouche</v>
      </c>
      <c r="D1264" s="2005" t="str">
        <f>IFERROR(__xludf.DUMMYFUNCTION("""COMPUTED_VALUE"""),"502 Noir Série Jumelles")</f>
        <v>502 Noir Série Jumelles</v>
      </c>
      <c r="E1264" s="2005" t="str">
        <f>IFERROR(__xludf.DUMMYFUNCTION("""COMPUTED_VALUE"""),"EPSON")</f>
        <v>EPSON</v>
      </c>
      <c r="F1264" s="2005" t="str">
        <f>IFERROR(__xludf.DUMMYFUNCTION("""COMPUTED_VALUE"""),"D")</f>
        <v>D</v>
      </c>
      <c r="G1264" s="2005" t="str">
        <f>IFERROR(__xludf.DUMMYFUNCTION("""COMPUTED_VALUE"""),"AC")</f>
        <v>AC</v>
      </c>
      <c r="H1264" s="2005">
        <f>IFERROR(__xludf.DUMMYFUNCTION("""COMPUTED_VALUE"""),22.99)</f>
        <v>22.99</v>
      </c>
      <c r="I1264" s="2005">
        <f>IFERROR(__xludf.DUMMYFUNCTION("""COMPUTED_VALUE"""),22.99)</f>
        <v>22.99</v>
      </c>
      <c r="BD1264" s="2006"/>
      <c r="LL1264" s="2007"/>
      <c r="LM1264" s="2007"/>
      <c r="MX1264" s="2007"/>
      <c r="ND1264" s="2007"/>
    </row>
    <row r="1265">
      <c r="A1265" s="2005">
        <f>IFERROR(__xludf.DUMMYFUNCTION("""COMPUTED_VALUE"""),1105479.0)</f>
        <v>1105479</v>
      </c>
      <c r="B1265" s="2005">
        <f>IFERROR(__xludf.DUMMYFUNCTION("""COMPUTED_VALUE"""),2403005.0)</f>
        <v>2403005</v>
      </c>
      <c r="C1265" s="2005" t="str">
        <f>IFERROR(__xludf.DUMMYFUNCTION("""COMPUTED_VALUE"""),"Cartouche")</f>
        <v>Cartouche</v>
      </c>
      <c r="D1265" s="2005" t="str">
        <f>IFERROR(__xludf.DUMMYFUNCTION("""COMPUTED_VALUE"""),"502 Cyan Série Jumelles")</f>
        <v>502 Cyan Série Jumelles</v>
      </c>
      <c r="E1265" s="2005" t="str">
        <f>IFERROR(__xludf.DUMMYFUNCTION("""COMPUTED_VALUE"""),"EPSON")</f>
        <v>EPSON</v>
      </c>
      <c r="F1265" s="2005" t="str">
        <f>IFERROR(__xludf.DUMMYFUNCTION("""COMPUTED_VALUE"""),"D")</f>
        <v>D</v>
      </c>
      <c r="G1265" s="2005" t="str">
        <f>IFERROR(__xludf.DUMMYFUNCTION("""COMPUTED_VALUE"""),"AC")</f>
        <v>AC</v>
      </c>
      <c r="H1265" s="2005">
        <f>IFERROR(__xludf.DUMMYFUNCTION("""COMPUTED_VALUE"""),9.99)</f>
        <v>9.99</v>
      </c>
      <c r="I1265">
        <f>IFERROR(__xludf.DUMMYFUNCTION("""COMPUTED_VALUE"""),9.99)</f>
        <v>9.99</v>
      </c>
      <c r="BD1265" s="2006"/>
      <c r="LL1265" s="2007"/>
      <c r="LM1265" s="2007"/>
      <c r="MX1265" s="2007"/>
      <c r="ND1265" s="2007"/>
    </row>
    <row r="1266">
      <c r="A1266" s="2005">
        <f>IFERROR(__xludf.DUMMYFUNCTION("""COMPUTED_VALUE"""),1105480.0)</f>
        <v>1105480</v>
      </c>
      <c r="B1266" s="2005">
        <f>IFERROR(__xludf.DUMMYFUNCTION("""COMPUTED_VALUE"""),2403005.0)</f>
        <v>2403005</v>
      </c>
      <c r="C1266" s="2005" t="str">
        <f>IFERROR(__xludf.DUMMYFUNCTION("""COMPUTED_VALUE"""),"Cartouche")</f>
        <v>Cartouche</v>
      </c>
      <c r="D1266" s="2005" t="str">
        <f>IFERROR(__xludf.DUMMYFUNCTION("""COMPUTED_VALUE"""),"502 Magenta Série Jumelles")</f>
        <v>502 Magenta Série Jumelles</v>
      </c>
      <c r="E1266" s="2005" t="str">
        <f>IFERROR(__xludf.DUMMYFUNCTION("""COMPUTED_VALUE"""),"EPSON")</f>
        <v>EPSON</v>
      </c>
      <c r="F1266" s="2005" t="str">
        <f>IFERROR(__xludf.DUMMYFUNCTION("""COMPUTED_VALUE"""),"H")</f>
        <v>H</v>
      </c>
      <c r="G1266" s="2005" t="str">
        <f>IFERROR(__xludf.DUMMYFUNCTION("""COMPUTED_VALUE"""),"AC")</f>
        <v>AC</v>
      </c>
      <c r="H1266" s="2005">
        <f>IFERROR(__xludf.DUMMYFUNCTION("""COMPUTED_VALUE"""),9.99)</f>
        <v>9.99</v>
      </c>
      <c r="I1266" s="2005">
        <f>IFERROR(__xludf.DUMMYFUNCTION("""COMPUTED_VALUE"""),9.99)</f>
        <v>9.99</v>
      </c>
      <c r="BD1266" s="2006"/>
      <c r="LL1266" s="2007"/>
      <c r="LM1266" s="2007"/>
      <c r="MX1266" s="2008"/>
      <c r="ND1266" s="2007"/>
    </row>
    <row r="1267">
      <c r="A1267" s="2005">
        <f>IFERROR(__xludf.DUMMYFUNCTION("""COMPUTED_VALUE"""),1105531.0)</f>
        <v>1105531</v>
      </c>
      <c r="B1267" s="2005">
        <f>IFERROR(__xludf.DUMMYFUNCTION("""COMPUTED_VALUE"""),2403005.0)</f>
        <v>2403005</v>
      </c>
      <c r="C1267" s="2005" t="str">
        <f>IFERROR(__xludf.DUMMYFUNCTION("""COMPUTED_VALUE"""),"Cartouche")</f>
        <v>Cartouche</v>
      </c>
      <c r="D1267" s="2005" t="str">
        <f>IFERROR(__xludf.DUMMYFUNCTION("""COMPUTED_VALUE"""),"502 Jaune Série Jumelles")</f>
        <v>502 Jaune Série Jumelles</v>
      </c>
      <c r="E1267" s="2005" t="str">
        <f>IFERROR(__xludf.DUMMYFUNCTION("""COMPUTED_VALUE"""),"EPSON")</f>
        <v>EPSON</v>
      </c>
      <c r="F1267" s="2005" t="str">
        <f>IFERROR(__xludf.DUMMYFUNCTION("""COMPUTED_VALUE"""),"H")</f>
        <v>H</v>
      </c>
      <c r="G1267" s="2005" t="str">
        <f>IFERROR(__xludf.DUMMYFUNCTION("""COMPUTED_VALUE"""),"AC")</f>
        <v>AC</v>
      </c>
      <c r="H1267">
        <f>IFERROR(__xludf.DUMMYFUNCTION("""COMPUTED_VALUE"""),9.99)</f>
        <v>9.99</v>
      </c>
      <c r="I1267">
        <f>IFERROR(__xludf.DUMMYFUNCTION("""COMPUTED_VALUE"""),9.99)</f>
        <v>9.99</v>
      </c>
      <c r="BD1267" s="2006"/>
      <c r="LL1267" s="2007"/>
      <c r="LM1267" s="2007"/>
      <c r="MX1267" s="2007"/>
      <c r="ND1267" s="2007"/>
    </row>
    <row r="1268">
      <c r="A1268" s="2005">
        <f>IFERROR(__xludf.DUMMYFUNCTION("""COMPUTED_VALUE"""),1105532.0)</f>
        <v>1105532</v>
      </c>
      <c r="B1268" s="2005">
        <f>IFERROR(__xludf.DUMMYFUNCTION("""COMPUTED_VALUE"""),2403005.0)</f>
        <v>2403005</v>
      </c>
      <c r="C1268" s="2005" t="str">
        <f>IFERROR(__xludf.DUMMYFUNCTION("""COMPUTED_VALUE"""),"Cartouche")</f>
        <v>Cartouche</v>
      </c>
      <c r="D1268" s="2005" t="str">
        <f>IFERROR(__xludf.DUMMYFUNCTION("""COMPUTED_VALUE"""),"502 (N/C/M/J) Série Jumelles")</f>
        <v>502 (N/C/M/J) Série Jumelles</v>
      </c>
      <c r="E1268" s="2005" t="str">
        <f>IFERROR(__xludf.DUMMYFUNCTION("""COMPUTED_VALUE"""),"EPSON")</f>
        <v>EPSON</v>
      </c>
      <c r="F1268" s="2005" t="str">
        <f>IFERROR(__xludf.DUMMYFUNCTION("""COMPUTED_VALUE"""),"B")</f>
        <v>B</v>
      </c>
      <c r="G1268" s="2005" t="str">
        <f>IFERROR(__xludf.DUMMYFUNCTION("""COMPUTED_VALUE"""),"AC")</f>
        <v>AC</v>
      </c>
      <c r="H1268" s="2005">
        <f>IFERROR(__xludf.DUMMYFUNCTION("""COMPUTED_VALUE"""),51.0)</f>
        <v>51</v>
      </c>
      <c r="I1268" s="2005">
        <f>IFERROR(__xludf.DUMMYFUNCTION("""COMPUTED_VALUE"""),51.0)</f>
        <v>51</v>
      </c>
      <c r="BD1268" s="2006"/>
      <c r="LL1268" s="2007"/>
      <c r="LM1268" s="2007"/>
      <c r="MX1268" s="2007"/>
      <c r="ND1268" s="2007"/>
    </row>
    <row r="1269">
      <c r="A1269" s="2005">
        <f>IFERROR(__xludf.DUMMYFUNCTION("""COMPUTED_VALUE"""),1105534.0)</f>
        <v>1105534</v>
      </c>
      <c r="B1269" s="2005">
        <f>IFERROR(__xludf.DUMMYFUNCTION("""COMPUTED_VALUE"""),2403005.0)</f>
        <v>2403005</v>
      </c>
      <c r="C1269" s="2005" t="str">
        <f>IFERROR(__xludf.DUMMYFUNCTION("""COMPUTED_VALUE"""),"Cartouche")</f>
        <v>Cartouche</v>
      </c>
      <c r="D1269" s="2005" t="str">
        <f>IFERROR(__xludf.DUMMYFUNCTION("""COMPUTED_VALUE"""),"502 Noir XL Série Jumelles")</f>
        <v>502 Noir XL Série Jumelles</v>
      </c>
      <c r="E1269" s="2005" t="str">
        <f>IFERROR(__xludf.DUMMYFUNCTION("""COMPUTED_VALUE"""),"EPSON")</f>
        <v>EPSON</v>
      </c>
      <c r="F1269" s="2005" t="str">
        <f>IFERROR(__xludf.DUMMYFUNCTION("""COMPUTED_VALUE"""),"D")</f>
        <v>D</v>
      </c>
      <c r="G1269" s="2005" t="str">
        <f>IFERROR(__xludf.DUMMYFUNCTION("""COMPUTED_VALUE"""),"AC")</f>
        <v>AC</v>
      </c>
      <c r="H1269" s="2005">
        <f>IFERROR(__xludf.DUMMYFUNCTION("""COMPUTED_VALUE"""),37.99)</f>
        <v>37.99</v>
      </c>
      <c r="I1269" s="2005">
        <f>IFERROR(__xludf.DUMMYFUNCTION("""COMPUTED_VALUE"""),37.99)</f>
        <v>37.99</v>
      </c>
      <c r="BD1269" s="2006"/>
      <c r="LL1269" s="2007"/>
      <c r="LM1269" s="2007"/>
      <c r="MX1269" s="2007"/>
      <c r="ND1269" s="2007"/>
    </row>
    <row r="1270">
      <c r="A1270" s="2005">
        <f>IFERROR(__xludf.DUMMYFUNCTION("""COMPUTED_VALUE"""),1105535.0)</f>
        <v>1105535</v>
      </c>
      <c r="B1270" s="2005">
        <f>IFERROR(__xludf.DUMMYFUNCTION("""COMPUTED_VALUE"""),2403005.0)</f>
        <v>2403005</v>
      </c>
      <c r="C1270" s="2005" t="str">
        <f>IFERROR(__xludf.DUMMYFUNCTION("""COMPUTED_VALUE"""),"Cartouche")</f>
        <v>Cartouche</v>
      </c>
      <c r="D1270" s="2005" t="str">
        <f>IFERROR(__xludf.DUMMYFUNCTION("""COMPUTED_VALUE"""),"502 Cyan XL Série Jumelles")</f>
        <v>502 Cyan XL Série Jumelles</v>
      </c>
      <c r="E1270" s="2005" t="str">
        <f>IFERROR(__xludf.DUMMYFUNCTION("""COMPUTED_VALUE"""),"EPSON")</f>
        <v>EPSON</v>
      </c>
      <c r="F1270" s="2005" t="str">
        <f>IFERROR(__xludf.DUMMYFUNCTION("""COMPUTED_VALUE"""),"H")</f>
        <v>H</v>
      </c>
      <c r="G1270" s="2005" t="str">
        <f>IFERROR(__xludf.DUMMYFUNCTION("""COMPUTED_VALUE"""),"FR")</f>
        <v>FR</v>
      </c>
      <c r="H1270" s="2005">
        <f>IFERROR(__xludf.DUMMYFUNCTION("""COMPUTED_VALUE"""),20.99)</f>
        <v>20.99</v>
      </c>
      <c r="I1270" s="2005">
        <f>IFERROR(__xludf.DUMMYFUNCTION("""COMPUTED_VALUE"""),20.99)</f>
        <v>20.99</v>
      </c>
      <c r="BD1270" s="2006"/>
      <c r="LL1270" s="2007"/>
      <c r="LM1270" s="2007"/>
      <c r="MX1270" s="2007"/>
      <c r="ND1270" s="2007"/>
    </row>
    <row r="1271">
      <c r="A1271" s="2005">
        <f>IFERROR(__xludf.DUMMYFUNCTION("""COMPUTED_VALUE"""),1105537.0)</f>
        <v>1105537</v>
      </c>
      <c r="B1271" s="2005">
        <f>IFERROR(__xludf.DUMMYFUNCTION("""COMPUTED_VALUE"""),2403005.0)</f>
        <v>2403005</v>
      </c>
      <c r="C1271" s="2005" t="str">
        <f>IFERROR(__xludf.DUMMYFUNCTION("""COMPUTED_VALUE"""),"Cartouche")</f>
        <v>Cartouche</v>
      </c>
      <c r="D1271" s="2005" t="str">
        <f>IFERROR(__xludf.DUMMYFUNCTION("""COMPUTED_VALUE"""),"502 Jaune XL Série Jumelles")</f>
        <v>502 Jaune XL Série Jumelles</v>
      </c>
      <c r="E1271" s="2005" t="str">
        <f>IFERROR(__xludf.DUMMYFUNCTION("""COMPUTED_VALUE"""),"EPSON")</f>
        <v>EPSON</v>
      </c>
      <c r="F1271" s="2005" t="str">
        <f>IFERROR(__xludf.DUMMYFUNCTION("""COMPUTED_VALUE"""),"H")</f>
        <v>H</v>
      </c>
      <c r="G1271" s="2005" t="str">
        <f>IFERROR(__xludf.DUMMYFUNCTION("""COMPUTED_VALUE"""),"NN")</f>
        <v>NN</v>
      </c>
      <c r="H1271" s="2005">
        <f>IFERROR(__xludf.DUMMYFUNCTION("""COMPUTED_VALUE"""),20.99)</f>
        <v>20.99</v>
      </c>
      <c r="I1271" s="2005">
        <f>IFERROR(__xludf.DUMMYFUNCTION("""COMPUTED_VALUE"""),20.99)</f>
        <v>20.99</v>
      </c>
      <c r="BD1271" s="2006"/>
      <c r="LL1271" s="2008"/>
      <c r="LM1271" s="2007"/>
      <c r="MX1271" s="2007"/>
      <c r="ND1271" s="2007"/>
    </row>
    <row r="1272">
      <c r="A1272" s="2005">
        <f>IFERROR(__xludf.DUMMYFUNCTION("""COMPUTED_VALUE"""),1105538.0)</f>
        <v>1105538</v>
      </c>
      <c r="B1272" s="2005">
        <f>IFERROR(__xludf.DUMMYFUNCTION("""COMPUTED_VALUE"""),2403005.0)</f>
        <v>2403005</v>
      </c>
      <c r="C1272" s="2005" t="str">
        <f>IFERROR(__xludf.DUMMYFUNCTION("""COMPUTED_VALUE"""),"Cartouche")</f>
        <v>Cartouche</v>
      </c>
      <c r="D1272" s="2005" t="str">
        <f>IFERROR(__xludf.DUMMYFUNCTION("""COMPUTED_VALUE"""),"502 (N/C/M/J) XL Série Jumelles")</f>
        <v>502 (N/C/M/J) XL Série Jumelles</v>
      </c>
      <c r="E1272" s="2005" t="str">
        <f>IFERROR(__xludf.DUMMYFUNCTION("""COMPUTED_VALUE"""),"EPSON")</f>
        <v>EPSON</v>
      </c>
      <c r="F1272" s="2005" t="str">
        <f>IFERROR(__xludf.DUMMYFUNCTION("""COMPUTED_VALUE"""),"D")</f>
        <v>D</v>
      </c>
      <c r="G1272" s="2005" t="str">
        <f>IFERROR(__xludf.DUMMYFUNCTION("""COMPUTED_VALUE"""),"AC")</f>
        <v>AC</v>
      </c>
      <c r="H1272" s="2005">
        <f>IFERROR(__xludf.DUMMYFUNCTION("""COMPUTED_VALUE"""),98.0)</f>
        <v>98</v>
      </c>
      <c r="I1272" s="2005">
        <f>IFERROR(__xludf.DUMMYFUNCTION("""COMPUTED_VALUE"""),98.0)</f>
        <v>98</v>
      </c>
      <c r="BD1272" s="2006"/>
      <c r="LL1272" s="2007"/>
      <c r="LM1272" s="2007"/>
      <c r="MX1272" s="2007"/>
      <c r="ND1272" s="2007"/>
    </row>
    <row r="1273">
      <c r="A1273" s="2005">
        <f>IFERROR(__xludf.DUMMYFUNCTION("""COMPUTED_VALUE"""),1105539.0)</f>
        <v>1105539</v>
      </c>
      <c r="B1273" s="2005">
        <f>IFERROR(__xludf.DUMMYFUNCTION("""COMPUTED_VALUE"""),2403005.0)</f>
        <v>2403005</v>
      </c>
      <c r="C1273" s="2005" t="str">
        <f>IFERROR(__xludf.DUMMYFUNCTION("""COMPUTED_VALUE"""),"Cartouche")</f>
        <v>Cartouche</v>
      </c>
      <c r="D1273" s="2005" t="str">
        <f>IFERROR(__xludf.DUMMYFUNCTION("""COMPUTED_VALUE"""),"502 Noir XL+C/M/J Série Jumelles")</f>
        <v>502 Noir XL+C/M/J Série Jumelles</v>
      </c>
      <c r="E1273" s="2005" t="str">
        <f>IFERROR(__xludf.DUMMYFUNCTION("""COMPUTED_VALUE"""),"EPSON")</f>
        <v>EPSON</v>
      </c>
      <c r="F1273" s="2005" t="str">
        <f>IFERROR(__xludf.DUMMYFUNCTION("""COMPUTED_VALUE"""),"D")</f>
        <v>D</v>
      </c>
      <c r="G1273" s="2005" t="str">
        <f>IFERROR(__xludf.DUMMYFUNCTION("""COMPUTED_VALUE"""),"AC")</f>
        <v>AC</v>
      </c>
      <c r="H1273" s="2005">
        <f>IFERROR(__xludf.DUMMYFUNCTION("""COMPUTED_VALUE"""),66.0)</f>
        <v>66</v>
      </c>
      <c r="I1273" s="2005">
        <f>IFERROR(__xludf.DUMMYFUNCTION("""COMPUTED_VALUE"""),66.0)</f>
        <v>66</v>
      </c>
      <c r="BD1273" s="2006"/>
      <c r="LL1273" s="2007"/>
      <c r="LM1273" s="2007"/>
      <c r="MX1273" s="2007"/>
      <c r="ND1273" s="2007"/>
    </row>
    <row r="1274">
      <c r="A1274" s="2005">
        <f>IFERROR(__xludf.DUMMYFUNCTION("""COMPUTED_VALUE"""),1105743.0)</f>
        <v>1105743</v>
      </c>
      <c r="B1274" s="2005">
        <f>IFERROR(__xludf.DUMMYFUNCTION("""COMPUTED_VALUE"""),2502015.0)</f>
        <v>2502015</v>
      </c>
      <c r="C1274" s="2005" t="str">
        <f>IFERROR(__xludf.DUMMYFUNCTION("""COMPUTED_VALUE"""),"Clavier")</f>
        <v>Clavier</v>
      </c>
      <c r="D1274" s="2005" t="str">
        <f>IFERROR(__xludf.DUMMYFUNCTION("""COMPUTED_VALUE"""),"Keyboard cover pour Huawei M5")</f>
        <v>Keyboard cover pour Huawei M5</v>
      </c>
      <c r="E1274" s="2005" t="str">
        <f>IFERROR(__xludf.DUMMYFUNCTION("""COMPUTED_VALUE"""),"AMORK")</f>
        <v>AMORK</v>
      </c>
      <c r="F1274" s="2005" t="str">
        <f>IFERROR(__xludf.DUMMYFUNCTION("""COMPUTED_VALUE"""),"H")</f>
        <v>H</v>
      </c>
      <c r="G1274" s="2005" t="str">
        <f>IFERROR(__xludf.DUMMYFUNCTION("""COMPUTED_VALUE"""),"NN")</f>
        <v>NN</v>
      </c>
      <c r="H1274" s="2005">
        <f>IFERROR(__xludf.DUMMYFUNCTION("""COMPUTED_VALUE"""),69.99)</f>
        <v>69.99</v>
      </c>
      <c r="I1274" s="2005">
        <f>IFERROR(__xludf.DUMMYFUNCTION("""COMPUTED_VALUE"""),69.99)</f>
        <v>69.99</v>
      </c>
      <c r="BD1274" s="2006"/>
      <c r="LL1274" s="2007"/>
      <c r="LM1274" s="2007"/>
      <c r="MX1274" s="2008"/>
      <c r="ND1274" s="2007"/>
    </row>
    <row r="1275">
      <c r="A1275" s="2005">
        <f>IFERROR(__xludf.DUMMYFUNCTION("""COMPUTED_VALUE"""),1105747.0)</f>
        <v>1105747</v>
      </c>
      <c r="B1275" s="2005">
        <f>IFERROR(__xludf.DUMMYFUNCTION("""COMPUTED_VALUE"""),2502024.0)</f>
        <v>2502024</v>
      </c>
      <c r="C1275" s="2005" t="str">
        <f>IFERROR(__xludf.DUMMYFUNCTION("""COMPUTED_VALUE"""),"Stylet")</f>
        <v>Stylet</v>
      </c>
      <c r="D1275" s="2005" t="str">
        <f>IFERROR(__xludf.DUMMYFUNCTION("""COMPUTED_VALUE"""),"LP190K Noir")</f>
        <v>LP190K Noir</v>
      </c>
      <c r="E1275" s="2005" t="str">
        <f>IFERROR(__xludf.DUMMYFUNCTION("""COMPUTED_VALUE"""),"WACOM")</f>
        <v>WACOM</v>
      </c>
      <c r="F1275" s="2005" t="str">
        <f>IFERROR(__xludf.DUMMYFUNCTION("""COMPUTED_VALUE"""),"W")</f>
        <v>W</v>
      </c>
      <c r="G1275" s="2005" t="str">
        <f>IFERROR(__xludf.DUMMYFUNCTION("""COMPUTED_VALUE"""),"AC")</f>
        <v>AC</v>
      </c>
      <c r="H1275" s="2005">
        <f>IFERROR(__xludf.DUMMYFUNCTION("""COMPUTED_VALUE"""),24.9)</f>
        <v>24.9</v>
      </c>
      <c r="I1275" s="2005">
        <f>IFERROR(__xludf.DUMMYFUNCTION("""COMPUTED_VALUE"""),24.9)</f>
        <v>24.9</v>
      </c>
      <c r="BD1275" s="2006"/>
      <c r="LL1275" s="2007"/>
      <c r="LM1275" s="2007"/>
      <c r="MX1275" s="2007"/>
      <c r="ND1275" s="2007"/>
    </row>
    <row r="1276">
      <c r="A1276" s="2005">
        <f>IFERROR(__xludf.DUMMYFUNCTION("""COMPUTED_VALUE"""),1105896.0)</f>
        <v>1105896</v>
      </c>
      <c r="B1276" s="2005">
        <f>IFERROR(__xludf.DUMMYFUNCTION("""COMPUTED_VALUE"""),2207005.0)</f>
        <v>2207005</v>
      </c>
      <c r="C1276" s="2005" t="str">
        <f>IFERROR(__xludf.DUMMYFUNCTION("""COMPUTED_VALUE"""),"Imprimante")</f>
        <v>Imprimante</v>
      </c>
      <c r="D1276" s="2005" t="str">
        <f>IFERROR(__xludf.DUMMYFUNCTION("""COMPUTED_VALUE"""),"Magis montée")</f>
        <v>Magis montée</v>
      </c>
      <c r="E1276" s="2005" t="str">
        <f>IFERROR(__xludf.DUMMYFUNCTION("""COMPUTED_VALUE"""),"DAGOMA")</f>
        <v>DAGOMA</v>
      </c>
      <c r="F1276" s="2005" t="str">
        <f>IFERROR(__xludf.DUMMYFUNCTION("""COMPUTED_VALUE"""),"W")</f>
        <v>W</v>
      </c>
      <c r="G1276" s="2005" t="str">
        <f>IFERROR(__xludf.DUMMYFUNCTION("""COMPUTED_VALUE"""),"NN")</f>
        <v>NN</v>
      </c>
      <c r="H1276" s="2005">
        <f>IFERROR(__xludf.DUMMYFUNCTION("""COMPUTED_VALUE"""),449.99)</f>
        <v>449.99</v>
      </c>
      <c r="I1276" s="2005">
        <f>IFERROR(__xludf.DUMMYFUNCTION("""COMPUTED_VALUE"""),449.99)</f>
        <v>449.99</v>
      </c>
      <c r="BD1276" s="2006"/>
      <c r="LL1276" s="2007"/>
      <c r="LM1276" s="2007"/>
      <c r="MX1276" s="2007"/>
      <c r="ND1276" s="2007"/>
    </row>
    <row r="1277">
      <c r="A1277" s="2005">
        <f>IFERROR(__xludf.DUMMYFUNCTION("""COMPUTED_VALUE"""),1106275.0)</f>
        <v>1106275</v>
      </c>
      <c r="B1277" s="2005">
        <f>IFERROR(__xludf.DUMMYFUNCTION("""COMPUTED_VALUE"""),2502040.0)</f>
        <v>2502040</v>
      </c>
      <c r="C1277" s="2005" t="str">
        <f>IFERROR(__xludf.DUMMYFUNCTION("""COMPUTED_VALUE"""),"Souris")</f>
        <v>Souris</v>
      </c>
      <c r="D1277" s="2005" t="str">
        <f>IFERROR(__xludf.DUMMYFUNCTION("""COMPUTED_VALUE"""),"Précision Edition Surface")</f>
        <v>Précision Edition Surface</v>
      </c>
      <c r="E1277" s="2005" t="str">
        <f>IFERROR(__xludf.DUMMYFUNCTION("""COMPUTED_VALUE"""),"MICROSOFT")</f>
        <v>MICROSOFT</v>
      </c>
      <c r="F1277" s="2005" t="str">
        <f>IFERROR(__xludf.DUMMYFUNCTION("""COMPUTED_VALUE"""),"C")</f>
        <v>C</v>
      </c>
      <c r="G1277" s="2005" t="str">
        <f>IFERROR(__xludf.DUMMYFUNCTION("""COMPUTED_VALUE"""),"NN")</f>
        <v>NN</v>
      </c>
      <c r="H1277">
        <f>IFERROR(__xludf.DUMMYFUNCTION("""COMPUTED_VALUE"""),71.99)</f>
        <v>71.99</v>
      </c>
      <c r="I1277">
        <f>IFERROR(__xludf.DUMMYFUNCTION("""COMPUTED_VALUE"""),71.99)</f>
        <v>71.99</v>
      </c>
      <c r="BD1277" s="2006"/>
      <c r="LL1277" s="2007"/>
      <c r="LM1277" s="2007"/>
      <c r="MX1277" s="2007"/>
      <c r="ND1277" s="2007"/>
    </row>
    <row r="1278">
      <c r="A1278" s="2005">
        <f>IFERROR(__xludf.DUMMYFUNCTION("""COMPUTED_VALUE"""),1106551.0)</f>
        <v>1106551</v>
      </c>
      <c r="B1278" s="2005">
        <f>IFERROR(__xludf.DUMMYFUNCTION("""COMPUTED_VALUE"""),2502015.0)</f>
        <v>2502015</v>
      </c>
      <c r="C1278" s="2005" t="str">
        <f>IFERROR(__xludf.DUMMYFUNCTION("""COMPUTED_VALUE"""),"Clavier+Souris")</f>
        <v>Clavier+Souris</v>
      </c>
      <c r="D1278" s="2005" t="str">
        <f>IFERROR(__xludf.DUMMYFUNCTION("""COMPUTED_VALUE"""),"MK540 Advanced")</f>
        <v>MK540 Advanced</v>
      </c>
      <c r="E1278" s="2005" t="str">
        <f>IFERROR(__xludf.DUMMYFUNCTION("""COMPUTED_VALUE"""),"LOGITECH")</f>
        <v>LOGITECH</v>
      </c>
      <c r="F1278" s="2005" t="str">
        <f>IFERROR(__xludf.DUMMYFUNCTION("""COMPUTED_VALUE"""),"A")</f>
        <v>A</v>
      </c>
      <c r="G1278" s="2005" t="str">
        <f>IFERROR(__xludf.DUMMYFUNCTION("""COMPUTED_VALUE"""),"AC")</f>
        <v>AC</v>
      </c>
      <c r="H1278">
        <f>IFERROR(__xludf.DUMMYFUNCTION("""COMPUTED_VALUE"""),74.99)</f>
        <v>74.99</v>
      </c>
      <c r="I1278">
        <f>IFERROR(__xludf.DUMMYFUNCTION("""COMPUTED_VALUE"""),59.99)</f>
        <v>59.99</v>
      </c>
      <c r="BD1278" s="2006"/>
      <c r="LL1278" s="2007"/>
      <c r="LM1278" s="2007"/>
      <c r="MX1278" s="2007"/>
      <c r="ND1278" s="2007"/>
    </row>
    <row r="1279">
      <c r="A1279" s="2005">
        <f>IFERROR(__xludf.DUMMYFUNCTION("""COMPUTED_VALUE"""),1106672.0)</f>
        <v>1106672</v>
      </c>
      <c r="B1279" s="2005">
        <f>IFERROR(__xludf.DUMMYFUNCTION("""COMPUTED_VALUE"""),2503010.0)</f>
        <v>2503010</v>
      </c>
      <c r="C1279" s="2005" t="str">
        <f>IFERROR(__xludf.DUMMYFUNCTION("""COMPUTED_VALUE"""),"Casque micro")</f>
        <v>Casque micro</v>
      </c>
      <c r="D1279" s="2005" t="str">
        <f>IFERROR(__xludf.DUMMYFUNCTION("""COMPUTED_VALUE"""),"Evolve 20")</f>
        <v>Evolve 20</v>
      </c>
      <c r="E1279" s="2005" t="str">
        <f>IFERROR(__xludf.DUMMYFUNCTION("""COMPUTED_VALUE"""),"JABRA")</f>
        <v>JABRA</v>
      </c>
      <c r="F1279" s="2005" t="str">
        <f>IFERROR(__xludf.DUMMYFUNCTION("""COMPUTED_VALUE"""),"A")</f>
        <v>A</v>
      </c>
      <c r="G1279" s="2005" t="str">
        <f>IFERROR(__xludf.DUMMYFUNCTION("""COMPUTED_VALUE"""),"AC")</f>
        <v>AC</v>
      </c>
      <c r="H1279" s="2005">
        <f>IFERROR(__xludf.DUMMYFUNCTION("""COMPUTED_VALUE"""),59.99)</f>
        <v>59.99</v>
      </c>
      <c r="I1279" s="2005">
        <f>IFERROR(__xludf.DUMMYFUNCTION("""COMPUTED_VALUE"""),59.99)</f>
        <v>59.99</v>
      </c>
      <c r="BD1279" s="2006"/>
      <c r="LL1279" s="2007"/>
      <c r="LM1279" s="2007"/>
      <c r="MX1279" s="2007"/>
      <c r="ND1279" s="2007"/>
    </row>
    <row r="1280">
      <c r="A1280" s="2005">
        <f>IFERROR(__xludf.DUMMYFUNCTION("""COMPUTED_VALUE"""),1106673.0)</f>
        <v>1106673</v>
      </c>
      <c r="B1280" s="2005">
        <f>IFERROR(__xludf.DUMMYFUNCTION("""COMPUTED_VALUE"""),2503010.0)</f>
        <v>2503010</v>
      </c>
      <c r="C1280" s="2005" t="str">
        <f>IFERROR(__xludf.DUMMYFUNCTION("""COMPUTED_VALUE"""),"Casque micro")</f>
        <v>Casque micro</v>
      </c>
      <c r="D1280" s="2005" t="str">
        <f>IFERROR(__xludf.DUMMYFUNCTION("""COMPUTED_VALUE"""),"Evolve 40")</f>
        <v>Evolve 40</v>
      </c>
      <c r="E1280" s="2005" t="str">
        <f>IFERROR(__xludf.DUMMYFUNCTION("""COMPUTED_VALUE"""),"JABRA")</f>
        <v>JABRA</v>
      </c>
      <c r="F1280" s="2005" t="str">
        <f>IFERROR(__xludf.DUMMYFUNCTION("""COMPUTED_VALUE"""),"W")</f>
        <v>W</v>
      </c>
      <c r="G1280" s="2005" t="str">
        <f>IFERROR(__xludf.DUMMYFUNCTION("""COMPUTED_VALUE"""),"NN")</f>
        <v>NN</v>
      </c>
      <c r="H1280" s="2005">
        <f>IFERROR(__xludf.DUMMYFUNCTION("""COMPUTED_VALUE"""),109.99)</f>
        <v>109.99</v>
      </c>
      <c r="I1280" s="2005">
        <f>IFERROR(__xludf.DUMMYFUNCTION("""COMPUTED_VALUE"""),109.99)</f>
        <v>109.99</v>
      </c>
      <c r="BD1280" s="2006"/>
      <c r="LL1280" s="2007"/>
      <c r="LM1280" s="2007"/>
      <c r="MX1280" s="2008"/>
      <c r="ND1280" s="2007"/>
    </row>
    <row r="1281">
      <c r="A1281" s="2005">
        <f>IFERROR(__xludf.DUMMYFUNCTION("""COMPUTED_VALUE"""),1106676.0)</f>
        <v>1106676</v>
      </c>
      <c r="B1281" s="2005">
        <f>IFERROR(__xludf.DUMMYFUNCTION("""COMPUTED_VALUE"""),2503010.0)</f>
        <v>2503010</v>
      </c>
      <c r="C1281" s="2005" t="str">
        <f>IFERROR(__xludf.DUMMYFUNCTION("""COMPUTED_VALUE"""),"Casque micro")</f>
        <v>Casque micro</v>
      </c>
      <c r="D1281" s="2005" t="str">
        <f>IFERROR(__xludf.DUMMYFUNCTION("""COMPUTED_VALUE"""),"Evolve 65 sans fil")</f>
        <v>Evolve 65 sans fil</v>
      </c>
      <c r="E1281" s="2005" t="str">
        <f>IFERROR(__xludf.DUMMYFUNCTION("""COMPUTED_VALUE"""),"JABRA")</f>
        <v>JABRA</v>
      </c>
      <c r="F1281" s="2005" t="str">
        <f>IFERROR(__xludf.DUMMYFUNCTION("""COMPUTED_VALUE"""),"W")</f>
        <v>W</v>
      </c>
      <c r="G1281" s="2005" t="str">
        <f>IFERROR(__xludf.DUMMYFUNCTION("""COMPUTED_VALUE"""),"NN")</f>
        <v>NN</v>
      </c>
      <c r="H1281" s="2005">
        <f>IFERROR(__xludf.DUMMYFUNCTION("""COMPUTED_VALUE"""),174.99)</f>
        <v>174.99</v>
      </c>
      <c r="I1281" s="2005">
        <f>IFERROR(__xludf.DUMMYFUNCTION("""COMPUTED_VALUE"""),174.99)</f>
        <v>174.99</v>
      </c>
      <c r="BD1281" s="2006"/>
      <c r="LL1281" s="2007"/>
      <c r="LM1281" s="2007"/>
      <c r="MX1281" s="2007"/>
      <c r="ND1281" s="2007"/>
    </row>
    <row r="1282">
      <c r="A1282" s="2005">
        <f>IFERROR(__xludf.DUMMYFUNCTION("""COMPUTED_VALUE"""),1106677.0)</f>
        <v>1106677</v>
      </c>
      <c r="B1282" s="2005">
        <f>IFERROR(__xludf.DUMMYFUNCTION("""COMPUTED_VALUE"""),2503010.0)</f>
        <v>2503010</v>
      </c>
      <c r="C1282" s="2005" t="str">
        <f>IFERROR(__xludf.DUMMYFUNCTION("""COMPUTED_VALUE"""),"Casque micro")</f>
        <v>Casque micro</v>
      </c>
      <c r="D1282" s="2005" t="str">
        <f>IFERROR(__xludf.DUMMYFUNCTION("""COMPUTED_VALUE"""),"Evolve 75 Sans fil")</f>
        <v>Evolve 75 Sans fil</v>
      </c>
      <c r="E1282" s="2005" t="str">
        <f>IFERROR(__xludf.DUMMYFUNCTION("""COMPUTED_VALUE"""),"JABRA")</f>
        <v>JABRA</v>
      </c>
      <c r="F1282" s="2005" t="str">
        <f>IFERROR(__xludf.DUMMYFUNCTION("""COMPUTED_VALUE"""),"W")</f>
        <v>W</v>
      </c>
      <c r="G1282" s="2005" t="str">
        <f>IFERROR(__xludf.DUMMYFUNCTION("""COMPUTED_VALUE"""),"NN")</f>
        <v>NN</v>
      </c>
      <c r="H1282" s="2005">
        <f>IFERROR(__xludf.DUMMYFUNCTION("""COMPUTED_VALUE"""),278.99)</f>
        <v>278.99</v>
      </c>
      <c r="I1282" s="2005">
        <f>IFERROR(__xludf.DUMMYFUNCTION("""COMPUTED_VALUE"""),278.99)</f>
        <v>278.99</v>
      </c>
      <c r="BD1282" s="2006"/>
      <c r="LL1282" s="2007"/>
      <c r="LM1282" s="2007"/>
      <c r="MX1282" s="2007"/>
      <c r="ND1282" s="2007"/>
    </row>
    <row r="1283">
      <c r="A1283" s="2005">
        <f>IFERROR(__xludf.DUMMYFUNCTION("""COMPUTED_VALUE"""),1106678.0)</f>
        <v>1106678</v>
      </c>
      <c r="B1283" s="2005">
        <f>IFERROR(__xludf.DUMMYFUNCTION("""COMPUTED_VALUE"""),2503010.0)</f>
        <v>2503010</v>
      </c>
      <c r="C1283" s="2005" t="str">
        <f>IFERROR(__xludf.DUMMYFUNCTION("""COMPUTED_VALUE"""),"Haut Parleur")</f>
        <v>Haut Parleur</v>
      </c>
      <c r="D1283" s="2005" t="str">
        <f>IFERROR(__xludf.DUMMYFUNCTION("""COMPUTED_VALUE"""),"Speak 510")</f>
        <v>Speak 510</v>
      </c>
      <c r="E1283" s="2005" t="str">
        <f>IFERROR(__xludf.DUMMYFUNCTION("""COMPUTED_VALUE"""),"JABRA")</f>
        <v>JABRA</v>
      </c>
      <c r="F1283" s="2005" t="str">
        <f>IFERROR(__xludf.DUMMYFUNCTION("""COMPUTED_VALUE"""),"W")</f>
        <v>W</v>
      </c>
      <c r="G1283" s="2005" t="str">
        <f>IFERROR(__xludf.DUMMYFUNCTION("""COMPUTED_VALUE"""),"NN")</f>
        <v>NN</v>
      </c>
      <c r="H1283" s="2005">
        <f>IFERROR(__xludf.DUMMYFUNCTION("""COMPUTED_VALUE"""),139.99)</f>
        <v>139.99</v>
      </c>
      <c r="I1283" s="2005">
        <f>IFERROR(__xludf.DUMMYFUNCTION("""COMPUTED_VALUE"""),139.99)</f>
        <v>139.99</v>
      </c>
      <c r="BD1283" s="2006"/>
      <c r="LL1283" s="2007"/>
      <c r="LM1283" s="2007"/>
      <c r="MX1283" s="2007"/>
      <c r="ND1283" s="2007"/>
    </row>
    <row r="1284">
      <c r="A1284" s="2005">
        <f>IFERROR(__xludf.DUMMYFUNCTION("""COMPUTED_VALUE"""),1106679.0)</f>
        <v>1106679</v>
      </c>
      <c r="B1284" s="2005">
        <f>IFERROR(__xludf.DUMMYFUNCTION("""COMPUTED_VALUE"""),2503010.0)</f>
        <v>2503010</v>
      </c>
      <c r="C1284" s="2005" t="str">
        <f>IFERROR(__xludf.DUMMYFUNCTION("""COMPUTED_VALUE"""),"Haut Parleur")</f>
        <v>Haut Parleur</v>
      </c>
      <c r="D1284" s="2005" t="str">
        <f>IFERROR(__xludf.DUMMYFUNCTION("""COMPUTED_VALUE"""),"Speak 710")</f>
        <v>Speak 710</v>
      </c>
      <c r="E1284" s="2005" t="str">
        <f>IFERROR(__xludf.DUMMYFUNCTION("""COMPUTED_VALUE"""),"JABRA")</f>
        <v>JABRA</v>
      </c>
      <c r="F1284" s="2005" t="str">
        <f>IFERROR(__xludf.DUMMYFUNCTION("""COMPUTED_VALUE"""),"W")</f>
        <v>W</v>
      </c>
      <c r="G1284" s="2005" t="str">
        <f>IFERROR(__xludf.DUMMYFUNCTION("""COMPUTED_VALUE"""),"AC")</f>
        <v>AC</v>
      </c>
      <c r="H1284">
        <f>IFERROR(__xludf.DUMMYFUNCTION("""COMPUTED_VALUE"""),329.99)</f>
        <v>329.99</v>
      </c>
      <c r="I1284">
        <f>IFERROR(__xludf.DUMMYFUNCTION("""COMPUTED_VALUE"""),249.0)</f>
        <v>249</v>
      </c>
      <c r="BD1284" s="2006"/>
      <c r="LL1284" s="2007"/>
      <c r="LM1284" s="2007"/>
      <c r="MX1284" s="2007"/>
      <c r="ND1284" s="2007"/>
    </row>
    <row r="1285">
      <c r="A1285" s="2005">
        <f>IFERROR(__xludf.DUMMYFUNCTION("""COMPUTED_VALUE"""),1107251.0)</f>
        <v>1107251</v>
      </c>
      <c r="B1285" s="2005">
        <f>IFERROR(__xludf.DUMMYFUNCTION("""COMPUTED_VALUE"""),2502015.0)</f>
        <v>2502015</v>
      </c>
      <c r="C1285" s="2005" t="str">
        <f>IFERROR(__xludf.DUMMYFUNCTION("""COMPUTED_VALUE"""),"Clavier")</f>
        <v>Clavier</v>
      </c>
      <c r="D1285" s="2005" t="str">
        <f>IFERROR(__xludf.DUMMYFUNCTION("""COMPUTED_VALUE"""),"Magic Keyboard avec pavé num Gris Sid")</f>
        <v>Magic Keyboard avec pavé num Gris Sid</v>
      </c>
      <c r="E1285" s="2005" t="str">
        <f>IFERROR(__xludf.DUMMYFUNCTION("""COMPUTED_VALUE"""),"APPLE")</f>
        <v>APPLE</v>
      </c>
      <c r="F1285" s="2005" t="str">
        <f>IFERROR(__xludf.DUMMYFUNCTION("""COMPUTED_VALUE"""),"H")</f>
        <v>H</v>
      </c>
      <c r="G1285" s="2005" t="str">
        <f>IFERROR(__xludf.DUMMYFUNCTION("""COMPUTED_VALUE"""),"NN")</f>
        <v>NN</v>
      </c>
      <c r="H1285">
        <f>IFERROR(__xludf.DUMMYFUNCTION("""COMPUTED_VALUE"""),114.99)</f>
        <v>114.99</v>
      </c>
      <c r="I1285">
        <f>IFERROR(__xludf.DUMMYFUNCTION("""COMPUTED_VALUE"""),114.99)</f>
        <v>114.99</v>
      </c>
      <c r="BD1285" s="2006"/>
      <c r="LL1285" s="2007"/>
      <c r="LM1285" s="2007"/>
      <c r="MX1285" s="2007"/>
      <c r="ND1285" s="2007"/>
    </row>
    <row r="1286">
      <c r="A1286" s="2005">
        <f>IFERROR(__xludf.DUMMYFUNCTION("""COMPUTED_VALUE"""),1107287.0)</f>
        <v>1107287</v>
      </c>
      <c r="B1286" s="2005">
        <f>IFERROR(__xludf.DUMMYFUNCTION("""COMPUTED_VALUE"""),2502024.0)</f>
        <v>2502024</v>
      </c>
      <c r="D1286" s="2005" t="str">
        <f>IFERROR(__xludf.DUMMYFUNCTION("""COMPUTED_VALUE"""),"Stylet 2 en 1 tablette")</f>
        <v>Stylet 2 en 1 tablette</v>
      </c>
      <c r="E1286" s="2005" t="str">
        <f>IFERROR(__xludf.DUMMYFUNCTION("""COMPUTED_VALUE"""),"HAMA")</f>
        <v>HAMA</v>
      </c>
      <c r="F1286" s="2005" t="str">
        <f>IFERROR(__xludf.DUMMYFUNCTION("""COMPUTED_VALUE"""),"A")</f>
        <v>A</v>
      </c>
      <c r="G1286" s="2005" t="str">
        <f>IFERROR(__xludf.DUMMYFUNCTION("""COMPUTED_VALUE"""),"NN")</f>
        <v>NN</v>
      </c>
      <c r="H1286" s="2005">
        <f>IFERROR(__xludf.DUMMYFUNCTION("""COMPUTED_VALUE"""),2.99)</f>
        <v>2.99</v>
      </c>
      <c r="I1286" s="2005">
        <f>IFERROR(__xludf.DUMMYFUNCTION("""COMPUTED_VALUE"""),2.99)</f>
        <v>2.99</v>
      </c>
      <c r="BD1286" s="2006"/>
      <c r="LL1286" s="2007"/>
      <c r="LM1286" s="2007"/>
      <c r="MX1286" s="2007"/>
      <c r="ND1286" s="2007"/>
    </row>
    <row r="1287">
      <c r="A1287" s="2005">
        <f>IFERROR(__xludf.DUMMYFUNCTION("""COMPUTED_VALUE"""),1107289.0)</f>
        <v>1107289</v>
      </c>
      <c r="B1287" s="2005">
        <f>IFERROR(__xludf.DUMMYFUNCTION("""COMPUTED_VALUE"""),2502012.0)</f>
        <v>2502012</v>
      </c>
      <c r="C1287" s="2005" t="str">
        <f>IFERROR(__xludf.DUMMYFUNCTION("""COMPUTED_VALUE"""),"Tablette Graph")</f>
        <v>Tablette Graph</v>
      </c>
      <c r="D1287" s="2005" t="str">
        <f>IFERROR(__xludf.DUMMYFUNCTION("""COMPUTED_VALUE"""),"Cintiq Pro 24")</f>
        <v>Cintiq Pro 24</v>
      </c>
      <c r="E1287" s="2005" t="str">
        <f>IFERROR(__xludf.DUMMYFUNCTION("""COMPUTED_VALUE"""),"WACOM")</f>
        <v>WACOM</v>
      </c>
      <c r="F1287" s="2005" t="str">
        <f>IFERROR(__xludf.DUMMYFUNCTION("""COMPUTED_VALUE"""),"W")</f>
        <v>W</v>
      </c>
      <c r="G1287" s="2005" t="str">
        <f>IFERROR(__xludf.DUMMYFUNCTION("""COMPUTED_VALUE"""),"AC")</f>
        <v>AC</v>
      </c>
      <c r="H1287" s="2005">
        <f>IFERROR(__xludf.DUMMYFUNCTION("""COMPUTED_VALUE"""),2399.99)</f>
        <v>2399.99</v>
      </c>
      <c r="I1287" s="2005">
        <f>IFERROR(__xludf.DUMMYFUNCTION("""COMPUTED_VALUE"""),1974.18)</f>
        <v>1974.18</v>
      </c>
      <c r="BD1287" s="2006"/>
      <c r="LL1287" s="2007"/>
      <c r="LM1287" s="2007"/>
      <c r="MX1287" s="2007"/>
      <c r="ND1287" s="2007"/>
    </row>
    <row r="1288">
      <c r="A1288" s="2005">
        <f>IFERROR(__xludf.DUMMYFUNCTION("""COMPUTED_VALUE"""),1107301.0)</f>
        <v>1107301</v>
      </c>
      <c r="B1288" s="2005">
        <f>IFERROR(__xludf.DUMMYFUNCTION("""COMPUTED_VALUE"""),2202005.0)</f>
        <v>2202005</v>
      </c>
      <c r="C1288" s="2005" t="str">
        <f>IFERROR(__xludf.DUMMYFUNCTION("""COMPUTED_VALUE"""),"Multi Jet d'enc")</f>
        <v>Multi Jet d'enc</v>
      </c>
      <c r="D1288" s="2005" t="str">
        <f>IFERROR(__xludf.DUMMYFUNCTION("""COMPUTED_VALUE"""),"TS 5151 Blanc")</f>
        <v>TS 5151 Blanc</v>
      </c>
      <c r="E1288" s="2005" t="str">
        <f>IFERROR(__xludf.DUMMYFUNCTION("""COMPUTED_VALUE"""),"CANON")</f>
        <v>CANON</v>
      </c>
      <c r="F1288" s="2005" t="str">
        <f>IFERROR(__xludf.DUMMYFUNCTION("""COMPUTED_VALUE"""),"C")</f>
        <v>C</v>
      </c>
      <c r="G1288" s="2005" t="str">
        <f>IFERROR(__xludf.DUMMYFUNCTION("""COMPUTED_VALUE"""),"AC")</f>
        <v>AC</v>
      </c>
      <c r="H1288">
        <f>IFERROR(__xludf.DUMMYFUNCTION("""COMPUTED_VALUE"""),79.99)</f>
        <v>79.99</v>
      </c>
      <c r="I1288">
        <f>IFERROR(__xludf.DUMMYFUNCTION("""COMPUTED_VALUE"""),59.99)</f>
        <v>59.99</v>
      </c>
      <c r="BD1288" s="2006"/>
      <c r="LL1288" s="2007"/>
      <c r="LM1288" s="2007"/>
      <c r="MX1288" s="2007"/>
      <c r="ND1288" s="2007"/>
    </row>
    <row r="1289">
      <c r="A1289" s="2005">
        <f>IFERROR(__xludf.DUMMYFUNCTION("""COMPUTED_VALUE"""),1107303.0)</f>
        <v>1107303</v>
      </c>
      <c r="B1289" s="2005">
        <f>IFERROR(__xludf.DUMMYFUNCTION("""COMPUTED_VALUE"""),2209805.0)</f>
        <v>2209805</v>
      </c>
      <c r="C1289" s="2005" t="str">
        <f>IFERROR(__xludf.DUMMYFUNCTION("""COMPUTED_VALUE"""),"Lot")</f>
        <v>Lot</v>
      </c>
      <c r="D1289" s="2005" t="str">
        <f>IFERROR(__xludf.DUMMYFUNCTION("""COMPUTED_VALUE"""),"TS 5151 + cartouche PG540 Noire")</f>
        <v>TS 5151 + cartouche PG540 Noire</v>
      </c>
      <c r="E1289" s="2005" t="str">
        <f>IFERROR(__xludf.DUMMYFUNCTION("""COMPUTED_VALUE"""),"CANON")</f>
        <v>CANON</v>
      </c>
      <c r="F1289" s="2005" t="str">
        <f>IFERROR(__xludf.DUMMYFUNCTION("""COMPUTED_VALUE"""),"H")</f>
        <v>H</v>
      </c>
      <c r="G1289" s="2005" t="str">
        <f>IFERROR(__xludf.DUMMYFUNCTION("""COMPUTED_VALUE"""),"AC")</f>
        <v>AC</v>
      </c>
      <c r="H1289" s="2005">
        <f>IFERROR(__xludf.DUMMYFUNCTION("""COMPUTED_VALUE"""),102.47)</f>
        <v>102.47</v>
      </c>
      <c r="I1289" s="2005">
        <f>IFERROR(__xludf.DUMMYFUNCTION("""COMPUTED_VALUE"""),82.47)</f>
        <v>82.47</v>
      </c>
      <c r="BD1289" s="2006"/>
      <c r="LL1289" s="2008"/>
      <c r="LM1289" s="2007"/>
      <c r="MX1289" s="2007"/>
      <c r="ND1289" s="2007"/>
    </row>
    <row r="1290">
      <c r="A1290" s="2005">
        <f>IFERROR(__xludf.DUMMYFUNCTION("""COMPUTED_VALUE"""),1107305.0)</f>
        <v>1107305</v>
      </c>
      <c r="B1290" s="2005">
        <f>IFERROR(__xludf.DUMMYFUNCTION("""COMPUTED_VALUE"""),2209805.0)</f>
        <v>2209805</v>
      </c>
      <c r="C1290" s="2005" t="str">
        <f>IFERROR(__xludf.DUMMYFUNCTION("""COMPUTED_VALUE"""),"Lot")</f>
        <v>Lot</v>
      </c>
      <c r="D1290" s="2005" t="str">
        <f>IFERROR(__xludf.DUMMYFUNCTION("""COMPUTED_VALUE"""),"TS 5151+Pack CLI541")</f>
        <v>TS 5151+Pack CLI541</v>
      </c>
      <c r="E1290" s="2005" t="str">
        <f>IFERROR(__xludf.DUMMYFUNCTION("""COMPUTED_VALUE"""),"CANON")</f>
        <v>CANON</v>
      </c>
      <c r="F1290" s="2005" t="str">
        <f>IFERROR(__xludf.DUMMYFUNCTION("""COMPUTED_VALUE"""),"H")</f>
        <v>H</v>
      </c>
      <c r="G1290" s="2005" t="str">
        <f>IFERROR(__xludf.DUMMYFUNCTION("""COMPUTED_VALUE"""),"AC")</f>
        <v>AC</v>
      </c>
      <c r="H1290" s="2005">
        <f>IFERROR(__xludf.DUMMYFUNCTION("""COMPUTED_VALUE"""),107.48)</f>
        <v>107.48</v>
      </c>
      <c r="I1290" s="2005">
        <f>IFERROR(__xludf.DUMMYFUNCTION("""COMPUTED_VALUE"""),87.48)</f>
        <v>87.48</v>
      </c>
      <c r="BD1290" s="2006"/>
      <c r="LL1290" s="2008"/>
      <c r="LM1290" s="2007"/>
      <c r="MX1290" s="2007"/>
      <c r="ND1290" s="2007"/>
    </row>
    <row r="1291">
      <c r="A1291" s="2005">
        <f>IFERROR(__xludf.DUMMYFUNCTION("""COMPUTED_VALUE"""),1107322.0)</f>
        <v>1107322</v>
      </c>
      <c r="B1291" s="2005">
        <f>IFERROR(__xludf.DUMMYFUNCTION("""COMPUTED_VALUE"""),2402005.0)</f>
        <v>2402005</v>
      </c>
      <c r="C1291" s="2005" t="str">
        <f>IFERROR(__xludf.DUMMYFUNCTION("""COMPUTED_VALUE"""),"ILV")</f>
        <v>ILV</v>
      </c>
      <c r="D1291" s="2005" t="str">
        <f>IFERROR(__xludf.DUMMYFUNCTION("""COMPUTED_VALUE"""),"ILV Display IRIS")</f>
        <v>ILV Display IRIS</v>
      </c>
      <c r="E1291" s="2005" t="str">
        <f>IFERROR(__xludf.DUMMYFUNCTION("""COMPUTED_VALUE"""),"IRIS")</f>
        <v>IRIS</v>
      </c>
      <c r="F1291" s="2005" t="str">
        <f>IFERROR(__xludf.DUMMYFUNCTION("""COMPUTED_VALUE"""),"H")</f>
        <v>H</v>
      </c>
      <c r="G1291" s="2005" t="str">
        <f>IFERROR(__xludf.DUMMYFUNCTION("""COMPUTED_VALUE"""),"NN")</f>
        <v>NN</v>
      </c>
      <c r="H1291" s="2005">
        <f>IFERROR(__xludf.DUMMYFUNCTION("""COMPUTED_VALUE"""),0.0)</f>
        <v>0</v>
      </c>
      <c r="I1291" s="2005">
        <f>IFERROR(__xludf.DUMMYFUNCTION("""COMPUTED_VALUE"""),0.0)</f>
        <v>0</v>
      </c>
      <c r="BD1291" s="2006"/>
      <c r="LL1291" s="2007"/>
      <c r="LM1291" s="2007"/>
      <c r="MX1291" s="2007"/>
      <c r="ND1291" s="2007"/>
    </row>
    <row r="1292">
      <c r="A1292" s="2005">
        <f>IFERROR(__xludf.DUMMYFUNCTION("""COMPUTED_VALUE"""),1107434.0)</f>
        <v>1107434</v>
      </c>
      <c r="B1292" s="2005">
        <f>IFERROR(__xludf.DUMMYFUNCTION("""COMPUTED_VALUE"""),2502515.0)</f>
        <v>2502515</v>
      </c>
      <c r="C1292" s="2005" t="str">
        <f>IFERROR(__xludf.DUMMYFUNCTION("""COMPUTED_VALUE"""),"Câble")</f>
        <v>Câble</v>
      </c>
      <c r="D1292" s="2005" t="str">
        <f>IFERROR(__xludf.DUMMYFUNCTION("""COMPUTED_VALUE"""),"Cable sécurité à clef noir")</f>
        <v>Cable sécurité à clef noir</v>
      </c>
      <c r="E1292" s="2005" t="str">
        <f>IFERROR(__xludf.DUMMYFUNCTION("""COMPUTED_VALUE"""),"PORT")</f>
        <v>PORT</v>
      </c>
      <c r="F1292" s="2005" t="str">
        <f>IFERROR(__xludf.DUMMYFUNCTION("""COMPUTED_VALUE"""),"C")</f>
        <v>C</v>
      </c>
      <c r="G1292" s="2005" t="str">
        <f>IFERROR(__xludf.DUMMYFUNCTION("""COMPUTED_VALUE"""),"NN")</f>
        <v>NN</v>
      </c>
      <c r="H1292" s="2005">
        <f>IFERROR(__xludf.DUMMYFUNCTION("""COMPUTED_VALUE"""),19.99)</f>
        <v>19.99</v>
      </c>
      <c r="I1292" s="2005">
        <f>IFERROR(__xludf.DUMMYFUNCTION("""COMPUTED_VALUE"""),19.99)</f>
        <v>19.99</v>
      </c>
      <c r="BD1292" s="2006"/>
      <c r="LL1292" s="2007"/>
      <c r="LM1292" s="2007"/>
      <c r="MX1292" s="2007"/>
      <c r="ND1292" s="2007"/>
    </row>
    <row r="1293">
      <c r="A1293" s="2005">
        <f>IFERROR(__xludf.DUMMYFUNCTION("""COMPUTED_VALUE"""),1107437.0)</f>
        <v>1107437</v>
      </c>
      <c r="B1293" s="2005">
        <f>IFERROR(__xludf.DUMMYFUNCTION("""COMPUTED_VALUE"""),2502520.0)</f>
        <v>2502520</v>
      </c>
      <c r="C1293" s="2005" t="str">
        <f>IFERROR(__xludf.DUMMYFUNCTION("""COMPUTED_VALUE"""),"Syst. sécurité")</f>
        <v>Syst. sécurité</v>
      </c>
      <c r="D1293" s="2005" t="str">
        <f>IFERROR(__xludf.DUMMYFUNCTION("""COMPUTED_VALUE"""),"Security Slot Anchor Kit")</f>
        <v>Security Slot Anchor Kit</v>
      </c>
      <c r="E1293" s="2005" t="str">
        <f>IFERROR(__xludf.DUMMYFUNCTION("""COMPUTED_VALUE"""),"TYLT")</f>
        <v>TYLT</v>
      </c>
      <c r="F1293" s="2005" t="str">
        <f>IFERROR(__xludf.DUMMYFUNCTION("""COMPUTED_VALUE"""),"W")</f>
        <v>W</v>
      </c>
      <c r="G1293" s="2005" t="str">
        <f>IFERROR(__xludf.DUMMYFUNCTION("""COMPUTED_VALUE"""),"FR")</f>
        <v>FR</v>
      </c>
      <c r="H1293" s="2005">
        <f>IFERROR(__xludf.DUMMYFUNCTION("""COMPUTED_VALUE"""),9.99)</f>
        <v>9.99</v>
      </c>
      <c r="I1293" s="2005">
        <f>IFERROR(__xludf.DUMMYFUNCTION("""COMPUTED_VALUE"""),9.99)</f>
        <v>9.99</v>
      </c>
      <c r="BD1293" s="2006"/>
      <c r="LL1293" s="2008"/>
      <c r="LM1293" s="2007"/>
      <c r="MX1293" s="2008"/>
      <c r="ND1293" s="2007"/>
    </row>
    <row r="1294">
      <c r="A1294" s="2005">
        <f>IFERROR(__xludf.DUMMYFUNCTION("""COMPUTED_VALUE"""),1107503.0)</f>
        <v>1107503</v>
      </c>
      <c r="B1294" s="2005">
        <f>IFERROR(__xludf.DUMMYFUNCTION("""COMPUTED_VALUE"""),2502040.0)</f>
        <v>2502040</v>
      </c>
      <c r="C1294" s="2005" t="str">
        <f>IFERROR(__xludf.DUMMYFUNCTION("""COMPUTED_VALUE"""),"Stylet")</f>
        <v>Stylet</v>
      </c>
      <c r="D1294" s="2005" t="str">
        <f>IFERROR(__xludf.DUMMYFUNCTION("""COMPUTED_VALUE"""),"DEMO Stylet Surface Silver")</f>
        <v>DEMO Stylet Surface Silver</v>
      </c>
      <c r="E1294" s="2005" t="str">
        <f>IFERROR(__xludf.DUMMYFUNCTION("""COMPUTED_VALUE"""),"MICROSOFT")</f>
        <v>MICROSOFT</v>
      </c>
      <c r="F1294" s="2005" t="str">
        <f>IFERROR(__xludf.DUMMYFUNCTION("""COMPUTED_VALUE"""),"H")</f>
        <v>H</v>
      </c>
      <c r="G1294" s="2005" t="str">
        <f>IFERROR(__xludf.DUMMYFUNCTION("""COMPUTED_VALUE"""),"NN")</f>
        <v>NN</v>
      </c>
      <c r="H1294" s="2005">
        <f>IFERROR(__xludf.DUMMYFUNCTION("""COMPUTED_VALUE"""),999.0)</f>
        <v>999</v>
      </c>
      <c r="I1294" s="2005">
        <f>IFERROR(__xludf.DUMMYFUNCTION("""COMPUTED_VALUE"""),999.0)</f>
        <v>999</v>
      </c>
      <c r="BD1294" s="2006"/>
      <c r="LL1294" s="2007"/>
      <c r="LM1294" s="2007"/>
      <c r="MX1294" s="2007"/>
      <c r="ND1294" s="2007"/>
    </row>
    <row r="1295">
      <c r="A1295" s="2005">
        <f>IFERROR(__xludf.DUMMYFUNCTION("""COMPUTED_VALUE"""),1107827.0)</f>
        <v>1107827</v>
      </c>
      <c r="B1295" s="2005">
        <f>IFERROR(__xludf.DUMMYFUNCTION("""COMPUTED_VALUE"""),2703025.0)</f>
        <v>2703025</v>
      </c>
      <c r="C1295" s="2005" t="str">
        <f>IFERROR(__xludf.DUMMYFUNCTION("""COMPUTED_VALUE"""),"DESTRUCTEUR")</f>
        <v>DESTRUCTEUR</v>
      </c>
      <c r="D1295" s="2005" t="str">
        <f>IFERROR(__xludf.DUMMYFUNCTION("""COMPUTED_VALUE"""),"99Ci")</f>
        <v>99Ci</v>
      </c>
      <c r="E1295" s="2005" t="str">
        <f>IFERROR(__xludf.DUMMYFUNCTION("""COMPUTED_VALUE"""),"FELLOWES")</f>
        <v>FELLOWES</v>
      </c>
      <c r="F1295" s="2005" t="str">
        <f>IFERROR(__xludf.DUMMYFUNCTION("""COMPUTED_VALUE"""),"E")</f>
        <v>E</v>
      </c>
      <c r="G1295" s="2005" t="str">
        <f>IFERROR(__xludf.DUMMYFUNCTION("""COMPUTED_VALUE"""),"NN")</f>
        <v>NN</v>
      </c>
      <c r="H1295" s="2005">
        <f>IFERROR(__xludf.DUMMYFUNCTION("""COMPUTED_VALUE"""),639.99)</f>
        <v>639.99</v>
      </c>
      <c r="I1295" s="2005">
        <f>IFERROR(__xludf.DUMMYFUNCTION("""COMPUTED_VALUE"""),639.99)</f>
        <v>639.99</v>
      </c>
      <c r="BD1295" s="2006"/>
      <c r="LL1295" s="2007"/>
      <c r="LM1295" s="2007"/>
      <c r="MX1295" s="2007"/>
      <c r="ND1295" s="2007"/>
    </row>
    <row r="1296">
      <c r="A1296" s="2005">
        <f>IFERROR(__xludf.DUMMYFUNCTION("""COMPUTED_VALUE"""),1107829.0)</f>
        <v>1107829</v>
      </c>
      <c r="B1296" s="2005">
        <f>IFERROR(__xludf.DUMMYFUNCTION("""COMPUTED_VALUE"""),2703025.0)</f>
        <v>2703025</v>
      </c>
      <c r="C1296" s="2005" t="str">
        <f>IFERROR(__xludf.DUMMYFUNCTION("""COMPUTED_VALUE"""),"DESTRUCTEUR")</f>
        <v>DESTRUCTEUR</v>
      </c>
      <c r="D1296" s="2005" t="str">
        <f>IFERROR(__xludf.DUMMYFUNCTION("""COMPUTED_VALUE"""),"73Ci")</f>
        <v>73Ci</v>
      </c>
      <c r="E1296" s="2005" t="str">
        <f>IFERROR(__xludf.DUMMYFUNCTION("""COMPUTED_VALUE"""),"FELLOWES")</f>
        <v>FELLOWES</v>
      </c>
      <c r="F1296" s="2005" t="str">
        <f>IFERROR(__xludf.DUMMYFUNCTION("""COMPUTED_VALUE"""),"H")</f>
        <v>H</v>
      </c>
      <c r="G1296" s="2005" t="str">
        <f>IFERROR(__xludf.DUMMYFUNCTION("""COMPUTED_VALUE"""),"NN")</f>
        <v>NN</v>
      </c>
      <c r="H1296" s="2005">
        <f>IFERROR(__xludf.DUMMYFUNCTION("""COMPUTED_VALUE"""),317.99)</f>
        <v>317.99</v>
      </c>
      <c r="I1296" s="2005">
        <f>IFERROR(__xludf.DUMMYFUNCTION("""COMPUTED_VALUE"""),317.99)</f>
        <v>317.99</v>
      </c>
      <c r="BD1296" s="2006"/>
      <c r="LL1296" s="2008"/>
      <c r="LM1296" s="2007"/>
      <c r="MX1296" s="2007"/>
      <c r="ND1296" s="2007"/>
    </row>
    <row r="1297">
      <c r="A1297" s="2005">
        <f>IFERROR(__xludf.DUMMYFUNCTION("""COMPUTED_VALUE"""),1107830.0)</f>
        <v>1107830</v>
      </c>
      <c r="B1297" s="2005">
        <f>IFERROR(__xludf.DUMMYFUNCTION("""COMPUTED_VALUE"""),2703025.0)</f>
        <v>2703025</v>
      </c>
      <c r="C1297" s="2005" t="str">
        <f>IFERROR(__xludf.DUMMYFUNCTION("""COMPUTED_VALUE"""),"DESTRUCTEUR")</f>
        <v>DESTRUCTEUR</v>
      </c>
      <c r="D1297" s="2005" t="str">
        <f>IFERROR(__xludf.DUMMYFUNCTION("""COMPUTED_VALUE"""),"AutoMax 350C")</f>
        <v>AutoMax 350C</v>
      </c>
      <c r="E1297" s="2005" t="str">
        <f>IFERROR(__xludf.DUMMYFUNCTION("""COMPUTED_VALUE"""),"FELLOWES")</f>
        <v>FELLOWES</v>
      </c>
      <c r="F1297" s="2005" t="str">
        <f>IFERROR(__xludf.DUMMYFUNCTION("""COMPUTED_VALUE"""),"W")</f>
        <v>W</v>
      </c>
      <c r="G1297" s="2005" t="str">
        <f>IFERROR(__xludf.DUMMYFUNCTION("""COMPUTED_VALUE"""),"AC")</f>
        <v>AC</v>
      </c>
      <c r="H1297" s="2005">
        <f>IFERROR(__xludf.DUMMYFUNCTION("""COMPUTED_VALUE"""),1099.99)</f>
        <v>1099.99</v>
      </c>
      <c r="I1297" s="2005">
        <f>IFERROR(__xludf.DUMMYFUNCTION("""COMPUTED_VALUE"""),959.94)</f>
        <v>959.94</v>
      </c>
      <c r="BD1297" s="2006"/>
      <c r="LL1297" s="2007"/>
      <c r="LM1297" s="2007"/>
      <c r="MX1297" s="2007"/>
      <c r="ND1297" s="2007"/>
    </row>
    <row r="1298">
      <c r="A1298" s="2005">
        <f>IFERROR(__xludf.DUMMYFUNCTION("""COMPUTED_VALUE"""),1107862.0)</f>
        <v>1107862</v>
      </c>
      <c r="B1298" s="2005">
        <f>IFERROR(__xludf.DUMMYFUNCTION("""COMPUTED_VALUE"""),2703015.0)</f>
        <v>2703015</v>
      </c>
      <c r="C1298" s="2005" t="str">
        <f>IFERROR(__xludf.DUMMYFUNCTION("""COMPUTED_VALUE"""),"Thermorelieuse")</f>
        <v>Thermorelieuse</v>
      </c>
      <c r="D1298" s="2005" t="str">
        <f>IFERROR(__xludf.DUMMYFUNCTION("""COMPUTED_VALUE"""),"Pulsar+300")</f>
        <v>Pulsar+300</v>
      </c>
      <c r="E1298" s="2005" t="str">
        <f>IFERROR(__xludf.DUMMYFUNCTION("""COMPUTED_VALUE"""),"FELLOWES")</f>
        <v>FELLOWES</v>
      </c>
      <c r="F1298" s="2005" t="str">
        <f>IFERROR(__xludf.DUMMYFUNCTION("""COMPUTED_VALUE"""),"H")</f>
        <v>H</v>
      </c>
      <c r="G1298" s="2005" t="str">
        <f>IFERROR(__xludf.DUMMYFUNCTION("""COMPUTED_VALUE"""),"AC")</f>
        <v>AC</v>
      </c>
      <c r="H1298" s="2005">
        <f>IFERROR(__xludf.DUMMYFUNCTION("""COMPUTED_VALUE"""),227.4)</f>
        <v>227.4</v>
      </c>
      <c r="I1298" s="2005">
        <f>IFERROR(__xludf.DUMMYFUNCTION("""COMPUTED_VALUE"""),177.99)</f>
        <v>177.99</v>
      </c>
      <c r="BD1298" s="2006"/>
      <c r="LL1298" s="2007"/>
      <c r="LM1298" s="2007"/>
      <c r="MX1298" s="2007"/>
      <c r="ND1298" s="2007"/>
    </row>
    <row r="1299">
      <c r="A1299" s="2005">
        <f>IFERROR(__xludf.DUMMYFUNCTION("""COMPUTED_VALUE"""),1107863.0)</f>
        <v>1107863</v>
      </c>
      <c r="B1299" s="2005">
        <f>IFERROR(__xludf.DUMMYFUNCTION("""COMPUTED_VALUE"""),2703015.0)</f>
        <v>2703015</v>
      </c>
      <c r="C1299" s="2005" t="str">
        <f>IFERROR(__xludf.DUMMYFUNCTION("""COMPUTED_VALUE"""),"Plastifieuse")</f>
        <v>Plastifieuse</v>
      </c>
      <c r="D1299" s="2005" t="str">
        <f>IFERROR(__xludf.DUMMYFUNCTION("""COMPUTED_VALUE"""),"Neptune 3 A3")</f>
        <v>Neptune 3 A3</v>
      </c>
      <c r="E1299" s="2005" t="str">
        <f>IFERROR(__xludf.DUMMYFUNCTION("""COMPUTED_VALUE"""),"FELLOWES")</f>
        <v>FELLOWES</v>
      </c>
      <c r="F1299" s="2005" t="str">
        <f>IFERROR(__xludf.DUMMYFUNCTION("""COMPUTED_VALUE"""),"H")</f>
        <v>H</v>
      </c>
      <c r="G1299" s="2005" t="str">
        <f>IFERROR(__xludf.DUMMYFUNCTION("""COMPUTED_VALUE"""),"AC")</f>
        <v>AC</v>
      </c>
      <c r="H1299" s="2005">
        <f>IFERROR(__xludf.DUMMYFUNCTION("""COMPUTED_VALUE"""),229.98)</f>
        <v>229.98</v>
      </c>
      <c r="I1299" s="2005">
        <f>IFERROR(__xludf.DUMMYFUNCTION("""COMPUTED_VALUE"""),210.99)</f>
        <v>210.99</v>
      </c>
      <c r="BD1299" s="2006"/>
      <c r="LL1299" s="2007"/>
      <c r="LM1299" s="2007"/>
      <c r="MX1299" s="2007"/>
      <c r="ND1299" s="2007"/>
    </row>
    <row r="1300">
      <c r="A1300" s="2005">
        <f>IFERROR(__xludf.DUMMYFUNCTION("""COMPUTED_VALUE"""),1107864.0)</f>
        <v>1107864</v>
      </c>
      <c r="B1300" s="2005">
        <f>IFERROR(__xludf.DUMMYFUNCTION("""COMPUTED_VALUE"""),2705020.0)</f>
        <v>2705020</v>
      </c>
      <c r="C1300" s="2005" t="str">
        <f>IFERROR(__xludf.DUMMYFUNCTION("""COMPUTED_VALUE"""),"Filtre")</f>
        <v>Filtre</v>
      </c>
      <c r="D1300" s="2005" t="str">
        <f>IFERROR(__xludf.DUMMYFUNCTION("""COMPUTED_VALUE"""),"Privascreen 12.5'")</f>
        <v>Privascreen 12.5'</v>
      </c>
      <c r="E1300" s="2005" t="str">
        <f>IFERROR(__xludf.DUMMYFUNCTION("""COMPUTED_VALUE"""),"FELLOWES")</f>
        <v>FELLOWES</v>
      </c>
      <c r="F1300" s="2005" t="str">
        <f>IFERROR(__xludf.DUMMYFUNCTION("""COMPUTED_VALUE"""),"H")</f>
        <v>H</v>
      </c>
      <c r="G1300" s="2005" t="str">
        <f>IFERROR(__xludf.DUMMYFUNCTION("""COMPUTED_VALUE"""),"AC")</f>
        <v>AC</v>
      </c>
      <c r="H1300" s="2005">
        <f>IFERROR(__xludf.DUMMYFUNCTION("""COMPUTED_VALUE"""),62.9)</f>
        <v>62.9</v>
      </c>
      <c r="I1300" s="2005">
        <f>IFERROR(__xludf.DUMMYFUNCTION("""COMPUTED_VALUE"""),49.36)</f>
        <v>49.36</v>
      </c>
      <c r="BD1300" s="2006"/>
      <c r="LL1300" s="2007"/>
      <c r="LM1300" s="2007"/>
      <c r="MX1300" s="2007"/>
      <c r="ND1300" s="2007"/>
    </row>
    <row r="1301">
      <c r="A1301" s="2005">
        <f>IFERROR(__xludf.DUMMYFUNCTION("""COMPUTED_VALUE"""),1107865.0)</f>
        <v>1107865</v>
      </c>
      <c r="B1301" s="2005">
        <f>IFERROR(__xludf.DUMMYFUNCTION("""COMPUTED_VALUE"""),2705020.0)</f>
        <v>2705020</v>
      </c>
      <c r="C1301" s="2005" t="str">
        <f>IFERROR(__xludf.DUMMYFUNCTION("""COMPUTED_VALUE"""),"Filtre")</f>
        <v>Filtre</v>
      </c>
      <c r="D1301" s="2005" t="str">
        <f>IFERROR(__xludf.DUMMYFUNCTION("""COMPUTED_VALUE"""),"Privascreen 14'")</f>
        <v>Privascreen 14'</v>
      </c>
      <c r="E1301" s="2005" t="str">
        <f>IFERROR(__xludf.DUMMYFUNCTION("""COMPUTED_VALUE"""),"FELLOWES")</f>
        <v>FELLOWES</v>
      </c>
      <c r="F1301" s="2005" t="str">
        <f>IFERROR(__xludf.DUMMYFUNCTION("""COMPUTED_VALUE"""),"H")</f>
        <v>H</v>
      </c>
      <c r="G1301" s="2005" t="str">
        <f>IFERROR(__xludf.DUMMYFUNCTION("""COMPUTED_VALUE"""),"AC")</f>
        <v>AC</v>
      </c>
      <c r="H1301" s="2005">
        <f>IFERROR(__xludf.DUMMYFUNCTION("""COMPUTED_VALUE"""),62.9)</f>
        <v>62.9</v>
      </c>
      <c r="I1301" s="2005">
        <f>IFERROR(__xludf.DUMMYFUNCTION("""COMPUTED_VALUE"""),62.9)</f>
        <v>62.9</v>
      </c>
      <c r="BD1301" s="2006"/>
      <c r="LM1301" s="2007"/>
    </row>
    <row r="1302">
      <c r="A1302" s="2005">
        <f>IFERROR(__xludf.DUMMYFUNCTION("""COMPUTED_VALUE"""),1107867.0)</f>
        <v>1107867</v>
      </c>
      <c r="B1302" s="2005">
        <f>IFERROR(__xludf.DUMMYFUNCTION("""COMPUTED_VALUE"""),2705020.0)</f>
        <v>2705020</v>
      </c>
      <c r="C1302" s="2005" t="str">
        <f>IFERROR(__xludf.DUMMYFUNCTION("""COMPUTED_VALUE"""),"Filtre")</f>
        <v>Filtre</v>
      </c>
      <c r="D1302" s="2005" t="str">
        <f>IFERROR(__xludf.DUMMYFUNCTION("""COMPUTED_VALUE"""),"Privascreen 19'")</f>
        <v>Privascreen 19'</v>
      </c>
      <c r="E1302" s="2005" t="str">
        <f>IFERROR(__xludf.DUMMYFUNCTION("""COMPUTED_VALUE"""),"FELLOWES")</f>
        <v>FELLOWES</v>
      </c>
      <c r="F1302" s="2005" t="str">
        <f>IFERROR(__xludf.DUMMYFUNCTION("""COMPUTED_VALUE"""),"H")</f>
        <v>H</v>
      </c>
      <c r="G1302" s="2005" t="str">
        <f>IFERROR(__xludf.DUMMYFUNCTION("""COMPUTED_VALUE"""),"NN")</f>
        <v>NN</v>
      </c>
      <c r="H1302" s="2005">
        <f>IFERROR(__xludf.DUMMYFUNCTION("""COMPUTED_VALUE"""),49.99)</f>
        <v>49.99</v>
      </c>
      <c r="I1302" s="2005">
        <f>IFERROR(__xludf.DUMMYFUNCTION("""COMPUTED_VALUE"""),49.99)</f>
        <v>49.99</v>
      </c>
      <c r="BD1302" s="2006"/>
      <c r="LL1302" s="2007"/>
      <c r="LM1302" s="2007"/>
      <c r="MX1302" s="2007"/>
      <c r="ND1302" s="2007"/>
    </row>
    <row r="1303">
      <c r="A1303" s="2005">
        <f>IFERROR(__xludf.DUMMYFUNCTION("""COMPUTED_VALUE"""),1107870.0)</f>
        <v>1107870</v>
      </c>
      <c r="B1303" s="2005">
        <f>IFERROR(__xludf.DUMMYFUNCTION("""COMPUTED_VALUE"""),2705020.0)</f>
        <v>2705020</v>
      </c>
      <c r="C1303" s="2005" t="str">
        <f>IFERROR(__xludf.DUMMYFUNCTION("""COMPUTED_VALUE"""),"Ecran")</f>
        <v>Ecran</v>
      </c>
      <c r="D1303" s="2005" t="str">
        <f>IFERROR(__xludf.DUMMYFUNCTION("""COMPUTED_VALUE"""),"Support simple Professionnal série")</f>
        <v>Support simple Professionnal série</v>
      </c>
      <c r="E1303" s="2005" t="str">
        <f>IFERROR(__xludf.DUMMYFUNCTION("""COMPUTED_VALUE"""),"FELLOWES")</f>
        <v>FELLOWES</v>
      </c>
      <c r="F1303" s="2005" t="str">
        <f>IFERROR(__xludf.DUMMYFUNCTION("""COMPUTED_VALUE"""),"D")</f>
        <v>D</v>
      </c>
      <c r="G1303" s="2005" t="str">
        <f>IFERROR(__xludf.DUMMYFUNCTION("""COMPUTED_VALUE"""),"AC")</f>
        <v>AC</v>
      </c>
      <c r="H1303" s="2005">
        <f>IFERROR(__xludf.DUMMYFUNCTION("""COMPUTED_VALUE"""),105.9)</f>
        <v>105.9</v>
      </c>
      <c r="I1303" s="2005">
        <f>IFERROR(__xludf.DUMMYFUNCTION("""COMPUTED_VALUE"""),105.9)</f>
        <v>105.9</v>
      </c>
      <c r="BD1303" s="2006"/>
      <c r="LL1303" s="2007"/>
      <c r="LM1303" s="2007"/>
      <c r="MX1303" s="2007"/>
      <c r="ND1303" s="2007"/>
    </row>
    <row r="1304">
      <c r="A1304" s="2005">
        <f>IFERROR(__xludf.DUMMYFUNCTION("""COMPUTED_VALUE"""),1107871.0)</f>
        <v>1107871</v>
      </c>
      <c r="B1304" s="2005">
        <f>IFERROR(__xludf.DUMMYFUNCTION("""COMPUTED_VALUE"""),2705020.0)</f>
        <v>2705020</v>
      </c>
      <c r="C1304" s="2005" t="str">
        <f>IFERROR(__xludf.DUMMYFUNCTION("""COMPUTED_VALUE"""),"Ecran")</f>
        <v>Ecran</v>
      </c>
      <c r="D1304" s="2005" t="str">
        <f>IFERROR(__xludf.DUMMYFUNCTION("""COMPUTED_VALUE"""),"Support double Professionnal série")</f>
        <v>Support double Professionnal série</v>
      </c>
      <c r="E1304" s="2005" t="str">
        <f>IFERROR(__xludf.DUMMYFUNCTION("""COMPUTED_VALUE"""),"FELLOWES")</f>
        <v>FELLOWES</v>
      </c>
      <c r="F1304" s="2005" t="str">
        <f>IFERROR(__xludf.DUMMYFUNCTION("""COMPUTED_VALUE"""),"H")</f>
        <v>H</v>
      </c>
      <c r="G1304" s="2005" t="str">
        <f>IFERROR(__xludf.DUMMYFUNCTION("""COMPUTED_VALUE"""),"AC")</f>
        <v>AC</v>
      </c>
      <c r="H1304" s="2005">
        <f>IFERROR(__xludf.DUMMYFUNCTION("""COMPUTED_VALUE"""),199.9)</f>
        <v>199.9</v>
      </c>
      <c r="I1304" s="2005">
        <f>IFERROR(__xludf.DUMMYFUNCTION("""COMPUTED_VALUE"""),199.9)</f>
        <v>199.9</v>
      </c>
      <c r="BD1304" s="2006"/>
      <c r="LL1304" s="2007"/>
      <c r="LM1304" s="2007"/>
      <c r="MX1304" s="2007"/>
      <c r="ND1304" s="2007"/>
    </row>
    <row r="1305">
      <c r="A1305" s="2005">
        <f>IFERROR(__xludf.DUMMYFUNCTION("""COMPUTED_VALUE"""),1107872.0)</f>
        <v>1107872</v>
      </c>
      <c r="B1305" s="2005">
        <f>IFERROR(__xludf.DUMMYFUNCTION("""COMPUTED_VALUE"""),2705020.0)</f>
        <v>2705020</v>
      </c>
      <c r="C1305" s="2005" t="str">
        <f>IFERROR(__xludf.DUMMYFUNCTION("""COMPUTED_VALUE"""),"Ecran")</f>
        <v>Ecran</v>
      </c>
      <c r="D1305" s="2005" t="str">
        <f>IFERROR(__xludf.DUMMYFUNCTION("""COMPUTED_VALUE"""),"Support simple Platinum série")</f>
        <v>Support simple Platinum série</v>
      </c>
      <c r="E1305" s="2005" t="str">
        <f>IFERROR(__xludf.DUMMYFUNCTION("""COMPUTED_VALUE"""),"FELLOWES")</f>
        <v>FELLOWES</v>
      </c>
      <c r="F1305" s="2005" t="str">
        <f>IFERROR(__xludf.DUMMYFUNCTION("""COMPUTED_VALUE"""),"H")</f>
        <v>H</v>
      </c>
      <c r="G1305" s="2005" t="str">
        <f>IFERROR(__xludf.DUMMYFUNCTION("""COMPUTED_VALUE"""),"AC")</f>
        <v>AC</v>
      </c>
      <c r="H1305" s="2005">
        <f>IFERROR(__xludf.DUMMYFUNCTION("""COMPUTED_VALUE"""),115.81)</f>
        <v>115.81</v>
      </c>
      <c r="I1305" s="2005">
        <f>IFERROR(__xludf.DUMMYFUNCTION("""COMPUTED_VALUE"""),115.81)</f>
        <v>115.81</v>
      </c>
      <c r="BD1305" s="2006"/>
      <c r="LL1305" s="2007"/>
      <c r="LM1305" s="2007"/>
      <c r="MX1305" s="2007"/>
      <c r="ND1305" s="2007"/>
    </row>
    <row r="1306">
      <c r="A1306" s="2005">
        <f>IFERROR(__xludf.DUMMYFUNCTION("""COMPUTED_VALUE"""),1107873.0)</f>
        <v>1107873</v>
      </c>
      <c r="B1306" s="2005">
        <f>IFERROR(__xludf.DUMMYFUNCTION("""COMPUTED_VALUE"""),2705020.0)</f>
        <v>2705020</v>
      </c>
      <c r="C1306" s="2005" t="str">
        <f>IFERROR(__xludf.DUMMYFUNCTION("""COMPUTED_VALUE"""),"Ecran")</f>
        <v>Ecran</v>
      </c>
      <c r="D1306" s="2005" t="str">
        <f>IFERROR(__xludf.DUMMYFUNCTION("""COMPUTED_VALUE"""),"Support double Platinum série")</f>
        <v>Support double Platinum série</v>
      </c>
      <c r="E1306" s="2005" t="str">
        <f>IFERROR(__xludf.DUMMYFUNCTION("""COMPUTED_VALUE"""),"FELLOWES")</f>
        <v>FELLOWES</v>
      </c>
      <c r="F1306" s="2005" t="str">
        <f>IFERROR(__xludf.DUMMYFUNCTION("""COMPUTED_VALUE"""),"H")</f>
        <v>H</v>
      </c>
      <c r="G1306" s="2005" t="str">
        <f>IFERROR(__xludf.DUMMYFUNCTION("""COMPUTED_VALUE"""),"NN")</f>
        <v>NN</v>
      </c>
      <c r="H1306" s="2005">
        <f>IFERROR(__xludf.DUMMYFUNCTION("""COMPUTED_VALUE"""),210.81)</f>
        <v>210.81</v>
      </c>
      <c r="I1306" s="2005">
        <f>IFERROR(__xludf.DUMMYFUNCTION("""COMPUTED_VALUE"""),210.81)</f>
        <v>210.81</v>
      </c>
      <c r="BD1306" s="2006"/>
      <c r="LL1306" s="2008"/>
      <c r="LM1306" s="2007"/>
      <c r="MX1306" s="2007"/>
      <c r="ND1306" s="2007"/>
    </row>
    <row r="1307">
      <c r="A1307" s="2005">
        <f>IFERROR(__xludf.DUMMYFUNCTION("""COMPUTED_VALUE"""),1108377.0)</f>
        <v>1108377</v>
      </c>
      <c r="B1307" s="2005">
        <f>IFERROR(__xludf.DUMMYFUNCTION("""COMPUTED_VALUE"""),2502040.0)</f>
        <v>2502040</v>
      </c>
      <c r="C1307" s="2005" t="str">
        <f>IFERROR(__xludf.DUMMYFUNCTION("""COMPUTED_VALUE"""),"Stylet")</f>
        <v>Stylet</v>
      </c>
      <c r="D1307" s="2005" t="str">
        <f>IFERROR(__xludf.DUMMYFUNCTION("""COMPUTED_VALUE"""),"DEMO Stylet Surface Bordeaux")</f>
        <v>DEMO Stylet Surface Bordeaux</v>
      </c>
      <c r="E1307" s="2005" t="str">
        <f>IFERROR(__xludf.DUMMYFUNCTION("""COMPUTED_VALUE"""),"MICROSOFT")</f>
        <v>MICROSOFT</v>
      </c>
      <c r="F1307" s="2005" t="str">
        <f>IFERROR(__xludf.DUMMYFUNCTION("""COMPUTED_VALUE"""),"H")</f>
        <v>H</v>
      </c>
      <c r="G1307" s="2005" t="str">
        <f>IFERROR(__xludf.DUMMYFUNCTION("""COMPUTED_VALUE"""),"NN")</f>
        <v>NN</v>
      </c>
      <c r="H1307" s="2005">
        <f>IFERROR(__xludf.DUMMYFUNCTION("""COMPUTED_VALUE"""),33.99)</f>
        <v>33.99</v>
      </c>
      <c r="I1307" s="2005">
        <f>IFERROR(__xludf.DUMMYFUNCTION("""COMPUTED_VALUE"""),33.99)</f>
        <v>33.99</v>
      </c>
      <c r="BD1307" s="2006"/>
      <c r="LL1307" s="2007"/>
      <c r="LM1307" s="2007"/>
      <c r="MX1307" s="2007"/>
      <c r="ND1307" s="2007"/>
    </row>
    <row r="1308">
      <c r="A1308" s="2005">
        <f>IFERROR(__xludf.DUMMYFUNCTION("""COMPUTED_VALUE"""),1108378.0)</f>
        <v>1108378</v>
      </c>
      <c r="B1308" s="2005">
        <f>IFERROR(__xludf.DUMMYFUNCTION("""COMPUTED_VALUE"""),2502040.0)</f>
        <v>2502040</v>
      </c>
      <c r="C1308" s="2005" t="str">
        <f>IFERROR(__xludf.DUMMYFUNCTION("""COMPUTED_VALUE"""),"Stylet")</f>
        <v>Stylet</v>
      </c>
      <c r="D1308" s="2005" t="str">
        <f>IFERROR(__xludf.DUMMYFUNCTION("""COMPUTED_VALUE"""),"DEMO Stylet Surface Cobalt")</f>
        <v>DEMO Stylet Surface Cobalt</v>
      </c>
      <c r="E1308" s="2005" t="str">
        <f>IFERROR(__xludf.DUMMYFUNCTION("""COMPUTED_VALUE"""),"MICROSOFT")</f>
        <v>MICROSOFT</v>
      </c>
      <c r="F1308" s="2005" t="str">
        <f>IFERROR(__xludf.DUMMYFUNCTION("""COMPUTED_VALUE"""),"H")</f>
        <v>H</v>
      </c>
      <c r="G1308" s="2005" t="str">
        <f>IFERROR(__xludf.DUMMYFUNCTION("""COMPUTED_VALUE"""),"NN")</f>
        <v>NN</v>
      </c>
      <c r="H1308" s="2005">
        <f>IFERROR(__xludf.DUMMYFUNCTION("""COMPUTED_VALUE"""),33.99)</f>
        <v>33.99</v>
      </c>
      <c r="I1308" s="2005">
        <f>IFERROR(__xludf.DUMMYFUNCTION("""COMPUTED_VALUE"""),33.99)</f>
        <v>33.99</v>
      </c>
      <c r="BD1308" s="2006"/>
      <c r="LL1308" s="2007"/>
      <c r="LM1308" s="2007"/>
      <c r="MX1308" s="2007"/>
      <c r="ND1308" s="2007"/>
    </row>
    <row r="1309">
      <c r="A1309" s="2005">
        <f>IFERROR(__xludf.DUMMYFUNCTION("""COMPUTED_VALUE"""),1108379.0)</f>
        <v>1108379</v>
      </c>
      <c r="B1309" s="2005">
        <f>IFERROR(__xludf.DUMMYFUNCTION("""COMPUTED_VALUE"""),2502040.0)</f>
        <v>2502040</v>
      </c>
      <c r="C1309" s="2005" t="str">
        <f>IFERROR(__xludf.DUMMYFUNCTION("""COMPUTED_VALUE"""),"Souris")</f>
        <v>Souris</v>
      </c>
      <c r="D1309" s="2005" t="str">
        <f>IFERROR(__xludf.DUMMYFUNCTION("""COMPUTED_VALUE"""),"DEMO Souris Arc Platine")</f>
        <v>DEMO Souris Arc Platine</v>
      </c>
      <c r="E1309" s="2005" t="str">
        <f>IFERROR(__xludf.DUMMYFUNCTION("""COMPUTED_VALUE"""),"MICROSOFT")</f>
        <v>MICROSOFT</v>
      </c>
      <c r="F1309" s="2005" t="str">
        <f>IFERROR(__xludf.DUMMYFUNCTION("""COMPUTED_VALUE"""),"H")</f>
        <v>H</v>
      </c>
      <c r="G1309" s="2005" t="str">
        <f>IFERROR(__xludf.DUMMYFUNCTION("""COMPUTED_VALUE"""),"NN")</f>
        <v>NN</v>
      </c>
      <c r="H1309" s="2005">
        <f>IFERROR(__xludf.DUMMYFUNCTION("""COMPUTED_VALUE"""),999.0)</f>
        <v>999</v>
      </c>
      <c r="I1309" s="2005">
        <f>IFERROR(__xludf.DUMMYFUNCTION("""COMPUTED_VALUE"""),999.0)</f>
        <v>999</v>
      </c>
      <c r="BD1309" s="2006"/>
      <c r="LL1309" s="2007"/>
      <c r="LM1309" s="2007"/>
      <c r="MX1309" s="2007"/>
      <c r="ND1309" s="2007"/>
    </row>
    <row r="1310">
      <c r="A1310" s="2005">
        <f>IFERROR(__xludf.DUMMYFUNCTION("""COMPUTED_VALUE"""),1108380.0)</f>
        <v>1108380</v>
      </c>
      <c r="B1310" s="2005">
        <f>IFERROR(__xludf.DUMMYFUNCTION("""COMPUTED_VALUE"""),2502040.0)</f>
        <v>2502040</v>
      </c>
      <c r="C1310" s="2005" t="str">
        <f>IFERROR(__xludf.DUMMYFUNCTION("""COMPUTED_VALUE"""),"Souris")</f>
        <v>Souris</v>
      </c>
      <c r="D1310" s="2005" t="str">
        <f>IFERROR(__xludf.DUMMYFUNCTION("""COMPUTED_VALUE"""),"DEMO Souris Arc Bordeaux")</f>
        <v>DEMO Souris Arc Bordeaux</v>
      </c>
      <c r="E1310" s="2005" t="str">
        <f>IFERROR(__xludf.DUMMYFUNCTION("""COMPUTED_VALUE"""),"MICROSOFT")</f>
        <v>MICROSOFT</v>
      </c>
      <c r="F1310" s="2005" t="str">
        <f>IFERROR(__xludf.DUMMYFUNCTION("""COMPUTED_VALUE"""),"H")</f>
        <v>H</v>
      </c>
      <c r="G1310" s="2005" t="str">
        <f>IFERROR(__xludf.DUMMYFUNCTION("""COMPUTED_VALUE"""),"NN")</f>
        <v>NN</v>
      </c>
      <c r="H1310" s="2005">
        <f>IFERROR(__xludf.DUMMYFUNCTION("""COMPUTED_VALUE"""),29.99)</f>
        <v>29.99</v>
      </c>
      <c r="I1310" s="2005">
        <f>IFERROR(__xludf.DUMMYFUNCTION("""COMPUTED_VALUE"""),29.99)</f>
        <v>29.99</v>
      </c>
      <c r="BD1310" s="2006"/>
      <c r="LL1310" s="2008"/>
      <c r="LM1310" s="2007"/>
      <c r="MX1310" s="2007"/>
      <c r="ND1310" s="2007"/>
    </row>
    <row r="1311">
      <c r="A1311" s="2005">
        <f>IFERROR(__xludf.DUMMYFUNCTION("""COMPUTED_VALUE"""),1108421.0)</f>
        <v>1108421</v>
      </c>
      <c r="B1311" s="2005">
        <f>IFERROR(__xludf.DUMMYFUNCTION("""COMPUTED_VALUE"""),2502040.0)</f>
        <v>2502040</v>
      </c>
      <c r="C1311" s="2005" t="str">
        <f>IFERROR(__xludf.DUMMYFUNCTION("""COMPUTED_VALUE"""),"Souris")</f>
        <v>Souris</v>
      </c>
      <c r="D1311" s="2005" t="str">
        <f>IFERROR(__xludf.DUMMYFUNCTION("""COMPUTED_VALUE"""),"DEMO Souris Arc Cobalt")</f>
        <v>DEMO Souris Arc Cobalt</v>
      </c>
      <c r="E1311" s="2005" t="str">
        <f>IFERROR(__xludf.DUMMYFUNCTION("""COMPUTED_VALUE"""),"MICROSOFT")</f>
        <v>MICROSOFT</v>
      </c>
      <c r="F1311" s="2005" t="str">
        <f>IFERROR(__xludf.DUMMYFUNCTION("""COMPUTED_VALUE"""),"H")</f>
        <v>H</v>
      </c>
      <c r="G1311" s="2005" t="str">
        <f>IFERROR(__xludf.DUMMYFUNCTION("""COMPUTED_VALUE"""),"NN")</f>
        <v>NN</v>
      </c>
      <c r="H1311" s="2005">
        <f>IFERROR(__xludf.DUMMYFUNCTION("""COMPUTED_VALUE"""),29.99)</f>
        <v>29.99</v>
      </c>
      <c r="I1311" s="2005">
        <f>IFERROR(__xludf.DUMMYFUNCTION("""COMPUTED_VALUE"""),29.99)</f>
        <v>29.99</v>
      </c>
      <c r="BD1311" s="2006"/>
      <c r="LL1311" s="2007"/>
      <c r="LM1311" s="2007"/>
      <c r="MX1311" s="2007"/>
      <c r="ND1311" s="2007"/>
    </row>
    <row r="1312">
      <c r="A1312" s="2005">
        <f>IFERROR(__xludf.DUMMYFUNCTION("""COMPUTED_VALUE"""),1108510.0)</f>
        <v>1108510</v>
      </c>
      <c r="B1312" s="2005">
        <f>IFERROR(__xludf.DUMMYFUNCTION("""COMPUTED_VALUE"""),2503005.0)</f>
        <v>2503005</v>
      </c>
      <c r="C1312" s="2005" t="str">
        <f>IFERROR(__xludf.DUMMYFUNCTION("""COMPUTED_VALUE"""),"Enceinte")</f>
        <v>Enceinte</v>
      </c>
      <c r="D1312" s="2005" t="str">
        <f>IFERROR(__xludf.DUMMYFUNCTION("""COMPUTED_VALUE"""),"G560")</f>
        <v>G560</v>
      </c>
      <c r="E1312" s="2005" t="str">
        <f>IFERROR(__xludf.DUMMYFUNCTION("""COMPUTED_VALUE"""),"LOGITECH")</f>
        <v>LOGITECH</v>
      </c>
      <c r="F1312" s="2005" t="str">
        <f>IFERROR(__xludf.DUMMYFUNCTION("""COMPUTED_VALUE"""),"H")</f>
        <v>H</v>
      </c>
      <c r="G1312" s="2005" t="str">
        <f>IFERROR(__xludf.DUMMYFUNCTION("""COMPUTED_VALUE"""),"NN")</f>
        <v>NN</v>
      </c>
      <c r="H1312" s="2005">
        <f>IFERROR(__xludf.DUMMYFUNCTION("""COMPUTED_VALUE"""),249.99)</f>
        <v>249.99</v>
      </c>
      <c r="I1312" s="2005">
        <f>IFERROR(__xludf.DUMMYFUNCTION("""COMPUTED_VALUE"""),249.99)</f>
        <v>249.99</v>
      </c>
      <c r="BD1312" s="2006"/>
      <c r="LL1312" s="2008"/>
      <c r="LM1312" s="2007"/>
      <c r="MX1312" s="2007"/>
      <c r="ND1312" s="2007"/>
    </row>
    <row r="1313">
      <c r="A1313" s="2005">
        <f>IFERROR(__xludf.DUMMYFUNCTION("""COMPUTED_VALUE"""),1108742.0)</f>
        <v>1108742</v>
      </c>
      <c r="B1313" s="2005">
        <f>IFERROR(__xludf.DUMMYFUNCTION("""COMPUTED_VALUE"""),1103010.0)</f>
        <v>1103010</v>
      </c>
      <c r="C1313" s="2005" t="str">
        <f>IFERROR(__xludf.DUMMYFUNCTION("""COMPUTED_VALUE"""),"Pack")</f>
        <v>Pack</v>
      </c>
      <c r="D1313" s="2005" t="str">
        <f>IFERROR(__xludf.DUMMYFUNCTION("""COMPUTED_VALUE"""),"AL370A QUATTRO")</f>
        <v>AL370A QUATTRO</v>
      </c>
      <c r="E1313" s="2005" t="str">
        <f>IFERROR(__xludf.DUMMYFUNCTION("""COMPUTED_VALUE"""),"GIGASET")</f>
        <v>GIGASET</v>
      </c>
      <c r="F1313" s="2005" t="str">
        <f>IFERROR(__xludf.DUMMYFUNCTION("""COMPUTED_VALUE"""),"H")</f>
        <v>H</v>
      </c>
      <c r="G1313" s="2005" t="str">
        <f>IFERROR(__xludf.DUMMYFUNCTION("""COMPUTED_VALUE"""),"NN")</f>
        <v>NN</v>
      </c>
      <c r="H1313" s="2005">
        <f>IFERROR(__xludf.DUMMYFUNCTION("""COMPUTED_VALUE"""),74.99)</f>
        <v>74.99</v>
      </c>
      <c r="I1313" s="2005">
        <f>IFERROR(__xludf.DUMMYFUNCTION("""COMPUTED_VALUE"""),74.99)</f>
        <v>74.99</v>
      </c>
      <c r="BD1313" s="2006"/>
      <c r="LL1313" s="2008"/>
      <c r="LM1313" s="2007"/>
      <c r="MX1313" s="2007"/>
      <c r="ND1313" s="2007"/>
    </row>
    <row r="1314">
      <c r="A1314" s="2005">
        <f>IFERROR(__xludf.DUMMYFUNCTION("""COMPUTED_VALUE"""),1108977.0)</f>
        <v>1108977</v>
      </c>
      <c r="B1314" s="2005">
        <f>IFERROR(__xludf.DUMMYFUNCTION("""COMPUTED_VALUE"""),2201020.0)</f>
        <v>2201020</v>
      </c>
      <c r="C1314" s="2005" t="str">
        <f>IFERROR(__xludf.DUMMYFUNCTION("""COMPUTED_VALUE"""),"Mono Laser")</f>
        <v>Mono Laser</v>
      </c>
      <c r="D1314" s="2005" t="str">
        <f>IFERROR(__xludf.DUMMYFUNCTION("""COMPUTED_VALUE"""),"LaserJet Pro M15w")</f>
        <v>LaserJet Pro M15w</v>
      </c>
      <c r="E1314" s="2005" t="str">
        <f>IFERROR(__xludf.DUMMYFUNCTION("""COMPUTED_VALUE"""),"HP")</f>
        <v>HP</v>
      </c>
      <c r="F1314" s="2005" t="str">
        <f>IFERROR(__xludf.DUMMYFUNCTION("""COMPUTED_VALUE"""),"C")</f>
        <v>C</v>
      </c>
      <c r="G1314" s="2005" t="str">
        <f>IFERROR(__xludf.DUMMYFUNCTION("""COMPUTED_VALUE"""),"NN")</f>
        <v>NN</v>
      </c>
      <c r="H1314">
        <f>IFERROR(__xludf.DUMMYFUNCTION("""COMPUTED_VALUE"""),129.99)</f>
        <v>129.99</v>
      </c>
      <c r="I1314">
        <f>IFERROR(__xludf.DUMMYFUNCTION("""COMPUTED_VALUE"""),129.99)</f>
        <v>129.99</v>
      </c>
      <c r="BD1314" s="2006"/>
      <c r="LL1314" s="2007"/>
      <c r="LM1314" s="2007"/>
      <c r="MX1314" s="2007"/>
      <c r="ND1314" s="2007"/>
    </row>
    <row r="1315">
      <c r="A1315" s="2005">
        <f>IFERROR(__xludf.DUMMYFUNCTION("""COMPUTED_VALUE"""),1109436.0)</f>
        <v>1109436</v>
      </c>
      <c r="B1315" s="2005">
        <f>IFERROR(__xludf.DUMMYFUNCTION("""COMPUTED_VALUE"""),2403005.0)</f>
        <v>2403005</v>
      </c>
      <c r="C1315" s="2005" t="str">
        <f>IFERROR(__xludf.DUMMYFUNCTION("""COMPUTED_VALUE"""),"Cartouche")</f>
        <v>Cartouche</v>
      </c>
      <c r="D1315" s="2005" t="str">
        <f>IFERROR(__xludf.DUMMYFUNCTION("""COMPUTED_VALUE"""),"LC22U Noir")</f>
        <v>LC22U Noir</v>
      </c>
      <c r="E1315" s="2005" t="str">
        <f>IFERROR(__xludf.DUMMYFUNCTION("""COMPUTED_VALUE"""),"BROTHER")</f>
        <v>BROTHER</v>
      </c>
      <c r="F1315" s="2005" t="str">
        <f>IFERROR(__xludf.DUMMYFUNCTION("""COMPUTED_VALUE"""),"H")</f>
        <v>H</v>
      </c>
      <c r="G1315" s="2005" t="str">
        <f>IFERROR(__xludf.DUMMYFUNCTION("""COMPUTED_VALUE"""),"NN")</f>
        <v>NN</v>
      </c>
      <c r="H1315" s="2005">
        <f>IFERROR(__xludf.DUMMYFUNCTION("""COMPUTED_VALUE"""),32.99)</f>
        <v>32.99</v>
      </c>
      <c r="I1315" s="2005">
        <f>IFERROR(__xludf.DUMMYFUNCTION("""COMPUTED_VALUE"""),32.99)</f>
        <v>32.99</v>
      </c>
      <c r="BD1315" s="2006"/>
      <c r="LL1315" s="2008"/>
      <c r="LM1315" s="2007"/>
      <c r="MX1315" s="2007"/>
      <c r="ND1315" s="2007"/>
    </row>
    <row r="1316">
      <c r="A1316" s="2005">
        <f>IFERROR(__xludf.DUMMYFUNCTION("""COMPUTED_VALUE"""),1109440.0)</f>
        <v>1109440</v>
      </c>
      <c r="B1316" s="2005">
        <f>IFERROR(__xludf.DUMMYFUNCTION("""COMPUTED_VALUE"""),2403005.0)</f>
        <v>2403005</v>
      </c>
      <c r="C1316" s="2005" t="str">
        <f>IFERROR(__xludf.DUMMYFUNCTION("""COMPUTED_VALUE"""),"Cartouche")</f>
        <v>Cartouche</v>
      </c>
      <c r="D1316" s="2005" t="str">
        <f>IFERROR(__xludf.DUMMYFUNCTION("""COMPUTED_VALUE"""),"LC22U Cyan")</f>
        <v>LC22U Cyan</v>
      </c>
      <c r="E1316" s="2005" t="str">
        <f>IFERROR(__xludf.DUMMYFUNCTION("""COMPUTED_VALUE"""),"BROTHER")</f>
        <v>BROTHER</v>
      </c>
      <c r="F1316" s="2005" t="str">
        <f>IFERROR(__xludf.DUMMYFUNCTION("""COMPUTED_VALUE"""),"H")</f>
        <v>H</v>
      </c>
      <c r="G1316" s="2005" t="str">
        <f>IFERROR(__xludf.DUMMYFUNCTION("""COMPUTED_VALUE"""),"NN")</f>
        <v>NN</v>
      </c>
      <c r="H1316" s="2005">
        <f>IFERROR(__xludf.DUMMYFUNCTION("""COMPUTED_VALUE"""),18.99)</f>
        <v>18.99</v>
      </c>
      <c r="I1316" s="2005">
        <f>IFERROR(__xludf.DUMMYFUNCTION("""COMPUTED_VALUE"""),18.99)</f>
        <v>18.99</v>
      </c>
      <c r="BD1316" s="2006"/>
      <c r="LL1316" s="2008"/>
      <c r="LM1316" s="2007"/>
      <c r="MX1316" s="2007"/>
      <c r="ND1316" s="2007"/>
    </row>
    <row r="1317">
      <c r="A1317" s="2005">
        <f>IFERROR(__xludf.DUMMYFUNCTION("""COMPUTED_VALUE"""),1109441.0)</f>
        <v>1109441</v>
      </c>
      <c r="B1317" s="2005">
        <f>IFERROR(__xludf.DUMMYFUNCTION("""COMPUTED_VALUE"""),2403005.0)</f>
        <v>2403005</v>
      </c>
      <c r="C1317" s="2005" t="str">
        <f>IFERROR(__xludf.DUMMYFUNCTION("""COMPUTED_VALUE"""),"Cartouche")</f>
        <v>Cartouche</v>
      </c>
      <c r="D1317" s="2005" t="str">
        <f>IFERROR(__xludf.DUMMYFUNCTION("""COMPUTED_VALUE"""),"LC22U Magenta")</f>
        <v>LC22U Magenta</v>
      </c>
      <c r="E1317" s="2005" t="str">
        <f>IFERROR(__xludf.DUMMYFUNCTION("""COMPUTED_VALUE"""),"BROTHER")</f>
        <v>BROTHER</v>
      </c>
      <c r="F1317" s="2005" t="str">
        <f>IFERROR(__xludf.DUMMYFUNCTION("""COMPUTED_VALUE"""),"H")</f>
        <v>H</v>
      </c>
      <c r="G1317" s="2005" t="str">
        <f>IFERROR(__xludf.DUMMYFUNCTION("""COMPUTED_VALUE"""),"NN")</f>
        <v>NN</v>
      </c>
      <c r="H1317">
        <f>IFERROR(__xludf.DUMMYFUNCTION("""COMPUTED_VALUE"""),19.0)</f>
        <v>19</v>
      </c>
      <c r="I1317">
        <f>IFERROR(__xludf.DUMMYFUNCTION("""COMPUTED_VALUE"""),19.0)</f>
        <v>19</v>
      </c>
      <c r="LL1317" s="2007"/>
      <c r="LM1317" s="2007"/>
    </row>
    <row r="1318">
      <c r="A1318" s="2005">
        <f>IFERROR(__xludf.DUMMYFUNCTION("""COMPUTED_VALUE"""),1109442.0)</f>
        <v>1109442</v>
      </c>
      <c r="B1318" s="2005">
        <f>IFERROR(__xludf.DUMMYFUNCTION("""COMPUTED_VALUE"""),2403005.0)</f>
        <v>2403005</v>
      </c>
      <c r="C1318" s="2005" t="str">
        <f>IFERROR(__xludf.DUMMYFUNCTION("""COMPUTED_VALUE"""),"Cartouche")</f>
        <v>Cartouche</v>
      </c>
      <c r="D1318" s="2005" t="str">
        <f>IFERROR(__xludf.DUMMYFUNCTION("""COMPUTED_VALUE"""),"LC22U Jaune")</f>
        <v>LC22U Jaune</v>
      </c>
      <c r="E1318" s="2005" t="str">
        <f>IFERROR(__xludf.DUMMYFUNCTION("""COMPUTED_VALUE"""),"BROTHER")</f>
        <v>BROTHER</v>
      </c>
      <c r="F1318" s="2005" t="str">
        <f>IFERROR(__xludf.DUMMYFUNCTION("""COMPUTED_VALUE"""),"H")</f>
        <v>H</v>
      </c>
      <c r="G1318" s="2005" t="str">
        <f>IFERROR(__xludf.DUMMYFUNCTION("""COMPUTED_VALUE"""),"NN")</f>
        <v>NN</v>
      </c>
      <c r="H1318" s="2005">
        <f>IFERROR(__xludf.DUMMYFUNCTION("""COMPUTED_VALUE"""),19.0)</f>
        <v>19</v>
      </c>
      <c r="I1318" s="2005">
        <f>IFERROR(__xludf.DUMMYFUNCTION("""COMPUTED_VALUE"""),19.0)</f>
        <v>19</v>
      </c>
      <c r="BD1318" s="2006"/>
      <c r="LM1318" s="2007"/>
    </row>
    <row r="1319">
      <c r="A1319" s="2005">
        <f>IFERROR(__xludf.DUMMYFUNCTION("""COMPUTED_VALUE"""),1110289.0)</f>
        <v>1110289</v>
      </c>
      <c r="B1319" s="2005">
        <f>IFERROR(__xludf.DUMMYFUNCTION("""COMPUTED_VALUE"""),2207005.0)</f>
        <v>2207005</v>
      </c>
      <c r="C1319" s="2005" t="str">
        <f>IFERROR(__xludf.DUMMYFUNCTION("""COMPUTED_VALUE"""),"Imprimante")</f>
        <v>Imprimante</v>
      </c>
      <c r="D1319" s="2005" t="str">
        <f>IFERROR(__xludf.DUMMYFUNCTION("""COMPUTED_VALUE"""),"M200 Plus")</f>
        <v>M200 Plus</v>
      </c>
      <c r="E1319" s="2005" t="str">
        <f>IFERROR(__xludf.DUMMYFUNCTION("""COMPUTED_VALUE"""),"ZORTRAX")</f>
        <v>ZORTRAX</v>
      </c>
      <c r="F1319" s="2005" t="str">
        <f>IFERROR(__xludf.DUMMYFUNCTION("""COMPUTED_VALUE"""),"W")</f>
        <v>W</v>
      </c>
      <c r="G1319" s="2005" t="str">
        <f>IFERROR(__xludf.DUMMYFUNCTION("""COMPUTED_VALUE"""),"NN")</f>
        <v>NN</v>
      </c>
      <c r="H1319" s="2005">
        <f>IFERROR(__xludf.DUMMYFUNCTION("""COMPUTED_VALUE"""),2747.99)</f>
        <v>2747.99</v>
      </c>
      <c r="I1319" s="2005">
        <f>IFERROR(__xludf.DUMMYFUNCTION("""COMPUTED_VALUE"""),2747.99)</f>
        <v>2747.99</v>
      </c>
      <c r="BD1319" s="2006"/>
      <c r="LL1319" s="2007"/>
      <c r="LM1319" s="2007"/>
      <c r="MX1319" s="2007"/>
      <c r="ND1319" s="2008"/>
    </row>
    <row r="1320">
      <c r="A1320" s="2005">
        <f>IFERROR(__xludf.DUMMYFUNCTION("""COMPUTED_VALUE"""),1110290.0)</f>
        <v>1110290</v>
      </c>
      <c r="B1320" s="2005">
        <f>IFERROR(__xludf.DUMMYFUNCTION("""COMPUTED_VALUE"""),2207005.0)</f>
        <v>2207005</v>
      </c>
      <c r="C1320" s="2005" t="str">
        <f>IFERROR(__xludf.DUMMYFUNCTION("""COMPUTED_VALUE"""),"Imprimante")</f>
        <v>Imprimante</v>
      </c>
      <c r="D1320" s="2005" t="str">
        <f>IFERROR(__xludf.DUMMYFUNCTION("""COMPUTED_VALUE"""),"Raise3D Pro2")</f>
        <v>Raise3D Pro2</v>
      </c>
      <c r="E1320" s="2005" t="str">
        <f>IFERROR(__xludf.DUMMYFUNCTION("""COMPUTED_VALUE"""),"RAISE3D")</f>
        <v>RAISE3D</v>
      </c>
      <c r="F1320" s="2005" t="str">
        <f>IFERROR(__xludf.DUMMYFUNCTION("""COMPUTED_VALUE"""),"H")</f>
        <v>H</v>
      </c>
      <c r="G1320" s="2005" t="str">
        <f>IFERROR(__xludf.DUMMYFUNCTION("""COMPUTED_VALUE"""),"NN")</f>
        <v>NN</v>
      </c>
      <c r="H1320" s="2005">
        <f>IFERROR(__xludf.DUMMYFUNCTION("""COMPUTED_VALUE"""),4198.8)</f>
        <v>4198.8</v>
      </c>
      <c r="I1320" s="2005">
        <f>IFERROR(__xludf.DUMMYFUNCTION("""COMPUTED_VALUE"""),4198.8)</f>
        <v>4198.8</v>
      </c>
      <c r="BD1320" s="2006"/>
      <c r="LL1320" s="2007"/>
      <c r="LM1320" s="2007"/>
      <c r="MX1320" s="2007"/>
      <c r="ND1320" s="2008"/>
    </row>
    <row r="1321">
      <c r="A1321" s="2005">
        <f>IFERROR(__xludf.DUMMYFUNCTION("""COMPUTED_VALUE"""),1110399.0)</f>
        <v>1110399</v>
      </c>
      <c r="B1321" s="2005">
        <f>IFERROR(__xludf.DUMMYFUNCTION("""COMPUTED_VALUE"""),2202008.0)</f>
        <v>2202008</v>
      </c>
      <c r="C1321" s="2005" t="str">
        <f>IFERROR(__xludf.DUMMYFUNCTION("""COMPUTED_VALUE"""),"Multi Laser")</f>
        <v>Multi Laser</v>
      </c>
      <c r="D1321" s="2005" t="str">
        <f>IFERROR(__xludf.DUMMYFUNCTION("""COMPUTED_VALUE"""),"DCP-1612W")</f>
        <v>DCP-1612W</v>
      </c>
      <c r="E1321" s="2005" t="str">
        <f>IFERROR(__xludf.DUMMYFUNCTION("""COMPUTED_VALUE"""),"BROTHER")</f>
        <v>BROTHER</v>
      </c>
      <c r="F1321" s="2005" t="str">
        <f>IFERROR(__xludf.DUMMYFUNCTION("""COMPUTED_VALUE"""),"H")</f>
        <v>H</v>
      </c>
      <c r="G1321" s="2005" t="str">
        <f>IFERROR(__xludf.DUMMYFUNCTION("""COMPUTED_VALUE"""),"AC")</f>
        <v>AC</v>
      </c>
      <c r="H1321" s="2005">
        <f>IFERROR(__xludf.DUMMYFUNCTION("""COMPUTED_VALUE"""),166.8)</f>
        <v>166.8</v>
      </c>
      <c r="I1321" s="2005">
        <f>IFERROR(__xludf.DUMMYFUNCTION("""COMPUTED_VALUE"""),166.8)</f>
        <v>166.8</v>
      </c>
      <c r="BD1321" s="2006"/>
      <c r="LL1321" s="2007"/>
      <c r="LM1321" s="2007"/>
      <c r="MX1321" s="2007"/>
      <c r="ND1321" s="2007"/>
    </row>
    <row r="1322">
      <c r="A1322" s="2005">
        <f>IFERROR(__xludf.DUMMYFUNCTION("""COMPUTED_VALUE"""),1110400.0)</f>
        <v>1110400</v>
      </c>
      <c r="B1322" s="2005">
        <f>IFERROR(__xludf.DUMMYFUNCTION("""COMPUTED_VALUE"""),2202008.0)</f>
        <v>2202008</v>
      </c>
      <c r="C1322" s="2005" t="str">
        <f>IFERROR(__xludf.DUMMYFUNCTION("""COMPUTED_VALUE"""),"Multi Laser")</f>
        <v>Multi Laser</v>
      </c>
      <c r="D1322" s="2005" t="str">
        <f>IFERROR(__xludf.DUMMYFUNCTION("""COMPUTED_VALUE"""),"DCP-1612WVBF1")</f>
        <v>DCP-1612WVBF1</v>
      </c>
      <c r="E1322" s="2005" t="str">
        <f>IFERROR(__xludf.DUMMYFUNCTION("""COMPUTED_VALUE"""),"BROTHER")</f>
        <v>BROTHER</v>
      </c>
      <c r="F1322" s="2005" t="str">
        <f>IFERROR(__xludf.DUMMYFUNCTION("""COMPUTED_VALUE"""),"D")</f>
        <v>D</v>
      </c>
      <c r="G1322" s="2005" t="str">
        <f>IFERROR(__xludf.DUMMYFUNCTION("""COMPUTED_VALUE"""),"AC")</f>
        <v>AC</v>
      </c>
      <c r="H1322" s="2005">
        <f>IFERROR(__xludf.DUMMYFUNCTION("""COMPUTED_VALUE"""),286.8)</f>
        <v>286.8</v>
      </c>
      <c r="I1322" s="2005">
        <f>IFERROR(__xludf.DUMMYFUNCTION("""COMPUTED_VALUE"""),286.8)</f>
        <v>286.8</v>
      </c>
      <c r="BD1322" s="2006"/>
      <c r="LL1322" s="2007"/>
      <c r="LM1322" s="2007"/>
      <c r="MX1322" s="2007"/>
      <c r="ND1322" s="2007"/>
    </row>
    <row r="1323">
      <c r="A1323" s="2005">
        <f>IFERROR(__xludf.DUMMYFUNCTION("""COMPUTED_VALUE"""),1110432.0)</f>
        <v>1110432</v>
      </c>
      <c r="B1323" s="2005">
        <f>IFERROR(__xludf.DUMMYFUNCTION("""COMPUTED_VALUE"""),2503005.0)</f>
        <v>2503005</v>
      </c>
      <c r="C1323" s="2005" t="str">
        <f>IFERROR(__xludf.DUMMYFUNCTION("""COMPUTED_VALUE"""),"Enceinte")</f>
        <v>Enceinte</v>
      </c>
      <c r="D1323" s="2005" t="str">
        <f>IFERROR(__xludf.DUMMYFUNCTION("""COMPUTED_VALUE"""),"NOMMO - 2.0 GAMING")</f>
        <v>NOMMO - 2.0 GAMING</v>
      </c>
      <c r="E1323" s="2005" t="str">
        <f>IFERROR(__xludf.DUMMYFUNCTION("""COMPUTED_VALUE"""),"RAZER")</f>
        <v>RAZER</v>
      </c>
      <c r="F1323" s="2005" t="str">
        <f>IFERROR(__xludf.DUMMYFUNCTION("""COMPUTED_VALUE"""),"H")</f>
        <v>H</v>
      </c>
      <c r="G1323" s="2005" t="str">
        <f>IFERROR(__xludf.DUMMYFUNCTION("""COMPUTED_VALUE"""),"NN")</f>
        <v>NN</v>
      </c>
      <c r="H1323" s="2005">
        <f>IFERROR(__xludf.DUMMYFUNCTION("""COMPUTED_VALUE"""),120.12)</f>
        <v>120.12</v>
      </c>
      <c r="I1323" s="2005">
        <f>IFERROR(__xludf.DUMMYFUNCTION("""COMPUTED_VALUE"""),120.12)</f>
        <v>120.12</v>
      </c>
      <c r="BD1323" s="2006"/>
      <c r="LM1323" s="2007"/>
    </row>
    <row r="1324">
      <c r="A1324" s="2005">
        <f>IFERROR(__xludf.DUMMYFUNCTION("""COMPUTED_VALUE"""),1111324.0)</f>
        <v>1111324</v>
      </c>
      <c r="B1324" s="2005">
        <f>IFERROR(__xludf.DUMMYFUNCTION("""COMPUTED_VALUE"""),2402015.0)</f>
        <v>2402015</v>
      </c>
      <c r="C1324" s="2005" t="str">
        <f>IFERROR(__xludf.DUMMYFUNCTION("""COMPUTED_VALUE"""),"Papier")</f>
        <v>Papier</v>
      </c>
      <c r="D1324" s="2005" t="str">
        <f>IFERROR(__xludf.DUMMYFUNCTION("""COMPUTED_VALUE"""),"20 feuilles ZINK pour Sprocket Eclipse")</f>
        <v>20 feuilles ZINK pour Sprocket Eclipse</v>
      </c>
      <c r="E1324" s="2005" t="str">
        <f>IFERROR(__xludf.DUMMYFUNCTION("""COMPUTED_VALUE"""),"HP")</f>
        <v>HP</v>
      </c>
      <c r="F1324" s="2005" t="str">
        <f>IFERROR(__xludf.DUMMYFUNCTION("""COMPUTED_VALUE"""),"B")</f>
        <v>B</v>
      </c>
      <c r="G1324" s="2005" t="str">
        <f>IFERROR(__xludf.DUMMYFUNCTION("""COMPUTED_VALUE"""),"NN")</f>
        <v>NN</v>
      </c>
      <c r="H1324" s="2005">
        <f>IFERROR(__xludf.DUMMYFUNCTION("""COMPUTED_VALUE"""),19.99)</f>
        <v>19.99</v>
      </c>
      <c r="I1324" s="2005">
        <f>IFERROR(__xludf.DUMMYFUNCTION("""COMPUTED_VALUE"""),19.99)</f>
        <v>19.99</v>
      </c>
      <c r="BD1324" s="2006"/>
      <c r="LM1324" s="2007"/>
    </row>
    <row r="1325">
      <c r="A1325" s="2005">
        <f>IFERROR(__xludf.DUMMYFUNCTION("""COMPUTED_VALUE"""),1111607.0)</f>
        <v>1111607</v>
      </c>
      <c r="B1325" s="2005">
        <f>IFERROR(__xludf.DUMMYFUNCTION("""COMPUTED_VALUE"""),2402020.0)</f>
        <v>2402020</v>
      </c>
      <c r="C1325" s="2005" t="str">
        <f>IFERROR(__xludf.DUMMYFUNCTION("""COMPUTED_VALUE"""),"Papier")</f>
        <v>Papier</v>
      </c>
      <c r="D1325" s="2005" t="str">
        <f>IFERROR(__xludf.DUMMYFUNCTION("""COMPUTED_VALUE"""),"15 Transferts T-shirt blancs/clairs A4")</f>
        <v>15 Transferts T-shirt blancs/clairs A4</v>
      </c>
      <c r="E1325" s="2005" t="str">
        <f>IFERROR(__xludf.DUMMYFUNCTION("""COMPUTED_VALUE"""),"AVERY")</f>
        <v>AVERY</v>
      </c>
      <c r="F1325" s="2005" t="str">
        <f>IFERROR(__xludf.DUMMYFUNCTION("""COMPUTED_VALUE"""),"H")</f>
        <v>H</v>
      </c>
      <c r="G1325" s="2005" t="str">
        <f>IFERROR(__xludf.DUMMYFUNCTION("""COMPUTED_VALUE"""),"AC")</f>
        <v>AC</v>
      </c>
      <c r="H1325" s="2005">
        <f>IFERROR(__xludf.DUMMYFUNCTION("""COMPUTED_VALUE"""),22.99)</f>
        <v>22.99</v>
      </c>
      <c r="I1325" s="2005">
        <f>IFERROR(__xludf.DUMMYFUNCTION("""COMPUTED_VALUE"""),22.99)</f>
        <v>22.99</v>
      </c>
      <c r="BD1325" s="2006"/>
      <c r="LM1325" s="2007"/>
    </row>
    <row r="1326">
      <c r="A1326" s="2005">
        <f>IFERROR(__xludf.DUMMYFUNCTION("""COMPUTED_VALUE"""),1111782.0)</f>
        <v>1111782</v>
      </c>
      <c r="B1326" s="2005">
        <f>IFERROR(__xludf.DUMMYFUNCTION("""COMPUTED_VALUE"""),2503010.0)</f>
        <v>2503010</v>
      </c>
      <c r="C1326" s="2005" t="str">
        <f>IFERROR(__xludf.DUMMYFUNCTION("""COMPUTED_VALUE"""),"Casque")</f>
        <v>Casque</v>
      </c>
      <c r="D1326" s="2005" t="str">
        <f>IFERROR(__xludf.DUMMYFUNCTION("""COMPUTED_VALUE"""),"H2800 Blanc")</f>
        <v>H2800 Blanc</v>
      </c>
      <c r="E1326" s="2005" t="str">
        <f>IFERROR(__xludf.DUMMYFUNCTION("""COMPUTED_VALUE"""),"HP")</f>
        <v>HP</v>
      </c>
      <c r="F1326" s="2005" t="str">
        <f>IFERROR(__xludf.DUMMYFUNCTION("""COMPUTED_VALUE"""),"B")</f>
        <v>B</v>
      </c>
      <c r="G1326" s="2005" t="str">
        <f>IFERROR(__xludf.DUMMYFUNCTION("""COMPUTED_VALUE"""),"NN")</f>
        <v>NN</v>
      </c>
      <c r="H1326" s="2005">
        <f>IFERROR(__xludf.DUMMYFUNCTION("""COMPUTED_VALUE"""),15.99)</f>
        <v>15.99</v>
      </c>
      <c r="I1326" s="2005">
        <f>IFERROR(__xludf.DUMMYFUNCTION("""COMPUTED_VALUE"""),15.99)</f>
        <v>15.99</v>
      </c>
      <c r="BD1326" s="2006"/>
      <c r="LM1326" s="2007"/>
    </row>
    <row r="1327">
      <c r="A1327" s="2005">
        <f>IFERROR(__xludf.DUMMYFUNCTION("""COMPUTED_VALUE"""),1111827.0)</f>
        <v>1111827</v>
      </c>
      <c r="B1327" s="2005">
        <f>IFERROR(__xludf.DUMMYFUNCTION("""COMPUTED_VALUE"""),2202008.0)</f>
        <v>2202008</v>
      </c>
      <c r="C1327" s="2005" t="str">
        <f>IFERROR(__xludf.DUMMYFUNCTION("""COMPUTED_VALUE"""),"Multi Laser")</f>
        <v>Multi Laser</v>
      </c>
      <c r="D1327" s="2005" t="str">
        <f>IFERROR(__xludf.DUMMYFUNCTION("""COMPUTED_VALUE"""),"LaserJet Pro M28w")</f>
        <v>LaserJet Pro M28w</v>
      </c>
      <c r="E1327" s="2005" t="str">
        <f>IFERROR(__xludf.DUMMYFUNCTION("""COMPUTED_VALUE"""),"HP")</f>
        <v>HP</v>
      </c>
      <c r="F1327" s="2005" t="str">
        <f>IFERROR(__xludf.DUMMYFUNCTION("""COMPUTED_VALUE"""),"H")</f>
        <v>H</v>
      </c>
      <c r="G1327" s="2005" t="str">
        <f>IFERROR(__xludf.DUMMYFUNCTION("""COMPUTED_VALUE"""),"NN")</f>
        <v>NN</v>
      </c>
      <c r="H1327">
        <f>IFERROR(__xludf.DUMMYFUNCTION("""COMPUTED_VALUE"""),159.99)</f>
        <v>159.99</v>
      </c>
      <c r="I1327">
        <f>IFERROR(__xludf.DUMMYFUNCTION("""COMPUTED_VALUE"""),159.99)</f>
        <v>159.99</v>
      </c>
      <c r="BD1327" s="2006"/>
      <c r="LM1327" s="2007"/>
    </row>
    <row r="1328">
      <c r="A1328" s="2005">
        <f>IFERROR(__xludf.DUMMYFUNCTION("""COMPUTED_VALUE"""),1112117.0)</f>
        <v>1112117</v>
      </c>
      <c r="B1328" s="2005">
        <f>IFERROR(__xludf.DUMMYFUNCTION("""COMPUTED_VALUE"""),2403010.0)</f>
        <v>2403010</v>
      </c>
      <c r="C1328" s="2005" t="str">
        <f>IFERROR(__xludf.DUMMYFUNCTION("""COMPUTED_VALUE"""),"Toner")</f>
        <v>Toner</v>
      </c>
      <c r="D1328" s="2005" t="str">
        <f>IFERROR(__xludf.DUMMYFUNCTION("""COMPUTED_VALUE"""),"44A Noir")</f>
        <v>44A Noir</v>
      </c>
      <c r="E1328" s="2005" t="str">
        <f>IFERROR(__xludf.DUMMYFUNCTION("""COMPUTED_VALUE"""),"HP")</f>
        <v>HP</v>
      </c>
      <c r="F1328" s="2005" t="str">
        <f>IFERROR(__xludf.DUMMYFUNCTION("""COMPUTED_VALUE"""),"C")</f>
        <v>C</v>
      </c>
      <c r="G1328" s="2005" t="str">
        <f>IFERROR(__xludf.DUMMYFUNCTION("""COMPUTED_VALUE"""),"AC")</f>
        <v>AC</v>
      </c>
      <c r="H1328" s="2005">
        <f>IFERROR(__xludf.DUMMYFUNCTION("""COMPUTED_VALUE"""),67.99)</f>
        <v>67.99</v>
      </c>
      <c r="I1328" s="2005">
        <f>IFERROR(__xludf.DUMMYFUNCTION("""COMPUTED_VALUE"""),67.99)</f>
        <v>67.99</v>
      </c>
      <c r="BD1328" s="2006"/>
      <c r="LM1328" s="2007"/>
    </row>
    <row r="1329">
      <c r="A1329" s="2005">
        <f>IFERROR(__xludf.DUMMYFUNCTION("""COMPUTED_VALUE"""),1112564.0)</f>
        <v>1112564</v>
      </c>
      <c r="B1329" s="2005">
        <f>IFERROR(__xludf.DUMMYFUNCTION("""COMPUTED_VALUE"""),2502040.0)</f>
        <v>2502040</v>
      </c>
      <c r="C1329" s="2005" t="str">
        <f>IFERROR(__xludf.DUMMYFUNCTION("""COMPUTED_VALUE"""),"Souris")</f>
        <v>Souris</v>
      </c>
      <c r="D1329" s="2005" t="str">
        <f>IFERROR(__xludf.DUMMYFUNCTION("""COMPUTED_VALUE"""),"Surface Mobile Mouse Platine")</f>
        <v>Surface Mobile Mouse Platine</v>
      </c>
      <c r="E1329" s="2005" t="str">
        <f>IFERROR(__xludf.DUMMYFUNCTION("""COMPUTED_VALUE"""),"MICROSOFT")</f>
        <v>MICROSOFT</v>
      </c>
      <c r="F1329" s="2005" t="str">
        <f>IFERROR(__xludf.DUMMYFUNCTION("""COMPUTED_VALUE"""),"C")</f>
        <v>C</v>
      </c>
      <c r="G1329" s="2005" t="str">
        <f>IFERROR(__xludf.DUMMYFUNCTION("""COMPUTED_VALUE"""),"FF")</f>
        <v>FF</v>
      </c>
      <c r="H1329" s="2005">
        <f>IFERROR(__xludf.DUMMYFUNCTION("""COMPUTED_VALUE"""),35.99)</f>
        <v>35.99</v>
      </c>
      <c r="I1329" s="2005">
        <f>IFERROR(__xludf.DUMMYFUNCTION("""COMPUTED_VALUE"""),35.99)</f>
        <v>35.99</v>
      </c>
      <c r="BD1329" s="2006"/>
      <c r="LL1329" s="2007"/>
      <c r="LM1329" s="2007"/>
      <c r="MX1329" s="2007"/>
      <c r="ND1329" s="2007"/>
    </row>
    <row r="1330">
      <c r="A1330" s="2005">
        <f>IFERROR(__xludf.DUMMYFUNCTION("""COMPUTED_VALUE"""),1112567.0)</f>
        <v>1112567</v>
      </c>
      <c r="B1330" s="2005">
        <f>IFERROR(__xludf.DUMMYFUNCTION("""COMPUTED_VALUE"""),2502040.0)</f>
        <v>2502040</v>
      </c>
      <c r="C1330" s="2005" t="str">
        <f>IFERROR(__xludf.DUMMYFUNCTION("""COMPUTED_VALUE"""),"Adaptateur")</f>
        <v>Adaptateur</v>
      </c>
      <c r="D1330" s="2005" t="str">
        <f>IFERROR(__xludf.DUMMYFUNCTION("""COMPUTED_VALUE"""),"USB-C vers Ethernet")</f>
        <v>USB-C vers Ethernet</v>
      </c>
      <c r="E1330" s="2005" t="str">
        <f>IFERROR(__xludf.DUMMYFUNCTION("""COMPUTED_VALUE"""),"MICROSOFT")</f>
        <v>MICROSOFT</v>
      </c>
      <c r="F1330" s="2005" t="str">
        <f>IFERROR(__xludf.DUMMYFUNCTION("""COMPUTED_VALUE"""),"H")</f>
        <v>H</v>
      </c>
      <c r="G1330" s="2005" t="str">
        <f>IFERROR(__xludf.DUMMYFUNCTION("""COMPUTED_VALUE"""),"NN")</f>
        <v>NN</v>
      </c>
      <c r="H1330" s="2005">
        <f>IFERROR(__xludf.DUMMYFUNCTION("""COMPUTED_VALUE"""),33.99)</f>
        <v>33.99</v>
      </c>
      <c r="I1330" s="2005">
        <f>IFERROR(__xludf.DUMMYFUNCTION("""COMPUTED_VALUE"""),33.99)</f>
        <v>33.99</v>
      </c>
      <c r="LL1330" s="2007"/>
      <c r="LM1330" s="2007"/>
    </row>
    <row r="1331">
      <c r="A1331" s="2005">
        <f>IFERROR(__xludf.DUMMYFUNCTION("""COMPUTED_VALUE"""),1112573.0)</f>
        <v>1112573</v>
      </c>
      <c r="B1331" s="2005">
        <f>IFERROR(__xludf.DUMMYFUNCTION("""COMPUTED_VALUE"""),2502040.0)</f>
        <v>2502040</v>
      </c>
      <c r="C1331" s="2005" t="str">
        <f>IFERROR(__xludf.DUMMYFUNCTION("""COMPUTED_VALUE"""),"Clavier")</f>
        <v>Clavier</v>
      </c>
      <c r="D1331" s="2005" t="str">
        <f>IFERROR(__xludf.DUMMYFUNCTION("""COMPUTED_VALUE"""),"DEMO Type Cover Signature Burgundy")</f>
        <v>DEMO Type Cover Signature Burgundy</v>
      </c>
      <c r="E1331" s="2005" t="str">
        <f>IFERROR(__xludf.DUMMYFUNCTION("""COMPUTED_VALUE"""),"MICROSOFT")</f>
        <v>MICROSOFT</v>
      </c>
      <c r="F1331" s="2005" t="str">
        <f>IFERROR(__xludf.DUMMYFUNCTION("""COMPUTED_VALUE"""),"H")</f>
        <v>H</v>
      </c>
      <c r="G1331" s="2005" t="str">
        <f>IFERROR(__xludf.DUMMYFUNCTION("""COMPUTED_VALUE"""),"NN")</f>
        <v>NN</v>
      </c>
      <c r="H1331" s="2005">
        <f>IFERROR(__xludf.DUMMYFUNCTION("""COMPUTED_VALUE"""),42.99)</f>
        <v>42.99</v>
      </c>
      <c r="I1331" s="2005">
        <f>IFERROR(__xludf.DUMMYFUNCTION("""COMPUTED_VALUE"""),42.99)</f>
        <v>42.99</v>
      </c>
      <c r="LL1331" s="2007"/>
      <c r="LM1331" s="2007"/>
    </row>
    <row r="1332">
      <c r="A1332" s="2005">
        <f>IFERROR(__xludf.DUMMYFUNCTION("""COMPUTED_VALUE"""),1112574.0)</f>
        <v>1112574</v>
      </c>
      <c r="B1332" s="2005">
        <f>IFERROR(__xludf.DUMMYFUNCTION("""COMPUTED_VALUE"""),2502040.0)</f>
        <v>2502040</v>
      </c>
      <c r="C1332" s="2005" t="str">
        <f>IFERROR(__xludf.DUMMYFUNCTION("""COMPUTED_VALUE"""),"Souris")</f>
        <v>Souris</v>
      </c>
      <c r="D1332" s="2005" t="str">
        <f>IFERROR(__xludf.DUMMYFUNCTION("""COMPUTED_VALUE"""),"DEMO Mobile Mouse Burgundy")</f>
        <v>DEMO Mobile Mouse Burgundy</v>
      </c>
      <c r="E1332" s="2005" t="str">
        <f>IFERROR(__xludf.DUMMYFUNCTION("""COMPUTED_VALUE"""),"MICROSOFT")</f>
        <v>MICROSOFT</v>
      </c>
      <c r="F1332" s="2005" t="str">
        <f>IFERROR(__xludf.DUMMYFUNCTION("""COMPUTED_VALUE"""),"H")</f>
        <v>H</v>
      </c>
      <c r="G1332" s="2005" t="str">
        <f>IFERROR(__xludf.DUMMYFUNCTION("""COMPUTED_VALUE"""),"NN")</f>
        <v>NN</v>
      </c>
      <c r="H1332">
        <f>IFERROR(__xludf.DUMMYFUNCTION("""COMPUTED_VALUE"""),11.99)</f>
        <v>11.99</v>
      </c>
      <c r="I1332">
        <f>IFERROR(__xludf.DUMMYFUNCTION("""COMPUTED_VALUE"""),11.99)</f>
        <v>11.99</v>
      </c>
      <c r="LL1332" s="2008"/>
      <c r="LM1332" s="2007"/>
    </row>
    <row r="1333">
      <c r="A1333" s="2005">
        <f>IFERROR(__xludf.DUMMYFUNCTION("""COMPUTED_VALUE"""),1112624.0)</f>
        <v>1112624</v>
      </c>
      <c r="B1333" s="2005">
        <f>IFERROR(__xludf.DUMMYFUNCTION("""COMPUTED_VALUE"""),2502040.0)</f>
        <v>2502040</v>
      </c>
      <c r="C1333" s="2005" t="str">
        <f>IFERROR(__xludf.DUMMYFUNCTION("""COMPUTED_VALUE"""),"Clavier")</f>
        <v>Clavier</v>
      </c>
      <c r="D1333" s="2005" t="str">
        <f>IFERROR(__xludf.DUMMYFUNCTION("""COMPUTED_VALUE"""),"Clavier Type cover Surface Go Noir")</f>
        <v>Clavier Type cover Surface Go Noir</v>
      </c>
      <c r="E1333" s="2005" t="str">
        <f>IFERROR(__xludf.DUMMYFUNCTION("""COMPUTED_VALUE"""),"MICROSOFT")</f>
        <v>MICROSOFT</v>
      </c>
      <c r="F1333" s="2005" t="str">
        <f>IFERROR(__xludf.DUMMYFUNCTION("""COMPUTED_VALUE"""),"C")</f>
        <v>C</v>
      </c>
      <c r="G1333" s="2005" t="str">
        <f>IFERROR(__xludf.DUMMYFUNCTION("""COMPUTED_VALUE"""),"NN")</f>
        <v>NN</v>
      </c>
      <c r="H1333" s="2005">
        <f>IFERROR(__xludf.DUMMYFUNCTION("""COMPUTED_VALUE"""),66.99)</f>
        <v>66.99</v>
      </c>
      <c r="I1333" s="2005">
        <f>IFERROR(__xludf.DUMMYFUNCTION("""COMPUTED_VALUE"""),66.99)</f>
        <v>66.99</v>
      </c>
      <c r="LL1333" s="2007"/>
      <c r="LM1333" s="2007"/>
    </row>
    <row r="1334">
      <c r="A1334" s="2005">
        <f>IFERROR(__xludf.DUMMYFUNCTION("""COMPUTED_VALUE"""),1112625.0)</f>
        <v>1112625</v>
      </c>
      <c r="B1334" s="2005">
        <f>IFERROR(__xludf.DUMMYFUNCTION("""COMPUTED_VALUE"""),2502040.0)</f>
        <v>2502040</v>
      </c>
      <c r="C1334" s="2005" t="str">
        <f>IFERROR(__xludf.DUMMYFUNCTION("""COMPUTED_VALUE"""),"Clavier")</f>
        <v>Clavier</v>
      </c>
      <c r="D1334" s="2005" t="str">
        <f>IFERROR(__xludf.DUMMYFUNCTION("""COMPUTED_VALUE"""),"Type cover signature Surface GO Platine")</f>
        <v>Type cover signature Surface GO Platine</v>
      </c>
      <c r="E1334" s="2005" t="str">
        <f>IFERROR(__xludf.DUMMYFUNCTION("""COMPUTED_VALUE"""),"MICROSOFT")</f>
        <v>MICROSOFT</v>
      </c>
      <c r="F1334" s="2005" t="str">
        <f>IFERROR(__xludf.DUMMYFUNCTION("""COMPUTED_VALUE"""),"C")</f>
        <v>C</v>
      </c>
      <c r="G1334" s="2005" t="str">
        <f>IFERROR(__xludf.DUMMYFUNCTION("""COMPUTED_VALUE"""),"NN")</f>
        <v>NN</v>
      </c>
      <c r="H1334" s="2005">
        <f>IFERROR(__xludf.DUMMYFUNCTION("""COMPUTED_VALUE"""),85.99)</f>
        <v>85.99</v>
      </c>
      <c r="I1334" s="2005">
        <f>IFERROR(__xludf.DUMMYFUNCTION("""COMPUTED_VALUE"""),85.99)</f>
        <v>85.99</v>
      </c>
      <c r="BD1334" s="2006"/>
      <c r="LL1334" s="2007"/>
      <c r="LM1334" s="2007"/>
      <c r="MX1334" s="2007"/>
      <c r="ND1334" s="2007"/>
    </row>
    <row r="1335">
      <c r="A1335" s="2005">
        <f>IFERROR(__xludf.DUMMYFUNCTION("""COMPUTED_VALUE"""),1112626.0)</f>
        <v>1112626</v>
      </c>
      <c r="B1335" s="2005">
        <f>IFERROR(__xludf.DUMMYFUNCTION("""COMPUTED_VALUE"""),2502040.0)</f>
        <v>2502040</v>
      </c>
      <c r="C1335" s="2005" t="str">
        <f>IFERROR(__xludf.DUMMYFUNCTION("""COMPUTED_VALUE"""),"Clavier")</f>
        <v>Clavier</v>
      </c>
      <c r="D1335" s="2005" t="str">
        <f>IFERROR(__xludf.DUMMYFUNCTION("""COMPUTED_VALUE"""),"Type Cover Surface Go Sign Bleu Cobalt")</f>
        <v>Type Cover Surface Go Sign Bleu Cobalt</v>
      </c>
      <c r="E1335" s="2005" t="str">
        <f>IFERROR(__xludf.DUMMYFUNCTION("""COMPUTED_VALUE"""),"MICROSOFT")</f>
        <v>MICROSOFT</v>
      </c>
      <c r="F1335" s="2005" t="str">
        <f>IFERROR(__xludf.DUMMYFUNCTION("""COMPUTED_VALUE"""),"C")</f>
        <v>C</v>
      </c>
      <c r="G1335" s="2005" t="str">
        <f>IFERROR(__xludf.DUMMYFUNCTION("""COMPUTED_VALUE"""),"NN")</f>
        <v>NN</v>
      </c>
      <c r="H1335" s="2005">
        <f>IFERROR(__xludf.DUMMYFUNCTION("""COMPUTED_VALUE"""),85.99)</f>
        <v>85.99</v>
      </c>
      <c r="I1335" s="2005">
        <f>IFERROR(__xludf.DUMMYFUNCTION("""COMPUTED_VALUE"""),85.99)</f>
        <v>85.99</v>
      </c>
      <c r="BD1335" s="2006"/>
      <c r="LL1335" s="2007"/>
      <c r="LM1335" s="2007"/>
      <c r="MX1335" s="2007"/>
      <c r="ND1335" s="2007"/>
    </row>
    <row r="1336">
      <c r="A1336" s="2005">
        <f>IFERROR(__xludf.DUMMYFUNCTION("""COMPUTED_VALUE"""),1112627.0)</f>
        <v>1112627</v>
      </c>
      <c r="B1336" s="2005">
        <f>IFERROR(__xludf.DUMMYFUNCTION("""COMPUTED_VALUE"""),2502040.0)</f>
        <v>2502040</v>
      </c>
      <c r="C1336" s="2005" t="str">
        <f>IFERROR(__xludf.DUMMYFUNCTION("""COMPUTED_VALUE"""),"Clavier")</f>
        <v>Clavier</v>
      </c>
      <c r="D1336" s="2005" t="str">
        <f>IFERROR(__xludf.DUMMYFUNCTION("""COMPUTED_VALUE"""),"Type Cover Sign Surface Go Bordeaux")</f>
        <v>Type Cover Sign Surface Go Bordeaux</v>
      </c>
      <c r="E1336" s="2005" t="str">
        <f>IFERROR(__xludf.DUMMYFUNCTION("""COMPUTED_VALUE"""),"MICROSOFT")</f>
        <v>MICROSOFT</v>
      </c>
      <c r="F1336" s="2005" t="str">
        <f>IFERROR(__xludf.DUMMYFUNCTION("""COMPUTED_VALUE"""),"C")</f>
        <v>C</v>
      </c>
      <c r="G1336" s="2005" t="str">
        <f>IFERROR(__xludf.DUMMYFUNCTION("""COMPUTED_VALUE"""),"NN")</f>
        <v>NN</v>
      </c>
      <c r="H1336" s="2005">
        <f>IFERROR(__xludf.DUMMYFUNCTION("""COMPUTED_VALUE"""),85.99)</f>
        <v>85.99</v>
      </c>
      <c r="I1336" s="2005">
        <f>IFERROR(__xludf.DUMMYFUNCTION("""COMPUTED_VALUE"""),85.99)</f>
        <v>85.99</v>
      </c>
      <c r="BD1336" s="2006"/>
      <c r="LL1336" s="2007"/>
      <c r="LM1336" s="2007"/>
      <c r="MX1336" s="2007"/>
      <c r="ND1336" s="2007"/>
    </row>
    <row r="1337">
      <c r="A1337" s="2005">
        <f>IFERROR(__xludf.DUMMYFUNCTION("""COMPUTED_VALUE"""),1112755.0)</f>
        <v>1112755</v>
      </c>
      <c r="B1337" s="2005">
        <f>IFERROR(__xludf.DUMMYFUNCTION("""COMPUTED_VALUE"""),1108005.0)</f>
        <v>1108005</v>
      </c>
      <c r="C1337" s="2005" t="str">
        <f>IFERROR(__xludf.DUMMYFUNCTION("""COMPUTED_VALUE"""),"Talkie")</f>
        <v>Talkie</v>
      </c>
      <c r="D1337" s="2005" t="str">
        <f>IFERROR(__xludf.DUMMYFUNCTION("""COMPUTED_VALUE"""),"TALKABOUT T62")</f>
        <v>TALKABOUT T62</v>
      </c>
      <c r="E1337" s="2005" t="str">
        <f>IFERROR(__xludf.DUMMYFUNCTION("""COMPUTED_VALUE"""),"MOTOROLA")</f>
        <v>MOTOROLA</v>
      </c>
      <c r="F1337" s="2005" t="str">
        <f>IFERROR(__xludf.DUMMYFUNCTION("""COMPUTED_VALUE"""),"A")</f>
        <v>A</v>
      </c>
      <c r="G1337" s="2005" t="str">
        <f>IFERROR(__xludf.DUMMYFUNCTION("""COMPUTED_VALUE"""),"AC")</f>
        <v>AC</v>
      </c>
      <c r="H1337" s="2005">
        <f>IFERROR(__xludf.DUMMYFUNCTION("""COMPUTED_VALUE"""),82.99)</f>
        <v>82.99</v>
      </c>
      <c r="I1337" s="2005">
        <f>IFERROR(__xludf.DUMMYFUNCTION("""COMPUTED_VALUE"""),82.99)</f>
        <v>82.99</v>
      </c>
      <c r="BD1337" s="2006"/>
      <c r="LL1337" s="2007"/>
      <c r="LM1337" s="2007"/>
      <c r="MX1337" s="2007"/>
      <c r="ND1337" s="2007"/>
    </row>
    <row r="1338">
      <c r="A1338" s="2005">
        <f>IFERROR(__xludf.DUMMYFUNCTION("""COMPUTED_VALUE"""),1112861.0)</f>
        <v>1112861</v>
      </c>
      <c r="B1338" s="2005">
        <f>IFERROR(__xludf.DUMMYFUNCTION("""COMPUTED_VALUE"""),2502040.0)</f>
        <v>2502040</v>
      </c>
      <c r="C1338" s="2005" t="str">
        <f>IFERROR(__xludf.DUMMYFUNCTION("""COMPUTED_VALUE"""),"Adaptateur")</f>
        <v>Adaptateur</v>
      </c>
      <c r="D1338" s="2005" t="str">
        <f>IFERROR(__xludf.DUMMYFUNCTION("""COMPUTED_VALUE"""),"USB-C vers USB-A")</f>
        <v>USB-C vers USB-A</v>
      </c>
      <c r="E1338" s="2005" t="str">
        <f>IFERROR(__xludf.DUMMYFUNCTION("""COMPUTED_VALUE"""),"MICROSOFT")</f>
        <v>MICROSOFT</v>
      </c>
      <c r="F1338" s="2005" t="str">
        <f>IFERROR(__xludf.DUMMYFUNCTION("""COMPUTED_VALUE"""),"E")</f>
        <v>E</v>
      </c>
      <c r="G1338" s="2005" t="str">
        <f>IFERROR(__xludf.DUMMYFUNCTION("""COMPUTED_VALUE"""),"NN")</f>
        <v>NN</v>
      </c>
      <c r="H1338" s="2005">
        <f>IFERROR(__xludf.DUMMYFUNCTION("""COMPUTED_VALUE"""),19.99)</f>
        <v>19.99</v>
      </c>
      <c r="I1338" s="2005">
        <f>IFERROR(__xludf.DUMMYFUNCTION("""COMPUTED_VALUE"""),19.99)</f>
        <v>19.99</v>
      </c>
      <c r="BD1338" s="2006"/>
      <c r="LL1338" s="2007"/>
      <c r="LM1338" s="2007"/>
      <c r="MX1338" s="2007"/>
      <c r="ND1338" s="2007"/>
    </row>
    <row r="1339">
      <c r="A1339" s="2005">
        <f>IFERROR(__xludf.DUMMYFUNCTION("""COMPUTED_VALUE"""),1113189.0)</f>
        <v>1113189</v>
      </c>
      <c r="B1339" s="2005">
        <f>IFERROR(__xludf.DUMMYFUNCTION("""COMPUTED_VALUE"""),2502024.0)</f>
        <v>2502024</v>
      </c>
      <c r="C1339" s="2005" t="str">
        <f>IFERROR(__xludf.DUMMYFUNCTION("""COMPUTED_VALUE"""),"Stylet")</f>
        <v>Stylet</v>
      </c>
      <c r="D1339" s="2005" t="str">
        <f>IFERROR(__xludf.DUMMYFUNCTION("""COMPUTED_VALUE"""),"S Pen Noir pour Galaxy Tab S4")</f>
        <v>S Pen Noir pour Galaxy Tab S4</v>
      </c>
      <c r="E1339" s="2005" t="str">
        <f>IFERROR(__xludf.DUMMYFUNCTION("""COMPUTED_VALUE"""),"SAMSUNG")</f>
        <v>SAMSUNG</v>
      </c>
      <c r="F1339" s="2005" t="str">
        <f>IFERROR(__xludf.DUMMYFUNCTION("""COMPUTED_VALUE"""),"D")</f>
        <v>D</v>
      </c>
      <c r="G1339" s="2005" t="str">
        <f>IFERROR(__xludf.DUMMYFUNCTION("""COMPUTED_VALUE"""),"NN")</f>
        <v>NN</v>
      </c>
      <c r="H1339" s="2005">
        <f>IFERROR(__xludf.DUMMYFUNCTION("""COMPUTED_VALUE"""),29.99)</f>
        <v>29.99</v>
      </c>
      <c r="I1339" s="2005">
        <f>IFERROR(__xludf.DUMMYFUNCTION("""COMPUTED_VALUE"""),29.99)</f>
        <v>29.99</v>
      </c>
      <c r="BD1339" s="2006"/>
      <c r="LL1339" s="2007"/>
      <c r="LM1339" s="2007"/>
      <c r="MX1339" s="2007"/>
      <c r="ND1339" s="2007"/>
    </row>
    <row r="1340">
      <c r="A1340" s="2005">
        <f>IFERROR(__xludf.DUMMYFUNCTION("""COMPUTED_VALUE"""),1113393.0)</f>
        <v>1113393</v>
      </c>
      <c r="B1340" s="2005">
        <f>IFERROR(__xludf.DUMMYFUNCTION("""COMPUTED_VALUE"""),2402005.0)</f>
        <v>2402005</v>
      </c>
      <c r="C1340" s="2005" t="str">
        <f>IFERROR(__xludf.DUMMYFUNCTION("""COMPUTED_VALUE"""),"ILV")</f>
        <v>ILV</v>
      </c>
      <c r="D1340" s="2005" t="str">
        <f>IFERROR(__xludf.DUMMYFUNCTION("""COMPUTED_VALUE"""),"ILV sur girafe ALL IN BOX")</f>
        <v>ILV sur girafe ALL IN BOX</v>
      </c>
      <c r="E1340" s="2005" t="str">
        <f>IFERROR(__xludf.DUMMYFUNCTION("""COMPUTED_VALUE"""),"BROTHER")</f>
        <v>BROTHER</v>
      </c>
      <c r="F1340" s="2005" t="str">
        <f>IFERROR(__xludf.DUMMYFUNCTION("""COMPUTED_VALUE"""),"H")</f>
        <v>H</v>
      </c>
      <c r="G1340" s="2005" t="str">
        <f>IFERROR(__xludf.DUMMYFUNCTION("""COMPUTED_VALUE"""),"NN")</f>
        <v>NN</v>
      </c>
      <c r="H1340" s="2005">
        <f>IFERROR(__xludf.DUMMYFUNCTION("""COMPUTED_VALUE"""),0.0)</f>
        <v>0</v>
      </c>
      <c r="I1340" s="2005">
        <f>IFERROR(__xludf.DUMMYFUNCTION("""COMPUTED_VALUE"""),0.0)</f>
        <v>0</v>
      </c>
      <c r="BD1340" s="2006"/>
      <c r="LL1340" s="2007"/>
      <c r="LM1340" s="2007"/>
      <c r="MX1340" s="2007"/>
      <c r="ND1340" s="2007"/>
    </row>
    <row r="1341">
      <c r="A1341" s="2005">
        <f>IFERROR(__xludf.DUMMYFUNCTION("""COMPUTED_VALUE"""),1113396.0)</f>
        <v>1113396</v>
      </c>
      <c r="B1341" s="2005">
        <f>IFERROR(__xludf.DUMMYFUNCTION("""COMPUTED_VALUE"""),2402005.0)</f>
        <v>2402005</v>
      </c>
      <c r="C1341" s="2005" t="str">
        <f>IFERROR(__xludf.DUMMYFUNCTION("""COMPUTED_VALUE"""),"ILV")</f>
        <v>ILV</v>
      </c>
      <c r="D1341" s="2005" t="str">
        <f>IFERROR(__xludf.DUMMYFUNCTION("""COMPUTED_VALUE"""),"Tete de gondole ALL IN BOX")</f>
        <v>Tete de gondole ALL IN BOX</v>
      </c>
      <c r="E1341" s="2005" t="str">
        <f>IFERROR(__xludf.DUMMYFUNCTION("""COMPUTED_VALUE"""),"BROTHER")</f>
        <v>BROTHER</v>
      </c>
      <c r="F1341" s="2005" t="str">
        <f>IFERROR(__xludf.DUMMYFUNCTION("""COMPUTED_VALUE"""),"H")</f>
        <v>H</v>
      </c>
      <c r="G1341" s="2005" t="str">
        <f>IFERROR(__xludf.DUMMYFUNCTION("""COMPUTED_VALUE"""),"NN")</f>
        <v>NN</v>
      </c>
      <c r="H1341" s="2005">
        <f>IFERROR(__xludf.DUMMYFUNCTION("""COMPUTED_VALUE"""),0.0)</f>
        <v>0</v>
      </c>
      <c r="I1341" s="2005">
        <f>IFERROR(__xludf.DUMMYFUNCTION("""COMPUTED_VALUE"""),0.0)</f>
        <v>0</v>
      </c>
      <c r="BD1341" s="2006"/>
      <c r="LL1341" s="2007"/>
      <c r="LM1341" s="2007"/>
      <c r="MX1341" s="2007"/>
      <c r="ND1341" s="2007"/>
    </row>
    <row r="1342">
      <c r="A1342" s="2005">
        <f>IFERROR(__xludf.DUMMYFUNCTION("""COMPUTED_VALUE"""),1113453.0)</f>
        <v>1113453</v>
      </c>
      <c r="B1342" s="2005">
        <f>IFERROR(__xludf.DUMMYFUNCTION("""COMPUTED_VALUE"""),2202010.0)</f>
        <v>2202010</v>
      </c>
      <c r="C1342" s="2005" t="str">
        <f>IFERROR(__xludf.DUMMYFUNCTION("""COMPUTED_VALUE"""),"Multi Jet d'enc")</f>
        <v>Multi Jet d'enc</v>
      </c>
      <c r="D1342" s="2005" t="str">
        <f>IFERROR(__xludf.DUMMYFUNCTION("""COMPUTED_VALUE"""),"EcoTank ET-2711")</f>
        <v>EcoTank ET-2711</v>
      </c>
      <c r="E1342" s="2005" t="str">
        <f>IFERROR(__xludf.DUMMYFUNCTION("""COMPUTED_VALUE"""),"EPSON")</f>
        <v>EPSON</v>
      </c>
      <c r="F1342" s="2005" t="str">
        <f>IFERROR(__xludf.DUMMYFUNCTION("""COMPUTED_VALUE"""),"B")</f>
        <v>B</v>
      </c>
      <c r="G1342" s="2005" t="str">
        <f>IFERROR(__xludf.DUMMYFUNCTION("""COMPUTED_VALUE"""),"NN")</f>
        <v>NN</v>
      </c>
      <c r="H1342" s="2005">
        <f>IFERROR(__xludf.DUMMYFUNCTION("""COMPUTED_VALUE"""),229.0)</f>
        <v>229</v>
      </c>
      <c r="I1342" s="2005">
        <f>IFERROR(__xludf.DUMMYFUNCTION("""COMPUTED_VALUE"""),229.0)</f>
        <v>229</v>
      </c>
      <c r="BD1342" s="2006"/>
      <c r="LL1342" s="2007"/>
      <c r="LM1342" s="2007"/>
      <c r="MX1342" s="2008"/>
      <c r="ND1342" s="2007"/>
    </row>
    <row r="1343">
      <c r="A1343" s="2005">
        <f>IFERROR(__xludf.DUMMYFUNCTION("""COMPUTED_VALUE"""),1113580.0)</f>
        <v>1113580</v>
      </c>
      <c r="B1343" s="2005">
        <f>IFERROR(__xludf.DUMMYFUNCTION("""COMPUTED_VALUE"""),2502040.0)</f>
        <v>2502040</v>
      </c>
      <c r="C1343" s="2005" t="str">
        <f>IFERROR(__xludf.DUMMYFUNCTION("""COMPUTED_VALUE"""),"Alim")</f>
        <v>Alim</v>
      </c>
      <c r="D1343" s="2005" t="str">
        <f>IFERROR(__xludf.DUMMYFUNCTION("""COMPUTED_VALUE"""),"Surface Go")</f>
        <v>Surface Go</v>
      </c>
      <c r="E1343" s="2005" t="str">
        <f>IFERROR(__xludf.DUMMYFUNCTION("""COMPUTED_VALUE"""),"MICROSOFT")</f>
        <v>MICROSOFT</v>
      </c>
      <c r="F1343" s="2005" t="str">
        <f>IFERROR(__xludf.DUMMYFUNCTION("""COMPUTED_VALUE"""),"W")</f>
        <v>W</v>
      </c>
      <c r="G1343" s="2005" t="str">
        <f>IFERROR(__xludf.DUMMYFUNCTION("""COMPUTED_VALUE"""),"AC")</f>
        <v>AC</v>
      </c>
      <c r="H1343">
        <f>IFERROR(__xludf.DUMMYFUNCTION("""COMPUTED_VALUE"""),39.99)</f>
        <v>39.99</v>
      </c>
      <c r="I1343">
        <f>IFERROR(__xludf.DUMMYFUNCTION("""COMPUTED_VALUE"""),31.49)</f>
        <v>31.49</v>
      </c>
      <c r="BD1343" s="2006"/>
      <c r="LL1343" s="2007"/>
      <c r="LM1343" s="2007"/>
      <c r="MX1343" s="2007"/>
      <c r="ND1343" s="2007"/>
    </row>
    <row r="1344">
      <c r="A1344" s="2005">
        <f>IFERROR(__xludf.DUMMYFUNCTION("""COMPUTED_VALUE"""),1114065.0)</f>
        <v>1114065</v>
      </c>
      <c r="B1344" s="2005">
        <f>IFERROR(__xludf.DUMMYFUNCTION("""COMPUTED_VALUE"""),2502024.0)</f>
        <v>2502024</v>
      </c>
      <c r="C1344" s="2005" t="str">
        <f>IFERROR(__xludf.DUMMYFUNCTION("""COMPUTED_VALUE"""),"Stylet")</f>
        <v>Stylet</v>
      </c>
      <c r="D1344" s="2005" t="str">
        <f>IFERROR(__xludf.DUMMYFUNCTION("""COMPUTED_VALUE"""),"BAMBOO INK Smart Stylus")</f>
        <v>BAMBOO INK Smart Stylus</v>
      </c>
      <c r="E1344" s="2005" t="str">
        <f>IFERROR(__xludf.DUMMYFUNCTION("""COMPUTED_VALUE"""),"WACOM")</f>
        <v>WACOM</v>
      </c>
      <c r="F1344" s="2005" t="str">
        <f>IFERROR(__xludf.DUMMYFUNCTION("""COMPUTED_VALUE"""),"B")</f>
        <v>B</v>
      </c>
      <c r="G1344" s="2005" t="str">
        <f>IFERROR(__xludf.DUMMYFUNCTION("""COMPUTED_VALUE"""),"NN")</f>
        <v>NN</v>
      </c>
      <c r="H1344" s="2005">
        <f>IFERROR(__xludf.DUMMYFUNCTION("""COMPUTED_VALUE"""),49.99)</f>
        <v>49.99</v>
      </c>
      <c r="I1344" s="2005">
        <f>IFERROR(__xludf.DUMMYFUNCTION("""COMPUTED_VALUE"""),49.99)</f>
        <v>49.99</v>
      </c>
      <c r="BD1344" s="2006"/>
      <c r="LL1344" s="2007"/>
      <c r="LM1344" s="2007"/>
      <c r="MX1344" s="2007"/>
      <c r="ND1344" s="2008"/>
    </row>
    <row r="1345">
      <c r="A1345" s="2005">
        <f>IFERROR(__xludf.DUMMYFUNCTION("""COMPUTED_VALUE"""),1114069.0)</f>
        <v>1114069</v>
      </c>
      <c r="B1345" s="2005">
        <f>IFERROR(__xludf.DUMMYFUNCTION("""COMPUTED_VALUE"""),2502024.0)</f>
        <v>2502024</v>
      </c>
      <c r="C1345" s="2005" t="str">
        <f>IFERROR(__xludf.DUMMYFUNCTION("""COMPUTED_VALUE"""),"Stylet")</f>
        <v>Stylet</v>
      </c>
      <c r="D1345" s="2005" t="str">
        <f>IFERROR(__xludf.DUMMYFUNCTION("""COMPUTED_VALUE"""),"M Pen M5 10 Lite")</f>
        <v>M Pen M5 10 Lite</v>
      </c>
      <c r="E1345" s="2005" t="str">
        <f>IFERROR(__xludf.DUMMYFUNCTION("""COMPUTED_VALUE"""),"HUAWEI")</f>
        <v>HUAWEI</v>
      </c>
      <c r="F1345" s="2005" t="str">
        <f>IFERROR(__xludf.DUMMYFUNCTION("""COMPUTED_VALUE"""),"H")</f>
        <v>H</v>
      </c>
      <c r="G1345" s="2005" t="str">
        <f>IFERROR(__xludf.DUMMYFUNCTION("""COMPUTED_VALUE"""),"NN")</f>
        <v>NN</v>
      </c>
      <c r="H1345" s="2005">
        <f>IFERROR(__xludf.DUMMYFUNCTION("""COMPUTED_VALUE"""),20.01)</f>
        <v>20.01</v>
      </c>
      <c r="I1345" s="2005">
        <f>IFERROR(__xludf.DUMMYFUNCTION("""COMPUTED_VALUE"""),20.01)</f>
        <v>20.01</v>
      </c>
      <c r="BD1345" s="2006"/>
      <c r="LL1345" s="2008"/>
      <c r="LM1345" s="2007"/>
      <c r="MX1345" s="2007"/>
      <c r="ND1345" s="2008"/>
    </row>
    <row r="1346">
      <c r="A1346" s="2005">
        <f>IFERROR(__xludf.DUMMYFUNCTION("""COMPUTED_VALUE"""),1114220.0)</f>
        <v>1114220</v>
      </c>
      <c r="B1346" s="2005">
        <f>IFERROR(__xludf.DUMMYFUNCTION("""COMPUTED_VALUE"""),2403005.0)</f>
        <v>2403005</v>
      </c>
      <c r="C1346" s="2005" t="str">
        <f>IFERROR(__xludf.DUMMYFUNCTION("""COMPUTED_VALUE"""),"Cartouche")</f>
        <v>Cartouche</v>
      </c>
      <c r="D1346" s="2005" t="str">
        <f>IFERROR(__xludf.DUMMYFUNCTION("""COMPUTED_VALUE"""),"Ecotank Bouteille 104 noire")</f>
        <v>Ecotank Bouteille 104 noire</v>
      </c>
      <c r="E1346" s="2005" t="str">
        <f>IFERROR(__xludf.DUMMYFUNCTION("""COMPUTED_VALUE"""),"EPSON")</f>
        <v>EPSON</v>
      </c>
      <c r="F1346" s="2005" t="str">
        <f>IFERROR(__xludf.DUMMYFUNCTION("""COMPUTED_VALUE"""),"A")</f>
        <v>A</v>
      </c>
      <c r="G1346" s="2005" t="str">
        <f>IFERROR(__xludf.DUMMYFUNCTION("""COMPUTED_VALUE"""),"AC")</f>
        <v>AC</v>
      </c>
      <c r="H1346" s="2005">
        <f>IFERROR(__xludf.DUMMYFUNCTION("""COMPUTED_VALUE"""),9.99)</f>
        <v>9.99</v>
      </c>
      <c r="I1346" s="2005">
        <f>IFERROR(__xludf.DUMMYFUNCTION("""COMPUTED_VALUE"""),9.99)</f>
        <v>9.99</v>
      </c>
      <c r="BD1346" s="2006"/>
      <c r="LL1346" s="2008"/>
      <c r="LM1346" s="2007"/>
      <c r="MX1346" s="2007"/>
      <c r="ND1346" s="2007"/>
    </row>
    <row r="1347">
      <c r="A1347" s="2005">
        <f>IFERROR(__xludf.DUMMYFUNCTION("""COMPUTED_VALUE"""),1114263.0)</f>
        <v>1114263</v>
      </c>
      <c r="B1347" s="2005">
        <f>IFERROR(__xludf.DUMMYFUNCTION("""COMPUTED_VALUE"""),2403005.0)</f>
        <v>2403005</v>
      </c>
      <c r="C1347" s="2005" t="str">
        <f>IFERROR(__xludf.DUMMYFUNCTION("""COMPUTED_VALUE"""),"Cartouche")</f>
        <v>Cartouche</v>
      </c>
      <c r="D1347" s="2005" t="str">
        <f>IFERROR(__xludf.DUMMYFUNCTION("""COMPUTED_VALUE"""),"Ecotank Bouteille 104 Cyan")</f>
        <v>Ecotank Bouteille 104 Cyan</v>
      </c>
      <c r="E1347" s="2005" t="str">
        <f>IFERROR(__xludf.DUMMYFUNCTION("""COMPUTED_VALUE"""),"EPSON")</f>
        <v>EPSON</v>
      </c>
      <c r="F1347" s="2005" t="str">
        <f>IFERROR(__xludf.DUMMYFUNCTION("""COMPUTED_VALUE"""),"A")</f>
        <v>A</v>
      </c>
      <c r="G1347" s="2005" t="str">
        <f>IFERROR(__xludf.DUMMYFUNCTION("""COMPUTED_VALUE"""),"AC")</f>
        <v>AC</v>
      </c>
      <c r="H1347" s="2005">
        <f>IFERROR(__xludf.DUMMYFUNCTION("""COMPUTED_VALUE"""),9.99)</f>
        <v>9.99</v>
      </c>
      <c r="I1347" s="2005">
        <f>IFERROR(__xludf.DUMMYFUNCTION("""COMPUTED_VALUE"""),9.99)</f>
        <v>9.99</v>
      </c>
      <c r="BD1347" s="2006"/>
      <c r="LL1347" s="2007"/>
      <c r="LM1347" s="2007"/>
      <c r="MX1347" s="2007"/>
      <c r="ND1347" s="2008"/>
    </row>
    <row r="1348">
      <c r="A1348" s="2005">
        <f>IFERROR(__xludf.DUMMYFUNCTION("""COMPUTED_VALUE"""),1114264.0)</f>
        <v>1114264</v>
      </c>
      <c r="B1348" s="2005">
        <f>IFERROR(__xludf.DUMMYFUNCTION("""COMPUTED_VALUE"""),2403005.0)</f>
        <v>2403005</v>
      </c>
      <c r="C1348" s="2005" t="str">
        <f>IFERROR(__xludf.DUMMYFUNCTION("""COMPUTED_VALUE"""),"Cartouche")</f>
        <v>Cartouche</v>
      </c>
      <c r="D1348" s="2005" t="str">
        <f>IFERROR(__xludf.DUMMYFUNCTION("""COMPUTED_VALUE"""),"Ecotank Bouteille 104 Magenta")</f>
        <v>Ecotank Bouteille 104 Magenta</v>
      </c>
      <c r="E1348" s="2005" t="str">
        <f>IFERROR(__xludf.DUMMYFUNCTION("""COMPUTED_VALUE"""),"EPSON")</f>
        <v>EPSON</v>
      </c>
      <c r="F1348" s="2005" t="str">
        <f>IFERROR(__xludf.DUMMYFUNCTION("""COMPUTED_VALUE"""),"A")</f>
        <v>A</v>
      </c>
      <c r="G1348" s="2005" t="str">
        <f>IFERROR(__xludf.DUMMYFUNCTION("""COMPUTED_VALUE"""),"AC")</f>
        <v>AC</v>
      </c>
      <c r="H1348" s="2005">
        <f>IFERROR(__xludf.DUMMYFUNCTION("""COMPUTED_VALUE"""),9.99)</f>
        <v>9.99</v>
      </c>
      <c r="I1348" s="2005">
        <f>IFERROR(__xludf.DUMMYFUNCTION("""COMPUTED_VALUE"""),9.99)</f>
        <v>9.99</v>
      </c>
      <c r="BD1348" s="2006"/>
      <c r="LL1348" s="2008"/>
      <c r="LM1348" s="2007"/>
      <c r="MX1348" s="2007"/>
      <c r="ND1348" s="2007"/>
    </row>
    <row r="1349">
      <c r="A1349" s="2005">
        <f>IFERROR(__xludf.DUMMYFUNCTION("""COMPUTED_VALUE"""),1114265.0)</f>
        <v>1114265</v>
      </c>
      <c r="B1349" s="2005">
        <f>IFERROR(__xludf.DUMMYFUNCTION("""COMPUTED_VALUE"""),2403005.0)</f>
        <v>2403005</v>
      </c>
      <c r="C1349" s="2005" t="str">
        <f>IFERROR(__xludf.DUMMYFUNCTION("""COMPUTED_VALUE"""),"Cartouche")</f>
        <v>Cartouche</v>
      </c>
      <c r="D1349" s="2005" t="str">
        <f>IFERROR(__xludf.DUMMYFUNCTION("""COMPUTED_VALUE"""),"Ecotank Bouteille 104 Jaune")</f>
        <v>Ecotank Bouteille 104 Jaune</v>
      </c>
      <c r="E1349" s="2005" t="str">
        <f>IFERROR(__xludf.DUMMYFUNCTION("""COMPUTED_VALUE"""),"EPSON")</f>
        <v>EPSON</v>
      </c>
      <c r="F1349" s="2005" t="str">
        <f>IFERROR(__xludf.DUMMYFUNCTION("""COMPUTED_VALUE"""),"A")</f>
        <v>A</v>
      </c>
      <c r="G1349" s="2005" t="str">
        <f>IFERROR(__xludf.DUMMYFUNCTION("""COMPUTED_VALUE"""),"AC")</f>
        <v>AC</v>
      </c>
      <c r="H1349" s="2005">
        <f>IFERROR(__xludf.DUMMYFUNCTION("""COMPUTED_VALUE"""),9.99)</f>
        <v>9.99</v>
      </c>
      <c r="I1349" s="2005">
        <f>IFERROR(__xludf.DUMMYFUNCTION("""COMPUTED_VALUE"""),9.99)</f>
        <v>9.99</v>
      </c>
      <c r="BD1349" s="2006"/>
      <c r="LL1349" s="2008"/>
      <c r="LM1349" s="2007"/>
      <c r="MX1349" s="2007"/>
      <c r="ND1349" s="2008"/>
    </row>
    <row r="1350">
      <c r="A1350" s="2005">
        <f>IFERROR(__xludf.DUMMYFUNCTION("""COMPUTED_VALUE"""),1114778.0)</f>
        <v>1114778</v>
      </c>
      <c r="B1350" s="2005">
        <f>IFERROR(__xludf.DUMMYFUNCTION("""COMPUTED_VALUE"""),2502510.0)</f>
        <v>2502510</v>
      </c>
      <c r="D1350" s="2005" t="str">
        <f>IFERROR(__xludf.DUMMYFUNCTION("""COMPUTED_VALUE"""),"IRING DOCK STATION 360")</f>
        <v>IRING DOCK STATION 360</v>
      </c>
      <c r="E1350" s="2005" t="str">
        <f>IFERROR(__xludf.DUMMYFUNCTION("""COMPUTED_VALUE"""),"I RING")</f>
        <v>I RING</v>
      </c>
      <c r="F1350" s="2005" t="str">
        <f>IFERROR(__xludf.DUMMYFUNCTION("""COMPUTED_VALUE"""),"H")</f>
        <v>H</v>
      </c>
      <c r="G1350" s="2005" t="str">
        <f>IFERROR(__xludf.DUMMYFUNCTION("""COMPUTED_VALUE"""),"NN")</f>
        <v>NN</v>
      </c>
      <c r="H1350" s="2005">
        <f>IFERROR(__xludf.DUMMYFUNCTION("""COMPUTED_VALUE"""),14.9)</f>
        <v>14.9</v>
      </c>
      <c r="I1350" s="2005">
        <f>IFERROR(__xludf.DUMMYFUNCTION("""COMPUTED_VALUE"""),14.9)</f>
        <v>14.9</v>
      </c>
      <c r="BD1350" s="2006"/>
      <c r="LL1350" s="2007"/>
      <c r="LM1350" s="2007"/>
      <c r="MX1350" s="2007"/>
      <c r="ND1350" s="2007"/>
    </row>
    <row r="1351">
      <c r="A1351" s="2005">
        <f>IFERROR(__xludf.DUMMYFUNCTION("""COMPUTED_VALUE"""),1114804.0)</f>
        <v>1114804</v>
      </c>
      <c r="B1351" s="2005">
        <f>IFERROR(__xludf.DUMMYFUNCTION("""COMPUTED_VALUE"""),2502020.0)</f>
        <v>2502020</v>
      </c>
      <c r="D1351" s="2005" t="str">
        <f>IFERROR(__xludf.DUMMYFUNCTION("""COMPUTED_VALUE"""),"TEND CAMERA STUART MINION")</f>
        <v>TEND CAMERA STUART MINION</v>
      </c>
      <c r="E1351" s="2005" t="str">
        <f>IFERROR(__xludf.DUMMYFUNCTION("""COMPUTED_VALUE"""),"TEND")</f>
        <v>TEND</v>
      </c>
      <c r="F1351" s="2005" t="str">
        <f>IFERROR(__xludf.DUMMYFUNCTION("""COMPUTED_VALUE"""),"W")</f>
        <v>W</v>
      </c>
      <c r="G1351" s="2005" t="str">
        <f>IFERROR(__xludf.DUMMYFUNCTION("""COMPUTED_VALUE"""),"NN")</f>
        <v>NN</v>
      </c>
      <c r="H1351" s="2005">
        <f>IFERROR(__xludf.DUMMYFUNCTION("""COMPUTED_VALUE"""),69.1)</f>
        <v>69.1</v>
      </c>
      <c r="I1351" s="2005">
        <f>IFERROR(__xludf.DUMMYFUNCTION("""COMPUTED_VALUE"""),69.1)</f>
        <v>69.1</v>
      </c>
      <c r="BD1351" s="2006"/>
      <c r="LL1351" s="2007"/>
      <c r="LM1351" s="2007"/>
      <c r="MX1351" s="2008"/>
      <c r="ND1351" s="2007"/>
    </row>
    <row r="1352">
      <c r="A1352" s="2005">
        <f>IFERROR(__xludf.DUMMYFUNCTION("""COMPUTED_VALUE"""),1117008.0)</f>
        <v>1117008</v>
      </c>
      <c r="B1352" s="2005">
        <f>IFERROR(__xludf.DUMMYFUNCTION("""COMPUTED_VALUE"""),2202005.0)</f>
        <v>2202005</v>
      </c>
      <c r="C1352" s="2005" t="str">
        <f>IFERROR(__xludf.DUMMYFUNCTION("""COMPUTED_VALUE"""),"Multi Jet d'enc")</f>
        <v>Multi Jet d'enc</v>
      </c>
      <c r="D1352" s="2005" t="str">
        <f>IFERROR(__xludf.DUMMYFUNCTION("""COMPUTED_VALUE"""),"Tango éligible Instant Ink")</f>
        <v>Tango éligible Instant Ink</v>
      </c>
      <c r="E1352" s="2005" t="str">
        <f>IFERROR(__xludf.DUMMYFUNCTION("""COMPUTED_VALUE"""),"HP")</f>
        <v>HP</v>
      </c>
      <c r="F1352" s="2005" t="str">
        <f>IFERROR(__xludf.DUMMYFUNCTION("""COMPUTED_VALUE"""),"B")</f>
        <v>B</v>
      </c>
      <c r="G1352" s="2005" t="str">
        <f>IFERROR(__xludf.DUMMYFUNCTION("""COMPUTED_VALUE"""),"NN")</f>
        <v>NN</v>
      </c>
      <c r="H1352" s="2005">
        <f>IFERROR(__xludf.DUMMYFUNCTION("""COMPUTED_VALUE"""),86.99)</f>
        <v>86.99</v>
      </c>
      <c r="I1352" s="2005">
        <f>IFERROR(__xludf.DUMMYFUNCTION("""COMPUTED_VALUE"""),86.99)</f>
        <v>86.99</v>
      </c>
      <c r="BD1352" s="2006"/>
      <c r="LL1352" s="2008"/>
      <c r="LM1352" s="2007"/>
      <c r="MX1352" s="2007"/>
      <c r="ND1352" s="2008"/>
    </row>
    <row r="1353">
      <c r="A1353" s="2005">
        <f>IFERROR(__xludf.DUMMYFUNCTION("""COMPUTED_VALUE"""),1117159.0)</f>
        <v>1117159</v>
      </c>
      <c r="B1353" s="2005">
        <f>IFERROR(__xludf.DUMMYFUNCTION("""COMPUTED_VALUE"""),2502010.0)</f>
        <v>2502010</v>
      </c>
      <c r="C1353" s="2005" t="str">
        <f>IFERROR(__xludf.DUMMYFUNCTION("""COMPUTED_VALUE"""),"Souris")</f>
        <v>Souris</v>
      </c>
      <c r="D1353" s="2005" t="str">
        <f>IFERROR(__xludf.DUMMYFUNCTION("""COMPUTED_VALUE"""),"MX Vertical")</f>
        <v>MX Vertical</v>
      </c>
      <c r="E1353" s="2005" t="str">
        <f>IFERROR(__xludf.DUMMYFUNCTION("""COMPUTED_VALUE"""),"LOGITECH")</f>
        <v>LOGITECH</v>
      </c>
      <c r="F1353" s="2005" t="str">
        <f>IFERROR(__xludf.DUMMYFUNCTION("""COMPUTED_VALUE"""),"C")</f>
        <v>C</v>
      </c>
      <c r="G1353" s="2005" t="str">
        <f>IFERROR(__xludf.DUMMYFUNCTION("""COMPUTED_VALUE"""),"AC")</f>
        <v>AC</v>
      </c>
      <c r="H1353">
        <f>IFERROR(__xludf.DUMMYFUNCTION("""COMPUTED_VALUE"""),119.99)</f>
        <v>119.99</v>
      </c>
      <c r="I1353">
        <f>IFERROR(__xludf.DUMMYFUNCTION("""COMPUTED_VALUE"""),99.99)</f>
        <v>99.99</v>
      </c>
      <c r="BD1353" s="2006"/>
      <c r="LL1353" s="2007"/>
      <c r="LM1353" s="2007"/>
      <c r="MX1353" s="2007"/>
      <c r="ND1353" s="2007"/>
    </row>
    <row r="1354">
      <c r="A1354" s="2005">
        <f>IFERROR(__xludf.DUMMYFUNCTION("""COMPUTED_VALUE"""),1117176.0)</f>
        <v>1117176</v>
      </c>
      <c r="B1354" s="2005">
        <f>IFERROR(__xludf.DUMMYFUNCTION("""COMPUTED_VALUE"""),2202005.0)</f>
        <v>2202005</v>
      </c>
      <c r="C1354" s="2005" t="str">
        <f>IFERROR(__xludf.DUMMYFUNCTION("""COMPUTED_VALUE"""),"Multi Jet d'enc")</f>
        <v>Multi Jet d'enc</v>
      </c>
      <c r="D1354" s="2005" t="str">
        <f>IFERROR(__xludf.DUMMYFUNCTION("""COMPUTED_VALUE"""),"Tango X éligible Instant Ink")</f>
        <v>Tango X éligible Instant Ink</v>
      </c>
      <c r="E1354" s="2005" t="str">
        <f>IFERROR(__xludf.DUMMYFUNCTION("""COMPUTED_VALUE"""),"HP")</f>
        <v>HP</v>
      </c>
      <c r="F1354" s="2005" t="str">
        <f>IFERROR(__xludf.DUMMYFUNCTION("""COMPUTED_VALUE"""),"C")</f>
        <v>C</v>
      </c>
      <c r="G1354" s="2005" t="str">
        <f>IFERROR(__xludf.DUMMYFUNCTION("""COMPUTED_VALUE"""),"NN")</f>
        <v>NN</v>
      </c>
      <c r="H1354" s="2005">
        <f>IFERROR(__xludf.DUMMYFUNCTION("""COMPUTED_VALUE"""),219.9)</f>
        <v>219.9</v>
      </c>
      <c r="I1354" s="2005">
        <f>IFERROR(__xludf.DUMMYFUNCTION("""COMPUTED_VALUE"""),219.9)</f>
        <v>219.9</v>
      </c>
      <c r="BD1354" s="2006"/>
      <c r="LL1354" s="2007"/>
      <c r="LM1354" s="2007"/>
      <c r="MX1354" s="2007"/>
      <c r="ND1354" s="2007"/>
    </row>
    <row r="1355">
      <c r="A1355" s="2005">
        <f>IFERROR(__xludf.DUMMYFUNCTION("""COMPUTED_VALUE"""),1117359.0)</f>
        <v>1117359</v>
      </c>
      <c r="B1355" s="2005">
        <f>IFERROR(__xludf.DUMMYFUNCTION("""COMPUTED_VALUE"""),1103015.0)</f>
        <v>1103015</v>
      </c>
      <c r="C1355" s="2005" t="str">
        <f>IFERROR(__xludf.DUMMYFUNCTION("""COMPUTED_VALUE"""),"Bracelet")</f>
        <v>Bracelet</v>
      </c>
      <c r="D1355" s="2005" t="str">
        <f>IFERROR(__xludf.DUMMYFUNCTION("""COMPUTED_VALUE"""),"Télécommande SOS Design Noire")</f>
        <v>Télécommande SOS Design Noire</v>
      </c>
      <c r="E1355" s="2005" t="str">
        <f>IFERROR(__xludf.DUMMYFUNCTION("""COMPUTED_VALUE"""),"GEEMARC")</f>
        <v>GEEMARC</v>
      </c>
      <c r="F1355" s="2005" t="str">
        <f>IFERROR(__xludf.DUMMYFUNCTION("""COMPUTED_VALUE"""),"H")</f>
        <v>H</v>
      </c>
      <c r="G1355" s="2005" t="str">
        <f>IFERROR(__xludf.DUMMYFUNCTION("""COMPUTED_VALUE"""),"NN")</f>
        <v>NN</v>
      </c>
      <c r="H1355">
        <f>IFERROR(__xludf.DUMMYFUNCTION("""COMPUTED_VALUE"""),23.99)</f>
        <v>23.99</v>
      </c>
      <c r="I1355">
        <f>IFERROR(__xludf.DUMMYFUNCTION("""COMPUTED_VALUE"""),23.99)</f>
        <v>23.99</v>
      </c>
      <c r="BD1355" s="2006"/>
      <c r="LL1355" s="2007"/>
      <c r="LM1355" s="2007"/>
      <c r="MX1355" s="2007"/>
      <c r="ND1355" s="2007"/>
    </row>
    <row r="1356">
      <c r="A1356" s="2005">
        <f>IFERROR(__xludf.DUMMYFUNCTION("""COMPUTED_VALUE"""),1117360.0)</f>
        <v>1117360</v>
      </c>
      <c r="B1356" s="2005">
        <f>IFERROR(__xludf.DUMMYFUNCTION("""COMPUTED_VALUE"""),1103015.0)</f>
        <v>1103015</v>
      </c>
      <c r="C1356" s="2005" t="str">
        <f>IFERROR(__xludf.DUMMYFUNCTION("""COMPUTED_VALUE"""),"Combi")</f>
        <v>Combi</v>
      </c>
      <c r="D1356" s="2005" t="str">
        <f>IFERROR(__xludf.DUMMYFUNCTION("""COMPUTED_VALUE"""),"PhotoDect 295 AD additionnel")</f>
        <v>PhotoDect 295 AD additionnel</v>
      </c>
      <c r="E1356" s="2005" t="str">
        <f>IFERROR(__xludf.DUMMYFUNCTION("""COMPUTED_VALUE"""),"GEEMARC")</f>
        <v>GEEMARC</v>
      </c>
      <c r="F1356" s="2005" t="str">
        <f>IFERROR(__xludf.DUMMYFUNCTION("""COMPUTED_VALUE"""),"H")</f>
        <v>H</v>
      </c>
      <c r="G1356" s="2005" t="str">
        <f>IFERROR(__xludf.DUMMYFUNCTION("""COMPUTED_VALUE"""),"NN")</f>
        <v>NN</v>
      </c>
      <c r="H1356" s="2005">
        <f>IFERROR(__xludf.DUMMYFUNCTION("""COMPUTED_VALUE"""),26.99)</f>
        <v>26.99</v>
      </c>
      <c r="I1356" s="2005">
        <f>IFERROR(__xludf.DUMMYFUNCTION("""COMPUTED_VALUE"""),26.99)</f>
        <v>26.99</v>
      </c>
      <c r="BD1356" s="2006"/>
      <c r="LL1356" s="2008"/>
      <c r="LM1356" s="2007"/>
      <c r="MX1356" s="2007"/>
      <c r="ND1356" s="2008"/>
    </row>
    <row r="1357">
      <c r="A1357" s="2005">
        <f>IFERROR(__xludf.DUMMYFUNCTION("""COMPUTED_VALUE"""),1117433.0)</f>
        <v>1117433</v>
      </c>
      <c r="B1357" s="2005">
        <f>IFERROR(__xludf.DUMMYFUNCTION("""COMPUTED_VALUE"""),2209805.0)</f>
        <v>2209805</v>
      </c>
      <c r="C1357" s="2005" t="str">
        <f>IFERROR(__xludf.DUMMYFUNCTION("""COMPUTED_VALUE"""),"Lot")</f>
        <v>Lot</v>
      </c>
      <c r="D1357" s="2005" t="str">
        <f>IFERROR(__xludf.DUMMYFUNCTION("""COMPUTED_VALUE"""),"Tango X + Cart. 303 noire")</f>
        <v>Tango X + Cart. 303 noire</v>
      </c>
      <c r="E1357" s="2005" t="str">
        <f>IFERROR(__xludf.DUMMYFUNCTION("""COMPUTED_VALUE"""),"HP")</f>
        <v>HP</v>
      </c>
      <c r="F1357" s="2005" t="str">
        <f>IFERROR(__xludf.DUMMYFUNCTION("""COMPUTED_VALUE"""),"H")</f>
        <v>H</v>
      </c>
      <c r="G1357" s="2005" t="str">
        <f>IFERROR(__xludf.DUMMYFUNCTION("""COMPUTED_VALUE"""),"NN")</f>
        <v>NN</v>
      </c>
      <c r="H1357" s="2005">
        <f>IFERROR(__xludf.DUMMYFUNCTION("""COMPUTED_VALUE"""),229.82)</f>
        <v>229.82</v>
      </c>
      <c r="I1357">
        <f>IFERROR(__xludf.DUMMYFUNCTION("""COMPUTED_VALUE"""),229.82)</f>
        <v>229.82</v>
      </c>
      <c r="BD1357" s="2006"/>
      <c r="LL1357" s="2007"/>
      <c r="LM1357" s="2007"/>
      <c r="MX1357" s="2007"/>
      <c r="ND1357" s="2007"/>
    </row>
    <row r="1358">
      <c r="A1358" s="2005">
        <f>IFERROR(__xludf.DUMMYFUNCTION("""COMPUTED_VALUE"""),1117529.0)</f>
        <v>1117529</v>
      </c>
      <c r="B1358" s="2005">
        <f>IFERROR(__xludf.DUMMYFUNCTION("""COMPUTED_VALUE"""),1101005.0)</f>
        <v>1101005</v>
      </c>
      <c r="C1358" s="2005" t="str">
        <f>IFERROR(__xludf.DUMMYFUNCTION("""COMPUTED_VALUE"""),"Tél.")</f>
        <v>Tél.</v>
      </c>
      <c r="D1358" s="2005" t="str">
        <f>IFERROR(__xludf.DUMMYFUNCTION("""COMPUTED_VALUE"""),"XTRA 1110")</f>
        <v>XTRA 1110</v>
      </c>
      <c r="E1358" s="2005" t="str">
        <f>IFERROR(__xludf.DUMMYFUNCTION("""COMPUTED_VALUE"""),"SWISSVOICE")</f>
        <v>SWISSVOICE</v>
      </c>
      <c r="F1358" s="2005" t="str">
        <f>IFERROR(__xludf.DUMMYFUNCTION("""COMPUTED_VALUE"""),"E")</f>
        <v>E</v>
      </c>
      <c r="G1358" s="2005" t="str">
        <f>IFERROR(__xludf.DUMMYFUNCTION("""COMPUTED_VALUE"""),"AC")</f>
        <v>AC</v>
      </c>
      <c r="H1358" s="2005">
        <f>IFERROR(__xludf.DUMMYFUNCTION("""COMPUTED_VALUE"""),39.99)</f>
        <v>39.99</v>
      </c>
      <c r="I1358" s="2005">
        <f>IFERROR(__xludf.DUMMYFUNCTION("""COMPUTED_VALUE"""),39.99)</f>
        <v>39.99</v>
      </c>
      <c r="BD1358" s="2006"/>
      <c r="LL1358" s="2007"/>
      <c r="LM1358" s="2007"/>
      <c r="MX1358" s="2007"/>
      <c r="ND1358" s="2008"/>
    </row>
    <row r="1359">
      <c r="A1359" s="2005">
        <f>IFERROR(__xludf.DUMMYFUNCTION("""COMPUTED_VALUE"""),1117531.0)</f>
        <v>1117531</v>
      </c>
      <c r="B1359" s="2005">
        <f>IFERROR(__xludf.DUMMYFUNCTION("""COMPUTED_VALUE"""),2709525.0)</f>
        <v>2709525</v>
      </c>
      <c r="C1359" s="2005" t="str">
        <f>IFERROR(__xludf.DUMMYFUNCTION("""COMPUTED_VALUE"""),"Assurance")</f>
        <v>Assurance</v>
      </c>
      <c r="D1359" s="2005" t="str">
        <f>IFERROR(__xludf.DUMMYFUNCTION("""COMPUTED_VALUE"""),"1an Ebook Console PRO &lt;150EUR")</f>
        <v>1an Ebook Console PRO &lt;150EUR</v>
      </c>
      <c r="E1359" s="2005" t="str">
        <f>IFERROR(__xludf.DUMMYFUNCTION("""COMPUTED_VALUE"""),"BOULANGER")</f>
        <v>BOULANGER</v>
      </c>
      <c r="F1359" s="2005" t="str">
        <f>IFERROR(__xludf.DUMMYFUNCTION("""COMPUTED_VALUE"""),"B")</f>
        <v>B</v>
      </c>
      <c r="G1359" s="2005" t="str">
        <f>IFERROR(__xludf.DUMMYFUNCTION("""COMPUTED_VALUE"""),"AC")</f>
        <v>AC</v>
      </c>
      <c r="H1359" s="2005">
        <f>IFERROR(__xludf.DUMMYFUNCTION("""COMPUTED_VALUE"""),28.0)</f>
        <v>28</v>
      </c>
      <c r="I1359" s="2005">
        <f>IFERROR(__xludf.DUMMYFUNCTION("""COMPUTED_VALUE"""),28.0)</f>
        <v>28</v>
      </c>
      <c r="BD1359" s="2006"/>
      <c r="LL1359" s="2008"/>
      <c r="LM1359" s="2007"/>
      <c r="MX1359" s="2007"/>
      <c r="ND1359" s="2008"/>
    </row>
    <row r="1360">
      <c r="A1360" s="2005">
        <f>IFERROR(__xludf.DUMMYFUNCTION("""COMPUTED_VALUE"""),1117534.0)</f>
        <v>1117534</v>
      </c>
      <c r="B1360" s="2005">
        <f>IFERROR(__xludf.DUMMYFUNCTION("""COMPUTED_VALUE"""),2709525.0)</f>
        <v>2709525</v>
      </c>
      <c r="C1360" s="2005" t="str">
        <f>IFERROR(__xludf.DUMMYFUNCTION("""COMPUTED_VALUE"""),"Assurance")</f>
        <v>Assurance</v>
      </c>
      <c r="D1360" s="2005" t="str">
        <f>IFERROR(__xludf.DUMMYFUNCTION("""COMPUTED_VALUE"""),"1an Ebook Console PRO 151 a 300EUR")</f>
        <v>1an Ebook Console PRO 151 a 300EUR</v>
      </c>
      <c r="E1360" s="2005" t="str">
        <f>IFERROR(__xludf.DUMMYFUNCTION("""COMPUTED_VALUE"""),"BOULANGER")</f>
        <v>BOULANGER</v>
      </c>
      <c r="F1360" s="2005" t="str">
        <f>IFERROR(__xludf.DUMMYFUNCTION("""COMPUTED_VALUE"""),"B")</f>
        <v>B</v>
      </c>
      <c r="G1360" s="2005" t="str">
        <f>IFERROR(__xludf.DUMMYFUNCTION("""COMPUTED_VALUE"""),"AC")</f>
        <v>AC</v>
      </c>
      <c r="H1360">
        <f>IFERROR(__xludf.DUMMYFUNCTION("""COMPUTED_VALUE"""),41.0)</f>
        <v>41</v>
      </c>
      <c r="I1360">
        <f>IFERROR(__xludf.DUMMYFUNCTION("""COMPUTED_VALUE"""),41.0)</f>
        <v>41</v>
      </c>
      <c r="BD1360" s="2006"/>
      <c r="LL1360" s="2008"/>
      <c r="LM1360" s="2007"/>
      <c r="MX1360" s="2007"/>
      <c r="ND1360" s="2008"/>
    </row>
    <row r="1361">
      <c r="A1361" s="2005">
        <f>IFERROR(__xludf.DUMMYFUNCTION("""COMPUTED_VALUE"""),1117536.0)</f>
        <v>1117536</v>
      </c>
      <c r="B1361" s="2005">
        <f>IFERROR(__xludf.DUMMYFUNCTION("""COMPUTED_VALUE"""),2709525.0)</f>
        <v>2709525</v>
      </c>
      <c r="C1361" s="2005" t="str">
        <f>IFERROR(__xludf.DUMMYFUNCTION("""COMPUTED_VALUE"""),"Assurance")</f>
        <v>Assurance</v>
      </c>
      <c r="D1361" s="2005" t="str">
        <f>IFERROR(__xludf.DUMMYFUNCTION("""COMPUTED_VALUE"""),"1an Ebook Console PRO 301 a 500EUR")</f>
        <v>1an Ebook Console PRO 301 a 500EUR</v>
      </c>
      <c r="E1361" s="2005" t="str">
        <f>IFERROR(__xludf.DUMMYFUNCTION("""COMPUTED_VALUE"""),"BOULANGER")</f>
        <v>BOULANGER</v>
      </c>
      <c r="F1361" s="2005" t="str">
        <f>IFERROR(__xludf.DUMMYFUNCTION("""COMPUTED_VALUE"""),"B")</f>
        <v>B</v>
      </c>
      <c r="G1361" s="2005" t="str">
        <f>IFERROR(__xludf.DUMMYFUNCTION("""COMPUTED_VALUE"""),"AC")</f>
        <v>AC</v>
      </c>
      <c r="H1361" s="2005">
        <f>IFERROR(__xludf.DUMMYFUNCTION("""COMPUTED_VALUE"""),56.0)</f>
        <v>56</v>
      </c>
      <c r="I1361" s="2005">
        <f>IFERROR(__xludf.DUMMYFUNCTION("""COMPUTED_VALUE"""),56.0)</f>
        <v>56</v>
      </c>
      <c r="BD1361" s="2006"/>
      <c r="LL1361" s="2008"/>
      <c r="LM1361" s="2007"/>
      <c r="MX1361" s="2007"/>
      <c r="ND1361" s="2008"/>
    </row>
    <row r="1362">
      <c r="A1362" s="2005">
        <f>IFERROR(__xludf.DUMMYFUNCTION("""COMPUTED_VALUE"""),1117537.0)</f>
        <v>1117537</v>
      </c>
      <c r="B1362" s="2005">
        <f>IFERROR(__xludf.DUMMYFUNCTION("""COMPUTED_VALUE"""),2709525.0)</f>
        <v>2709525</v>
      </c>
      <c r="C1362" s="2005" t="str">
        <f>IFERROR(__xludf.DUMMYFUNCTION("""COMPUTED_VALUE"""),"Assurance")</f>
        <v>Assurance</v>
      </c>
      <c r="D1362" s="2005" t="str">
        <f>IFERROR(__xludf.DUMMYFUNCTION("""COMPUTED_VALUE"""),"1an Ebook Console PRO 501 a 700EUR")</f>
        <v>1an Ebook Console PRO 501 a 700EUR</v>
      </c>
      <c r="E1362" s="2005" t="str">
        <f>IFERROR(__xludf.DUMMYFUNCTION("""COMPUTED_VALUE"""),"BOULANGER")</f>
        <v>BOULANGER</v>
      </c>
      <c r="F1362" s="2005" t="str">
        <f>IFERROR(__xludf.DUMMYFUNCTION("""COMPUTED_VALUE"""),"B")</f>
        <v>B</v>
      </c>
      <c r="G1362" s="2005" t="str">
        <f>IFERROR(__xludf.DUMMYFUNCTION("""COMPUTED_VALUE"""),"AC")</f>
        <v>AC</v>
      </c>
      <c r="H1362" s="2005">
        <f>IFERROR(__xludf.DUMMYFUNCTION("""COMPUTED_VALUE"""),81.0)</f>
        <v>81</v>
      </c>
      <c r="I1362" s="2005">
        <f>IFERROR(__xludf.DUMMYFUNCTION("""COMPUTED_VALUE"""),81.0)</f>
        <v>81</v>
      </c>
      <c r="BD1362" s="2006"/>
      <c r="LL1362" s="2007"/>
      <c r="LM1362" s="2007"/>
      <c r="MX1362" s="2007"/>
      <c r="ND1362" s="2007"/>
    </row>
    <row r="1363">
      <c r="A1363" s="2005">
        <f>IFERROR(__xludf.DUMMYFUNCTION("""COMPUTED_VALUE"""),1117539.0)</f>
        <v>1117539</v>
      </c>
      <c r="B1363" s="2005">
        <f>IFERROR(__xludf.DUMMYFUNCTION("""COMPUTED_VALUE"""),1101005.0)</f>
        <v>1101005</v>
      </c>
      <c r="C1363" s="2005" t="str">
        <f>IFERROR(__xludf.DUMMYFUNCTION("""COMPUTED_VALUE"""),"Tél.Rép.")</f>
        <v>Tél.Rép.</v>
      </c>
      <c r="D1363" s="2005" t="str">
        <f>IFERROR(__xludf.DUMMYFUNCTION("""COMPUTED_VALUE"""),"XTRA 2155")</f>
        <v>XTRA 2155</v>
      </c>
      <c r="E1363" s="2005" t="str">
        <f>IFERROR(__xludf.DUMMYFUNCTION("""COMPUTED_VALUE"""),"SWISSVOICE")</f>
        <v>SWISSVOICE</v>
      </c>
      <c r="F1363" s="2005" t="str">
        <f>IFERROR(__xludf.DUMMYFUNCTION("""COMPUTED_VALUE"""),"E")</f>
        <v>E</v>
      </c>
      <c r="G1363" s="2005" t="str">
        <f>IFERROR(__xludf.DUMMYFUNCTION("""COMPUTED_VALUE"""),"NN")</f>
        <v>NN</v>
      </c>
      <c r="H1363" s="2005">
        <f>IFERROR(__xludf.DUMMYFUNCTION("""COMPUTED_VALUE"""),69.99)</f>
        <v>69.99</v>
      </c>
      <c r="I1363" s="2005">
        <f>IFERROR(__xludf.DUMMYFUNCTION("""COMPUTED_VALUE"""),69.99)</f>
        <v>69.99</v>
      </c>
      <c r="BD1363" s="2006"/>
      <c r="LL1363" s="2007"/>
      <c r="LM1363" s="2007"/>
      <c r="MX1363" s="2007"/>
      <c r="ND1363" s="2007"/>
    </row>
    <row r="1364">
      <c r="A1364" s="2005">
        <f>IFERROR(__xludf.DUMMYFUNCTION("""COMPUTED_VALUE"""),1117546.0)</f>
        <v>1117546</v>
      </c>
      <c r="B1364" s="2005">
        <f>IFERROR(__xludf.DUMMYFUNCTION("""COMPUTED_VALUE"""),2709525.0)</f>
        <v>2709525</v>
      </c>
      <c r="C1364" s="2005" t="str">
        <f>IFERROR(__xludf.DUMMYFUNCTION("""COMPUTED_VALUE"""),"Assurance")</f>
        <v>Assurance</v>
      </c>
      <c r="D1364" s="2005" t="str">
        <f>IFERROR(__xludf.DUMMYFUNCTION("""COMPUTED_VALUE"""),"1an EBook Console PRO 701 a 1100EUR")</f>
        <v>1an EBook Console PRO 701 a 1100EUR</v>
      </c>
      <c r="E1364" s="2005" t="str">
        <f>IFERROR(__xludf.DUMMYFUNCTION("""COMPUTED_VALUE"""),"BOULANGER")</f>
        <v>BOULANGER</v>
      </c>
      <c r="F1364" s="2005" t="str">
        <f>IFERROR(__xludf.DUMMYFUNCTION("""COMPUTED_VALUE"""),"B")</f>
        <v>B</v>
      </c>
      <c r="G1364" s="2005" t="str">
        <f>IFERROR(__xludf.DUMMYFUNCTION("""COMPUTED_VALUE"""),"AC")</f>
        <v>AC</v>
      </c>
      <c r="H1364" s="2005">
        <f>IFERROR(__xludf.DUMMYFUNCTION("""COMPUTED_VALUE"""),106.0)</f>
        <v>106</v>
      </c>
      <c r="I1364" s="2005">
        <f>IFERROR(__xludf.DUMMYFUNCTION("""COMPUTED_VALUE"""),106.0)</f>
        <v>106</v>
      </c>
      <c r="BD1364" s="2006"/>
      <c r="LL1364" s="2008"/>
      <c r="LM1364" s="2007"/>
      <c r="MX1364" s="2007"/>
      <c r="ND1364" s="2007"/>
    </row>
    <row r="1365">
      <c r="A1365" s="2005">
        <f>IFERROR(__xludf.DUMMYFUNCTION("""COMPUTED_VALUE"""),1117547.0)</f>
        <v>1117547</v>
      </c>
      <c r="B1365" s="2005">
        <f>IFERROR(__xludf.DUMMYFUNCTION("""COMPUTED_VALUE"""),2709525.0)</f>
        <v>2709525</v>
      </c>
      <c r="C1365" s="2005" t="str">
        <f>IFERROR(__xludf.DUMMYFUNCTION("""COMPUTED_VALUE"""),"Assurance")</f>
        <v>Assurance</v>
      </c>
      <c r="D1365" s="2005" t="str">
        <f>IFERROR(__xludf.DUMMYFUNCTION("""COMPUTED_VALUE"""),"1an EBook Console PRO 1101 a 1500EUR")</f>
        <v>1an EBook Console PRO 1101 a 1500EUR</v>
      </c>
      <c r="E1365" s="2005" t="str">
        <f>IFERROR(__xludf.DUMMYFUNCTION("""COMPUTED_VALUE"""),"BOULANGER")</f>
        <v>BOULANGER</v>
      </c>
      <c r="F1365" s="2005" t="str">
        <f>IFERROR(__xludf.DUMMYFUNCTION("""COMPUTED_VALUE"""),"B")</f>
        <v>B</v>
      </c>
      <c r="G1365" s="2005" t="str">
        <f>IFERROR(__xludf.DUMMYFUNCTION("""COMPUTED_VALUE"""),"AC")</f>
        <v>AC</v>
      </c>
      <c r="H1365" s="2005">
        <f>IFERROR(__xludf.DUMMYFUNCTION("""COMPUTED_VALUE"""),125.0)</f>
        <v>125</v>
      </c>
      <c r="I1365" s="2005">
        <f>IFERROR(__xludf.DUMMYFUNCTION("""COMPUTED_VALUE"""),125.0)</f>
        <v>125</v>
      </c>
      <c r="BD1365" s="2006"/>
      <c r="LL1365" s="2007"/>
      <c r="LM1365" s="2007"/>
      <c r="MX1365" s="2007"/>
      <c r="ND1365" s="2007"/>
    </row>
    <row r="1366">
      <c r="A1366" s="2005">
        <f>IFERROR(__xludf.DUMMYFUNCTION("""COMPUTED_VALUE"""),1117548.0)</f>
        <v>1117548</v>
      </c>
      <c r="B1366" s="2005">
        <f>IFERROR(__xludf.DUMMYFUNCTION("""COMPUTED_VALUE"""),2709525.0)</f>
        <v>2709525</v>
      </c>
      <c r="C1366" s="2005" t="str">
        <f>IFERROR(__xludf.DUMMYFUNCTION("""COMPUTED_VALUE"""),"Assurance")</f>
        <v>Assurance</v>
      </c>
      <c r="D1366" s="2005" t="str">
        <f>IFERROR(__xludf.DUMMYFUNCTION("""COMPUTED_VALUE"""),"1an EBook Console PRO 1501 a 3000EUR")</f>
        <v>1an EBook Console PRO 1501 a 3000EUR</v>
      </c>
      <c r="E1366" s="2005" t="str">
        <f>IFERROR(__xludf.DUMMYFUNCTION("""COMPUTED_VALUE"""),"BOULANGER")</f>
        <v>BOULANGER</v>
      </c>
      <c r="F1366" s="2005" t="str">
        <f>IFERROR(__xludf.DUMMYFUNCTION("""COMPUTED_VALUE"""),"B")</f>
        <v>B</v>
      </c>
      <c r="G1366" s="2005" t="str">
        <f>IFERROR(__xludf.DUMMYFUNCTION("""COMPUTED_VALUE"""),"AC")</f>
        <v>AC</v>
      </c>
      <c r="H1366" s="2005">
        <f>IFERROR(__xludf.DUMMYFUNCTION("""COMPUTED_VALUE"""),144.0)</f>
        <v>144</v>
      </c>
      <c r="I1366" s="2005">
        <f>IFERROR(__xludf.DUMMYFUNCTION("""COMPUTED_VALUE"""),144.0)</f>
        <v>144</v>
      </c>
      <c r="BD1366" s="2006"/>
      <c r="LL1366" s="2008"/>
      <c r="LM1366" s="2007"/>
      <c r="MX1366" s="2007"/>
      <c r="ND1366" s="2007"/>
    </row>
    <row r="1367">
      <c r="A1367" s="2005">
        <f>IFERROR(__xludf.DUMMYFUNCTION("""COMPUTED_VALUE"""),1117549.0)</f>
        <v>1117549</v>
      </c>
      <c r="B1367" s="2005">
        <f>IFERROR(__xludf.DUMMYFUNCTION("""COMPUTED_VALUE"""),2709525.0)</f>
        <v>2709525</v>
      </c>
      <c r="C1367" s="2005" t="str">
        <f>IFERROR(__xludf.DUMMYFUNCTION("""COMPUTED_VALUE"""),"Assurance")</f>
        <v>Assurance</v>
      </c>
      <c r="D1367" s="2005" t="str">
        <f>IFERROR(__xludf.DUMMYFUNCTION("""COMPUTED_VALUE"""),"1an Ebook Console PRO 3001 a 5000EUR")</f>
        <v>1an Ebook Console PRO 3001 a 5000EUR</v>
      </c>
      <c r="E1367" s="2005" t="str">
        <f>IFERROR(__xludf.DUMMYFUNCTION("""COMPUTED_VALUE"""),"BOULANGER")</f>
        <v>BOULANGER</v>
      </c>
      <c r="F1367" s="2005" t="str">
        <f>IFERROR(__xludf.DUMMYFUNCTION("""COMPUTED_VALUE"""),"B")</f>
        <v>B</v>
      </c>
      <c r="G1367" s="2005" t="str">
        <f>IFERROR(__xludf.DUMMYFUNCTION("""COMPUTED_VALUE"""),"AC")</f>
        <v>AC</v>
      </c>
      <c r="H1367" s="2005">
        <f>IFERROR(__xludf.DUMMYFUNCTION("""COMPUTED_VALUE"""),238.0)</f>
        <v>238</v>
      </c>
      <c r="I1367" s="2005">
        <f>IFERROR(__xludf.DUMMYFUNCTION("""COMPUTED_VALUE"""),238.0)</f>
        <v>238</v>
      </c>
      <c r="LL1367" s="2008"/>
      <c r="LM1367" s="2007"/>
      <c r="MX1367" s="2007"/>
      <c r="ND1367" s="2008"/>
    </row>
    <row r="1368">
      <c r="A1368" s="2005">
        <f>IFERROR(__xludf.DUMMYFUNCTION("""COMPUTED_VALUE"""),1117824.0)</f>
        <v>1117824</v>
      </c>
      <c r="B1368" s="2005">
        <f>IFERROR(__xludf.DUMMYFUNCTION("""COMPUTED_VALUE"""),2709525.0)</f>
        <v>2709525</v>
      </c>
      <c r="C1368" s="2005" t="str">
        <f>IFERROR(__xludf.DUMMYFUNCTION("""COMPUTED_VALUE"""),"Assurance")</f>
        <v>Assurance</v>
      </c>
      <c r="D1368" s="2005" t="str">
        <f>IFERROR(__xludf.DUMMYFUNCTION("""COMPUTED_VALUE"""),"2ans Ebook Console PRO &lt;150EUR")</f>
        <v>2ans Ebook Console PRO &lt;150EUR</v>
      </c>
      <c r="E1368" s="2005" t="str">
        <f>IFERROR(__xludf.DUMMYFUNCTION("""COMPUTED_VALUE"""),"BOULANGER")</f>
        <v>BOULANGER</v>
      </c>
      <c r="F1368" s="2005" t="str">
        <f>IFERROR(__xludf.DUMMYFUNCTION("""COMPUTED_VALUE"""),"B")</f>
        <v>B</v>
      </c>
      <c r="G1368" s="2005" t="str">
        <f>IFERROR(__xludf.DUMMYFUNCTION("""COMPUTED_VALUE"""),"AC")</f>
        <v>AC</v>
      </c>
      <c r="H1368" s="2005">
        <f>IFERROR(__xludf.DUMMYFUNCTION("""COMPUTED_VALUE"""),56.0)</f>
        <v>56</v>
      </c>
      <c r="I1368" s="2005">
        <f>IFERROR(__xludf.DUMMYFUNCTION("""COMPUTED_VALUE"""),56.0)</f>
        <v>56</v>
      </c>
      <c r="LL1368" s="2007"/>
      <c r="LM1368" s="2007"/>
      <c r="MX1368" s="2007"/>
      <c r="ND1368" s="2008"/>
    </row>
    <row r="1369">
      <c r="A1369" s="2005">
        <f>IFERROR(__xludf.DUMMYFUNCTION("""COMPUTED_VALUE"""),1117825.0)</f>
        <v>1117825</v>
      </c>
      <c r="B1369" s="2005">
        <f>IFERROR(__xludf.DUMMYFUNCTION("""COMPUTED_VALUE"""),2709525.0)</f>
        <v>2709525</v>
      </c>
      <c r="C1369" s="2005" t="str">
        <f>IFERROR(__xludf.DUMMYFUNCTION("""COMPUTED_VALUE"""),"Assurance")</f>
        <v>Assurance</v>
      </c>
      <c r="D1369" s="2005" t="str">
        <f>IFERROR(__xludf.DUMMYFUNCTION("""COMPUTED_VALUE"""),"2ans Ebook Console PRO 151 a 300EUR")</f>
        <v>2ans Ebook Console PRO 151 a 300EUR</v>
      </c>
      <c r="E1369" s="2005" t="str">
        <f>IFERROR(__xludf.DUMMYFUNCTION("""COMPUTED_VALUE"""),"BOULANGER")</f>
        <v>BOULANGER</v>
      </c>
      <c r="F1369" s="2005" t="str">
        <f>IFERROR(__xludf.DUMMYFUNCTION("""COMPUTED_VALUE"""),"B")</f>
        <v>B</v>
      </c>
      <c r="G1369" s="2005" t="str">
        <f>IFERROR(__xludf.DUMMYFUNCTION("""COMPUTED_VALUE"""),"AC")</f>
        <v>AC</v>
      </c>
      <c r="H1369" s="2005">
        <f>IFERROR(__xludf.DUMMYFUNCTION("""COMPUTED_VALUE"""),82.0)</f>
        <v>82</v>
      </c>
      <c r="I1369" s="2005">
        <f>IFERROR(__xludf.DUMMYFUNCTION("""COMPUTED_VALUE"""),82.0)</f>
        <v>82</v>
      </c>
      <c r="BD1369" s="2006"/>
      <c r="LL1369" s="2007"/>
      <c r="LM1369" s="2007"/>
      <c r="MX1369" s="2007"/>
      <c r="ND1369" s="2007"/>
    </row>
    <row r="1370">
      <c r="A1370" s="2005">
        <f>IFERROR(__xludf.DUMMYFUNCTION("""COMPUTED_VALUE"""),1117826.0)</f>
        <v>1117826</v>
      </c>
      <c r="B1370" s="2005">
        <f>IFERROR(__xludf.DUMMYFUNCTION("""COMPUTED_VALUE"""),2709525.0)</f>
        <v>2709525</v>
      </c>
      <c r="C1370" s="2005" t="str">
        <f>IFERROR(__xludf.DUMMYFUNCTION("""COMPUTED_VALUE"""),"Assurance")</f>
        <v>Assurance</v>
      </c>
      <c r="D1370" s="2005" t="str">
        <f>IFERROR(__xludf.DUMMYFUNCTION("""COMPUTED_VALUE"""),"2ans Ebook Console PRO 301 a 500EUR")</f>
        <v>2ans Ebook Console PRO 301 a 500EUR</v>
      </c>
      <c r="E1370" s="2005" t="str">
        <f>IFERROR(__xludf.DUMMYFUNCTION("""COMPUTED_VALUE"""),"BOULANGER")</f>
        <v>BOULANGER</v>
      </c>
      <c r="F1370" s="2005" t="str">
        <f>IFERROR(__xludf.DUMMYFUNCTION("""COMPUTED_VALUE"""),"B")</f>
        <v>B</v>
      </c>
      <c r="G1370" s="2005" t="str">
        <f>IFERROR(__xludf.DUMMYFUNCTION("""COMPUTED_VALUE"""),"AC")</f>
        <v>AC</v>
      </c>
      <c r="H1370" s="2005">
        <f>IFERROR(__xludf.DUMMYFUNCTION("""COMPUTED_VALUE"""),112.0)</f>
        <v>112</v>
      </c>
      <c r="I1370" s="2005">
        <f>IFERROR(__xludf.DUMMYFUNCTION("""COMPUTED_VALUE"""),112.0)</f>
        <v>112</v>
      </c>
      <c r="BD1370" s="2006"/>
      <c r="LL1370" s="2007"/>
      <c r="LM1370" s="2007"/>
      <c r="MX1370" s="2007"/>
      <c r="ND1370" s="2007"/>
    </row>
    <row r="1371">
      <c r="A1371" s="2005">
        <f>IFERROR(__xludf.DUMMYFUNCTION("""COMPUTED_VALUE"""),1117827.0)</f>
        <v>1117827</v>
      </c>
      <c r="B1371" s="2005">
        <f>IFERROR(__xludf.DUMMYFUNCTION("""COMPUTED_VALUE"""),2709525.0)</f>
        <v>2709525</v>
      </c>
      <c r="C1371" s="2005" t="str">
        <f>IFERROR(__xludf.DUMMYFUNCTION("""COMPUTED_VALUE"""),"Assurance")</f>
        <v>Assurance</v>
      </c>
      <c r="D1371" s="2005" t="str">
        <f>IFERROR(__xludf.DUMMYFUNCTION("""COMPUTED_VALUE"""),"2ans Ebook Console PRO 501 a 700EUR")</f>
        <v>2ans Ebook Console PRO 501 a 700EUR</v>
      </c>
      <c r="E1371" s="2005" t="str">
        <f>IFERROR(__xludf.DUMMYFUNCTION("""COMPUTED_VALUE"""),"BOULANGER")</f>
        <v>BOULANGER</v>
      </c>
      <c r="F1371" s="2005" t="str">
        <f>IFERROR(__xludf.DUMMYFUNCTION("""COMPUTED_VALUE"""),"B")</f>
        <v>B</v>
      </c>
      <c r="G1371" s="2005" t="str">
        <f>IFERROR(__xludf.DUMMYFUNCTION("""COMPUTED_VALUE"""),"AC")</f>
        <v>AC</v>
      </c>
      <c r="H1371" s="2005">
        <f>IFERROR(__xludf.DUMMYFUNCTION("""COMPUTED_VALUE"""),162.0)</f>
        <v>162</v>
      </c>
      <c r="I1371" s="2005">
        <f>IFERROR(__xludf.DUMMYFUNCTION("""COMPUTED_VALUE"""),162.0)</f>
        <v>162</v>
      </c>
      <c r="BD1371" s="2006"/>
      <c r="LL1371" s="2007"/>
      <c r="LM1371" s="2007"/>
      <c r="MX1371" s="2007"/>
      <c r="ND1371" s="2007"/>
    </row>
    <row r="1372">
      <c r="A1372" s="2005">
        <f>IFERROR(__xludf.DUMMYFUNCTION("""COMPUTED_VALUE"""),1117828.0)</f>
        <v>1117828</v>
      </c>
      <c r="B1372" s="2005">
        <f>IFERROR(__xludf.DUMMYFUNCTION("""COMPUTED_VALUE"""),2709525.0)</f>
        <v>2709525</v>
      </c>
      <c r="C1372" s="2005" t="str">
        <f>IFERROR(__xludf.DUMMYFUNCTION("""COMPUTED_VALUE"""),"Assurance")</f>
        <v>Assurance</v>
      </c>
      <c r="D1372" s="2005" t="str">
        <f>IFERROR(__xludf.DUMMYFUNCTION("""COMPUTED_VALUE"""),"2ans Ebook Console PRO 701 a 1100EUR")</f>
        <v>2ans Ebook Console PRO 701 a 1100EUR</v>
      </c>
      <c r="E1372" s="2005" t="str">
        <f>IFERROR(__xludf.DUMMYFUNCTION("""COMPUTED_VALUE"""),"BOULANGER")</f>
        <v>BOULANGER</v>
      </c>
      <c r="F1372" s="2005" t="str">
        <f>IFERROR(__xludf.DUMMYFUNCTION("""COMPUTED_VALUE"""),"B")</f>
        <v>B</v>
      </c>
      <c r="G1372" s="2005" t="str">
        <f>IFERROR(__xludf.DUMMYFUNCTION("""COMPUTED_VALUE"""),"AC")</f>
        <v>AC</v>
      </c>
      <c r="H1372">
        <f>IFERROR(__xludf.DUMMYFUNCTION("""COMPUTED_VALUE"""),212.0)</f>
        <v>212</v>
      </c>
      <c r="I1372">
        <f>IFERROR(__xludf.DUMMYFUNCTION("""COMPUTED_VALUE"""),212.0)</f>
        <v>212</v>
      </c>
      <c r="BD1372" s="2006"/>
      <c r="LL1372" s="2007"/>
      <c r="LM1372" s="2007"/>
      <c r="MX1372" s="2007"/>
      <c r="ND1372" s="2007"/>
    </row>
    <row r="1373">
      <c r="A1373" s="2005">
        <f>IFERROR(__xludf.DUMMYFUNCTION("""COMPUTED_VALUE"""),1117829.0)</f>
        <v>1117829</v>
      </c>
      <c r="B1373" s="2005">
        <f>IFERROR(__xludf.DUMMYFUNCTION("""COMPUTED_VALUE"""),2709525.0)</f>
        <v>2709525</v>
      </c>
      <c r="C1373" s="2005" t="str">
        <f>IFERROR(__xludf.DUMMYFUNCTION("""COMPUTED_VALUE"""),"Assurance")</f>
        <v>Assurance</v>
      </c>
      <c r="D1373" s="2005" t="str">
        <f>IFERROR(__xludf.DUMMYFUNCTION("""COMPUTED_VALUE"""),"2ans Ebook Console PRO 1101 a 1500EUR")</f>
        <v>2ans Ebook Console PRO 1101 a 1500EUR</v>
      </c>
      <c r="E1373" s="2005" t="str">
        <f>IFERROR(__xludf.DUMMYFUNCTION("""COMPUTED_VALUE"""),"BOULANGER")</f>
        <v>BOULANGER</v>
      </c>
      <c r="F1373" s="2005" t="str">
        <f>IFERROR(__xludf.DUMMYFUNCTION("""COMPUTED_VALUE"""),"B")</f>
        <v>B</v>
      </c>
      <c r="G1373" s="2005" t="str">
        <f>IFERROR(__xludf.DUMMYFUNCTION("""COMPUTED_VALUE"""),"AC")</f>
        <v>AC</v>
      </c>
      <c r="H1373" s="2005">
        <f>IFERROR(__xludf.DUMMYFUNCTION("""COMPUTED_VALUE"""),250.0)</f>
        <v>250</v>
      </c>
      <c r="I1373" s="2005">
        <f>IFERROR(__xludf.DUMMYFUNCTION("""COMPUTED_VALUE"""),250.0)</f>
        <v>250</v>
      </c>
      <c r="BD1373" s="2006"/>
      <c r="LL1373" s="2007"/>
      <c r="LM1373" s="2007"/>
      <c r="MX1373" s="2007"/>
      <c r="ND1373" s="2007"/>
    </row>
    <row r="1374">
      <c r="A1374" s="2005">
        <f>IFERROR(__xludf.DUMMYFUNCTION("""COMPUTED_VALUE"""),1117830.0)</f>
        <v>1117830</v>
      </c>
      <c r="B1374" s="2005">
        <f>IFERROR(__xludf.DUMMYFUNCTION("""COMPUTED_VALUE"""),2709525.0)</f>
        <v>2709525</v>
      </c>
      <c r="C1374" s="2005" t="str">
        <f>IFERROR(__xludf.DUMMYFUNCTION("""COMPUTED_VALUE"""),"Assurance")</f>
        <v>Assurance</v>
      </c>
      <c r="D1374" s="2005" t="str">
        <f>IFERROR(__xludf.DUMMYFUNCTION("""COMPUTED_VALUE"""),"2ans Ebook Console PRO 1501 a 3000EUR")</f>
        <v>2ans Ebook Console PRO 1501 a 3000EUR</v>
      </c>
      <c r="E1374" s="2005" t="str">
        <f>IFERROR(__xludf.DUMMYFUNCTION("""COMPUTED_VALUE"""),"BOULANGER")</f>
        <v>BOULANGER</v>
      </c>
      <c r="F1374" s="2005" t="str">
        <f>IFERROR(__xludf.DUMMYFUNCTION("""COMPUTED_VALUE"""),"B")</f>
        <v>B</v>
      </c>
      <c r="G1374" s="2005" t="str">
        <f>IFERROR(__xludf.DUMMYFUNCTION("""COMPUTED_VALUE"""),"AC")</f>
        <v>AC</v>
      </c>
      <c r="H1374" s="2005">
        <f>IFERROR(__xludf.DUMMYFUNCTION("""COMPUTED_VALUE"""),288.0)</f>
        <v>288</v>
      </c>
      <c r="I1374" s="2005">
        <f>IFERROR(__xludf.DUMMYFUNCTION("""COMPUTED_VALUE"""),288.0)</f>
        <v>288</v>
      </c>
      <c r="BD1374" s="2006"/>
      <c r="LL1374" s="2007"/>
      <c r="LM1374" s="2007"/>
      <c r="MX1374" s="2007"/>
      <c r="ND1374" s="2007"/>
    </row>
    <row r="1375">
      <c r="A1375" s="2005">
        <f>IFERROR(__xludf.DUMMYFUNCTION("""COMPUTED_VALUE"""),1117831.0)</f>
        <v>1117831</v>
      </c>
      <c r="B1375" s="2005">
        <f>IFERROR(__xludf.DUMMYFUNCTION("""COMPUTED_VALUE"""),2709525.0)</f>
        <v>2709525</v>
      </c>
      <c r="C1375" s="2005" t="str">
        <f>IFERROR(__xludf.DUMMYFUNCTION("""COMPUTED_VALUE"""),"Assurance")</f>
        <v>Assurance</v>
      </c>
      <c r="D1375" s="2005" t="str">
        <f>IFERROR(__xludf.DUMMYFUNCTION("""COMPUTED_VALUE"""),"2ans Ebook Console PRO 3001 a 5000EUR")</f>
        <v>2ans Ebook Console PRO 3001 a 5000EUR</v>
      </c>
      <c r="E1375" s="2005" t="str">
        <f>IFERROR(__xludf.DUMMYFUNCTION("""COMPUTED_VALUE"""),"BOULANGER")</f>
        <v>BOULANGER</v>
      </c>
      <c r="F1375" s="2005" t="str">
        <f>IFERROR(__xludf.DUMMYFUNCTION("""COMPUTED_VALUE"""),"B")</f>
        <v>B</v>
      </c>
      <c r="G1375" s="2005" t="str">
        <f>IFERROR(__xludf.DUMMYFUNCTION("""COMPUTED_VALUE"""),"AC")</f>
        <v>AC</v>
      </c>
      <c r="H1375">
        <f>IFERROR(__xludf.DUMMYFUNCTION("""COMPUTED_VALUE"""),476.0)</f>
        <v>476</v>
      </c>
      <c r="I1375">
        <f>IFERROR(__xludf.DUMMYFUNCTION("""COMPUTED_VALUE"""),476.0)</f>
        <v>476</v>
      </c>
      <c r="BD1375" s="2006"/>
      <c r="LL1375" s="2007"/>
      <c r="LM1375" s="2007"/>
      <c r="MX1375" s="2007"/>
      <c r="ND1375" s="2007"/>
    </row>
    <row r="1376">
      <c r="A1376" s="2005">
        <f>IFERROR(__xludf.DUMMYFUNCTION("""COMPUTED_VALUE"""),1117907.0)</f>
        <v>1117907</v>
      </c>
      <c r="B1376" s="2005">
        <f>IFERROR(__xludf.DUMMYFUNCTION("""COMPUTED_VALUE"""),1101005.0)</f>
        <v>1101005</v>
      </c>
      <c r="C1376" s="2005" t="str">
        <f>IFERROR(__xludf.DUMMYFUNCTION("""COMPUTED_VALUE"""),"Tél.")</f>
        <v>Tél.</v>
      </c>
      <c r="D1376" s="2005" t="str">
        <f>IFERROR(__xludf.DUMMYFUNCTION("""COMPUTED_VALUE"""),"Serenities Blanc Détection Chute")</f>
        <v>Serenities Blanc Détection Chute</v>
      </c>
      <c r="E1376" s="2005" t="str">
        <f>IFERROR(__xludf.DUMMYFUNCTION("""COMPUTED_VALUE"""),"GEEMARC")</f>
        <v>GEEMARC</v>
      </c>
      <c r="F1376" s="2005" t="str">
        <f>IFERROR(__xludf.DUMMYFUNCTION("""COMPUTED_VALUE"""),"H")</f>
        <v>H</v>
      </c>
      <c r="G1376" s="2005" t="str">
        <f>IFERROR(__xludf.DUMMYFUNCTION("""COMPUTED_VALUE"""),"NN")</f>
        <v>NN</v>
      </c>
      <c r="H1376" s="2005">
        <f>IFERROR(__xludf.DUMMYFUNCTION("""COMPUTED_VALUE"""),99.99)</f>
        <v>99.99</v>
      </c>
      <c r="I1376" s="2005">
        <f>IFERROR(__xludf.DUMMYFUNCTION("""COMPUTED_VALUE"""),99.99)</f>
        <v>99.99</v>
      </c>
      <c r="BD1376" s="2006"/>
      <c r="LL1376" s="2007"/>
      <c r="LM1376" s="2007"/>
      <c r="MX1376" s="2007"/>
      <c r="ND1376" s="2007"/>
    </row>
    <row r="1377">
      <c r="A1377" s="2005">
        <f>IFERROR(__xludf.DUMMYFUNCTION("""COMPUTED_VALUE"""),1117908.0)</f>
        <v>1117908</v>
      </c>
      <c r="B1377" s="2005">
        <f>IFERROR(__xludf.DUMMYFUNCTION("""COMPUTED_VALUE"""),1103015.0)</f>
        <v>1103015</v>
      </c>
      <c r="C1377" s="2005" t="str">
        <f>IFERROR(__xludf.DUMMYFUNCTION("""COMPUTED_VALUE"""),"Combi")</f>
        <v>Combi</v>
      </c>
      <c r="D1377" s="2005" t="str">
        <f>IFERROR(__xludf.DUMMYFUNCTION("""COMPUTED_VALUE"""),"AmpliDect 295 AD additionnel")</f>
        <v>AmpliDect 295 AD additionnel</v>
      </c>
      <c r="E1377" s="2005" t="str">
        <f>IFERROR(__xludf.DUMMYFUNCTION("""COMPUTED_VALUE"""),"GEEMARC")</f>
        <v>GEEMARC</v>
      </c>
      <c r="F1377" s="2005" t="str">
        <f>IFERROR(__xludf.DUMMYFUNCTION("""COMPUTED_VALUE"""),"H")</f>
        <v>H</v>
      </c>
      <c r="G1377" s="2005" t="str">
        <f>IFERROR(__xludf.DUMMYFUNCTION("""COMPUTED_VALUE"""),"AC")</f>
        <v>AC</v>
      </c>
      <c r="H1377" s="2005">
        <f>IFERROR(__xludf.DUMMYFUNCTION("""COMPUTED_VALUE"""),39.99)</f>
        <v>39.99</v>
      </c>
      <c r="I1377" s="2005">
        <f>IFERROR(__xludf.DUMMYFUNCTION("""COMPUTED_VALUE"""),39.99)</f>
        <v>39.99</v>
      </c>
      <c r="BD1377" s="2006"/>
      <c r="LL1377" s="2008"/>
      <c r="LM1377" s="2007"/>
      <c r="MX1377" s="2007"/>
      <c r="ND1377" s="2008"/>
    </row>
    <row r="1378">
      <c r="A1378" s="2005">
        <f>IFERROR(__xludf.DUMMYFUNCTION("""COMPUTED_VALUE"""),1117910.0)</f>
        <v>1117910</v>
      </c>
      <c r="B1378" s="2005">
        <f>IFERROR(__xludf.DUMMYFUNCTION("""COMPUTED_VALUE"""),1103010.0)</f>
        <v>1103010</v>
      </c>
      <c r="C1378" s="2005" t="str">
        <f>IFERROR(__xludf.DUMMYFUNCTION("""COMPUTED_VALUE"""),"Pack")</f>
        <v>Pack</v>
      </c>
      <c r="D1378" s="2005" t="str">
        <f>IFERROR(__xludf.DUMMYFUNCTION("""COMPUTED_VALUE"""),"CL660A Duo Noir")</f>
        <v>CL660A Duo Noir</v>
      </c>
      <c r="E1378" s="2005" t="str">
        <f>IFERROR(__xludf.DUMMYFUNCTION("""COMPUTED_VALUE"""),"GIGASET")</f>
        <v>GIGASET</v>
      </c>
      <c r="F1378" s="2005" t="str">
        <f>IFERROR(__xludf.DUMMYFUNCTION("""COMPUTED_VALUE"""),"A")</f>
        <v>A</v>
      </c>
      <c r="G1378" s="2005" t="str">
        <f>IFERROR(__xludf.DUMMYFUNCTION("""COMPUTED_VALUE"""),"NN")</f>
        <v>NN</v>
      </c>
      <c r="H1378" s="2005">
        <f>IFERROR(__xludf.DUMMYFUNCTION("""COMPUTED_VALUE"""),124.99)</f>
        <v>124.99</v>
      </c>
      <c r="I1378" s="2005">
        <f>IFERROR(__xludf.DUMMYFUNCTION("""COMPUTED_VALUE"""),124.99)</f>
        <v>124.99</v>
      </c>
      <c r="BD1378" s="2006"/>
      <c r="LL1378" s="2007"/>
      <c r="LM1378" s="2007"/>
      <c r="MX1378" s="2007"/>
      <c r="ND1378" s="2007"/>
    </row>
    <row r="1379">
      <c r="A1379" s="2005">
        <f>IFERROR(__xludf.DUMMYFUNCTION("""COMPUTED_VALUE"""),1117916.0)</f>
        <v>1117916</v>
      </c>
      <c r="B1379" s="2005">
        <f>IFERROR(__xludf.DUMMYFUNCTION("""COMPUTED_VALUE"""),1103015.0)</f>
        <v>1103015</v>
      </c>
      <c r="C1379" s="2005" t="str">
        <f>IFERROR(__xludf.DUMMYFUNCTION("""COMPUTED_VALUE"""),"Convertisseur")</f>
        <v>Convertisseur</v>
      </c>
      <c r="D1379" s="2005" t="str">
        <f>IFERROR(__xludf.DUMMYFUNCTION("""COMPUTED_VALUE"""),"V2T_10 Convertisseur Voix en Texte")</f>
        <v>V2T_10 Convertisseur Voix en Texte</v>
      </c>
      <c r="E1379" s="2005" t="str">
        <f>IFERROR(__xludf.DUMMYFUNCTION("""COMPUTED_VALUE"""),"GEEMARC")</f>
        <v>GEEMARC</v>
      </c>
      <c r="F1379" s="2005" t="str">
        <f>IFERROR(__xludf.DUMMYFUNCTION("""COMPUTED_VALUE"""),"H")</f>
        <v>H</v>
      </c>
      <c r="G1379" s="2005" t="str">
        <f>IFERROR(__xludf.DUMMYFUNCTION("""COMPUTED_VALUE"""),"NN")</f>
        <v>NN</v>
      </c>
      <c r="H1379" s="2005">
        <f>IFERROR(__xludf.DUMMYFUNCTION("""COMPUTED_VALUE"""),129.99)</f>
        <v>129.99</v>
      </c>
      <c r="I1379" s="2005">
        <f>IFERROR(__xludf.DUMMYFUNCTION("""COMPUTED_VALUE"""),129.99)</f>
        <v>129.99</v>
      </c>
      <c r="BD1379" s="2006"/>
      <c r="LL1379" s="2007"/>
      <c r="LM1379" s="2007"/>
      <c r="MX1379" s="2007"/>
      <c r="ND1379" s="2008"/>
    </row>
    <row r="1380">
      <c r="A1380" s="2005">
        <f>IFERROR(__xludf.DUMMYFUNCTION("""COMPUTED_VALUE"""),1117925.0)</f>
        <v>1117925</v>
      </c>
      <c r="B1380" s="2005">
        <f>IFERROR(__xludf.DUMMYFUNCTION("""COMPUTED_VALUE"""),1103015.0)</f>
        <v>1103015</v>
      </c>
      <c r="C1380" s="2005" t="str">
        <f>IFERROR(__xludf.DUMMYFUNCTION("""COMPUTED_VALUE"""),"Tour de cou")</f>
        <v>Tour de cou</v>
      </c>
      <c r="D1380" s="2005" t="str">
        <f>IFERROR(__xludf.DUMMYFUNCTION("""COMPUTED_VALUE"""),"SOSPRO295 Médaillon d'appel d'urgence")</f>
        <v>SOSPRO295 Médaillon d'appel d'urgence</v>
      </c>
      <c r="E1380" s="2005" t="str">
        <f>IFERROR(__xludf.DUMMYFUNCTION("""COMPUTED_VALUE"""),"GEEMARC")</f>
        <v>GEEMARC</v>
      </c>
      <c r="F1380" s="2005" t="str">
        <f>IFERROR(__xludf.DUMMYFUNCTION("""COMPUTED_VALUE"""),"H")</f>
        <v>H</v>
      </c>
      <c r="G1380" s="2005" t="str">
        <f>IFERROR(__xludf.DUMMYFUNCTION("""COMPUTED_VALUE"""),"NN")</f>
        <v>NN</v>
      </c>
      <c r="H1380" s="2005">
        <f>IFERROR(__xludf.DUMMYFUNCTION("""COMPUTED_VALUE"""),40.99)</f>
        <v>40.99</v>
      </c>
      <c r="I1380" s="2005">
        <f>IFERROR(__xludf.DUMMYFUNCTION("""COMPUTED_VALUE"""),40.99)</f>
        <v>40.99</v>
      </c>
      <c r="BD1380" s="2006"/>
      <c r="LL1380" s="2007"/>
      <c r="LM1380" s="2007"/>
      <c r="MX1380" s="2007"/>
      <c r="ND1380" s="2008"/>
    </row>
    <row r="1381">
      <c r="A1381" s="2005">
        <f>IFERROR(__xludf.DUMMYFUNCTION("""COMPUTED_VALUE"""),1117933.0)</f>
        <v>1117933</v>
      </c>
      <c r="B1381" s="2005">
        <f>IFERROR(__xludf.DUMMYFUNCTION("""COMPUTED_VALUE"""),1103010.0)</f>
        <v>1103010</v>
      </c>
      <c r="C1381" s="2005" t="str">
        <f>IFERROR(__xludf.DUMMYFUNCTION("""COMPUTED_VALUE"""),"Pack")</f>
        <v>Pack</v>
      </c>
      <c r="D1381" s="2005" t="str">
        <f>IFERROR(__xludf.DUMMYFUNCTION("""COMPUTED_VALUE"""),"CL660A Duo Blanc")</f>
        <v>CL660A Duo Blanc</v>
      </c>
      <c r="E1381" s="2005" t="str">
        <f>IFERROR(__xludf.DUMMYFUNCTION("""COMPUTED_VALUE"""),"GIGASET")</f>
        <v>GIGASET</v>
      </c>
      <c r="F1381" s="2005" t="str">
        <f>IFERROR(__xludf.DUMMYFUNCTION("""COMPUTED_VALUE"""),"D")</f>
        <v>D</v>
      </c>
      <c r="G1381" s="2005" t="str">
        <f>IFERROR(__xludf.DUMMYFUNCTION("""COMPUTED_VALUE"""),"NN")</f>
        <v>NN</v>
      </c>
      <c r="H1381" s="2005">
        <f>IFERROR(__xludf.DUMMYFUNCTION("""COMPUTED_VALUE"""),124.99)</f>
        <v>124.99</v>
      </c>
      <c r="I1381" s="2005">
        <f>IFERROR(__xludf.DUMMYFUNCTION("""COMPUTED_VALUE"""),124.99)</f>
        <v>124.99</v>
      </c>
      <c r="BD1381" s="2006"/>
      <c r="LL1381" s="2008"/>
      <c r="LM1381" s="2007"/>
      <c r="MX1381" s="2007"/>
      <c r="ND1381" s="2008"/>
    </row>
    <row r="1382">
      <c r="A1382" s="2005">
        <f>IFERROR(__xludf.DUMMYFUNCTION("""COMPUTED_VALUE"""),1117970.0)</f>
        <v>1117970</v>
      </c>
      <c r="B1382" s="2005">
        <f>IFERROR(__xludf.DUMMYFUNCTION("""COMPUTED_VALUE"""),1105005.0)</f>
        <v>1105005</v>
      </c>
      <c r="C1382" s="2005" t="str">
        <f>IFERROR(__xludf.DUMMYFUNCTION("""COMPUTED_VALUE"""),"Tél.")</f>
        <v>Tél.</v>
      </c>
      <c r="D1382" s="2005" t="str">
        <f>IFERROR(__xludf.DUMMYFUNCTION("""COMPUTED_VALUE"""),"IP30 wireless desktop")</f>
        <v>IP30 wireless desktop</v>
      </c>
      <c r="E1382" s="2005" t="str">
        <f>IFERROR(__xludf.DUMMYFUNCTION("""COMPUTED_VALUE"""),"ALCATEL")</f>
        <v>ALCATEL</v>
      </c>
      <c r="F1382" s="2005" t="str">
        <f>IFERROR(__xludf.DUMMYFUNCTION("""COMPUTED_VALUE"""),"H")</f>
        <v>H</v>
      </c>
      <c r="G1382" s="2005" t="str">
        <f>IFERROR(__xludf.DUMMYFUNCTION("""COMPUTED_VALUE"""),"NN")</f>
        <v>NN</v>
      </c>
      <c r="H1382" s="2005">
        <f>IFERROR(__xludf.DUMMYFUNCTION("""COMPUTED_VALUE"""),99.99)</f>
        <v>99.99</v>
      </c>
      <c r="I1382">
        <f>IFERROR(__xludf.DUMMYFUNCTION("""COMPUTED_VALUE"""),99.99)</f>
        <v>99.99</v>
      </c>
      <c r="BD1382" s="2006"/>
      <c r="LM1382" s="2008"/>
    </row>
    <row r="1383">
      <c r="A1383" s="2005">
        <f>IFERROR(__xludf.DUMMYFUNCTION("""COMPUTED_VALUE"""),1118039.0)</f>
        <v>1118039</v>
      </c>
      <c r="B1383" s="2005">
        <f>IFERROR(__xludf.DUMMYFUNCTION("""COMPUTED_VALUE"""),1105005.0)</f>
        <v>1105005</v>
      </c>
      <c r="C1383" s="2005" t="str">
        <f>IFERROR(__xludf.DUMMYFUNCTION("""COMPUTED_VALUE"""),"Tél.")</f>
        <v>Tél.</v>
      </c>
      <c r="D1383" s="2005" t="str">
        <f>IFERROR(__xludf.DUMMYFUNCTION("""COMPUTED_VALUE"""),"Temporis IP701G")</f>
        <v>Temporis IP701G</v>
      </c>
      <c r="E1383" s="2005" t="str">
        <f>IFERROR(__xludf.DUMMYFUNCTION("""COMPUTED_VALUE"""),"ALCATEL")</f>
        <v>ALCATEL</v>
      </c>
      <c r="F1383" s="2005" t="str">
        <f>IFERROR(__xludf.DUMMYFUNCTION("""COMPUTED_VALUE"""),"H")</f>
        <v>H</v>
      </c>
      <c r="G1383" s="2005" t="str">
        <f>IFERROR(__xludf.DUMMYFUNCTION("""COMPUTED_VALUE"""),"NN")</f>
        <v>NN</v>
      </c>
      <c r="H1383" s="2005">
        <f>IFERROR(__xludf.DUMMYFUNCTION("""COMPUTED_VALUE"""),71.99)</f>
        <v>71.99</v>
      </c>
      <c r="I1383" s="2005">
        <f>IFERROR(__xludf.DUMMYFUNCTION("""COMPUTED_VALUE"""),71.99)</f>
        <v>71.99</v>
      </c>
      <c r="BD1383" s="2006"/>
      <c r="LL1383" s="2007"/>
      <c r="LM1383" s="2008"/>
      <c r="MX1383" s="2007"/>
      <c r="ND1383" s="2007"/>
    </row>
    <row r="1384">
      <c r="A1384" s="2005">
        <f>IFERROR(__xludf.DUMMYFUNCTION("""COMPUTED_VALUE"""),1118068.0)</f>
        <v>1118068</v>
      </c>
      <c r="B1384" s="2005">
        <f>IFERROR(__xludf.DUMMYFUNCTION("""COMPUTED_VALUE"""),1105005.0)</f>
        <v>1105005</v>
      </c>
      <c r="C1384" s="2005" t="str">
        <f>IFERROR(__xludf.DUMMYFUNCTION("""COMPUTED_VALUE"""),"Tél.")</f>
        <v>Tél.</v>
      </c>
      <c r="D1384" s="2005" t="str">
        <f>IFERROR(__xludf.DUMMYFUNCTION("""COMPUTED_VALUE"""),"IP15 Combiné supplémentaire")</f>
        <v>IP15 Combiné supplémentaire</v>
      </c>
      <c r="E1384" s="2005" t="str">
        <f>IFERROR(__xludf.DUMMYFUNCTION("""COMPUTED_VALUE"""),"ALCATEL")</f>
        <v>ALCATEL</v>
      </c>
      <c r="F1384" s="2005" t="str">
        <f>IFERROR(__xludf.DUMMYFUNCTION("""COMPUTED_VALUE"""),"H")</f>
        <v>H</v>
      </c>
      <c r="G1384" s="2005" t="str">
        <f>IFERROR(__xludf.DUMMYFUNCTION("""COMPUTED_VALUE"""),"NN")</f>
        <v>NN</v>
      </c>
      <c r="H1384" s="2005">
        <f>IFERROR(__xludf.DUMMYFUNCTION("""COMPUTED_VALUE"""),31.99)</f>
        <v>31.99</v>
      </c>
      <c r="I1384" s="2005">
        <f>IFERROR(__xludf.DUMMYFUNCTION("""COMPUTED_VALUE"""),31.99)</f>
        <v>31.99</v>
      </c>
      <c r="LL1384" s="2007"/>
      <c r="LM1384" s="2008"/>
    </row>
    <row r="1385">
      <c r="A1385" s="2005">
        <f>IFERROR(__xludf.DUMMYFUNCTION("""COMPUTED_VALUE"""),1118132.0)</f>
        <v>1118132</v>
      </c>
      <c r="B1385" s="2005">
        <f>IFERROR(__xludf.DUMMYFUNCTION("""COMPUTED_VALUE"""),2209805.0)</f>
        <v>2209805</v>
      </c>
      <c r="C1385" s="2005" t="str">
        <f>IFERROR(__xludf.DUMMYFUNCTION("""COMPUTED_VALUE"""),"Lot")</f>
        <v>Lot</v>
      </c>
      <c r="D1385" s="2005" t="str">
        <f>IFERROR(__xludf.DUMMYFUNCTION("""COMPUTED_VALUE"""),"TS 5151+Pack CLI541 Coul+PG540 Noir")</f>
        <v>TS 5151+Pack CLI541 Coul+PG540 Noir</v>
      </c>
      <c r="E1385" s="2005" t="str">
        <f>IFERROR(__xludf.DUMMYFUNCTION("""COMPUTED_VALUE"""),"CANON")</f>
        <v>CANON</v>
      </c>
      <c r="F1385" s="2005" t="str">
        <f>IFERROR(__xludf.DUMMYFUNCTION("""COMPUTED_VALUE"""),"H")</f>
        <v>H</v>
      </c>
      <c r="G1385" s="2005" t="str">
        <f>IFERROR(__xludf.DUMMYFUNCTION("""COMPUTED_VALUE"""),"AC")</f>
        <v>AC</v>
      </c>
      <c r="H1385" s="2005">
        <f>IFERROR(__xludf.DUMMYFUNCTION("""COMPUTED_VALUE"""),124.97)</f>
        <v>124.97</v>
      </c>
      <c r="I1385" s="2005">
        <f>IFERROR(__xludf.DUMMYFUNCTION("""COMPUTED_VALUE"""),104.97)</f>
        <v>104.97</v>
      </c>
      <c r="LL1385" s="2007"/>
      <c r="LM1385" s="2008"/>
    </row>
    <row r="1386">
      <c r="A1386" s="2005">
        <f>IFERROR(__xludf.DUMMYFUNCTION("""COMPUTED_VALUE"""),1118183.0)</f>
        <v>1118183</v>
      </c>
      <c r="B1386" s="2005">
        <f>IFERROR(__xludf.DUMMYFUNCTION("""COMPUTED_VALUE"""),2201010.0)</f>
        <v>2201010</v>
      </c>
      <c r="C1386" s="2005" t="str">
        <f>IFERROR(__xludf.DUMMYFUNCTION("""COMPUTED_VALUE"""),"Mono Jet d'encr")</f>
        <v>Mono Jet d'encr</v>
      </c>
      <c r="D1386" s="2005" t="str">
        <f>IFERROR(__xludf.DUMMYFUNCTION("""COMPUTED_VALUE"""),"Ix 6850")</f>
        <v>Ix 6850</v>
      </c>
      <c r="E1386" s="2005" t="str">
        <f>IFERROR(__xludf.DUMMYFUNCTION("""COMPUTED_VALUE"""),"CANON")</f>
        <v>CANON</v>
      </c>
      <c r="F1386" s="2005" t="str">
        <f>IFERROR(__xludf.DUMMYFUNCTION("""COMPUTED_VALUE"""),"H")</f>
        <v>H</v>
      </c>
      <c r="G1386" s="2005" t="str">
        <f>IFERROR(__xludf.DUMMYFUNCTION("""COMPUTED_VALUE"""),"AC")</f>
        <v>AC</v>
      </c>
      <c r="H1386" s="2005">
        <f>IFERROR(__xludf.DUMMYFUNCTION("""COMPUTED_VALUE"""),239.99)</f>
        <v>239.99</v>
      </c>
      <c r="I1386" s="2005">
        <f>IFERROR(__xludf.DUMMYFUNCTION("""COMPUTED_VALUE"""),239.99)</f>
        <v>239.99</v>
      </c>
      <c r="LL1386" s="2007"/>
      <c r="LM1386" s="2008"/>
    </row>
    <row r="1387">
      <c r="A1387" s="2005">
        <f>IFERROR(__xludf.DUMMYFUNCTION("""COMPUTED_VALUE"""),1118184.0)</f>
        <v>1118184</v>
      </c>
      <c r="B1387" s="2005">
        <f>IFERROR(__xludf.DUMMYFUNCTION("""COMPUTED_VALUE"""),2201010.0)</f>
        <v>2201010</v>
      </c>
      <c r="C1387" s="2005" t="str">
        <f>IFERROR(__xludf.DUMMYFUNCTION("""COMPUTED_VALUE"""),"Mono Jet d'encr")</f>
        <v>Mono Jet d'encr</v>
      </c>
      <c r="D1387" s="2005" t="str">
        <f>IFERROR(__xludf.DUMMYFUNCTION("""COMPUTED_VALUE"""),"IP 8750")</f>
        <v>IP 8750</v>
      </c>
      <c r="E1387" s="2005" t="str">
        <f>IFERROR(__xludf.DUMMYFUNCTION("""COMPUTED_VALUE"""),"CANON")</f>
        <v>CANON</v>
      </c>
      <c r="F1387" s="2005" t="str">
        <f>IFERROR(__xludf.DUMMYFUNCTION("""COMPUTED_VALUE"""),"H")</f>
        <v>H</v>
      </c>
      <c r="G1387" s="2005" t="str">
        <f>IFERROR(__xludf.DUMMYFUNCTION("""COMPUTED_VALUE"""),"NN")</f>
        <v>NN</v>
      </c>
      <c r="H1387" s="2005">
        <f>IFERROR(__xludf.DUMMYFUNCTION("""COMPUTED_VALUE"""),295.99)</f>
        <v>295.99</v>
      </c>
      <c r="I1387" s="2005">
        <f>IFERROR(__xludf.DUMMYFUNCTION("""COMPUTED_VALUE"""),295.99)</f>
        <v>295.99</v>
      </c>
      <c r="BD1387" s="2006"/>
      <c r="LL1387" s="2008"/>
      <c r="LM1387" s="2008"/>
      <c r="MX1387" s="2007"/>
      <c r="ND1387" s="2007"/>
    </row>
    <row r="1388">
      <c r="A1388" s="2005">
        <f>IFERROR(__xludf.DUMMYFUNCTION("""COMPUTED_VALUE"""),1118185.0)</f>
        <v>1118185</v>
      </c>
      <c r="B1388" s="2005">
        <f>IFERROR(__xludf.DUMMYFUNCTION("""COMPUTED_VALUE"""),2203005.0)</f>
        <v>2203005</v>
      </c>
      <c r="C1388" s="2005" t="str">
        <f>IFERROR(__xludf.DUMMYFUNCTION("""COMPUTED_VALUE"""),"Scanner")</f>
        <v>Scanner</v>
      </c>
      <c r="D1388" s="2005" t="str">
        <f>IFERROR(__xludf.DUMMYFUNCTION("""COMPUTED_VALUE"""),"Lide 300")</f>
        <v>Lide 300</v>
      </c>
      <c r="E1388" s="2005" t="str">
        <f>IFERROR(__xludf.DUMMYFUNCTION("""COMPUTED_VALUE"""),"CANON")</f>
        <v>CANON</v>
      </c>
      <c r="F1388" s="2005" t="str">
        <f>IFERROR(__xludf.DUMMYFUNCTION("""COMPUTED_VALUE"""),"A")</f>
        <v>A</v>
      </c>
      <c r="G1388" s="2005" t="str">
        <f>IFERROR(__xludf.DUMMYFUNCTION("""COMPUTED_VALUE"""),"AC")</f>
        <v>AC</v>
      </c>
      <c r="H1388" s="2005">
        <f>IFERROR(__xludf.DUMMYFUNCTION("""COMPUTED_VALUE"""),79.99)</f>
        <v>79.99</v>
      </c>
      <c r="I1388" s="2005">
        <f>IFERROR(__xludf.DUMMYFUNCTION("""COMPUTED_VALUE"""),79.99)</f>
        <v>79.99</v>
      </c>
      <c r="BD1388" s="2006"/>
      <c r="LL1388" s="2008"/>
      <c r="LM1388" s="2008"/>
      <c r="MX1388" s="2008"/>
      <c r="ND1388" s="2008"/>
    </row>
    <row r="1389">
      <c r="A1389" s="2005">
        <f>IFERROR(__xludf.DUMMYFUNCTION("""COMPUTED_VALUE"""),1118186.0)</f>
        <v>1118186</v>
      </c>
      <c r="B1389" s="2005">
        <f>IFERROR(__xludf.DUMMYFUNCTION("""COMPUTED_VALUE"""),2203005.0)</f>
        <v>2203005</v>
      </c>
      <c r="C1389" s="2005" t="str">
        <f>IFERROR(__xludf.DUMMYFUNCTION("""COMPUTED_VALUE"""),"Scanner")</f>
        <v>Scanner</v>
      </c>
      <c r="D1389" s="2005" t="str">
        <f>IFERROR(__xludf.DUMMYFUNCTION("""COMPUTED_VALUE"""),"Lide 400")</f>
        <v>Lide 400</v>
      </c>
      <c r="E1389" s="2005" t="str">
        <f>IFERROR(__xludf.DUMMYFUNCTION("""COMPUTED_VALUE"""),"CANON")</f>
        <v>CANON</v>
      </c>
      <c r="F1389" s="2005" t="str">
        <f>IFERROR(__xludf.DUMMYFUNCTION("""COMPUTED_VALUE"""),"H")</f>
        <v>H</v>
      </c>
      <c r="G1389" s="2005" t="str">
        <f>IFERROR(__xludf.DUMMYFUNCTION("""COMPUTED_VALUE"""),"AC")</f>
        <v>AC</v>
      </c>
      <c r="H1389" s="2005">
        <f>IFERROR(__xludf.DUMMYFUNCTION("""COMPUTED_VALUE"""),99.99)</f>
        <v>99.99</v>
      </c>
      <c r="I1389" s="2005">
        <f>IFERROR(__xludf.DUMMYFUNCTION("""COMPUTED_VALUE"""),99.99)</f>
        <v>99.99</v>
      </c>
      <c r="BD1389" s="2006"/>
      <c r="LL1389" s="2008"/>
      <c r="LM1389" s="2008"/>
      <c r="MX1389" s="2008"/>
      <c r="ND1389" s="2007"/>
    </row>
    <row r="1390">
      <c r="A1390" s="2005">
        <f>IFERROR(__xludf.DUMMYFUNCTION("""COMPUTED_VALUE"""),1118187.0)</f>
        <v>1118187</v>
      </c>
      <c r="B1390" s="2005">
        <f>IFERROR(__xludf.DUMMYFUNCTION("""COMPUTED_VALUE"""),2202005.0)</f>
        <v>2202005</v>
      </c>
      <c r="C1390" s="2005" t="str">
        <f>IFERROR(__xludf.DUMMYFUNCTION("""COMPUTED_VALUE"""),"Multi Jet d'enc")</f>
        <v>Multi Jet d'enc</v>
      </c>
      <c r="D1390" s="2005" t="str">
        <f>IFERROR(__xludf.DUMMYFUNCTION("""COMPUTED_VALUE"""),"TR 4550 noir")</f>
        <v>TR 4550 noir</v>
      </c>
      <c r="E1390" s="2005" t="str">
        <f>IFERROR(__xludf.DUMMYFUNCTION("""COMPUTED_VALUE"""),"CANON")</f>
        <v>CANON</v>
      </c>
      <c r="F1390" s="2005" t="str">
        <f>IFERROR(__xludf.DUMMYFUNCTION("""COMPUTED_VALUE"""),"H")</f>
        <v>H</v>
      </c>
      <c r="G1390" s="2005" t="str">
        <f>IFERROR(__xludf.DUMMYFUNCTION("""COMPUTED_VALUE"""),"NN")</f>
        <v>NN</v>
      </c>
      <c r="H1390" s="2005">
        <f>IFERROR(__xludf.DUMMYFUNCTION("""COMPUTED_VALUE"""),89.99)</f>
        <v>89.99</v>
      </c>
      <c r="I1390" s="2005">
        <f>IFERROR(__xludf.DUMMYFUNCTION("""COMPUTED_VALUE"""),89.99)</f>
        <v>89.99</v>
      </c>
      <c r="BD1390" s="2006"/>
      <c r="LL1390" s="2007"/>
      <c r="LM1390" s="2008"/>
      <c r="MX1390" s="2007"/>
      <c r="ND1390" s="2007"/>
    </row>
    <row r="1391">
      <c r="A1391" s="2005">
        <f>IFERROR(__xludf.DUMMYFUNCTION("""COMPUTED_VALUE"""),1118218.0)</f>
        <v>1118218</v>
      </c>
      <c r="B1391" s="2005">
        <f>IFERROR(__xludf.DUMMYFUNCTION("""COMPUTED_VALUE"""),2202005.0)</f>
        <v>2202005</v>
      </c>
      <c r="C1391" s="2005" t="str">
        <f>IFERROR(__xludf.DUMMYFUNCTION("""COMPUTED_VALUE"""),"Multi Jet d'enc")</f>
        <v>Multi Jet d'enc</v>
      </c>
      <c r="D1391" s="2005" t="str">
        <f>IFERROR(__xludf.DUMMYFUNCTION("""COMPUTED_VALUE"""),"MG 3650S NOIRE")</f>
        <v>MG 3650S NOIRE</v>
      </c>
      <c r="E1391" s="2005" t="str">
        <f>IFERROR(__xludf.DUMMYFUNCTION("""COMPUTED_VALUE"""),"CANON")</f>
        <v>CANON</v>
      </c>
      <c r="F1391" s="2005" t="str">
        <f>IFERROR(__xludf.DUMMYFUNCTION("""COMPUTED_VALUE"""),"H")</f>
        <v>H</v>
      </c>
      <c r="G1391" s="2005" t="str">
        <f>IFERROR(__xludf.DUMMYFUNCTION("""COMPUTED_VALUE"""),"AC")</f>
        <v>AC</v>
      </c>
      <c r="H1391" s="2005">
        <f>IFERROR(__xludf.DUMMYFUNCTION("""COMPUTED_VALUE"""),69.99)</f>
        <v>69.99</v>
      </c>
      <c r="I1391" s="2005">
        <f>IFERROR(__xludf.DUMMYFUNCTION("""COMPUTED_VALUE"""),69.99)</f>
        <v>69.99</v>
      </c>
      <c r="LL1391" s="2007"/>
      <c r="LM1391" s="2008"/>
    </row>
    <row r="1392">
      <c r="A1392" s="2005">
        <f>IFERROR(__xludf.DUMMYFUNCTION("""COMPUTED_VALUE"""),1118244.0)</f>
        <v>1118244</v>
      </c>
      <c r="B1392" s="2005">
        <f>IFERROR(__xludf.DUMMYFUNCTION("""COMPUTED_VALUE"""),2202008.0)</f>
        <v>2202008</v>
      </c>
      <c r="C1392" s="2005" t="str">
        <f>IFERROR(__xludf.DUMMYFUNCTION("""COMPUTED_VALUE"""),"Multi Laser")</f>
        <v>Multi Laser</v>
      </c>
      <c r="D1392" s="2005" t="str">
        <f>IFERROR(__xludf.DUMMYFUNCTION("""COMPUTED_VALUE"""),"MFC-L3710CW")</f>
        <v>MFC-L3710CW</v>
      </c>
      <c r="E1392" s="2005" t="str">
        <f>IFERROR(__xludf.DUMMYFUNCTION("""COMPUTED_VALUE"""),"BROTHER")</f>
        <v>BROTHER</v>
      </c>
      <c r="F1392" s="2005" t="str">
        <f>IFERROR(__xludf.DUMMYFUNCTION("""COMPUTED_VALUE"""),"W")</f>
        <v>W</v>
      </c>
      <c r="G1392" s="2005" t="str">
        <f>IFERROR(__xludf.DUMMYFUNCTION("""COMPUTED_VALUE"""),"FR")</f>
        <v>FR</v>
      </c>
      <c r="H1392" s="2005">
        <f>IFERROR(__xludf.DUMMYFUNCTION("""COMPUTED_VALUE"""),466.99)</f>
        <v>466.99</v>
      </c>
      <c r="I1392" s="2005">
        <f>IFERROR(__xludf.DUMMYFUNCTION("""COMPUTED_VALUE"""),466.99)</f>
        <v>466.99</v>
      </c>
      <c r="LL1392" s="2007"/>
      <c r="LM1392" s="2008"/>
    </row>
    <row r="1393">
      <c r="A1393" s="2005">
        <f>IFERROR(__xludf.DUMMYFUNCTION("""COMPUTED_VALUE"""),1118399.0)</f>
        <v>1118399</v>
      </c>
      <c r="B1393" s="2005">
        <f>IFERROR(__xludf.DUMMYFUNCTION("""COMPUTED_VALUE"""),2502012.0)</f>
        <v>2502012</v>
      </c>
      <c r="C1393" s="2005" t="str">
        <f>IFERROR(__xludf.DUMMYFUNCTION("""COMPUTED_VALUE"""),"Tablette Graph")</f>
        <v>Tablette Graph</v>
      </c>
      <c r="D1393" s="2005" t="str">
        <f>IFERROR(__xludf.DUMMYFUNCTION("""COMPUTED_VALUE"""),"Wacom Cintiq Pro 16 UHD")</f>
        <v>Wacom Cintiq Pro 16 UHD</v>
      </c>
      <c r="E1393" s="2005" t="str">
        <f>IFERROR(__xludf.DUMMYFUNCTION("""COMPUTED_VALUE"""),"WACOM")</f>
        <v>WACOM</v>
      </c>
      <c r="F1393" s="2005" t="str">
        <f>IFERROR(__xludf.DUMMYFUNCTION("""COMPUTED_VALUE"""),"H")</f>
        <v>H</v>
      </c>
      <c r="G1393" s="2005" t="str">
        <f>IFERROR(__xludf.DUMMYFUNCTION("""COMPUTED_VALUE"""),"NN")</f>
        <v>NN</v>
      </c>
      <c r="H1393" s="2005">
        <f>IFERROR(__xludf.DUMMYFUNCTION("""COMPUTED_VALUE"""),1379.99)</f>
        <v>1379.99</v>
      </c>
      <c r="I1393" s="2005">
        <f>IFERROR(__xludf.DUMMYFUNCTION("""COMPUTED_VALUE"""),1379.99)</f>
        <v>1379.99</v>
      </c>
      <c r="LL1393" s="2007"/>
      <c r="LM1393" s="2008"/>
    </row>
    <row r="1394">
      <c r="A1394" s="2005">
        <f>IFERROR(__xludf.DUMMYFUNCTION("""COMPUTED_VALUE"""),1118554.0)</f>
        <v>1118554</v>
      </c>
      <c r="B1394" s="2005">
        <f>IFERROR(__xludf.DUMMYFUNCTION("""COMPUTED_VALUE"""),2202005.0)</f>
        <v>2202005</v>
      </c>
      <c r="C1394" s="2005" t="str">
        <f>IFERROR(__xludf.DUMMYFUNCTION("""COMPUTED_VALUE"""),"Multi Jet d'enc")</f>
        <v>Multi Jet d'enc</v>
      </c>
      <c r="D1394" s="2005" t="str">
        <f>IFERROR(__xludf.DUMMYFUNCTION("""COMPUTED_VALUE"""),"TS 9550 NOIR")</f>
        <v>TS 9550 NOIR</v>
      </c>
      <c r="E1394" s="2005" t="str">
        <f>IFERROR(__xludf.DUMMYFUNCTION("""COMPUTED_VALUE"""),"CANON")</f>
        <v>CANON</v>
      </c>
      <c r="F1394" s="2005" t="str">
        <f>IFERROR(__xludf.DUMMYFUNCTION("""COMPUTED_VALUE"""),"H")</f>
        <v>H</v>
      </c>
      <c r="G1394" s="2005" t="str">
        <f>IFERROR(__xludf.DUMMYFUNCTION("""COMPUTED_VALUE"""),"NN")</f>
        <v>NN</v>
      </c>
      <c r="H1394" s="2005">
        <f>IFERROR(__xludf.DUMMYFUNCTION("""COMPUTED_VALUE"""),269.99)</f>
        <v>269.99</v>
      </c>
      <c r="I1394" s="2005">
        <f>IFERROR(__xludf.DUMMYFUNCTION("""COMPUTED_VALUE"""),269.99)</f>
        <v>269.99</v>
      </c>
      <c r="LL1394" s="2008"/>
      <c r="LM1394" s="2008"/>
    </row>
    <row r="1395">
      <c r="A1395" s="2005">
        <f>IFERROR(__xludf.DUMMYFUNCTION("""COMPUTED_VALUE"""),1118558.0)</f>
        <v>1118558</v>
      </c>
      <c r="B1395" s="2005">
        <f>IFERROR(__xludf.DUMMYFUNCTION("""COMPUTED_VALUE"""),2202005.0)</f>
        <v>2202005</v>
      </c>
      <c r="C1395" s="2005" t="str">
        <f>IFERROR(__xludf.DUMMYFUNCTION("""COMPUTED_VALUE"""),"Multi Jet d'enc")</f>
        <v>Multi Jet d'enc</v>
      </c>
      <c r="D1395" s="2005" t="str">
        <f>IFERROR(__xludf.DUMMYFUNCTION("""COMPUTED_VALUE"""),"TS 9551 C BLANC")</f>
        <v>TS 9551 C BLANC</v>
      </c>
      <c r="E1395" s="2005" t="str">
        <f>IFERROR(__xludf.DUMMYFUNCTION("""COMPUTED_VALUE"""),"CANON")</f>
        <v>CANON</v>
      </c>
      <c r="F1395" s="2005" t="str">
        <f>IFERROR(__xludf.DUMMYFUNCTION("""COMPUTED_VALUE"""),"H")</f>
        <v>H</v>
      </c>
      <c r="G1395" s="2005" t="str">
        <f>IFERROR(__xludf.DUMMYFUNCTION("""COMPUTED_VALUE"""),"NN")</f>
        <v>NN</v>
      </c>
      <c r="H1395" s="2005">
        <f>IFERROR(__xludf.DUMMYFUNCTION("""COMPUTED_VALUE"""),199.99)</f>
        <v>199.99</v>
      </c>
      <c r="I1395" s="2005">
        <f>IFERROR(__xludf.DUMMYFUNCTION("""COMPUTED_VALUE"""),199.99)</f>
        <v>199.99</v>
      </c>
      <c r="LL1395" s="2007"/>
      <c r="LM1395" s="2008"/>
    </row>
    <row r="1396">
      <c r="A1396" s="2005">
        <f>IFERROR(__xludf.DUMMYFUNCTION("""COMPUTED_VALUE"""),1118691.0)</f>
        <v>1118691</v>
      </c>
      <c r="B1396" s="2005">
        <f>IFERROR(__xludf.DUMMYFUNCTION("""COMPUTED_VALUE"""),2403006.0)</f>
        <v>2403006</v>
      </c>
      <c r="C1396" s="2005" t="str">
        <f>IFERROR(__xludf.DUMMYFUNCTION("""COMPUTED_VALUE"""),"Imprimante")</f>
        <v>Imprimante</v>
      </c>
      <c r="D1396" s="2005" t="str">
        <f>IFERROR(__xludf.DUMMYFUNCTION("""COMPUTED_VALUE"""),"Plateau en verre Raise3D")</f>
        <v>Plateau en verre Raise3D</v>
      </c>
      <c r="E1396" s="2005" t="str">
        <f>IFERROR(__xludf.DUMMYFUNCTION("""COMPUTED_VALUE"""),"SOTEC")</f>
        <v>SOTEC</v>
      </c>
      <c r="F1396" s="2005" t="str">
        <f>IFERROR(__xludf.DUMMYFUNCTION("""COMPUTED_VALUE"""),"H")</f>
        <v>H</v>
      </c>
      <c r="G1396" s="2005" t="str">
        <f>IFERROR(__xludf.DUMMYFUNCTION("""COMPUTED_VALUE"""),"NN")</f>
        <v>NN</v>
      </c>
      <c r="H1396" s="2005">
        <f>IFERROR(__xludf.DUMMYFUNCTION("""COMPUTED_VALUE"""),35.99)</f>
        <v>35.99</v>
      </c>
      <c r="I1396" s="2005">
        <f>IFERROR(__xludf.DUMMYFUNCTION("""COMPUTED_VALUE"""),35.99)</f>
        <v>35.99</v>
      </c>
      <c r="LL1396" s="2007"/>
      <c r="LM1396" s="2008"/>
    </row>
    <row r="1397">
      <c r="A1397" s="2005">
        <f>IFERROR(__xludf.DUMMYFUNCTION("""COMPUTED_VALUE"""),1118771.0)</f>
        <v>1118771</v>
      </c>
      <c r="B1397" s="2005">
        <f>IFERROR(__xludf.DUMMYFUNCTION("""COMPUTED_VALUE"""),2403010.0)</f>
        <v>2403010</v>
      </c>
      <c r="C1397" s="2005" t="str">
        <f>IFERROR(__xludf.DUMMYFUNCTION("""COMPUTED_VALUE"""),"Toner")</f>
        <v>Toner</v>
      </c>
      <c r="D1397" s="2005" t="str">
        <f>IFERROR(__xludf.DUMMYFUNCTION("""COMPUTED_VALUE"""),"TN243 Noir")</f>
        <v>TN243 Noir</v>
      </c>
      <c r="E1397" s="2005" t="str">
        <f>IFERROR(__xludf.DUMMYFUNCTION("""COMPUTED_VALUE"""),"BROTHER")</f>
        <v>BROTHER</v>
      </c>
      <c r="F1397" s="2005" t="str">
        <f>IFERROR(__xludf.DUMMYFUNCTION("""COMPUTED_VALUE"""),"B")</f>
        <v>B</v>
      </c>
      <c r="G1397" s="2005" t="str">
        <f>IFERROR(__xludf.DUMMYFUNCTION("""COMPUTED_VALUE"""),"FF")</f>
        <v>FF</v>
      </c>
      <c r="H1397">
        <f>IFERROR(__xludf.DUMMYFUNCTION("""COMPUTED_VALUE"""),69.05)</f>
        <v>69.05</v>
      </c>
      <c r="I1397">
        <f>IFERROR(__xludf.DUMMYFUNCTION("""COMPUTED_VALUE"""),69.05)</f>
        <v>69.05</v>
      </c>
      <c r="LL1397" s="2007"/>
      <c r="LM1397" s="2008"/>
    </row>
    <row r="1398">
      <c r="A1398" s="2005">
        <f>IFERROR(__xludf.DUMMYFUNCTION("""COMPUTED_VALUE"""),1118772.0)</f>
        <v>1118772</v>
      </c>
      <c r="B1398" s="2005">
        <f>IFERROR(__xludf.DUMMYFUNCTION("""COMPUTED_VALUE"""),2403010.0)</f>
        <v>2403010</v>
      </c>
      <c r="C1398" s="2005" t="str">
        <f>IFERROR(__xludf.DUMMYFUNCTION("""COMPUTED_VALUE"""),"Toner")</f>
        <v>Toner</v>
      </c>
      <c r="D1398" s="2005" t="str">
        <f>IFERROR(__xludf.DUMMYFUNCTION("""COMPUTED_VALUE"""),"TN243 Cyan")</f>
        <v>TN243 Cyan</v>
      </c>
      <c r="E1398" s="2005" t="str">
        <f>IFERROR(__xludf.DUMMYFUNCTION("""COMPUTED_VALUE"""),"BROTHER")</f>
        <v>BROTHER</v>
      </c>
      <c r="F1398" s="2005" t="str">
        <f>IFERROR(__xludf.DUMMYFUNCTION("""COMPUTED_VALUE"""),"W")</f>
        <v>W</v>
      </c>
      <c r="G1398" s="2005" t="str">
        <f>IFERROR(__xludf.DUMMYFUNCTION("""COMPUTED_VALUE"""),"NN")</f>
        <v>NN</v>
      </c>
      <c r="H1398" s="2005">
        <f>IFERROR(__xludf.DUMMYFUNCTION("""COMPUTED_VALUE"""),73.99)</f>
        <v>73.99</v>
      </c>
      <c r="I1398" s="2005">
        <f>IFERROR(__xludf.DUMMYFUNCTION("""COMPUTED_VALUE"""),73.99)</f>
        <v>73.99</v>
      </c>
      <c r="LL1398" s="2008"/>
      <c r="LM1398" s="2008"/>
    </row>
    <row r="1399">
      <c r="A1399" s="2005">
        <f>IFERROR(__xludf.DUMMYFUNCTION("""COMPUTED_VALUE"""),1118773.0)</f>
        <v>1118773</v>
      </c>
      <c r="B1399" s="2005">
        <f>IFERROR(__xludf.DUMMYFUNCTION("""COMPUTED_VALUE"""),2403010.0)</f>
        <v>2403010</v>
      </c>
      <c r="C1399" s="2005" t="str">
        <f>IFERROR(__xludf.DUMMYFUNCTION("""COMPUTED_VALUE"""),"Toner")</f>
        <v>Toner</v>
      </c>
      <c r="D1399" s="2005" t="str">
        <f>IFERROR(__xludf.DUMMYFUNCTION("""COMPUTED_VALUE"""),"TN243 Magenta")</f>
        <v>TN243 Magenta</v>
      </c>
      <c r="E1399" s="2005" t="str">
        <f>IFERROR(__xludf.DUMMYFUNCTION("""COMPUTED_VALUE"""),"BROTHER")</f>
        <v>BROTHER</v>
      </c>
      <c r="F1399" s="2005" t="str">
        <f>IFERROR(__xludf.DUMMYFUNCTION("""COMPUTED_VALUE"""),"H")</f>
        <v>H</v>
      </c>
      <c r="G1399" s="2005" t="str">
        <f>IFERROR(__xludf.DUMMYFUNCTION("""COMPUTED_VALUE"""),"NN")</f>
        <v>NN</v>
      </c>
      <c r="H1399" s="2005">
        <f>IFERROR(__xludf.DUMMYFUNCTION("""COMPUTED_VALUE"""),75.55)</f>
        <v>75.55</v>
      </c>
      <c r="I1399" s="2005">
        <f>IFERROR(__xludf.DUMMYFUNCTION("""COMPUTED_VALUE"""),75.55)</f>
        <v>75.55</v>
      </c>
      <c r="LL1399" s="2007"/>
      <c r="LM1399" s="2008"/>
    </row>
    <row r="1400">
      <c r="A1400" s="2005">
        <f>IFERROR(__xludf.DUMMYFUNCTION("""COMPUTED_VALUE"""),1118774.0)</f>
        <v>1118774</v>
      </c>
      <c r="B1400" s="2005">
        <f>IFERROR(__xludf.DUMMYFUNCTION("""COMPUTED_VALUE"""),2403010.0)</f>
        <v>2403010</v>
      </c>
      <c r="C1400" s="2005" t="str">
        <f>IFERROR(__xludf.DUMMYFUNCTION("""COMPUTED_VALUE"""),"Toner")</f>
        <v>Toner</v>
      </c>
      <c r="D1400" s="2005" t="str">
        <f>IFERROR(__xludf.DUMMYFUNCTION("""COMPUTED_VALUE"""),"TN243 Jaune")</f>
        <v>TN243 Jaune</v>
      </c>
      <c r="E1400" s="2005" t="str">
        <f>IFERROR(__xludf.DUMMYFUNCTION("""COMPUTED_VALUE"""),"BROTHER")</f>
        <v>BROTHER</v>
      </c>
      <c r="F1400" s="2005" t="str">
        <f>IFERROR(__xludf.DUMMYFUNCTION("""COMPUTED_VALUE"""),"H")</f>
        <v>H</v>
      </c>
      <c r="G1400" s="2005" t="str">
        <f>IFERROR(__xludf.DUMMYFUNCTION("""COMPUTED_VALUE"""),"NN")</f>
        <v>NN</v>
      </c>
      <c r="H1400" s="2005">
        <f>IFERROR(__xludf.DUMMYFUNCTION("""COMPUTED_VALUE"""),75.55)</f>
        <v>75.55</v>
      </c>
      <c r="I1400" s="2005">
        <f>IFERROR(__xludf.DUMMYFUNCTION("""COMPUTED_VALUE"""),75.55)</f>
        <v>75.55</v>
      </c>
      <c r="BD1400" s="2006"/>
      <c r="LM1400" s="2008"/>
    </row>
    <row r="1401">
      <c r="A1401" s="2005">
        <f>IFERROR(__xludf.DUMMYFUNCTION("""COMPUTED_VALUE"""),1119087.0)</f>
        <v>1119087</v>
      </c>
      <c r="B1401" s="2005">
        <f>IFERROR(__xludf.DUMMYFUNCTION("""COMPUTED_VALUE"""),2207005.0)</f>
        <v>2207005</v>
      </c>
      <c r="C1401" s="2005" t="str">
        <f>IFERROR(__xludf.DUMMYFUNCTION("""COMPUTED_VALUE"""),"Imprimante")</f>
        <v>Imprimante</v>
      </c>
      <c r="D1401" s="2005" t="str">
        <f>IFERROR(__xludf.DUMMYFUNCTION("""COMPUTED_VALUE"""),"CR10-S")</f>
        <v>CR10-S</v>
      </c>
      <c r="E1401" s="2005" t="str">
        <f>IFERROR(__xludf.DUMMYFUNCTION("""COMPUTED_VALUE"""),"CREALITY 3D")</f>
        <v>CREALITY 3D</v>
      </c>
      <c r="F1401" s="2005" t="str">
        <f>IFERROR(__xludf.DUMMYFUNCTION("""COMPUTED_VALUE"""),"H")</f>
        <v>H</v>
      </c>
      <c r="G1401" s="2005" t="str">
        <f>IFERROR(__xludf.DUMMYFUNCTION("""COMPUTED_VALUE"""),"NN")</f>
        <v>NN</v>
      </c>
      <c r="H1401" s="2005">
        <f>IFERROR(__xludf.DUMMYFUNCTION("""COMPUTED_VALUE"""),430.99)</f>
        <v>430.99</v>
      </c>
      <c r="I1401" s="2005">
        <f>IFERROR(__xludf.DUMMYFUNCTION("""COMPUTED_VALUE"""),430.99)</f>
        <v>430.99</v>
      </c>
      <c r="BD1401" s="2006"/>
      <c r="LM1401" s="2008"/>
    </row>
    <row r="1402">
      <c r="A1402" s="2005">
        <f>IFERROR(__xludf.DUMMYFUNCTION("""COMPUTED_VALUE"""),1119088.0)</f>
        <v>1119088</v>
      </c>
      <c r="B1402" s="2005">
        <f>IFERROR(__xludf.DUMMYFUNCTION("""COMPUTED_VALUE"""),2403006.0)</f>
        <v>2403006</v>
      </c>
      <c r="C1402" s="2005" t="str">
        <f>IFERROR(__xludf.DUMMYFUNCTION("""COMPUTED_VALUE"""),"Cartouche")</f>
        <v>Cartouche</v>
      </c>
      <c r="D1402" s="2005" t="str">
        <f>IFERROR(__xludf.DUMMYFUNCTION("""COMPUTED_VALUE"""),"PLA Blanc 1.75mm 250gr")</f>
        <v>PLA Blanc 1.75mm 250gr</v>
      </c>
      <c r="E1402" s="2005" t="str">
        <f>IFERROR(__xludf.DUMMYFUNCTION("""COMPUTED_VALUE"""),"NEOFIL3D")</f>
        <v>NEOFIL3D</v>
      </c>
      <c r="F1402" s="2005" t="str">
        <f>IFERROR(__xludf.DUMMYFUNCTION("""COMPUTED_VALUE"""),"W")</f>
        <v>W</v>
      </c>
      <c r="G1402" s="2005" t="str">
        <f>IFERROR(__xludf.DUMMYFUNCTION("""COMPUTED_VALUE"""),"NN")</f>
        <v>NN</v>
      </c>
      <c r="H1402" s="2005">
        <f>IFERROR(__xludf.DUMMYFUNCTION("""COMPUTED_VALUE"""),9.9)</f>
        <v>9.9</v>
      </c>
      <c r="I1402" s="2005">
        <f>IFERROR(__xludf.DUMMYFUNCTION("""COMPUTED_VALUE"""),9.9)</f>
        <v>9.9</v>
      </c>
      <c r="BD1402" s="2006"/>
      <c r="LL1402" s="2007"/>
      <c r="LM1402" s="2008"/>
      <c r="MX1402" s="2007"/>
      <c r="ND1402" s="2008"/>
    </row>
    <row r="1403">
      <c r="A1403" s="2005">
        <f>IFERROR(__xludf.DUMMYFUNCTION("""COMPUTED_VALUE"""),1119090.0)</f>
        <v>1119090</v>
      </c>
      <c r="B1403" s="2005">
        <f>IFERROR(__xludf.DUMMYFUNCTION("""COMPUTED_VALUE"""),2403006.0)</f>
        <v>2403006</v>
      </c>
      <c r="C1403" s="2005" t="str">
        <f>IFERROR(__xludf.DUMMYFUNCTION("""COMPUTED_VALUE"""),"Cartouche")</f>
        <v>Cartouche</v>
      </c>
      <c r="D1403" s="2005" t="str">
        <f>IFERROR(__xludf.DUMMYFUNCTION("""COMPUTED_VALUE"""),"PLA Gris 1.75mm 250gr")</f>
        <v>PLA Gris 1.75mm 250gr</v>
      </c>
      <c r="E1403" s="2005" t="str">
        <f>IFERROR(__xludf.DUMMYFUNCTION("""COMPUTED_VALUE"""),"NEOFIL3D")</f>
        <v>NEOFIL3D</v>
      </c>
      <c r="F1403" s="2005" t="str">
        <f>IFERROR(__xludf.DUMMYFUNCTION("""COMPUTED_VALUE"""),"W")</f>
        <v>W</v>
      </c>
      <c r="G1403" s="2005" t="str">
        <f>IFERROR(__xludf.DUMMYFUNCTION("""COMPUTED_VALUE"""),"NN")</f>
        <v>NN</v>
      </c>
      <c r="H1403" s="2005">
        <f>IFERROR(__xludf.DUMMYFUNCTION("""COMPUTED_VALUE"""),9.9)</f>
        <v>9.9</v>
      </c>
      <c r="I1403" s="2005">
        <f>IFERROR(__xludf.DUMMYFUNCTION("""COMPUTED_VALUE"""),9.9)</f>
        <v>9.9</v>
      </c>
      <c r="BD1403" s="2006"/>
      <c r="LL1403" s="2007"/>
      <c r="LM1403" s="2008"/>
      <c r="MX1403" s="2007"/>
      <c r="ND1403" s="2007"/>
    </row>
    <row r="1404">
      <c r="A1404" s="2005">
        <f>IFERROR(__xludf.DUMMYFUNCTION("""COMPUTED_VALUE"""),1119129.0)</f>
        <v>1119129</v>
      </c>
      <c r="B1404" s="2005">
        <f>IFERROR(__xludf.DUMMYFUNCTION("""COMPUTED_VALUE"""),2207005.0)</f>
        <v>2207005</v>
      </c>
      <c r="C1404" s="2005" t="str">
        <f>IFERROR(__xludf.DUMMYFUNCTION("""COMPUTED_VALUE"""),"Imprimante")</f>
        <v>Imprimante</v>
      </c>
      <c r="D1404" s="2005" t="str">
        <f>IFERROR(__xludf.DUMMYFUNCTION("""COMPUTED_VALUE"""),"FormBox")</f>
        <v>FormBox</v>
      </c>
      <c r="E1404" s="2005" t="str">
        <f>IFERROR(__xludf.DUMMYFUNCTION("""COMPUTED_VALUE"""),"MAYKU")</f>
        <v>MAYKU</v>
      </c>
      <c r="F1404" s="2005" t="str">
        <f>IFERROR(__xludf.DUMMYFUNCTION("""COMPUTED_VALUE"""),"W")</f>
        <v>W</v>
      </c>
      <c r="G1404" s="2005" t="str">
        <f>IFERROR(__xludf.DUMMYFUNCTION("""COMPUTED_VALUE"""),"NN")</f>
        <v>NN</v>
      </c>
      <c r="H1404" s="2005">
        <f>IFERROR(__xludf.DUMMYFUNCTION("""COMPUTED_VALUE"""),799.99)</f>
        <v>799.99</v>
      </c>
      <c r="I1404" s="2005">
        <f>IFERROR(__xludf.DUMMYFUNCTION("""COMPUTED_VALUE"""),799.99)</f>
        <v>799.99</v>
      </c>
      <c r="LL1404" s="2008"/>
      <c r="LM1404" s="2007"/>
    </row>
    <row r="1405">
      <c r="A1405" s="2005">
        <f>IFERROR(__xludf.DUMMYFUNCTION("""COMPUTED_VALUE"""),1119193.0)</f>
        <v>1119193</v>
      </c>
      <c r="B1405" s="2005">
        <f>IFERROR(__xludf.DUMMYFUNCTION("""COMPUTED_VALUE"""),2502024.0)</f>
        <v>2502024</v>
      </c>
      <c r="C1405" s="2005" t="str">
        <f>IFERROR(__xludf.DUMMYFUNCTION("""COMPUTED_VALUE"""),"Stylet")</f>
        <v>Stylet</v>
      </c>
      <c r="D1405" s="2005" t="str">
        <f>IFERROR(__xludf.DUMMYFUNCTION("""COMPUTED_VALUE"""),"Pencil 2nd Génération")</f>
        <v>Pencil 2nd Génération</v>
      </c>
      <c r="E1405" s="2005" t="str">
        <f>IFERROR(__xludf.DUMMYFUNCTION("""COMPUTED_VALUE"""),"APPLE")</f>
        <v>APPLE</v>
      </c>
      <c r="F1405" s="2005" t="str">
        <f>IFERROR(__xludf.DUMMYFUNCTION("""COMPUTED_VALUE"""),"A")</f>
        <v>A</v>
      </c>
      <c r="G1405" s="2005" t="str">
        <f>IFERROR(__xludf.DUMMYFUNCTION("""COMPUTED_VALUE"""),"AC")</f>
        <v>AC</v>
      </c>
      <c r="H1405">
        <f>IFERROR(__xludf.DUMMYFUNCTION("""COMPUTED_VALUE"""),149.0)</f>
        <v>149</v>
      </c>
      <c r="I1405">
        <f>IFERROR(__xludf.DUMMYFUNCTION("""COMPUTED_VALUE"""),149.0)</f>
        <v>149</v>
      </c>
      <c r="LL1405" s="2008"/>
      <c r="LM1405" s="2007"/>
    </row>
    <row r="1406">
      <c r="A1406" s="2005">
        <f>IFERROR(__xludf.DUMMYFUNCTION("""COMPUTED_VALUE"""),1119253.0)</f>
        <v>1119253</v>
      </c>
      <c r="B1406" s="2005">
        <f>IFERROR(__xludf.DUMMYFUNCTION("""COMPUTED_VALUE"""),2403030.0)</f>
        <v>2403030</v>
      </c>
      <c r="C1406" s="2005" t="str">
        <f>IFERROR(__xludf.DUMMYFUNCTION("""COMPUTED_VALUE"""),"Forfait")</f>
        <v>Forfait</v>
      </c>
      <c r="D1406" s="2005" t="str">
        <f>IFERROR(__xludf.DUMMYFUNCTION("""COMPUTED_VALUE"""),"Unlimited Card")</f>
        <v>Unlimited Card</v>
      </c>
      <c r="E1406" s="2005" t="str">
        <f>IFERROR(__xludf.DUMMYFUNCTION("""COMPUTED_VALUE"""),"EPSON")</f>
        <v>EPSON</v>
      </c>
      <c r="F1406" s="2005" t="str">
        <f>IFERROR(__xludf.DUMMYFUNCTION("""COMPUTED_VALUE"""),"B")</f>
        <v>B</v>
      </c>
      <c r="G1406" s="2005" t="str">
        <f>IFERROR(__xludf.DUMMYFUNCTION("""COMPUTED_VALUE"""),"NN")</f>
        <v>NN</v>
      </c>
      <c r="H1406">
        <f>IFERROR(__xludf.DUMMYFUNCTION("""COMPUTED_VALUE"""),29.99)</f>
        <v>29.99</v>
      </c>
      <c r="I1406">
        <f>IFERROR(__xludf.DUMMYFUNCTION("""COMPUTED_VALUE"""),29.99)</f>
        <v>29.99</v>
      </c>
      <c r="BD1406" s="2006"/>
      <c r="LL1406" s="2007"/>
      <c r="LM1406" s="2007"/>
      <c r="MX1406" s="2007"/>
      <c r="ND1406" s="2008"/>
    </row>
    <row r="1407">
      <c r="A1407" s="2005">
        <f>IFERROR(__xludf.DUMMYFUNCTION("""COMPUTED_VALUE"""),1119404.0)</f>
        <v>1119404</v>
      </c>
      <c r="B1407" s="2005">
        <f>IFERROR(__xludf.DUMMYFUNCTION("""COMPUTED_VALUE"""),1108005.0)</f>
        <v>1108005</v>
      </c>
      <c r="C1407" s="2005" t="str">
        <f>IFERROR(__xludf.DUMMYFUNCTION("""COMPUTED_VALUE"""),"Talkie")</f>
        <v>Talkie</v>
      </c>
      <c r="D1407" s="2005" t="str">
        <f>IFERROR(__xludf.DUMMYFUNCTION("""COMPUTED_VALUE"""),"TLKR-T42 WE TWIN PACK rouge")</f>
        <v>TLKR-T42 WE TWIN PACK rouge</v>
      </c>
      <c r="E1407" s="2005" t="str">
        <f>IFERROR(__xludf.DUMMYFUNCTION("""COMPUTED_VALUE"""),"MOTOROLA")</f>
        <v>MOTOROLA</v>
      </c>
      <c r="F1407" s="2005" t="str">
        <f>IFERROR(__xludf.DUMMYFUNCTION("""COMPUTED_VALUE"""),"B")</f>
        <v>B</v>
      </c>
      <c r="G1407" s="2005" t="str">
        <f>IFERROR(__xludf.DUMMYFUNCTION("""COMPUTED_VALUE"""),"AC")</f>
        <v>AC</v>
      </c>
      <c r="H1407">
        <f>IFERROR(__xludf.DUMMYFUNCTION("""COMPUTED_VALUE"""),39.99)</f>
        <v>39.99</v>
      </c>
      <c r="I1407">
        <f>IFERROR(__xludf.DUMMYFUNCTION("""COMPUTED_VALUE"""),39.99)</f>
        <v>39.99</v>
      </c>
      <c r="BD1407" s="2006"/>
      <c r="LL1407" s="2008"/>
      <c r="LM1407" s="2008"/>
      <c r="MX1407" s="2007"/>
      <c r="NB1407" s="2007"/>
      <c r="ND1407" s="2008"/>
    </row>
    <row r="1408">
      <c r="A1408" s="2005">
        <f>IFERROR(__xludf.DUMMYFUNCTION("""COMPUTED_VALUE"""),1119761.0)</f>
        <v>1119761</v>
      </c>
      <c r="B1408" s="2005">
        <f>IFERROR(__xludf.DUMMYFUNCTION("""COMPUTED_VALUE"""),2202010.0)</f>
        <v>2202010</v>
      </c>
      <c r="C1408" s="2005" t="str">
        <f>IFERROR(__xludf.DUMMYFUNCTION("""COMPUTED_VALUE"""),"Multi Jet d'enc")</f>
        <v>Multi Jet d'enc</v>
      </c>
      <c r="D1408" s="2005" t="str">
        <f>IFERROR(__xludf.DUMMYFUNCTION("""COMPUTED_VALUE"""),"MegaTank G3501")</f>
        <v>MegaTank G3501</v>
      </c>
      <c r="E1408" s="2005" t="str">
        <f>IFERROR(__xludf.DUMMYFUNCTION("""COMPUTED_VALUE"""),"CANON")</f>
        <v>CANON</v>
      </c>
      <c r="F1408" s="2005" t="str">
        <f>IFERROR(__xludf.DUMMYFUNCTION("""COMPUTED_VALUE"""),"E")</f>
        <v>E</v>
      </c>
      <c r="G1408" s="2005" t="str">
        <f>IFERROR(__xludf.DUMMYFUNCTION("""COMPUTED_VALUE"""),"NN")</f>
        <v>NN</v>
      </c>
      <c r="H1408" s="2005">
        <f>IFERROR(__xludf.DUMMYFUNCTION("""COMPUTED_VALUE"""),171.99)</f>
        <v>171.99</v>
      </c>
      <c r="I1408">
        <f>IFERROR(__xludf.DUMMYFUNCTION("""COMPUTED_VALUE"""),171.99)</f>
        <v>171.99</v>
      </c>
      <c r="BD1408" s="2006"/>
      <c r="LL1408" s="2007"/>
      <c r="LM1408" s="2008"/>
      <c r="MX1408" s="2007"/>
      <c r="ND1408" s="2007"/>
    </row>
    <row r="1409">
      <c r="A1409" s="2005">
        <f>IFERROR(__xludf.DUMMYFUNCTION("""COMPUTED_VALUE"""),1120010.0)</f>
        <v>1120010</v>
      </c>
      <c r="B1409" s="2005">
        <f>IFERROR(__xludf.DUMMYFUNCTION("""COMPUTED_VALUE"""),2207005.0)</f>
        <v>2207005</v>
      </c>
      <c r="C1409" s="2005" t="str">
        <f>IFERROR(__xludf.DUMMYFUNCTION("""COMPUTED_VALUE"""),"Imprimante")</f>
        <v>Imprimante</v>
      </c>
      <c r="D1409" s="2005" t="str">
        <f>IFERROR(__xludf.DUMMYFUNCTION("""COMPUTED_VALUE"""),"Da Vinci Mini Blanche")</f>
        <v>Da Vinci Mini Blanche</v>
      </c>
      <c r="E1409" s="2005" t="str">
        <f>IFERROR(__xludf.DUMMYFUNCTION("""COMPUTED_VALUE"""),"XYZ PRINTING")</f>
        <v>XYZ PRINTING</v>
      </c>
      <c r="F1409" s="2005" t="str">
        <f>IFERROR(__xludf.DUMMYFUNCTION("""COMPUTED_VALUE"""),"H")</f>
        <v>H</v>
      </c>
      <c r="G1409" s="2005" t="str">
        <f>IFERROR(__xludf.DUMMYFUNCTION("""COMPUTED_VALUE"""),"NN")</f>
        <v>NN</v>
      </c>
      <c r="H1409" s="2005">
        <f>IFERROR(__xludf.DUMMYFUNCTION("""COMPUTED_VALUE"""),299.99)</f>
        <v>299.99</v>
      </c>
      <c r="I1409" s="2005">
        <f>IFERROR(__xludf.DUMMYFUNCTION("""COMPUTED_VALUE"""),299.99)</f>
        <v>299.99</v>
      </c>
      <c r="BD1409" s="2006"/>
      <c r="LL1409" s="2007"/>
      <c r="LM1409" s="2008"/>
      <c r="MX1409" s="2007"/>
      <c r="ND1409" s="2007"/>
    </row>
    <row r="1410">
      <c r="A1410" s="2005">
        <f>IFERROR(__xludf.DUMMYFUNCTION("""COMPUTED_VALUE"""),1120022.0)</f>
        <v>1120022</v>
      </c>
      <c r="B1410" s="2005">
        <f>IFERROR(__xludf.DUMMYFUNCTION("""COMPUTED_VALUE"""),2207005.0)</f>
        <v>2207005</v>
      </c>
      <c r="C1410" s="2005" t="str">
        <f>IFERROR(__xludf.DUMMYFUNCTION("""COMPUTED_VALUE"""),"Imprimante")</f>
        <v>Imprimante</v>
      </c>
      <c r="D1410" s="2005" t="str">
        <f>IFERROR(__xludf.DUMMYFUNCTION("""COMPUTED_VALUE"""),"Da Vinci mini noire")</f>
        <v>Da Vinci mini noire</v>
      </c>
      <c r="E1410" s="2005" t="str">
        <f>IFERROR(__xludf.DUMMYFUNCTION("""COMPUTED_VALUE"""),"XYZ PRINTING")</f>
        <v>XYZ PRINTING</v>
      </c>
      <c r="F1410" s="2005" t="str">
        <f>IFERROR(__xludf.DUMMYFUNCTION("""COMPUTED_VALUE"""),"H")</f>
        <v>H</v>
      </c>
      <c r="G1410" s="2005" t="str">
        <f>IFERROR(__xludf.DUMMYFUNCTION("""COMPUTED_VALUE"""),"NN")</f>
        <v>NN</v>
      </c>
      <c r="H1410" s="2005">
        <f>IFERROR(__xludf.DUMMYFUNCTION("""COMPUTED_VALUE"""),299.99)</f>
        <v>299.99</v>
      </c>
      <c r="I1410" s="2005">
        <f>IFERROR(__xludf.DUMMYFUNCTION("""COMPUTED_VALUE"""),299.99)</f>
        <v>299.99</v>
      </c>
      <c r="BD1410" s="2006"/>
      <c r="LM1410" s="2008"/>
    </row>
    <row r="1411">
      <c r="A1411" s="2005">
        <f>IFERROR(__xludf.DUMMYFUNCTION("""COMPUTED_VALUE"""),1120248.0)</f>
        <v>1120248</v>
      </c>
      <c r="B1411" s="2005">
        <f>IFERROR(__xludf.DUMMYFUNCTION("""COMPUTED_VALUE"""),2403010.0)</f>
        <v>2403010</v>
      </c>
      <c r="C1411" s="2005" t="str">
        <f>IFERROR(__xludf.DUMMYFUNCTION("""COMPUTED_VALUE"""),"Toner")</f>
        <v>Toner</v>
      </c>
      <c r="D1411" s="2005" t="str">
        <f>IFERROR(__xludf.DUMMYFUNCTION("""COMPUTED_VALUE"""),"Pack TN243CMYK Cyan Magenta Jaune Noir")</f>
        <v>Pack TN243CMYK Cyan Magenta Jaune Noir</v>
      </c>
      <c r="E1411" s="2005" t="str">
        <f>IFERROR(__xludf.DUMMYFUNCTION("""COMPUTED_VALUE"""),"BROTHER")</f>
        <v>BROTHER</v>
      </c>
      <c r="F1411" s="2005" t="str">
        <f>IFERROR(__xludf.DUMMYFUNCTION("""COMPUTED_VALUE"""),"E")</f>
        <v>E</v>
      </c>
      <c r="G1411" s="2005" t="str">
        <f>IFERROR(__xludf.DUMMYFUNCTION("""COMPUTED_VALUE"""),"AC")</f>
        <v>AC</v>
      </c>
      <c r="H1411" s="2005">
        <f>IFERROR(__xludf.DUMMYFUNCTION("""COMPUTED_VALUE"""),251.73)</f>
        <v>251.73</v>
      </c>
      <c r="I1411" s="2005">
        <f>IFERROR(__xludf.DUMMYFUNCTION("""COMPUTED_VALUE"""),251.73)</f>
        <v>251.73</v>
      </c>
      <c r="BD1411" s="2006"/>
      <c r="LL1411" s="2007"/>
      <c r="LM1411" s="2008"/>
      <c r="MX1411" s="2007"/>
      <c r="ND1411" s="2007"/>
    </row>
    <row r="1412">
      <c r="A1412" s="2005">
        <f>IFERROR(__xludf.DUMMYFUNCTION("""COMPUTED_VALUE"""),1120336.0)</f>
        <v>1120336</v>
      </c>
      <c r="B1412" s="2005">
        <f>IFERROR(__xludf.DUMMYFUNCTION("""COMPUTED_VALUE"""),2202005.0)</f>
        <v>2202005</v>
      </c>
      <c r="C1412" s="2005" t="str">
        <f>IFERROR(__xludf.DUMMYFUNCTION("""COMPUTED_VALUE"""),"Multi Jet d'enc")</f>
        <v>Multi Jet d'enc</v>
      </c>
      <c r="D1412" s="2005" t="str">
        <f>IFERROR(__xludf.DUMMYFUNCTION("""COMPUTED_VALUE"""),"Deskjet 3760 éligible Instant Ink")</f>
        <v>Deskjet 3760 éligible Instant Ink</v>
      </c>
      <c r="E1412" s="2005" t="str">
        <f>IFERROR(__xludf.DUMMYFUNCTION("""COMPUTED_VALUE"""),"HP")</f>
        <v>HP</v>
      </c>
      <c r="F1412" s="2005" t="str">
        <f>IFERROR(__xludf.DUMMYFUNCTION("""COMPUTED_VALUE"""),"E")</f>
        <v>E</v>
      </c>
      <c r="G1412" s="2005" t="str">
        <f>IFERROR(__xludf.DUMMYFUNCTION("""COMPUTED_VALUE"""),"NN")</f>
        <v>NN</v>
      </c>
      <c r="H1412" s="2005">
        <f>IFERROR(__xludf.DUMMYFUNCTION("""COMPUTED_VALUE"""),89.99)</f>
        <v>89.99</v>
      </c>
      <c r="I1412" s="2005">
        <f>IFERROR(__xludf.DUMMYFUNCTION("""COMPUTED_VALUE"""),89.99)</f>
        <v>89.99</v>
      </c>
      <c r="BD1412" s="2006"/>
      <c r="LL1412" s="2007"/>
      <c r="LM1412" s="2008"/>
      <c r="MX1412" s="2007"/>
      <c r="ND1412" s="2007"/>
    </row>
    <row r="1413">
      <c r="A1413" s="2005">
        <f>IFERROR(__xludf.DUMMYFUNCTION("""COMPUTED_VALUE"""),1120603.0)</f>
        <v>1120603</v>
      </c>
      <c r="B1413" s="2005">
        <f>IFERROR(__xludf.DUMMYFUNCTION("""COMPUTED_VALUE"""),2502505.0)</f>
        <v>2502505</v>
      </c>
      <c r="C1413" s="2005" t="str">
        <f>IFERROR(__xludf.DUMMYFUNCTION("""COMPUTED_VALUE"""),"Tapis")</f>
        <v>Tapis</v>
      </c>
      <c r="D1413" s="2005" t="str">
        <f>IFERROR(__xludf.DUMMYFUNCTION("""COMPUTED_VALUE"""),"Tapis de souris ''Animal''")</f>
        <v>Tapis de souris ''Animal''</v>
      </c>
      <c r="E1413" s="2005" t="str">
        <f>IFERROR(__xludf.DUMMYFUNCTION("""COMPUTED_VALUE"""),"HAMA")</f>
        <v>HAMA</v>
      </c>
      <c r="F1413" s="2005" t="str">
        <f>IFERROR(__xludf.DUMMYFUNCTION("""COMPUTED_VALUE"""),"A")</f>
        <v>A</v>
      </c>
      <c r="G1413" s="2005" t="str">
        <f>IFERROR(__xludf.DUMMYFUNCTION("""COMPUTED_VALUE"""),"NN")</f>
        <v>NN</v>
      </c>
      <c r="H1413" s="2005">
        <f>IFERROR(__xludf.DUMMYFUNCTION("""COMPUTED_VALUE"""),1.99)</f>
        <v>1.99</v>
      </c>
      <c r="I1413" s="2005">
        <f>IFERROR(__xludf.DUMMYFUNCTION("""COMPUTED_VALUE"""),1.99)</f>
        <v>1.99</v>
      </c>
      <c r="BD1413" s="2006"/>
      <c r="LM1413" s="2008"/>
      <c r="MX1413" s="2008"/>
      <c r="ND1413" s="2007"/>
    </row>
    <row r="1414">
      <c r="A1414" s="2005">
        <f>IFERROR(__xludf.DUMMYFUNCTION("""COMPUTED_VALUE"""),1120859.0)</f>
        <v>1120859</v>
      </c>
      <c r="B1414" s="2005">
        <f>IFERROR(__xludf.DUMMYFUNCTION("""COMPUTED_VALUE"""),2203005.0)</f>
        <v>2203005</v>
      </c>
      <c r="C1414" s="2005" t="str">
        <f>IFERROR(__xludf.DUMMYFUNCTION("""COMPUTED_VALUE"""),"Scanner")</f>
        <v>Scanner</v>
      </c>
      <c r="D1414" s="2005" t="str">
        <f>IFERROR(__xludf.DUMMYFUNCTION("""COMPUTED_VALUE"""),"ADS-1700W")</f>
        <v>ADS-1700W</v>
      </c>
      <c r="E1414" s="2005" t="str">
        <f>IFERROR(__xludf.DUMMYFUNCTION("""COMPUTED_VALUE"""),"BROTHER")</f>
        <v>BROTHER</v>
      </c>
      <c r="F1414" s="2005" t="str">
        <f>IFERROR(__xludf.DUMMYFUNCTION("""COMPUTED_VALUE"""),"C")</f>
        <v>C</v>
      </c>
      <c r="G1414" s="2005" t="str">
        <f>IFERROR(__xludf.DUMMYFUNCTION("""COMPUTED_VALUE"""),"AC")</f>
        <v>AC</v>
      </c>
      <c r="H1414" s="2005">
        <f>IFERROR(__xludf.DUMMYFUNCTION("""COMPUTED_VALUE"""),349.23)</f>
        <v>349.23</v>
      </c>
      <c r="I1414" s="2005">
        <f>IFERROR(__xludf.DUMMYFUNCTION("""COMPUTED_VALUE"""),291.99)</f>
        <v>291.99</v>
      </c>
      <c r="BD1414" s="2006"/>
      <c r="LM1414" s="2008"/>
      <c r="MX1414" s="2008"/>
      <c r="ND1414" s="2007"/>
    </row>
    <row r="1415">
      <c r="A1415" s="2005">
        <f>IFERROR(__xludf.DUMMYFUNCTION("""COMPUTED_VALUE"""),1120987.0)</f>
        <v>1120987</v>
      </c>
      <c r="B1415" s="2005">
        <f>IFERROR(__xludf.DUMMYFUNCTION("""COMPUTED_VALUE"""),2502040.0)</f>
        <v>2502040</v>
      </c>
      <c r="C1415" s="2005" t="str">
        <f>IFERROR(__xludf.DUMMYFUNCTION("""COMPUTED_VALUE"""),"Souris")</f>
        <v>Souris</v>
      </c>
      <c r="D1415" s="2005" t="str">
        <f>IFERROR(__xludf.DUMMYFUNCTION("""COMPUTED_VALUE"""),"Modern Mobile Mouse")</f>
        <v>Modern Mobile Mouse</v>
      </c>
      <c r="E1415" s="2005" t="str">
        <f>IFERROR(__xludf.DUMMYFUNCTION("""COMPUTED_VALUE"""),"MICROSOFT")</f>
        <v>MICROSOFT</v>
      </c>
      <c r="F1415" s="2005" t="str">
        <f>IFERROR(__xludf.DUMMYFUNCTION("""COMPUTED_VALUE"""),"A")</f>
        <v>A</v>
      </c>
      <c r="G1415" s="2005" t="str">
        <f>IFERROR(__xludf.DUMMYFUNCTION("""COMPUTED_VALUE"""),"NN")</f>
        <v>NN</v>
      </c>
      <c r="H1415" s="2005">
        <f>IFERROR(__xludf.DUMMYFUNCTION("""COMPUTED_VALUE"""),35.99)</f>
        <v>35.99</v>
      </c>
      <c r="I1415" s="2005">
        <f>IFERROR(__xludf.DUMMYFUNCTION("""COMPUTED_VALUE"""),35.99)</f>
        <v>35.99</v>
      </c>
      <c r="BD1415" s="2006"/>
      <c r="LM1415" s="2008"/>
      <c r="MX1415" s="2007"/>
      <c r="ND1415" s="2007"/>
    </row>
    <row r="1416">
      <c r="A1416" s="2005">
        <f>IFERROR(__xludf.DUMMYFUNCTION("""COMPUTED_VALUE"""),1121091.0)</f>
        <v>1121091</v>
      </c>
      <c r="B1416" s="2005">
        <f>IFERROR(__xludf.DUMMYFUNCTION("""COMPUTED_VALUE"""),2403010.0)</f>
        <v>2403010</v>
      </c>
      <c r="C1416" s="2005" t="str">
        <f>IFERROR(__xludf.DUMMYFUNCTION("""COMPUTED_VALUE"""),"Toner")</f>
        <v>Toner</v>
      </c>
      <c r="D1416" s="2005" t="str">
        <f>IFERROR(__xludf.DUMMYFUNCTION("""COMPUTED_VALUE"""),"205A Noir")</f>
        <v>205A Noir</v>
      </c>
      <c r="E1416" s="2005" t="str">
        <f>IFERROR(__xludf.DUMMYFUNCTION("""COMPUTED_VALUE"""),"HP")</f>
        <v>HP</v>
      </c>
      <c r="F1416" s="2005" t="str">
        <f>IFERROR(__xludf.DUMMYFUNCTION("""COMPUTED_VALUE"""),"H")</f>
        <v>H</v>
      </c>
      <c r="G1416" s="2005" t="str">
        <f>IFERROR(__xludf.DUMMYFUNCTION("""COMPUTED_VALUE"""),"AC")</f>
        <v>AC</v>
      </c>
      <c r="H1416" s="2005">
        <f>IFERROR(__xludf.DUMMYFUNCTION("""COMPUTED_VALUE"""),67.99)</f>
        <v>67.99</v>
      </c>
      <c r="I1416" s="2005">
        <f>IFERROR(__xludf.DUMMYFUNCTION("""COMPUTED_VALUE"""),67.99)</f>
        <v>67.99</v>
      </c>
      <c r="BD1416" s="2006"/>
      <c r="LM1416" s="2008"/>
      <c r="MX1416" s="2007"/>
      <c r="ND1416" s="2007"/>
    </row>
    <row r="1417">
      <c r="A1417" s="2005">
        <f>IFERROR(__xludf.DUMMYFUNCTION("""COMPUTED_VALUE"""),1121092.0)</f>
        <v>1121092</v>
      </c>
      <c r="B1417" s="2005">
        <f>IFERROR(__xludf.DUMMYFUNCTION("""COMPUTED_VALUE"""),2403010.0)</f>
        <v>2403010</v>
      </c>
      <c r="C1417" s="2005" t="str">
        <f>IFERROR(__xludf.DUMMYFUNCTION("""COMPUTED_VALUE"""),"Toner")</f>
        <v>Toner</v>
      </c>
      <c r="D1417" s="2005" t="str">
        <f>IFERROR(__xludf.DUMMYFUNCTION("""COMPUTED_VALUE"""),"205A Cyan")</f>
        <v>205A Cyan</v>
      </c>
      <c r="E1417" s="2005" t="str">
        <f>IFERROR(__xludf.DUMMYFUNCTION("""COMPUTED_VALUE"""),"HP")</f>
        <v>HP</v>
      </c>
      <c r="F1417" s="2005" t="str">
        <f>IFERROR(__xludf.DUMMYFUNCTION("""COMPUTED_VALUE"""),"H")</f>
        <v>H</v>
      </c>
      <c r="G1417" s="2005" t="str">
        <f>IFERROR(__xludf.DUMMYFUNCTION("""COMPUTED_VALUE"""),"FR")</f>
        <v>FR</v>
      </c>
      <c r="H1417" s="2005">
        <f>IFERROR(__xludf.DUMMYFUNCTION("""COMPUTED_VALUE"""),74.99)</f>
        <v>74.99</v>
      </c>
      <c r="I1417">
        <f>IFERROR(__xludf.DUMMYFUNCTION("""COMPUTED_VALUE"""),74.99)</f>
        <v>74.99</v>
      </c>
      <c r="BD1417" s="2006"/>
      <c r="LM1417" s="2008"/>
      <c r="MX1417" s="2008"/>
      <c r="ND1417" s="2007"/>
    </row>
    <row r="1418">
      <c r="A1418" s="2005">
        <f>IFERROR(__xludf.DUMMYFUNCTION("""COMPUTED_VALUE"""),1121093.0)</f>
        <v>1121093</v>
      </c>
      <c r="B1418" s="2005">
        <f>IFERROR(__xludf.DUMMYFUNCTION("""COMPUTED_VALUE"""),2403010.0)</f>
        <v>2403010</v>
      </c>
      <c r="C1418" s="2005" t="str">
        <f>IFERROR(__xludf.DUMMYFUNCTION("""COMPUTED_VALUE"""),"Toner")</f>
        <v>Toner</v>
      </c>
      <c r="D1418" s="2005" t="str">
        <f>IFERROR(__xludf.DUMMYFUNCTION("""COMPUTED_VALUE"""),"205A Jaune")</f>
        <v>205A Jaune</v>
      </c>
      <c r="E1418" s="2005" t="str">
        <f>IFERROR(__xludf.DUMMYFUNCTION("""COMPUTED_VALUE"""),"HP")</f>
        <v>HP</v>
      </c>
      <c r="F1418" s="2005" t="str">
        <f>IFERROR(__xludf.DUMMYFUNCTION("""COMPUTED_VALUE"""),"H")</f>
        <v>H</v>
      </c>
      <c r="G1418" s="2005" t="str">
        <f>IFERROR(__xludf.DUMMYFUNCTION("""COMPUTED_VALUE"""),"AC")</f>
        <v>AC</v>
      </c>
      <c r="H1418" s="2005">
        <f>IFERROR(__xludf.DUMMYFUNCTION("""COMPUTED_VALUE"""),74.99)</f>
        <v>74.99</v>
      </c>
      <c r="I1418" s="2005">
        <f>IFERROR(__xludf.DUMMYFUNCTION("""COMPUTED_VALUE"""),74.99)</f>
        <v>74.99</v>
      </c>
      <c r="BD1418" s="2006"/>
      <c r="LL1418" s="2007"/>
      <c r="LM1418" s="2008"/>
      <c r="MX1418" s="2007"/>
      <c r="ND1418" s="2007"/>
    </row>
    <row r="1419">
      <c r="A1419" s="2005">
        <f>IFERROR(__xludf.DUMMYFUNCTION("""COMPUTED_VALUE"""),1121094.0)</f>
        <v>1121094</v>
      </c>
      <c r="B1419" s="2005">
        <f>IFERROR(__xludf.DUMMYFUNCTION("""COMPUTED_VALUE"""),2403010.0)</f>
        <v>2403010</v>
      </c>
      <c r="C1419" s="2005" t="str">
        <f>IFERROR(__xludf.DUMMYFUNCTION("""COMPUTED_VALUE"""),"Toner")</f>
        <v>Toner</v>
      </c>
      <c r="D1419" s="2005" t="str">
        <f>IFERROR(__xludf.DUMMYFUNCTION("""COMPUTED_VALUE"""),"205A Magenta")</f>
        <v>205A Magenta</v>
      </c>
      <c r="E1419" s="2005" t="str">
        <f>IFERROR(__xludf.DUMMYFUNCTION("""COMPUTED_VALUE"""),"HP")</f>
        <v>HP</v>
      </c>
      <c r="F1419" s="2005" t="str">
        <f>IFERROR(__xludf.DUMMYFUNCTION("""COMPUTED_VALUE"""),"H")</f>
        <v>H</v>
      </c>
      <c r="G1419" s="2005" t="str">
        <f>IFERROR(__xludf.DUMMYFUNCTION("""COMPUTED_VALUE"""),"NN")</f>
        <v>NN</v>
      </c>
      <c r="H1419" s="2005">
        <f>IFERROR(__xludf.DUMMYFUNCTION("""COMPUTED_VALUE"""),74.99)</f>
        <v>74.99</v>
      </c>
      <c r="I1419" s="2005">
        <f>IFERROR(__xludf.DUMMYFUNCTION("""COMPUTED_VALUE"""),74.99)</f>
        <v>74.99</v>
      </c>
      <c r="BD1419" s="2006"/>
      <c r="LL1419" s="2007"/>
      <c r="LM1419" s="2008"/>
      <c r="MX1419" s="2007"/>
      <c r="ND1419" s="2007"/>
    </row>
    <row r="1420">
      <c r="A1420" s="2005">
        <f>IFERROR(__xludf.DUMMYFUNCTION("""COMPUTED_VALUE"""),1121281.0)</f>
        <v>1121281</v>
      </c>
      <c r="B1420" s="2005">
        <f>IFERROR(__xludf.DUMMYFUNCTION("""COMPUTED_VALUE"""),2403005.0)</f>
        <v>2403005</v>
      </c>
      <c r="C1420" s="2005" t="str">
        <f>IFERROR(__xludf.DUMMYFUNCTION("""COMPUTED_VALUE"""),"Cartouche")</f>
        <v>Cartouche</v>
      </c>
      <c r="D1420" s="2005" t="str">
        <f>IFERROR(__xludf.DUMMYFUNCTION("""COMPUTED_VALUE"""),"PIXMA Série G Noir")</f>
        <v>PIXMA Série G Noir</v>
      </c>
      <c r="E1420" s="2005" t="str">
        <f>IFERROR(__xludf.DUMMYFUNCTION("""COMPUTED_VALUE"""),"CANON")</f>
        <v>CANON</v>
      </c>
      <c r="F1420" s="2005" t="str">
        <f>IFERROR(__xludf.DUMMYFUNCTION("""COMPUTED_VALUE"""),"H")</f>
        <v>H</v>
      </c>
      <c r="G1420" s="2005" t="str">
        <f>IFERROR(__xludf.DUMMYFUNCTION("""COMPUTED_VALUE"""),"AC")</f>
        <v>AC</v>
      </c>
      <c r="H1420">
        <f>IFERROR(__xludf.DUMMYFUNCTION("""COMPUTED_VALUE"""),13.99)</f>
        <v>13.99</v>
      </c>
      <c r="I1420">
        <f>IFERROR(__xludf.DUMMYFUNCTION("""COMPUTED_VALUE"""),13.99)</f>
        <v>13.99</v>
      </c>
      <c r="BD1420" s="2006"/>
      <c r="LL1420" s="2007"/>
      <c r="LM1420" s="2008"/>
      <c r="MX1420" s="2007"/>
      <c r="ND1420" s="2007"/>
    </row>
    <row r="1421">
      <c r="A1421" s="2005">
        <f>IFERROR(__xludf.DUMMYFUNCTION("""COMPUTED_VALUE"""),1121285.0)</f>
        <v>1121285</v>
      </c>
      <c r="B1421" s="2005">
        <f>IFERROR(__xludf.DUMMYFUNCTION("""COMPUTED_VALUE"""),2403005.0)</f>
        <v>2403005</v>
      </c>
      <c r="C1421" s="2005" t="str">
        <f>IFERROR(__xludf.DUMMYFUNCTION("""COMPUTED_VALUE"""),"Cartouche")</f>
        <v>Cartouche</v>
      </c>
      <c r="D1421" s="2005" t="str">
        <f>IFERROR(__xludf.DUMMYFUNCTION("""COMPUTED_VALUE"""),"PIXMA Série G Cyan")</f>
        <v>PIXMA Série G Cyan</v>
      </c>
      <c r="E1421" s="2005" t="str">
        <f>IFERROR(__xludf.DUMMYFUNCTION("""COMPUTED_VALUE"""),"CANON")</f>
        <v>CANON</v>
      </c>
      <c r="F1421" s="2005" t="str">
        <f>IFERROR(__xludf.DUMMYFUNCTION("""COMPUTED_VALUE"""),"H")</f>
        <v>H</v>
      </c>
      <c r="G1421" s="2005" t="str">
        <f>IFERROR(__xludf.DUMMYFUNCTION("""COMPUTED_VALUE"""),"AC")</f>
        <v>AC</v>
      </c>
      <c r="H1421" s="2005">
        <f>IFERROR(__xludf.DUMMYFUNCTION("""COMPUTED_VALUE"""),9.99)</f>
        <v>9.99</v>
      </c>
      <c r="I1421" s="2005">
        <f>IFERROR(__xludf.DUMMYFUNCTION("""COMPUTED_VALUE"""),9.99)</f>
        <v>9.99</v>
      </c>
      <c r="BD1421" s="2006"/>
      <c r="LL1421" s="2007"/>
      <c r="LM1421" s="2008"/>
      <c r="MX1421" s="2007"/>
      <c r="ND1421" s="2007"/>
    </row>
    <row r="1422">
      <c r="A1422" s="2005">
        <f>IFERROR(__xludf.DUMMYFUNCTION("""COMPUTED_VALUE"""),1121288.0)</f>
        <v>1121288</v>
      </c>
      <c r="B1422" s="2005">
        <f>IFERROR(__xludf.DUMMYFUNCTION("""COMPUTED_VALUE"""),2403005.0)</f>
        <v>2403005</v>
      </c>
      <c r="C1422" s="2005" t="str">
        <f>IFERROR(__xludf.DUMMYFUNCTION("""COMPUTED_VALUE"""),"Cartouche")</f>
        <v>Cartouche</v>
      </c>
      <c r="D1422" s="2005" t="str">
        <f>IFERROR(__xludf.DUMMYFUNCTION("""COMPUTED_VALUE"""),"PIXMA Série G Magenta")</f>
        <v>PIXMA Série G Magenta</v>
      </c>
      <c r="E1422" s="2005" t="str">
        <f>IFERROR(__xludf.DUMMYFUNCTION("""COMPUTED_VALUE"""),"CANON")</f>
        <v>CANON</v>
      </c>
      <c r="F1422" s="2005" t="str">
        <f>IFERROR(__xludf.DUMMYFUNCTION("""COMPUTED_VALUE"""),"H")</f>
        <v>H</v>
      </c>
      <c r="G1422" s="2005" t="str">
        <f>IFERROR(__xludf.DUMMYFUNCTION("""COMPUTED_VALUE"""),"AC")</f>
        <v>AC</v>
      </c>
      <c r="H1422" s="2005">
        <f>IFERROR(__xludf.DUMMYFUNCTION("""COMPUTED_VALUE"""),9.99)</f>
        <v>9.99</v>
      </c>
      <c r="I1422" s="2005">
        <f>IFERROR(__xludf.DUMMYFUNCTION("""COMPUTED_VALUE"""),9.99)</f>
        <v>9.99</v>
      </c>
      <c r="BD1422" s="2006"/>
      <c r="LL1422" s="2007"/>
      <c r="LM1422" s="2008"/>
      <c r="MX1422" s="2007"/>
      <c r="ND1422" s="2007"/>
    </row>
    <row r="1423">
      <c r="A1423" s="2005">
        <f>IFERROR(__xludf.DUMMYFUNCTION("""COMPUTED_VALUE"""),1121289.0)</f>
        <v>1121289</v>
      </c>
      <c r="B1423" s="2005">
        <f>IFERROR(__xludf.DUMMYFUNCTION("""COMPUTED_VALUE"""),2403005.0)</f>
        <v>2403005</v>
      </c>
      <c r="C1423" s="2005" t="str">
        <f>IFERROR(__xludf.DUMMYFUNCTION("""COMPUTED_VALUE"""),"Cartouche")</f>
        <v>Cartouche</v>
      </c>
      <c r="D1423" s="2005" t="str">
        <f>IFERROR(__xludf.DUMMYFUNCTION("""COMPUTED_VALUE"""),"PIXMA Série G  jaune")</f>
        <v>PIXMA Série G  jaune</v>
      </c>
      <c r="E1423" s="2005" t="str">
        <f>IFERROR(__xludf.DUMMYFUNCTION("""COMPUTED_VALUE"""),"CANON")</f>
        <v>CANON</v>
      </c>
      <c r="F1423" s="2005" t="str">
        <f>IFERROR(__xludf.DUMMYFUNCTION("""COMPUTED_VALUE"""),"H")</f>
        <v>H</v>
      </c>
      <c r="G1423" s="2005" t="str">
        <f>IFERROR(__xludf.DUMMYFUNCTION("""COMPUTED_VALUE"""),"AC")</f>
        <v>AC</v>
      </c>
      <c r="H1423">
        <f>IFERROR(__xludf.DUMMYFUNCTION("""COMPUTED_VALUE"""),9.99)</f>
        <v>9.99</v>
      </c>
      <c r="I1423">
        <f>IFERROR(__xludf.DUMMYFUNCTION("""COMPUTED_VALUE"""),9.99)</f>
        <v>9.99</v>
      </c>
      <c r="BD1423" s="2006"/>
      <c r="LL1423" s="2007"/>
      <c r="LM1423" s="2008"/>
      <c r="MX1423" s="2007"/>
      <c r="ND1423" s="2007"/>
    </row>
    <row r="1424">
      <c r="A1424" s="2005">
        <f>IFERROR(__xludf.DUMMYFUNCTION("""COMPUTED_VALUE"""),1121416.0)</f>
        <v>1121416</v>
      </c>
      <c r="B1424" s="2005">
        <f>IFERROR(__xludf.DUMMYFUNCTION("""COMPUTED_VALUE"""),2502012.0)</f>
        <v>2502012</v>
      </c>
      <c r="C1424" s="2005" t="str">
        <f>IFERROR(__xludf.DUMMYFUNCTION("""COMPUTED_VALUE"""),"Tablette Graph")</f>
        <v>Tablette Graph</v>
      </c>
      <c r="D1424" s="2005" t="str">
        <f>IFERROR(__xludf.DUMMYFUNCTION("""COMPUTED_VALUE"""),"CINTIQ 16")</f>
        <v>CINTIQ 16</v>
      </c>
      <c r="E1424" s="2005" t="str">
        <f>IFERROR(__xludf.DUMMYFUNCTION("""COMPUTED_VALUE"""),"WACOM")</f>
        <v>WACOM</v>
      </c>
      <c r="F1424" s="2005" t="str">
        <f>IFERROR(__xludf.DUMMYFUNCTION("""COMPUTED_VALUE"""),"D")</f>
        <v>D</v>
      </c>
      <c r="G1424" s="2005" t="str">
        <f>IFERROR(__xludf.DUMMYFUNCTION("""COMPUTED_VALUE"""),"AC")</f>
        <v>AC</v>
      </c>
      <c r="H1424" s="2005">
        <f>IFERROR(__xludf.DUMMYFUNCTION("""COMPUTED_VALUE"""),899.99)</f>
        <v>899.99</v>
      </c>
      <c r="I1424" s="2005">
        <f>IFERROR(__xludf.DUMMYFUNCTION("""COMPUTED_VALUE"""),899.99)</f>
        <v>899.99</v>
      </c>
      <c r="BD1424" s="2006"/>
      <c r="LL1424" s="2007"/>
      <c r="LM1424" s="2008"/>
      <c r="MX1424" s="2007"/>
      <c r="ND1424" s="2007"/>
    </row>
    <row r="1425">
      <c r="A1425" s="2005">
        <f>IFERROR(__xludf.DUMMYFUNCTION("""COMPUTED_VALUE"""),1121729.0)</f>
        <v>1121729</v>
      </c>
      <c r="B1425" s="2005">
        <f>IFERROR(__xludf.DUMMYFUNCTION("""COMPUTED_VALUE"""),2202005.0)</f>
        <v>2202005</v>
      </c>
      <c r="C1425" s="2005" t="str">
        <f>IFERROR(__xludf.DUMMYFUNCTION("""COMPUTED_VALUE"""),"Multi Jet d'enc")</f>
        <v>Multi Jet d'enc</v>
      </c>
      <c r="D1425" s="2005" t="str">
        <f>IFERROR(__xludf.DUMMYFUNCTION("""COMPUTED_VALUE"""),"XP 6100")</f>
        <v>XP 6100</v>
      </c>
      <c r="E1425" s="2005" t="str">
        <f>IFERROR(__xludf.DUMMYFUNCTION("""COMPUTED_VALUE"""),"EPSON")</f>
        <v>EPSON</v>
      </c>
      <c r="F1425" s="2005" t="str">
        <f>IFERROR(__xludf.DUMMYFUNCTION("""COMPUTED_VALUE"""),"C")</f>
        <v>C</v>
      </c>
      <c r="G1425" s="2005" t="str">
        <f>IFERROR(__xludf.DUMMYFUNCTION("""COMPUTED_VALUE"""),"NN")</f>
        <v>NN</v>
      </c>
      <c r="H1425" s="2005">
        <f>IFERROR(__xludf.DUMMYFUNCTION("""COMPUTED_VALUE"""),139.99)</f>
        <v>139.99</v>
      </c>
      <c r="I1425" s="2005">
        <f>IFERROR(__xludf.DUMMYFUNCTION("""COMPUTED_VALUE"""),139.99)</f>
        <v>139.99</v>
      </c>
      <c r="BD1425" s="2006"/>
      <c r="LL1425" s="2007"/>
      <c r="LM1425" s="2008"/>
      <c r="MX1425" s="2007"/>
      <c r="ND1425" s="2007"/>
    </row>
    <row r="1426">
      <c r="A1426" s="2005">
        <f>IFERROR(__xludf.DUMMYFUNCTION("""COMPUTED_VALUE"""),1121730.0)</f>
        <v>1121730</v>
      </c>
      <c r="B1426" s="2005">
        <f>IFERROR(__xludf.DUMMYFUNCTION("""COMPUTED_VALUE"""),2209805.0)</f>
        <v>2209805</v>
      </c>
      <c r="C1426" s="2005" t="str">
        <f>IFERROR(__xludf.DUMMYFUNCTION("""COMPUTED_VALUE"""),"Lot")</f>
        <v>Lot</v>
      </c>
      <c r="D1426" s="2005" t="str">
        <f>IFERROR(__xludf.DUMMYFUNCTION("""COMPUTED_VALUE"""),"XP-6100+cart. 202 Noir Série Kiwi")</f>
        <v>XP-6100+cart. 202 Noir Série Kiwi</v>
      </c>
      <c r="E1426" s="2005" t="str">
        <f>IFERROR(__xludf.DUMMYFUNCTION("""COMPUTED_VALUE"""),"EPSON")</f>
        <v>EPSON</v>
      </c>
      <c r="F1426" s="2005" t="str">
        <f>IFERROR(__xludf.DUMMYFUNCTION("""COMPUTED_VALUE"""),"H")</f>
        <v>H</v>
      </c>
      <c r="G1426" s="2005" t="str">
        <f>IFERROR(__xludf.DUMMYFUNCTION("""COMPUTED_VALUE"""),"NN")</f>
        <v>NN</v>
      </c>
      <c r="H1426">
        <f>IFERROR(__xludf.DUMMYFUNCTION("""COMPUTED_VALUE"""),152.98)</f>
        <v>152.98</v>
      </c>
      <c r="I1426">
        <f>IFERROR(__xludf.DUMMYFUNCTION("""COMPUTED_VALUE"""),152.98)</f>
        <v>152.98</v>
      </c>
      <c r="BD1426" s="2006"/>
      <c r="LL1426" s="2007"/>
      <c r="LM1426" s="2008"/>
      <c r="MX1426" s="2007"/>
      <c r="ND1426" s="2007"/>
    </row>
    <row r="1427">
      <c r="A1427" s="2005">
        <f>IFERROR(__xludf.DUMMYFUNCTION("""COMPUTED_VALUE"""),1121882.0)</f>
        <v>1121882</v>
      </c>
      <c r="B1427" s="2005">
        <f>IFERROR(__xludf.DUMMYFUNCTION("""COMPUTED_VALUE"""),2709525.0)</f>
        <v>2709525</v>
      </c>
      <c r="C1427" s="2005" t="str">
        <f>IFERROR(__xludf.DUMMYFUNCTION("""COMPUTED_VALUE"""),"Assurance")</f>
        <v>Assurance</v>
      </c>
      <c r="D1427" s="2005" t="str">
        <f>IFERROR(__xludf.DUMMYFUNCTION("""COMPUTED_VALUE"""),"Multi Produits Nomades")</f>
        <v>Multi Produits Nomades</v>
      </c>
      <c r="E1427" s="2005" t="str">
        <f>IFERROR(__xludf.DUMMYFUNCTION("""COMPUTED_VALUE"""),"BOULANGER")</f>
        <v>BOULANGER</v>
      </c>
      <c r="F1427" s="2005" t="str">
        <f>IFERROR(__xludf.DUMMYFUNCTION("""COMPUTED_VALUE"""),"B")</f>
        <v>B</v>
      </c>
      <c r="G1427" s="2005" t="str">
        <f>IFERROR(__xludf.DUMMYFUNCTION("""COMPUTED_VALUE"""),"AC")</f>
        <v>AC</v>
      </c>
      <c r="H1427">
        <f>IFERROR(__xludf.DUMMYFUNCTION("""COMPUTED_VALUE"""),9.99)</f>
        <v>9.99</v>
      </c>
      <c r="I1427">
        <f>IFERROR(__xludf.DUMMYFUNCTION("""COMPUTED_VALUE"""),9.99)</f>
        <v>9.99</v>
      </c>
      <c r="BD1427" s="2006"/>
      <c r="LL1427" s="2007"/>
      <c r="LM1427" s="2008"/>
      <c r="MX1427" s="2007"/>
      <c r="ND1427" s="2007"/>
    </row>
    <row r="1428">
      <c r="A1428" s="2005">
        <f>IFERROR(__xludf.DUMMYFUNCTION("""COMPUTED_VALUE"""),1121934.0)</f>
        <v>1121934</v>
      </c>
      <c r="B1428" s="2005">
        <f>IFERROR(__xludf.DUMMYFUNCTION("""COMPUTED_VALUE"""),2202008.0)</f>
        <v>2202008</v>
      </c>
      <c r="C1428" s="2005" t="str">
        <f>IFERROR(__xludf.DUMMYFUNCTION("""COMPUTED_VALUE"""),"Multi Laser")</f>
        <v>Multi Laser</v>
      </c>
      <c r="D1428" s="2005" t="str">
        <f>IFERROR(__xludf.DUMMYFUNCTION("""COMPUTED_VALUE"""),"MFC-L3770CDW")</f>
        <v>MFC-L3770CDW</v>
      </c>
      <c r="E1428" s="2005" t="str">
        <f>IFERROR(__xludf.DUMMYFUNCTION("""COMPUTED_VALUE"""),"BROTHER")</f>
        <v>BROTHER</v>
      </c>
      <c r="F1428" s="2005" t="str">
        <f>IFERROR(__xludf.DUMMYFUNCTION("""COMPUTED_VALUE"""),"C")</f>
        <v>C</v>
      </c>
      <c r="G1428" s="2005" t="str">
        <f>IFERROR(__xludf.DUMMYFUNCTION("""COMPUTED_VALUE"""),"FR")</f>
        <v>FR</v>
      </c>
      <c r="H1428">
        <f>IFERROR(__xludf.DUMMYFUNCTION("""COMPUTED_VALUE"""),599.99)</f>
        <v>599.99</v>
      </c>
      <c r="I1428">
        <f>IFERROR(__xludf.DUMMYFUNCTION("""COMPUTED_VALUE"""),599.99)</f>
        <v>599.99</v>
      </c>
      <c r="BD1428" s="2006"/>
      <c r="LL1428" s="2007"/>
      <c r="LM1428" s="2008"/>
      <c r="MX1428" s="2007"/>
      <c r="ND1428" s="2007"/>
    </row>
    <row r="1429">
      <c r="A1429" s="2005">
        <f>IFERROR(__xludf.DUMMYFUNCTION("""COMPUTED_VALUE"""),1121935.0)</f>
        <v>1121935</v>
      </c>
      <c r="B1429" s="2005">
        <f>IFERROR(__xludf.DUMMYFUNCTION("""COMPUTED_VALUE"""),2209805.0)</f>
        <v>2209805</v>
      </c>
      <c r="C1429" s="2005" t="str">
        <f>IFERROR(__xludf.DUMMYFUNCTION("""COMPUTED_VALUE"""),"Lot")</f>
        <v>Lot</v>
      </c>
      <c r="D1429" s="2005" t="str">
        <f>IFERROR(__xludf.DUMMYFUNCTION("""COMPUTED_VALUE"""),"MFCL3770CDW + Toner TN-243 Noir")</f>
        <v>MFCL3770CDW + Toner TN-243 Noir</v>
      </c>
      <c r="E1429" s="2005" t="str">
        <f>IFERROR(__xludf.DUMMYFUNCTION("""COMPUTED_VALUE"""),"BROTHER")</f>
        <v>BROTHER</v>
      </c>
      <c r="F1429" s="2005" t="str">
        <f>IFERROR(__xludf.DUMMYFUNCTION("""COMPUTED_VALUE"""),"H")</f>
        <v>H</v>
      </c>
      <c r="G1429" s="2005" t="str">
        <f>IFERROR(__xludf.DUMMYFUNCTION("""COMPUTED_VALUE"""),"AC")</f>
        <v>AC</v>
      </c>
      <c r="H1429" s="2005">
        <f>IFERROR(__xludf.DUMMYFUNCTION("""COMPUTED_VALUE"""),635.66)</f>
        <v>635.66</v>
      </c>
      <c r="I1429" s="2005">
        <f>IFERROR(__xludf.DUMMYFUNCTION("""COMPUTED_VALUE"""),635.66)</f>
        <v>635.66</v>
      </c>
      <c r="BD1429" s="2006"/>
      <c r="LL1429" s="2007"/>
      <c r="LM1429" s="2008"/>
      <c r="MX1429" s="2007"/>
      <c r="ND1429" s="2007"/>
    </row>
    <row r="1430">
      <c r="A1430" s="2005">
        <f>IFERROR(__xludf.DUMMYFUNCTION("""COMPUTED_VALUE"""),1121936.0)</f>
        <v>1121936</v>
      </c>
      <c r="B1430" s="2005">
        <f>IFERROR(__xludf.DUMMYFUNCTION("""COMPUTED_VALUE"""),2201020.0)</f>
        <v>2201020</v>
      </c>
      <c r="C1430" s="2005" t="str">
        <f>IFERROR(__xludf.DUMMYFUNCTION("""COMPUTED_VALUE"""),"Mono Laser")</f>
        <v>Mono Laser</v>
      </c>
      <c r="D1430" s="2005" t="str">
        <f>IFERROR(__xludf.DUMMYFUNCTION("""COMPUTED_VALUE"""),"HLL3230CDW")</f>
        <v>HLL3230CDW</v>
      </c>
      <c r="E1430" s="2005" t="str">
        <f>IFERROR(__xludf.DUMMYFUNCTION("""COMPUTED_VALUE"""),"BROTHER")</f>
        <v>BROTHER</v>
      </c>
      <c r="F1430" s="2005" t="str">
        <f>IFERROR(__xludf.DUMMYFUNCTION("""COMPUTED_VALUE"""),"H")</f>
        <v>H</v>
      </c>
      <c r="G1430" s="2005" t="str">
        <f>IFERROR(__xludf.DUMMYFUNCTION("""COMPUTED_VALUE"""),"NN")</f>
        <v>NN</v>
      </c>
      <c r="H1430">
        <f>IFERROR(__xludf.DUMMYFUNCTION("""COMPUTED_VALUE"""),289.99)</f>
        <v>289.99</v>
      </c>
      <c r="I1430">
        <f>IFERROR(__xludf.DUMMYFUNCTION("""COMPUTED_VALUE"""),289.99)</f>
        <v>289.99</v>
      </c>
      <c r="BD1430" s="2006"/>
      <c r="LL1430" s="2007"/>
      <c r="LM1430" s="2008"/>
      <c r="MX1430" s="2007"/>
      <c r="ND1430" s="2007"/>
    </row>
    <row r="1431">
      <c r="A1431" s="2005">
        <f>IFERROR(__xludf.DUMMYFUNCTION("""COMPUTED_VALUE"""),1121937.0)</f>
        <v>1121937</v>
      </c>
      <c r="B1431" s="2005">
        <f>IFERROR(__xludf.DUMMYFUNCTION("""COMPUTED_VALUE"""),2202008.0)</f>
        <v>2202008</v>
      </c>
      <c r="C1431" s="2005" t="str">
        <f>IFERROR(__xludf.DUMMYFUNCTION("""COMPUTED_VALUE"""),"Multi Laser")</f>
        <v>Multi Laser</v>
      </c>
      <c r="D1431" s="2005" t="str">
        <f>IFERROR(__xludf.DUMMYFUNCTION("""COMPUTED_VALUE"""),"MFC-L3730CDN")</f>
        <v>MFC-L3730CDN</v>
      </c>
      <c r="E1431" s="2005" t="str">
        <f>IFERROR(__xludf.DUMMYFUNCTION("""COMPUTED_VALUE"""),"BROTHER")</f>
        <v>BROTHER</v>
      </c>
      <c r="F1431" s="2005" t="str">
        <f>IFERROR(__xludf.DUMMYFUNCTION("""COMPUTED_VALUE"""),"W")</f>
        <v>W</v>
      </c>
      <c r="G1431" s="2005" t="str">
        <f>IFERROR(__xludf.DUMMYFUNCTION("""COMPUTED_VALUE"""),"NN")</f>
        <v>NN</v>
      </c>
      <c r="H1431" s="2005">
        <f>IFERROR(__xludf.DUMMYFUNCTION("""COMPUTED_VALUE"""),466.99)</f>
        <v>466.99</v>
      </c>
      <c r="I1431" s="2005">
        <f>IFERROR(__xludf.DUMMYFUNCTION("""COMPUTED_VALUE"""),466.99)</f>
        <v>466.99</v>
      </c>
      <c r="BD1431" s="2006"/>
      <c r="LL1431" s="2007"/>
      <c r="LM1431" s="2008"/>
      <c r="MX1431" s="2007"/>
      <c r="ND1431" s="2007"/>
    </row>
    <row r="1432">
      <c r="A1432" s="2005">
        <f>IFERROR(__xludf.DUMMYFUNCTION("""COMPUTED_VALUE"""),1121938.0)</f>
        <v>1121938</v>
      </c>
      <c r="B1432" s="2005">
        <f>IFERROR(__xludf.DUMMYFUNCTION("""COMPUTED_VALUE"""),2201020.0)</f>
        <v>2201020</v>
      </c>
      <c r="C1432" s="2005" t="str">
        <f>IFERROR(__xludf.DUMMYFUNCTION("""COMPUTED_VALUE"""),"Mono Laser")</f>
        <v>Mono Laser</v>
      </c>
      <c r="D1432" s="2005" t="str">
        <f>IFERROR(__xludf.DUMMYFUNCTION("""COMPUTED_VALUE"""),"HL-L3270CDW")</f>
        <v>HL-L3270CDW</v>
      </c>
      <c r="E1432" s="2005" t="str">
        <f>IFERROR(__xludf.DUMMYFUNCTION("""COMPUTED_VALUE"""),"BROTHER")</f>
        <v>BROTHER</v>
      </c>
      <c r="F1432" s="2005" t="str">
        <f>IFERROR(__xludf.DUMMYFUNCTION("""COMPUTED_VALUE"""),"H")</f>
        <v>H</v>
      </c>
      <c r="G1432" s="2005" t="str">
        <f>IFERROR(__xludf.DUMMYFUNCTION("""COMPUTED_VALUE"""),"FR")</f>
        <v>FR</v>
      </c>
      <c r="H1432">
        <f>IFERROR(__xludf.DUMMYFUNCTION("""COMPUTED_VALUE"""),349.99)</f>
        <v>349.99</v>
      </c>
      <c r="I1432">
        <f>IFERROR(__xludf.DUMMYFUNCTION("""COMPUTED_VALUE"""),269.99)</f>
        <v>269.99</v>
      </c>
      <c r="BD1432" s="2006"/>
      <c r="LL1432" s="2007"/>
      <c r="LM1432" s="2008"/>
      <c r="MX1432" s="2007"/>
      <c r="ND1432" s="2007"/>
    </row>
    <row r="1433">
      <c r="A1433" s="2005">
        <f>IFERROR(__xludf.DUMMYFUNCTION("""COMPUTED_VALUE"""),1121939.0)</f>
        <v>1121939</v>
      </c>
      <c r="B1433" s="2005">
        <f>IFERROR(__xludf.DUMMYFUNCTION("""COMPUTED_VALUE"""),2202008.0)</f>
        <v>2202008</v>
      </c>
      <c r="C1433" s="2005" t="str">
        <f>IFERROR(__xludf.DUMMYFUNCTION("""COMPUTED_VALUE"""),"Multi Laser")</f>
        <v>Multi Laser</v>
      </c>
      <c r="D1433" s="2005" t="str">
        <f>IFERROR(__xludf.DUMMYFUNCTION("""COMPUTED_VALUE"""),"MFC-L2710DW")</f>
        <v>MFC-L2710DW</v>
      </c>
      <c r="E1433" s="2005" t="str">
        <f>IFERROR(__xludf.DUMMYFUNCTION("""COMPUTED_VALUE"""),"BROTHER")</f>
        <v>BROTHER</v>
      </c>
      <c r="F1433" s="2005" t="str">
        <f>IFERROR(__xludf.DUMMYFUNCTION("""COMPUTED_VALUE"""),"H")</f>
        <v>H</v>
      </c>
      <c r="G1433" s="2005" t="str">
        <f>IFERROR(__xludf.DUMMYFUNCTION("""COMPUTED_VALUE"""),"FR")</f>
        <v>FR</v>
      </c>
      <c r="H1433" s="2005">
        <f>IFERROR(__xludf.DUMMYFUNCTION("""COMPUTED_VALUE"""),265.99)</f>
        <v>265.99</v>
      </c>
      <c r="I1433" s="2005">
        <f>IFERROR(__xludf.DUMMYFUNCTION("""COMPUTED_VALUE"""),265.99)</f>
        <v>265.99</v>
      </c>
      <c r="BD1433" s="2006"/>
      <c r="LL1433" s="2007"/>
      <c r="LM1433" s="2008"/>
      <c r="MX1433" s="2007"/>
      <c r="ND1433" s="2007"/>
    </row>
    <row r="1434">
      <c r="A1434" s="2005">
        <f>IFERROR(__xludf.DUMMYFUNCTION("""COMPUTED_VALUE"""),1121941.0)</f>
        <v>1121941</v>
      </c>
      <c r="B1434" s="2005">
        <f>IFERROR(__xludf.DUMMYFUNCTION("""COMPUTED_VALUE"""),2202008.0)</f>
        <v>2202008</v>
      </c>
      <c r="C1434" s="2005" t="str">
        <f>IFERROR(__xludf.DUMMYFUNCTION("""COMPUTED_VALUE"""),"Multi Laser")</f>
        <v>Multi Laser</v>
      </c>
      <c r="D1434" s="2005" t="str">
        <f>IFERROR(__xludf.DUMMYFUNCTION("""COMPUTED_VALUE"""),"DCPL2510D")</f>
        <v>DCPL2510D</v>
      </c>
      <c r="E1434" s="2005" t="str">
        <f>IFERROR(__xludf.DUMMYFUNCTION("""COMPUTED_VALUE"""),"BROTHER")</f>
        <v>BROTHER</v>
      </c>
      <c r="F1434" s="2005" t="str">
        <f>IFERROR(__xludf.DUMMYFUNCTION("""COMPUTED_VALUE"""),"H")</f>
        <v>H</v>
      </c>
      <c r="G1434" s="2005" t="str">
        <f>IFERROR(__xludf.DUMMYFUNCTION("""COMPUTED_VALUE"""),"NN")</f>
        <v>NN</v>
      </c>
      <c r="H1434" s="2005">
        <f>IFERROR(__xludf.DUMMYFUNCTION("""COMPUTED_VALUE"""),179.99)</f>
        <v>179.99</v>
      </c>
      <c r="I1434" s="2005">
        <f>IFERROR(__xludf.DUMMYFUNCTION("""COMPUTED_VALUE"""),179.99)</f>
        <v>179.99</v>
      </c>
      <c r="BD1434" s="2006"/>
      <c r="LL1434" s="2007"/>
      <c r="LM1434" s="2008"/>
      <c r="MX1434" s="2007"/>
      <c r="ND1434" s="2007"/>
    </row>
    <row r="1435">
      <c r="A1435" s="2005">
        <f>IFERROR(__xludf.DUMMYFUNCTION("""COMPUTED_VALUE"""),1121942.0)</f>
        <v>1121942</v>
      </c>
      <c r="B1435" s="2005">
        <f>IFERROR(__xludf.DUMMYFUNCTION("""COMPUTED_VALUE"""),2202008.0)</f>
        <v>2202008</v>
      </c>
      <c r="C1435" s="2005" t="str">
        <f>IFERROR(__xludf.DUMMYFUNCTION("""COMPUTED_VALUE"""),"Multi Laser")</f>
        <v>Multi Laser</v>
      </c>
      <c r="D1435" s="2005" t="str">
        <f>IFERROR(__xludf.DUMMYFUNCTION("""COMPUTED_VALUE"""),"DCP-L2550DN")</f>
        <v>DCP-L2550DN</v>
      </c>
      <c r="E1435" s="2005" t="str">
        <f>IFERROR(__xludf.DUMMYFUNCTION("""COMPUTED_VALUE"""),"BROTHER")</f>
        <v>BROTHER</v>
      </c>
      <c r="F1435" s="2005" t="str">
        <f>IFERROR(__xludf.DUMMYFUNCTION("""COMPUTED_VALUE"""),"H")</f>
        <v>H</v>
      </c>
      <c r="G1435" s="2005" t="str">
        <f>IFERROR(__xludf.DUMMYFUNCTION("""COMPUTED_VALUE"""),"FR")</f>
        <v>FR</v>
      </c>
      <c r="H1435" s="2005">
        <f>IFERROR(__xludf.DUMMYFUNCTION("""COMPUTED_VALUE"""),239.99)</f>
        <v>239.99</v>
      </c>
      <c r="I1435" s="2005">
        <f>IFERROR(__xludf.DUMMYFUNCTION("""COMPUTED_VALUE"""),204.99)</f>
        <v>204.99</v>
      </c>
      <c r="BD1435" s="2006"/>
      <c r="LL1435" s="2007"/>
      <c r="LM1435" s="2008"/>
      <c r="MX1435" s="2007"/>
      <c r="ND1435" s="2007"/>
    </row>
    <row r="1436">
      <c r="A1436" s="2005">
        <f>IFERROR(__xludf.DUMMYFUNCTION("""COMPUTED_VALUE"""),1121943.0)</f>
        <v>1121943</v>
      </c>
      <c r="B1436" s="2005">
        <f>IFERROR(__xludf.DUMMYFUNCTION("""COMPUTED_VALUE"""),2704515.0)</f>
        <v>2704515</v>
      </c>
      <c r="C1436" s="2005" t="str">
        <f>IFERROR(__xludf.DUMMYFUNCTION("""COMPUTED_VALUE"""),"Calc.")</f>
        <v>Calc.</v>
      </c>
      <c r="D1436" s="2005" t="str">
        <f>IFERROR(__xludf.DUMMYFUNCTION("""COMPUTED_VALUE"""),"FX JUNIOR PLUS")</f>
        <v>FX JUNIOR PLUS</v>
      </c>
      <c r="E1436" s="2005" t="str">
        <f>IFERROR(__xludf.DUMMYFUNCTION("""COMPUTED_VALUE"""),"CASIO")</f>
        <v>CASIO</v>
      </c>
      <c r="F1436" s="2005" t="str">
        <f>IFERROR(__xludf.DUMMYFUNCTION("""COMPUTED_VALUE"""),"H")</f>
        <v>H</v>
      </c>
      <c r="G1436" s="2005" t="str">
        <f>IFERROR(__xludf.DUMMYFUNCTION("""COMPUTED_VALUE"""),"FR")</f>
        <v>FR</v>
      </c>
      <c r="H1436">
        <f>IFERROR(__xludf.DUMMYFUNCTION("""COMPUTED_VALUE"""),14.99)</f>
        <v>14.99</v>
      </c>
      <c r="I1436">
        <f>IFERROR(__xludf.DUMMYFUNCTION("""COMPUTED_VALUE"""),14.99)</f>
        <v>14.99</v>
      </c>
      <c r="BD1436" s="2006"/>
      <c r="LL1436" s="2007"/>
      <c r="LM1436" s="2008"/>
      <c r="MX1436" s="2007"/>
      <c r="ND1436" s="2007"/>
    </row>
    <row r="1437">
      <c r="A1437" s="2005">
        <f>IFERROR(__xludf.DUMMYFUNCTION("""COMPUTED_VALUE"""),1121963.0)</f>
        <v>1121963</v>
      </c>
      <c r="B1437" s="2005">
        <f>IFERROR(__xludf.DUMMYFUNCTION("""COMPUTED_VALUE"""),2202005.0)</f>
        <v>2202005</v>
      </c>
      <c r="C1437" s="2005" t="str">
        <f>IFERROR(__xludf.DUMMYFUNCTION("""COMPUTED_VALUE"""),"Multi Jet d'enc")</f>
        <v>Multi Jet d'enc</v>
      </c>
      <c r="D1437" s="2005" t="str">
        <f>IFERROR(__xludf.DUMMYFUNCTION("""COMPUTED_VALUE"""),"Envy 6220 éligible Instant Ink")</f>
        <v>Envy 6220 éligible Instant Ink</v>
      </c>
      <c r="E1437" s="2005" t="str">
        <f>IFERROR(__xludf.DUMMYFUNCTION("""COMPUTED_VALUE"""),"HP")</f>
        <v>HP</v>
      </c>
      <c r="F1437" s="2005" t="str">
        <f>IFERROR(__xludf.DUMMYFUNCTION("""COMPUTED_VALUE"""),"H")</f>
        <v>H</v>
      </c>
      <c r="G1437" s="2005" t="str">
        <f>IFERROR(__xludf.DUMMYFUNCTION("""COMPUTED_VALUE"""),"NN")</f>
        <v>NN</v>
      </c>
      <c r="H1437">
        <f>IFERROR(__xludf.DUMMYFUNCTION("""COMPUTED_VALUE"""),99.99)</f>
        <v>99.99</v>
      </c>
      <c r="I1437">
        <f>IFERROR(__xludf.DUMMYFUNCTION("""COMPUTED_VALUE"""),99.99)</f>
        <v>99.99</v>
      </c>
      <c r="BD1437" s="2006"/>
      <c r="LL1437" s="2007"/>
      <c r="LM1437" s="2008"/>
      <c r="MX1437" s="2007"/>
      <c r="ND1437" s="2007"/>
    </row>
    <row r="1438">
      <c r="A1438" s="2005">
        <f>IFERROR(__xludf.DUMMYFUNCTION("""COMPUTED_VALUE"""),1121984.0)</f>
        <v>1121984</v>
      </c>
      <c r="B1438" s="2005">
        <f>IFERROR(__xludf.DUMMYFUNCTION("""COMPUTED_VALUE"""),2201010.0)</f>
        <v>2201010</v>
      </c>
      <c r="C1438" s="2005" t="str">
        <f>IFERROR(__xludf.DUMMYFUNCTION("""COMPUTED_VALUE"""),"Mono Jet d'encr")</f>
        <v>Mono Jet d'encr</v>
      </c>
      <c r="D1438" s="2005" t="str">
        <f>IFERROR(__xludf.DUMMYFUNCTION("""COMPUTED_VALUE"""),"TS 705")</f>
        <v>TS 705</v>
      </c>
      <c r="E1438" s="2005" t="str">
        <f>IFERROR(__xludf.DUMMYFUNCTION("""COMPUTED_VALUE"""),"CANON")</f>
        <v>CANON</v>
      </c>
      <c r="F1438" s="2005" t="str">
        <f>IFERROR(__xludf.DUMMYFUNCTION("""COMPUTED_VALUE"""),"H")</f>
        <v>H</v>
      </c>
      <c r="G1438" s="2005" t="str">
        <f>IFERROR(__xludf.DUMMYFUNCTION("""COMPUTED_VALUE"""),"NN")</f>
        <v>NN</v>
      </c>
      <c r="H1438" s="2005">
        <f>IFERROR(__xludf.DUMMYFUNCTION("""COMPUTED_VALUE"""),89.99)</f>
        <v>89.99</v>
      </c>
      <c r="I1438" s="2005">
        <f>IFERROR(__xludf.DUMMYFUNCTION("""COMPUTED_VALUE"""),89.99)</f>
        <v>89.99</v>
      </c>
      <c r="BD1438" s="2006"/>
      <c r="LL1438" s="2007"/>
      <c r="LM1438" s="2008"/>
      <c r="MX1438" s="2007"/>
      <c r="ND1438" s="2007"/>
    </row>
    <row r="1439">
      <c r="A1439" s="2005">
        <f>IFERROR(__xludf.DUMMYFUNCTION("""COMPUTED_VALUE"""),1122114.0)</f>
        <v>1122114</v>
      </c>
      <c r="B1439" s="2005">
        <f>IFERROR(__xludf.DUMMYFUNCTION("""COMPUTED_VALUE"""),2209805.0)</f>
        <v>2209805</v>
      </c>
      <c r="C1439" s="2005" t="str">
        <f>IFERROR(__xludf.DUMMYFUNCTION("""COMPUTED_VALUE"""),"Lot")</f>
        <v>Lot</v>
      </c>
      <c r="D1439" s="2005" t="str">
        <f>IFERROR(__xludf.DUMMYFUNCTION("""COMPUTED_VALUE"""),"TS705+cart. CLI581 Noire XL")</f>
        <v>TS705+cart. CLI581 Noire XL</v>
      </c>
      <c r="E1439" s="2005" t="str">
        <f>IFERROR(__xludf.DUMMYFUNCTION("""COMPUTED_VALUE"""),"CANON")</f>
        <v>CANON</v>
      </c>
      <c r="F1439" s="2005" t="str">
        <f>IFERROR(__xludf.DUMMYFUNCTION("""COMPUTED_VALUE"""),"H")</f>
        <v>H</v>
      </c>
      <c r="G1439" s="2005" t="str">
        <f>IFERROR(__xludf.DUMMYFUNCTION("""COMPUTED_VALUE"""),"NN")</f>
        <v>NN</v>
      </c>
      <c r="H1439" s="2005">
        <f>IFERROR(__xludf.DUMMYFUNCTION("""COMPUTED_VALUE"""),84.17)</f>
        <v>84.17</v>
      </c>
      <c r="I1439" s="2005">
        <f>IFERROR(__xludf.DUMMYFUNCTION("""COMPUTED_VALUE"""),84.17)</f>
        <v>84.17</v>
      </c>
      <c r="LL1439" s="2007"/>
      <c r="LM1439" s="2008"/>
      <c r="MX1439" s="2007"/>
      <c r="ND1439" s="2007"/>
    </row>
    <row r="1440">
      <c r="A1440" s="2005">
        <f>IFERROR(__xludf.DUMMYFUNCTION("""COMPUTED_VALUE"""),1122487.0)</f>
        <v>1122487</v>
      </c>
      <c r="B1440" s="2005">
        <f>IFERROR(__xludf.DUMMYFUNCTION("""COMPUTED_VALUE"""),2203005.0)</f>
        <v>2203005</v>
      </c>
      <c r="C1440" s="2005" t="str">
        <f>IFERROR(__xludf.DUMMYFUNCTION("""COMPUTED_VALUE"""),"Scanner")</f>
        <v>Scanner</v>
      </c>
      <c r="D1440" s="2005" t="str">
        <f>IFERROR(__xludf.DUMMYFUNCTION("""COMPUTED_VALUE"""),"ScanSnap iX1500 A4")</f>
        <v>ScanSnap iX1500 A4</v>
      </c>
      <c r="E1440" s="2005" t="str">
        <f>IFERROR(__xludf.DUMMYFUNCTION("""COMPUTED_VALUE"""),"FUJITSU")</f>
        <v>FUJITSU</v>
      </c>
      <c r="F1440" s="2005" t="str">
        <f>IFERROR(__xludf.DUMMYFUNCTION("""COMPUTED_VALUE"""),"H")</f>
        <v>H</v>
      </c>
      <c r="G1440" s="2005" t="str">
        <f>IFERROR(__xludf.DUMMYFUNCTION("""COMPUTED_VALUE"""),"NN")</f>
        <v>NN</v>
      </c>
      <c r="H1440" s="2005">
        <f>IFERROR(__xludf.DUMMYFUNCTION("""COMPUTED_VALUE"""),383.99)</f>
        <v>383.99</v>
      </c>
      <c r="I1440" s="2005">
        <f>IFERROR(__xludf.DUMMYFUNCTION("""COMPUTED_VALUE"""),383.99)</f>
        <v>383.99</v>
      </c>
      <c r="BD1440" s="2006"/>
      <c r="LL1440" s="2007"/>
      <c r="LM1440" s="2008"/>
      <c r="MX1440" s="2007"/>
      <c r="ND1440" s="2007"/>
    </row>
    <row r="1441">
      <c r="A1441" s="2005">
        <f>IFERROR(__xludf.DUMMYFUNCTION("""COMPUTED_VALUE"""),1123885.0)</f>
        <v>1123885</v>
      </c>
      <c r="B1441" s="2005">
        <f>IFERROR(__xludf.DUMMYFUNCTION("""COMPUTED_VALUE"""),2403005.0)</f>
        <v>2403005</v>
      </c>
      <c r="C1441" s="2005" t="str">
        <f>IFERROR(__xludf.DUMMYFUNCTION("""COMPUTED_VALUE"""),"Pack")</f>
        <v>Pack</v>
      </c>
      <c r="D1441" s="2005" t="str">
        <f>IFERROR(__xludf.DUMMYFUNCTION("""COMPUTED_VALUE"""),"903 XL noire + 3 couleurs")</f>
        <v>903 XL noire + 3 couleurs</v>
      </c>
      <c r="E1441" s="2005" t="str">
        <f>IFERROR(__xludf.DUMMYFUNCTION("""COMPUTED_VALUE"""),"HP")</f>
        <v>HP</v>
      </c>
      <c r="F1441" s="2005" t="str">
        <f>IFERROR(__xludf.DUMMYFUNCTION("""COMPUTED_VALUE"""),"A")</f>
        <v>A</v>
      </c>
      <c r="G1441" s="2005" t="str">
        <f>IFERROR(__xludf.DUMMYFUNCTION("""COMPUTED_VALUE"""),"NN")</f>
        <v>NN</v>
      </c>
      <c r="H1441" s="2005">
        <f>IFERROR(__xludf.DUMMYFUNCTION("""COMPUTED_VALUE"""),94.99)</f>
        <v>94.99</v>
      </c>
      <c r="I1441" s="2005">
        <f>IFERROR(__xludf.DUMMYFUNCTION("""COMPUTED_VALUE"""),94.99)</f>
        <v>94.99</v>
      </c>
      <c r="BD1441" s="2006"/>
      <c r="LL1441" s="2007"/>
      <c r="LM1441" s="2008"/>
      <c r="MX1441" s="2007"/>
      <c r="ND1441" s="2007"/>
    </row>
    <row r="1442">
      <c r="A1442" s="2005">
        <f>IFERROR(__xludf.DUMMYFUNCTION("""COMPUTED_VALUE"""),1123887.0)</f>
        <v>1123887</v>
      </c>
      <c r="B1442" s="2005">
        <f>IFERROR(__xludf.DUMMYFUNCTION("""COMPUTED_VALUE"""),2403005.0)</f>
        <v>2403005</v>
      </c>
      <c r="C1442" s="2005" t="str">
        <f>IFERROR(__xludf.DUMMYFUNCTION("""COMPUTED_VALUE"""),"Pack")</f>
        <v>Pack</v>
      </c>
      <c r="D1442" s="2005" t="str">
        <f>IFERROR(__xludf.DUMMYFUNCTION("""COMPUTED_VALUE"""),"953 XL Noire + 3couleurs")</f>
        <v>953 XL Noire + 3couleurs</v>
      </c>
      <c r="E1442" s="2005" t="str">
        <f>IFERROR(__xludf.DUMMYFUNCTION("""COMPUTED_VALUE"""),"HP")</f>
        <v>HP</v>
      </c>
      <c r="F1442" s="2005" t="str">
        <f>IFERROR(__xludf.DUMMYFUNCTION("""COMPUTED_VALUE"""),"A")</f>
        <v>A</v>
      </c>
      <c r="G1442" s="2005" t="str">
        <f>IFERROR(__xludf.DUMMYFUNCTION("""COMPUTED_VALUE"""),"NN")</f>
        <v>NN</v>
      </c>
      <c r="H1442" s="2005">
        <f>IFERROR(__xludf.DUMMYFUNCTION("""COMPUTED_VALUE"""),112.99)</f>
        <v>112.99</v>
      </c>
      <c r="I1442" s="2005">
        <f>IFERROR(__xludf.DUMMYFUNCTION("""COMPUTED_VALUE"""),112.99)</f>
        <v>112.99</v>
      </c>
      <c r="BD1442" s="2006"/>
      <c r="LL1442" s="2007"/>
      <c r="LM1442" s="2008"/>
      <c r="MX1442" s="2007"/>
      <c r="ND1442" s="2007"/>
    </row>
    <row r="1443">
      <c r="A1443" s="2005">
        <f>IFERROR(__xludf.DUMMYFUNCTION("""COMPUTED_VALUE"""),1123889.0)</f>
        <v>1123889</v>
      </c>
      <c r="B1443" s="2005">
        <f>IFERROR(__xludf.DUMMYFUNCTION("""COMPUTED_VALUE"""),2403005.0)</f>
        <v>2403005</v>
      </c>
      <c r="C1443" s="2005" t="str">
        <f>IFERROR(__xludf.DUMMYFUNCTION("""COMPUTED_VALUE"""),"Pack")</f>
        <v>Pack</v>
      </c>
      <c r="D1443" s="2005" t="str">
        <f>IFERROR(__xludf.DUMMYFUNCTION("""COMPUTED_VALUE"""),"303 noire + 3 couleurs")</f>
        <v>303 noire + 3 couleurs</v>
      </c>
      <c r="E1443" s="2005" t="str">
        <f>IFERROR(__xludf.DUMMYFUNCTION("""COMPUTED_VALUE"""),"HP")</f>
        <v>HP</v>
      </c>
      <c r="F1443" s="2005" t="str">
        <f>IFERROR(__xludf.DUMMYFUNCTION("""COMPUTED_VALUE"""),"A")</f>
        <v>A</v>
      </c>
      <c r="G1443" s="2005" t="str">
        <f>IFERROR(__xludf.DUMMYFUNCTION("""COMPUTED_VALUE"""),"AC")</f>
        <v>AC</v>
      </c>
      <c r="H1443">
        <f>IFERROR(__xludf.DUMMYFUNCTION("""COMPUTED_VALUE"""),44.99)</f>
        <v>44.99</v>
      </c>
      <c r="I1443">
        <f>IFERROR(__xludf.DUMMYFUNCTION("""COMPUTED_VALUE"""),44.99)</f>
        <v>44.99</v>
      </c>
      <c r="BD1443" s="2006"/>
      <c r="LL1443" s="2007"/>
      <c r="LM1443" s="2008"/>
      <c r="MX1443" s="2007"/>
      <c r="ND1443" s="2007"/>
    </row>
    <row r="1444">
      <c r="A1444" s="2005">
        <f>IFERROR(__xludf.DUMMYFUNCTION("""COMPUTED_VALUE"""),1123890.0)</f>
        <v>1123890</v>
      </c>
      <c r="B1444" s="2005">
        <f>IFERROR(__xludf.DUMMYFUNCTION("""COMPUTED_VALUE"""),2403005.0)</f>
        <v>2403005</v>
      </c>
      <c r="C1444" s="2005" t="str">
        <f>IFERROR(__xludf.DUMMYFUNCTION("""COMPUTED_VALUE"""),"Pack")</f>
        <v>Pack</v>
      </c>
      <c r="D1444" s="2005" t="str">
        <f>IFERROR(__xludf.DUMMYFUNCTION("""COMPUTED_VALUE"""),"304 Noire + 3 couleurs")</f>
        <v>304 Noire + 3 couleurs</v>
      </c>
      <c r="E1444" s="2005" t="str">
        <f>IFERROR(__xludf.DUMMYFUNCTION("""COMPUTED_VALUE"""),"HP")</f>
        <v>HP</v>
      </c>
      <c r="F1444" s="2005" t="str">
        <f>IFERROR(__xludf.DUMMYFUNCTION("""COMPUTED_VALUE"""),"A")</f>
        <v>A</v>
      </c>
      <c r="G1444" s="2005" t="str">
        <f>IFERROR(__xludf.DUMMYFUNCTION("""COMPUTED_VALUE"""),"AC")</f>
        <v>AC</v>
      </c>
      <c r="H1444">
        <f>IFERROR(__xludf.DUMMYFUNCTION("""COMPUTED_VALUE"""),32.99)</f>
        <v>32.99</v>
      </c>
      <c r="I1444">
        <f>IFERROR(__xludf.DUMMYFUNCTION("""COMPUTED_VALUE"""),32.99)</f>
        <v>32.99</v>
      </c>
      <c r="BD1444" s="2006"/>
      <c r="LM1444" s="2008"/>
    </row>
    <row r="1445">
      <c r="A1445" s="2005">
        <f>IFERROR(__xludf.DUMMYFUNCTION("""COMPUTED_VALUE"""),1124341.0)</f>
        <v>1124341</v>
      </c>
      <c r="B1445" s="2005">
        <f>IFERROR(__xludf.DUMMYFUNCTION("""COMPUTED_VALUE"""),2202010.0)</f>
        <v>2202010</v>
      </c>
      <c r="C1445" s="2005" t="str">
        <f>IFERROR(__xludf.DUMMYFUNCTION("""COMPUTED_VALUE"""),"Multi Jet d'enc")</f>
        <v>Multi Jet d'enc</v>
      </c>
      <c r="D1445" s="2005" t="str">
        <f>IFERROR(__xludf.DUMMYFUNCTION("""COMPUTED_VALUE"""),"EcoTank ET-4700")</f>
        <v>EcoTank ET-4700</v>
      </c>
      <c r="E1445" s="2005" t="str">
        <f>IFERROR(__xludf.DUMMYFUNCTION("""COMPUTED_VALUE"""),"EPSON")</f>
        <v>EPSON</v>
      </c>
      <c r="F1445" s="2005" t="str">
        <f>IFERROR(__xludf.DUMMYFUNCTION("""COMPUTED_VALUE"""),"E")</f>
        <v>E</v>
      </c>
      <c r="G1445" s="2005" t="str">
        <f>IFERROR(__xludf.DUMMYFUNCTION("""COMPUTED_VALUE"""),"NN")</f>
        <v>NN</v>
      </c>
      <c r="H1445">
        <f>IFERROR(__xludf.DUMMYFUNCTION("""COMPUTED_VALUE"""),289.99)</f>
        <v>289.99</v>
      </c>
      <c r="I1445">
        <f>IFERROR(__xludf.DUMMYFUNCTION("""COMPUTED_VALUE"""),289.99)</f>
        <v>289.99</v>
      </c>
      <c r="BD1445" s="2006"/>
      <c r="LM1445" s="2008"/>
    </row>
    <row r="1446">
      <c r="A1446" s="2005">
        <f>IFERROR(__xludf.DUMMYFUNCTION("""COMPUTED_VALUE"""),1124342.0)</f>
        <v>1124342</v>
      </c>
      <c r="B1446" s="2005">
        <f>IFERROR(__xludf.DUMMYFUNCTION("""COMPUTED_VALUE"""),2209805.0)</f>
        <v>2209805</v>
      </c>
      <c r="C1446" s="2005" t="str">
        <f>IFERROR(__xludf.DUMMYFUNCTION("""COMPUTED_VALUE"""),"Lot")</f>
        <v>Lot</v>
      </c>
      <c r="D1446" s="2005" t="str">
        <f>IFERROR(__xludf.DUMMYFUNCTION("""COMPUTED_VALUE"""),"EcoTank ET-4700 + Bouteille 104 Noir")</f>
        <v>EcoTank ET-4700 + Bouteille 104 Noir</v>
      </c>
      <c r="E1446" s="2005" t="str">
        <f>IFERROR(__xludf.DUMMYFUNCTION("""COMPUTED_VALUE"""),"EPSON")</f>
        <v>EPSON</v>
      </c>
      <c r="F1446" s="2005" t="str">
        <f>IFERROR(__xludf.DUMMYFUNCTION("""COMPUTED_VALUE"""),"H")</f>
        <v>H</v>
      </c>
      <c r="G1446" s="2005" t="str">
        <f>IFERROR(__xludf.DUMMYFUNCTION("""COMPUTED_VALUE"""),"NN")</f>
        <v>NN</v>
      </c>
      <c r="H1446">
        <f>IFERROR(__xludf.DUMMYFUNCTION("""COMPUTED_VALUE"""),289.4)</f>
        <v>289.4</v>
      </c>
      <c r="I1446">
        <f>IFERROR(__xludf.DUMMYFUNCTION("""COMPUTED_VALUE"""),289.4)</f>
        <v>289.4</v>
      </c>
      <c r="BD1446" s="2006"/>
      <c r="LM1446" s="2008"/>
    </row>
    <row r="1447">
      <c r="A1447" s="2005">
        <f>IFERROR(__xludf.DUMMYFUNCTION("""COMPUTED_VALUE"""),1124633.0)</f>
        <v>1124633</v>
      </c>
      <c r="B1447" s="2005">
        <f>IFERROR(__xludf.DUMMYFUNCTION("""COMPUTED_VALUE"""),2207005.0)</f>
        <v>2207005</v>
      </c>
      <c r="C1447" s="2005" t="str">
        <f>IFERROR(__xludf.DUMMYFUNCTION("""COMPUTED_VALUE"""),"Imprimante")</f>
        <v>Imprimante</v>
      </c>
      <c r="D1447" s="2005" t="str">
        <f>IFERROR(__xludf.DUMMYFUNCTION("""COMPUTED_VALUE"""),"Disco Ultimate Bi-couleur")</f>
        <v>Disco Ultimate Bi-couleur</v>
      </c>
      <c r="E1447" s="2005" t="str">
        <f>IFERROR(__xludf.DUMMYFUNCTION("""COMPUTED_VALUE"""),"DAGOMA")</f>
        <v>DAGOMA</v>
      </c>
      <c r="F1447" s="2005" t="str">
        <f>IFERROR(__xludf.DUMMYFUNCTION("""COMPUTED_VALUE"""),"W")</f>
        <v>W</v>
      </c>
      <c r="G1447" s="2005" t="str">
        <f>IFERROR(__xludf.DUMMYFUNCTION("""COMPUTED_VALUE"""),"NN")</f>
        <v>NN</v>
      </c>
      <c r="H1447" s="2005">
        <f>IFERROR(__xludf.DUMMYFUNCTION("""COMPUTED_VALUE"""),499.0)</f>
        <v>499</v>
      </c>
      <c r="I1447">
        <f>IFERROR(__xludf.DUMMYFUNCTION("""COMPUTED_VALUE"""),499.0)</f>
        <v>499</v>
      </c>
      <c r="BD1447" s="2006"/>
      <c r="LL1447" s="2007"/>
      <c r="LM1447" s="2008"/>
      <c r="MX1447" s="2007"/>
      <c r="ND1447" s="2007"/>
    </row>
    <row r="1448">
      <c r="A1448" s="2005">
        <f>IFERROR(__xludf.DUMMYFUNCTION("""COMPUTED_VALUE"""),1124945.0)</f>
        <v>1124945</v>
      </c>
      <c r="B1448" s="2005">
        <f>IFERROR(__xludf.DUMMYFUNCTION("""COMPUTED_VALUE"""),2203010.0)</f>
        <v>2203010</v>
      </c>
      <c r="C1448" s="2005" t="str">
        <f>IFERROR(__xludf.DUMMYFUNCTION("""COMPUTED_VALUE"""),"Scanner")</f>
        <v>Scanner</v>
      </c>
      <c r="D1448" s="2005" t="str">
        <f>IFERROR(__xludf.DUMMYFUNCTION("""COMPUTED_VALUE"""),"Film Scanner- Super 8 Normal 8 Black")</f>
        <v>Film Scanner- Super 8 Normal 8 Black</v>
      </c>
      <c r="E1448" s="2005" t="str">
        <f>IFERROR(__xludf.DUMMYFUNCTION("""COMPUTED_VALUE"""),"REFLECTA")</f>
        <v>REFLECTA</v>
      </c>
      <c r="F1448" s="2005" t="str">
        <f>IFERROR(__xludf.DUMMYFUNCTION("""COMPUTED_VALUE"""),"W")</f>
        <v>W</v>
      </c>
      <c r="G1448" s="2005" t="str">
        <f>IFERROR(__xludf.DUMMYFUNCTION("""COMPUTED_VALUE"""),"AC")</f>
        <v>AC</v>
      </c>
      <c r="H1448">
        <f>IFERROR(__xludf.DUMMYFUNCTION("""COMPUTED_VALUE"""),450.74)</f>
        <v>450.74</v>
      </c>
      <c r="I1448">
        <f>IFERROR(__xludf.DUMMYFUNCTION("""COMPUTED_VALUE"""),450.74)</f>
        <v>450.74</v>
      </c>
      <c r="BD1448" s="2006"/>
      <c r="LL1448" s="2007"/>
      <c r="LM1448" s="2008"/>
      <c r="MX1448" s="2007"/>
      <c r="ND1448" s="2007"/>
    </row>
    <row r="1449">
      <c r="A1449" s="2005">
        <f>IFERROR(__xludf.DUMMYFUNCTION("""COMPUTED_VALUE"""),1124947.0)</f>
        <v>1124947</v>
      </c>
      <c r="B1449" s="2005">
        <f>IFERROR(__xludf.DUMMYFUNCTION("""COMPUTED_VALUE"""),2203010.0)</f>
        <v>2203010</v>
      </c>
      <c r="C1449" s="2005" t="str">
        <f>IFERROR(__xludf.DUMMYFUNCTION("""COMPUTED_VALUE"""),"Scanner")</f>
        <v>Scanner</v>
      </c>
      <c r="D1449" s="2005" t="str">
        <f>IFERROR(__xludf.DUMMYFUNCTION("""COMPUTED_VALUE"""),"Negative Scanner X 120 B")</f>
        <v>Negative Scanner X 120 B</v>
      </c>
      <c r="E1449" s="2005" t="str">
        <f>IFERROR(__xludf.DUMMYFUNCTION("""COMPUTED_VALUE"""),"REFLECTA")</f>
        <v>REFLECTA</v>
      </c>
      <c r="F1449" s="2005" t="str">
        <f>IFERROR(__xludf.DUMMYFUNCTION("""COMPUTED_VALUE"""),"H")</f>
        <v>H</v>
      </c>
      <c r="G1449" s="2005" t="str">
        <f>IFERROR(__xludf.DUMMYFUNCTION("""COMPUTED_VALUE"""),"NN")</f>
        <v>NN</v>
      </c>
      <c r="H1449">
        <f>IFERROR(__xludf.DUMMYFUNCTION("""COMPUTED_VALUE"""),174.99)</f>
        <v>174.99</v>
      </c>
      <c r="I1449">
        <f>IFERROR(__xludf.DUMMYFUNCTION("""COMPUTED_VALUE"""),174.99)</f>
        <v>174.99</v>
      </c>
      <c r="BD1449" s="2006"/>
      <c r="LL1449" s="2007"/>
      <c r="LM1449" s="2008"/>
      <c r="MX1449" s="2007"/>
      <c r="ND1449" s="2007"/>
    </row>
    <row r="1450">
      <c r="A1450" s="2005">
        <f>IFERROR(__xludf.DUMMYFUNCTION("""COMPUTED_VALUE"""),1124962.0)</f>
        <v>1124962</v>
      </c>
      <c r="B1450" s="2005">
        <f>IFERROR(__xludf.DUMMYFUNCTION("""COMPUTED_VALUE"""),2203010.0)</f>
        <v>2203010</v>
      </c>
      <c r="C1450" s="2005" t="str">
        <f>IFERROR(__xludf.DUMMYFUNCTION("""COMPUTED_VALUE"""),"Scanner")</f>
        <v>Scanner</v>
      </c>
      <c r="D1450" s="2005" t="str">
        <f>IFERROR(__xludf.DUMMYFUNCTION("""COMPUTED_VALUE"""),"IRIScan Desk 5")</f>
        <v>IRIScan Desk 5</v>
      </c>
      <c r="E1450" s="2005" t="str">
        <f>IFERROR(__xludf.DUMMYFUNCTION("""COMPUTED_VALUE"""),"IRIS")</f>
        <v>IRIS</v>
      </c>
      <c r="F1450" s="2005" t="str">
        <f>IFERROR(__xludf.DUMMYFUNCTION("""COMPUTED_VALUE"""),"E")</f>
        <v>E</v>
      </c>
      <c r="G1450" s="2005" t="str">
        <f>IFERROR(__xludf.DUMMYFUNCTION("""COMPUTED_VALUE"""),"FR")</f>
        <v>FR</v>
      </c>
      <c r="H1450" s="2005">
        <f>IFERROR(__xludf.DUMMYFUNCTION("""COMPUTED_VALUE"""),198.99)</f>
        <v>198.99</v>
      </c>
      <c r="I1450" s="2005">
        <f>IFERROR(__xludf.DUMMYFUNCTION("""COMPUTED_VALUE"""),198.99)</f>
        <v>198.99</v>
      </c>
      <c r="BD1450" s="2006"/>
      <c r="LL1450" s="2007"/>
      <c r="LM1450" s="2008"/>
      <c r="MX1450" s="2007"/>
      <c r="ND1450" s="2007"/>
    </row>
    <row r="1451">
      <c r="A1451" s="2005">
        <f>IFERROR(__xludf.DUMMYFUNCTION("""COMPUTED_VALUE"""),1124995.0)</f>
        <v>1124995</v>
      </c>
      <c r="B1451" s="2005">
        <f>IFERROR(__xludf.DUMMYFUNCTION("""COMPUTED_VALUE"""),2203010.0)</f>
        <v>2203010</v>
      </c>
      <c r="C1451" s="2005" t="str">
        <f>IFERROR(__xludf.DUMMYFUNCTION("""COMPUTED_VALUE"""),"Scanner")</f>
        <v>Scanner</v>
      </c>
      <c r="D1451" s="2005" t="str">
        <f>IFERROR(__xludf.DUMMYFUNCTION("""COMPUTED_VALUE"""),"X10 Slide Negative Scanne")</f>
        <v>X10 Slide Negative Scanne</v>
      </c>
      <c r="E1451" s="2005" t="str">
        <f>IFERROR(__xludf.DUMMYFUNCTION("""COMPUTED_VALUE"""),"REFLECTA")</f>
        <v>REFLECTA</v>
      </c>
      <c r="F1451" s="2005" t="str">
        <f>IFERROR(__xludf.DUMMYFUNCTION("""COMPUTED_VALUE"""),"H")</f>
        <v>H</v>
      </c>
      <c r="G1451" s="2005" t="str">
        <f>IFERROR(__xludf.DUMMYFUNCTION("""COMPUTED_VALUE"""),"NN")</f>
        <v>NN</v>
      </c>
      <c r="H1451" s="2005">
        <f>IFERROR(__xludf.DUMMYFUNCTION("""COMPUTED_VALUE"""),121.99)</f>
        <v>121.99</v>
      </c>
      <c r="I1451" s="2005">
        <f>IFERROR(__xludf.DUMMYFUNCTION("""COMPUTED_VALUE"""),121.99)</f>
        <v>121.99</v>
      </c>
      <c r="BD1451" s="2006"/>
      <c r="LL1451" s="2008"/>
      <c r="LM1451" s="2008"/>
      <c r="MX1451" s="2007"/>
      <c r="ND1451" s="2008"/>
    </row>
    <row r="1452">
      <c r="A1452" s="2005">
        <f>IFERROR(__xludf.DUMMYFUNCTION("""COMPUTED_VALUE"""),1125027.0)</f>
        <v>1125027</v>
      </c>
      <c r="B1452" s="2005">
        <f>IFERROR(__xludf.DUMMYFUNCTION("""COMPUTED_VALUE"""),2203010.0)</f>
        <v>2203010</v>
      </c>
      <c r="C1452" s="2005" t="str">
        <f>IFERROR(__xludf.DUMMYFUNCTION("""COMPUTED_VALUE"""),"Scanner")</f>
        <v>Scanner</v>
      </c>
      <c r="D1452" s="2005" t="str">
        <f>IFERROR(__xludf.DUMMYFUNCTION("""COMPUTED_VALUE"""),"Slide Negative Scanner 3 in 1 Black")</f>
        <v>Slide Negative Scanner 3 in 1 Black</v>
      </c>
      <c r="E1452" s="2005" t="str">
        <f>IFERROR(__xludf.DUMMYFUNCTION("""COMPUTED_VALUE"""),"REFLECTA")</f>
        <v>REFLECTA</v>
      </c>
      <c r="F1452" s="2005" t="str">
        <f>IFERROR(__xludf.DUMMYFUNCTION("""COMPUTED_VALUE"""),"E")</f>
        <v>E</v>
      </c>
      <c r="G1452" s="2005" t="str">
        <f>IFERROR(__xludf.DUMMYFUNCTION("""COMPUTED_VALUE"""),"AC")</f>
        <v>AC</v>
      </c>
      <c r="H1452">
        <f>IFERROR(__xludf.DUMMYFUNCTION("""COMPUTED_VALUE"""),139.99)</f>
        <v>139.99</v>
      </c>
      <c r="I1452" s="2005">
        <f>IFERROR(__xludf.DUMMYFUNCTION("""COMPUTED_VALUE"""),139.99)</f>
        <v>139.99</v>
      </c>
      <c r="BD1452" s="2006"/>
      <c r="LL1452" s="2008"/>
      <c r="LM1452" s="2008"/>
      <c r="MX1452" s="2008"/>
      <c r="ND1452" s="2008"/>
    </row>
    <row r="1453">
      <c r="A1453" s="2005">
        <f>IFERROR(__xludf.DUMMYFUNCTION("""COMPUTED_VALUE"""),1125028.0)</f>
        <v>1125028</v>
      </c>
      <c r="B1453" s="2005">
        <f>IFERROR(__xludf.DUMMYFUNCTION("""COMPUTED_VALUE"""),2203010.0)</f>
        <v>2203010</v>
      </c>
      <c r="C1453" s="2005" t="str">
        <f>IFERROR(__xludf.DUMMYFUNCTION("""COMPUTED_VALUE"""),"Scanner")</f>
        <v>Scanner</v>
      </c>
      <c r="D1453" s="2005" t="str">
        <f>IFERROR(__xludf.DUMMYFUNCTION("""COMPUTED_VALUE"""),"Dia Scanner 7200 CRYSTAL SCAN")</f>
        <v>Dia Scanner 7200 CRYSTAL SCAN</v>
      </c>
      <c r="E1453" s="2005" t="str">
        <f>IFERROR(__xludf.DUMMYFUNCTION("""COMPUTED_VALUE"""),"REFLECTA")</f>
        <v>REFLECTA</v>
      </c>
      <c r="F1453" s="2005" t="str">
        <f>IFERROR(__xludf.DUMMYFUNCTION("""COMPUTED_VALUE"""),"H")</f>
        <v>H</v>
      </c>
      <c r="G1453" s="2005" t="str">
        <f>IFERROR(__xludf.DUMMYFUNCTION("""COMPUTED_VALUE"""),"NN")</f>
        <v>NN</v>
      </c>
      <c r="H1453">
        <f>IFERROR(__xludf.DUMMYFUNCTION("""COMPUTED_VALUE"""),339.99)</f>
        <v>339.99</v>
      </c>
      <c r="I1453">
        <f>IFERROR(__xludf.DUMMYFUNCTION("""COMPUTED_VALUE"""),339.99)</f>
        <v>339.99</v>
      </c>
      <c r="BD1453" s="2006"/>
      <c r="LL1453" s="2007"/>
      <c r="LM1453" s="2008"/>
      <c r="MX1453" s="2007"/>
      <c r="ND1453" s="2008"/>
    </row>
    <row r="1454">
      <c r="A1454" s="2005">
        <f>IFERROR(__xludf.DUMMYFUNCTION("""COMPUTED_VALUE"""),1125038.0)</f>
        <v>1125038</v>
      </c>
      <c r="B1454" s="2005">
        <f>IFERROR(__xludf.DUMMYFUNCTION("""COMPUTED_VALUE"""),2203010.0)</f>
        <v>2203010</v>
      </c>
      <c r="C1454" s="2005" t="str">
        <f>IFERROR(__xludf.DUMMYFUNCTION("""COMPUTED_VALUE"""),"Scanner")</f>
        <v>Scanner</v>
      </c>
      <c r="D1454" s="2005" t="str">
        <f>IFERROR(__xludf.DUMMYFUNCTION("""COMPUTED_VALUE"""),"Photoscanner Combo Album")</f>
        <v>Photoscanner Combo Album</v>
      </c>
      <c r="E1454" s="2005" t="str">
        <f>IFERROR(__xludf.DUMMYFUNCTION("""COMPUTED_VALUE"""),"REFLECTA")</f>
        <v>REFLECTA</v>
      </c>
      <c r="F1454" s="2005" t="str">
        <f>IFERROR(__xludf.DUMMYFUNCTION("""COMPUTED_VALUE"""),"H")</f>
        <v>H</v>
      </c>
      <c r="G1454" s="2005" t="str">
        <f>IFERROR(__xludf.DUMMYFUNCTION("""COMPUTED_VALUE"""),"NN")</f>
        <v>NN</v>
      </c>
      <c r="H1454" s="2005">
        <f>IFERROR(__xludf.DUMMYFUNCTION("""COMPUTED_VALUE"""),199.99)</f>
        <v>199.99</v>
      </c>
      <c r="I1454" s="2005">
        <f>IFERROR(__xludf.DUMMYFUNCTION("""COMPUTED_VALUE"""),199.99)</f>
        <v>199.99</v>
      </c>
      <c r="BD1454" s="2006"/>
      <c r="LM1454" s="2008"/>
    </row>
    <row r="1455">
      <c r="A1455" s="2005">
        <f>IFERROR(__xludf.DUMMYFUNCTION("""COMPUTED_VALUE"""),1125580.0)</f>
        <v>1125580</v>
      </c>
      <c r="B1455" s="2005">
        <f>IFERROR(__xludf.DUMMYFUNCTION("""COMPUTED_VALUE"""),1103010.0)</f>
        <v>1103010</v>
      </c>
      <c r="C1455" s="2005" t="str">
        <f>IFERROR(__xludf.DUMMYFUNCTION("""COMPUTED_VALUE"""),"Tél.")</f>
        <v>Tél.</v>
      </c>
      <c r="D1455" s="2005" t="str">
        <f>IFERROR(__xludf.DUMMYFUNCTION("""COMPUTED_VALUE"""),"KX-TGD310FRB")</f>
        <v>KX-TGD310FRB</v>
      </c>
      <c r="E1455" s="2005" t="str">
        <f>IFERROR(__xludf.DUMMYFUNCTION("""COMPUTED_VALUE"""),"PANASONIC")</f>
        <v>PANASONIC</v>
      </c>
      <c r="F1455" s="2005" t="str">
        <f>IFERROR(__xludf.DUMMYFUNCTION("""COMPUTED_VALUE"""),"H")</f>
        <v>H</v>
      </c>
      <c r="G1455" s="2005" t="str">
        <f>IFERROR(__xludf.DUMMYFUNCTION("""COMPUTED_VALUE"""),"AC")</f>
        <v>AC</v>
      </c>
      <c r="H1455">
        <f>IFERROR(__xludf.DUMMYFUNCTION("""COMPUTED_VALUE"""),39.99)</f>
        <v>39.99</v>
      </c>
      <c r="I1455">
        <f>IFERROR(__xludf.DUMMYFUNCTION("""COMPUTED_VALUE"""),39.99)</f>
        <v>39.99</v>
      </c>
      <c r="BD1455" s="2006"/>
      <c r="LL1455" s="2008"/>
      <c r="LM1455" s="2007"/>
      <c r="MX1455" s="2007"/>
      <c r="ND1455" s="2008"/>
    </row>
    <row r="1456">
      <c r="A1456" s="2005">
        <f>IFERROR(__xludf.DUMMYFUNCTION("""COMPUTED_VALUE"""),1125586.0)</f>
        <v>1125586</v>
      </c>
      <c r="B1456" s="2005">
        <f>IFERROR(__xludf.DUMMYFUNCTION("""COMPUTED_VALUE"""),1103010.0)</f>
        <v>1103010</v>
      </c>
      <c r="C1456" s="2005" t="str">
        <f>IFERROR(__xludf.DUMMYFUNCTION("""COMPUTED_VALUE"""),"Tél.")</f>
        <v>Tél.</v>
      </c>
      <c r="D1456" s="2005" t="str">
        <f>IFERROR(__xludf.DUMMYFUNCTION("""COMPUTED_VALUE"""),"KX-TGH710FRB")</f>
        <v>KX-TGH710FRB</v>
      </c>
      <c r="E1456" s="2005" t="str">
        <f>IFERROR(__xludf.DUMMYFUNCTION("""COMPUTED_VALUE"""),"PANASONIC")</f>
        <v>PANASONIC</v>
      </c>
      <c r="F1456" s="2005" t="str">
        <f>IFERROR(__xludf.DUMMYFUNCTION("""COMPUTED_VALUE"""),"C")</f>
        <v>C</v>
      </c>
      <c r="G1456" s="2005" t="str">
        <f>IFERROR(__xludf.DUMMYFUNCTION("""COMPUTED_VALUE"""),"NN")</f>
        <v>NN</v>
      </c>
      <c r="H1456">
        <f>IFERROR(__xludf.DUMMYFUNCTION("""COMPUTED_VALUE"""),30.99)</f>
        <v>30.99</v>
      </c>
      <c r="I1456">
        <f>IFERROR(__xludf.DUMMYFUNCTION("""COMPUTED_VALUE"""),30.99)</f>
        <v>30.99</v>
      </c>
      <c r="BD1456" s="2006"/>
      <c r="LL1456" s="2007"/>
      <c r="LM1456" s="2008"/>
      <c r="MX1456" s="2007"/>
      <c r="ND1456" s="2007"/>
    </row>
    <row r="1457">
      <c r="A1457" s="2005">
        <f>IFERROR(__xludf.DUMMYFUNCTION("""COMPUTED_VALUE"""),1125587.0)</f>
        <v>1125587</v>
      </c>
      <c r="B1457" s="2005">
        <f>IFERROR(__xludf.DUMMYFUNCTION("""COMPUTED_VALUE"""),1103010.0)</f>
        <v>1103010</v>
      </c>
      <c r="C1457" s="2005" t="str">
        <f>IFERROR(__xludf.DUMMYFUNCTION("""COMPUTED_VALUE"""),"Tél.Rép.")</f>
        <v>Tél.Rép.</v>
      </c>
      <c r="D1457" s="2005" t="str">
        <f>IFERROR(__xludf.DUMMYFUNCTION("""COMPUTED_VALUE"""),"KX-TGD320FRB")</f>
        <v>KX-TGD320FRB</v>
      </c>
      <c r="E1457" s="2005" t="str">
        <f>IFERROR(__xludf.DUMMYFUNCTION("""COMPUTED_VALUE"""),"PANASONIC")</f>
        <v>PANASONIC</v>
      </c>
      <c r="F1457" s="2005" t="str">
        <f>IFERROR(__xludf.DUMMYFUNCTION("""COMPUTED_VALUE"""),"H")</f>
        <v>H</v>
      </c>
      <c r="G1457" s="2005" t="str">
        <f>IFERROR(__xludf.DUMMYFUNCTION("""COMPUTED_VALUE"""),"AC")</f>
        <v>AC</v>
      </c>
      <c r="H1457">
        <f>IFERROR(__xludf.DUMMYFUNCTION("""COMPUTED_VALUE"""),49.99)</f>
        <v>49.99</v>
      </c>
      <c r="I1457">
        <f>IFERROR(__xludf.DUMMYFUNCTION("""COMPUTED_VALUE"""),49.99)</f>
        <v>49.99</v>
      </c>
      <c r="BD1457" s="2006"/>
      <c r="LM1457" s="2008"/>
    </row>
    <row r="1458">
      <c r="A1458" s="2005">
        <f>IFERROR(__xludf.DUMMYFUNCTION("""COMPUTED_VALUE"""),1125597.0)</f>
        <v>1125597</v>
      </c>
      <c r="B1458" s="2005">
        <f>IFERROR(__xludf.DUMMYFUNCTION("""COMPUTED_VALUE"""),1103010.0)</f>
        <v>1103010</v>
      </c>
      <c r="C1458" s="2005" t="str">
        <f>IFERROR(__xludf.DUMMYFUNCTION("""COMPUTED_VALUE"""),"Tél.")</f>
        <v>Tél.</v>
      </c>
      <c r="D1458" s="2005" t="str">
        <f>IFERROR(__xludf.DUMMYFUNCTION("""COMPUTED_VALUE"""),"KX-TG1611FRH")</f>
        <v>KX-TG1611FRH</v>
      </c>
      <c r="E1458" s="2005" t="str">
        <f>IFERROR(__xludf.DUMMYFUNCTION("""COMPUTED_VALUE"""),"PANASONIC")</f>
        <v>PANASONIC</v>
      </c>
      <c r="F1458" s="2005" t="str">
        <f>IFERROR(__xludf.DUMMYFUNCTION("""COMPUTED_VALUE"""),"W")</f>
        <v>W</v>
      </c>
      <c r="G1458" s="2005" t="str">
        <f>IFERROR(__xludf.DUMMYFUNCTION("""COMPUTED_VALUE"""),"NN")</f>
        <v>NN</v>
      </c>
      <c r="H1458">
        <f>IFERROR(__xludf.DUMMYFUNCTION("""COMPUTED_VALUE"""),24.99)</f>
        <v>24.99</v>
      </c>
      <c r="I1458">
        <f>IFERROR(__xludf.DUMMYFUNCTION("""COMPUTED_VALUE"""),24.99)</f>
        <v>24.99</v>
      </c>
      <c r="BD1458" s="2006"/>
      <c r="LL1458" s="2007"/>
      <c r="LM1458" s="2008"/>
      <c r="MX1458" s="2007"/>
      <c r="ND1458" s="2007"/>
    </row>
    <row r="1459">
      <c r="A1459" s="2005">
        <f>IFERROR(__xludf.DUMMYFUNCTION("""COMPUTED_VALUE"""),1125598.0)</f>
        <v>1125598</v>
      </c>
      <c r="B1459" s="2005">
        <f>IFERROR(__xludf.DUMMYFUNCTION("""COMPUTED_VALUE"""),1103005.0)</f>
        <v>1103005</v>
      </c>
      <c r="C1459" s="2005" t="str">
        <f>IFERROR(__xludf.DUMMYFUNCTION("""COMPUTED_VALUE"""),"Tél.")</f>
        <v>Tél.</v>
      </c>
      <c r="D1459" s="2005" t="str">
        <f>IFERROR(__xludf.DUMMYFUNCTION("""COMPUTED_VALUE"""),"KX-TGK220FRB")</f>
        <v>KX-TGK220FRB</v>
      </c>
      <c r="E1459" s="2005" t="str">
        <f>IFERROR(__xludf.DUMMYFUNCTION("""COMPUTED_VALUE"""),"PANASONIC")</f>
        <v>PANASONIC</v>
      </c>
      <c r="F1459" s="2005" t="str">
        <f>IFERROR(__xludf.DUMMYFUNCTION("""COMPUTED_VALUE"""),"H")</f>
        <v>H</v>
      </c>
      <c r="G1459" s="2005" t="str">
        <f>IFERROR(__xludf.DUMMYFUNCTION("""COMPUTED_VALUE"""),"AC")</f>
        <v>AC</v>
      </c>
      <c r="H1459">
        <f>IFERROR(__xludf.DUMMYFUNCTION("""COMPUTED_VALUE"""),54.99)</f>
        <v>54.99</v>
      </c>
      <c r="I1459">
        <f>IFERROR(__xludf.DUMMYFUNCTION("""COMPUTED_VALUE"""),54.99)</f>
        <v>54.99</v>
      </c>
      <c r="BD1459" s="2006"/>
      <c r="LL1459" s="2007"/>
      <c r="LM1459" s="2008"/>
      <c r="MX1459" s="2007"/>
      <c r="ND1459" s="2007"/>
    </row>
    <row r="1460">
      <c r="A1460">
        <f>IFERROR(__xludf.DUMMYFUNCTION("""COMPUTED_VALUE"""),1125599.0)</f>
        <v>1125599</v>
      </c>
      <c r="B1460">
        <f>IFERROR(__xludf.DUMMYFUNCTION("""COMPUTED_VALUE"""),1103010.0)</f>
        <v>1103010</v>
      </c>
      <c r="C1460" t="str">
        <f>IFERROR(__xludf.DUMMYFUNCTION("""COMPUTED_VALUE"""),"Pack")</f>
        <v>Pack</v>
      </c>
      <c r="D1460" t="str">
        <f>IFERROR(__xludf.DUMMYFUNCTION("""COMPUTED_VALUE"""),"KX-TGH722FRB")</f>
        <v>KX-TGH722FRB</v>
      </c>
      <c r="E1460" t="str">
        <f>IFERROR(__xludf.DUMMYFUNCTION("""COMPUTED_VALUE"""),"PANASONIC")</f>
        <v>PANASONIC</v>
      </c>
      <c r="F1460" t="str">
        <f>IFERROR(__xludf.DUMMYFUNCTION("""COMPUTED_VALUE"""),"B")</f>
        <v>B</v>
      </c>
      <c r="G1460" t="str">
        <f>IFERROR(__xludf.DUMMYFUNCTION("""COMPUTED_VALUE"""),"AC")</f>
        <v>AC</v>
      </c>
      <c r="H1460">
        <f>IFERROR(__xludf.DUMMYFUNCTION("""COMPUTED_VALUE"""),89.99)</f>
        <v>89.99</v>
      </c>
      <c r="I1460">
        <f>IFERROR(__xludf.DUMMYFUNCTION("""COMPUTED_VALUE"""),89.99)</f>
        <v>89.99</v>
      </c>
      <c r="BD1460" s="2006"/>
      <c r="LL1460" s="2007"/>
      <c r="LM1460" s="2008"/>
      <c r="MX1460" s="2007"/>
      <c r="ND1460" s="2007"/>
    </row>
    <row r="1461">
      <c r="A1461" s="2005">
        <f>IFERROR(__xludf.DUMMYFUNCTION("""COMPUTED_VALUE"""),1125604.0)</f>
        <v>1125604</v>
      </c>
      <c r="B1461" s="2005">
        <f>IFERROR(__xludf.DUMMYFUNCTION("""COMPUTED_VALUE"""),1103010.0)</f>
        <v>1103010</v>
      </c>
      <c r="C1461" s="2005" t="str">
        <f>IFERROR(__xludf.DUMMYFUNCTION("""COMPUTED_VALUE"""),"Tél.")</f>
        <v>Tél.</v>
      </c>
      <c r="D1461" s="2005" t="str">
        <f>IFERROR(__xludf.DUMMYFUNCTION("""COMPUTED_VALUE"""),"KX-TGK220FRW")</f>
        <v>KX-TGK220FRW</v>
      </c>
      <c r="E1461" s="2005" t="str">
        <f>IFERROR(__xludf.DUMMYFUNCTION("""COMPUTED_VALUE"""),"PANASONIC")</f>
        <v>PANASONIC</v>
      </c>
      <c r="F1461" s="2005" t="str">
        <f>IFERROR(__xludf.DUMMYFUNCTION("""COMPUTED_VALUE"""),"H")</f>
        <v>H</v>
      </c>
      <c r="G1461" s="2005" t="str">
        <f>IFERROR(__xludf.DUMMYFUNCTION("""COMPUTED_VALUE"""),"AC")</f>
        <v>AC</v>
      </c>
      <c r="H1461" s="2005">
        <f>IFERROR(__xludf.DUMMYFUNCTION("""COMPUTED_VALUE"""),54.99)</f>
        <v>54.99</v>
      </c>
      <c r="I1461" s="2005">
        <f>IFERROR(__xludf.DUMMYFUNCTION("""COMPUTED_VALUE"""),44.99)</f>
        <v>44.99</v>
      </c>
      <c r="BD1461" s="2006"/>
      <c r="LL1461" s="2007"/>
      <c r="LM1461" s="2008"/>
      <c r="MX1461" s="2007"/>
      <c r="ND1461" s="2007"/>
    </row>
    <row r="1462">
      <c r="A1462" s="2005">
        <f>IFERROR(__xludf.DUMMYFUNCTION("""COMPUTED_VALUE"""),1125605.0)</f>
        <v>1125605</v>
      </c>
      <c r="B1462" s="2005">
        <f>IFERROR(__xludf.DUMMYFUNCTION("""COMPUTED_VALUE"""),1103010.0)</f>
        <v>1103010</v>
      </c>
      <c r="C1462" s="2005" t="str">
        <f>IFERROR(__xludf.DUMMYFUNCTION("""COMPUTED_VALUE"""),"Pack")</f>
        <v>Pack</v>
      </c>
      <c r="D1462" s="2005" t="str">
        <f>IFERROR(__xludf.DUMMYFUNCTION("""COMPUTED_VALUE"""),"KX-TG1612FRH")</f>
        <v>KX-TG1612FRH</v>
      </c>
      <c r="E1462" s="2005" t="str">
        <f>IFERROR(__xludf.DUMMYFUNCTION("""COMPUTED_VALUE"""),"PANASONIC")</f>
        <v>PANASONIC</v>
      </c>
      <c r="F1462" s="2005" t="str">
        <f>IFERROR(__xludf.DUMMYFUNCTION("""COMPUTED_VALUE"""),"W")</f>
        <v>W</v>
      </c>
      <c r="G1462" s="2005" t="str">
        <f>IFERROR(__xludf.DUMMYFUNCTION("""COMPUTED_VALUE"""),"NN")</f>
        <v>NN</v>
      </c>
      <c r="H1462">
        <f>IFERROR(__xludf.DUMMYFUNCTION("""COMPUTED_VALUE"""),39.99)</f>
        <v>39.99</v>
      </c>
      <c r="I1462">
        <f>IFERROR(__xludf.DUMMYFUNCTION("""COMPUTED_VALUE"""),39.99)</f>
        <v>39.99</v>
      </c>
      <c r="BD1462" s="2006"/>
      <c r="LL1462" s="2007"/>
      <c r="LM1462" s="2008"/>
      <c r="MX1462" s="2007"/>
      <c r="ND1462" s="2007"/>
    </row>
    <row r="1463">
      <c r="A1463" s="2005">
        <f>IFERROR(__xludf.DUMMYFUNCTION("""COMPUTED_VALUE"""),1125611.0)</f>
        <v>1125611</v>
      </c>
      <c r="B1463" s="2005">
        <f>IFERROR(__xludf.DUMMYFUNCTION("""COMPUTED_VALUE"""),1103010.0)</f>
        <v>1103010</v>
      </c>
      <c r="C1463" s="2005" t="str">
        <f>IFERROR(__xludf.DUMMYFUNCTION("""COMPUTED_VALUE"""),"Tél.Rép.")</f>
        <v>Tél.Rép.</v>
      </c>
      <c r="D1463" s="2005" t="str">
        <f>IFERROR(__xludf.DUMMYFUNCTION("""COMPUTED_VALUE"""),"KX-TGH720FRB")</f>
        <v>KX-TGH720FRB</v>
      </c>
      <c r="E1463" s="2005" t="str">
        <f>IFERROR(__xludf.DUMMYFUNCTION("""COMPUTED_VALUE"""),"PANASONIC")</f>
        <v>PANASONIC</v>
      </c>
      <c r="F1463" s="2005" t="str">
        <f>IFERROR(__xludf.DUMMYFUNCTION("""COMPUTED_VALUE"""),"B")</f>
        <v>B</v>
      </c>
      <c r="G1463" s="2005" t="str">
        <f>IFERROR(__xludf.DUMMYFUNCTION("""COMPUTED_VALUE"""),"AC")</f>
        <v>AC</v>
      </c>
      <c r="H1463">
        <f>IFERROR(__xludf.DUMMYFUNCTION("""COMPUTED_VALUE"""),59.99)</f>
        <v>59.99</v>
      </c>
      <c r="I1463">
        <f>IFERROR(__xludf.DUMMYFUNCTION("""COMPUTED_VALUE"""),59.99)</f>
        <v>59.99</v>
      </c>
      <c r="BD1463" s="2006"/>
      <c r="LM1463" s="2007"/>
    </row>
    <row r="1464">
      <c r="A1464">
        <f>IFERROR(__xludf.DUMMYFUNCTION("""COMPUTED_VALUE"""),1125612.0)</f>
        <v>1125612</v>
      </c>
      <c r="B1464">
        <f>IFERROR(__xludf.DUMMYFUNCTION("""COMPUTED_VALUE"""),1103010.0)</f>
        <v>1103010</v>
      </c>
      <c r="C1464" t="str">
        <f>IFERROR(__xludf.DUMMYFUNCTION("""COMPUTED_VALUE"""),"Pack")</f>
        <v>Pack</v>
      </c>
      <c r="D1464" t="str">
        <f>IFERROR(__xludf.DUMMYFUNCTION("""COMPUTED_VALUE"""),"KX-TGD322FRB")</f>
        <v>KX-TGD322FRB</v>
      </c>
      <c r="E1464" t="str">
        <f>IFERROR(__xludf.DUMMYFUNCTION("""COMPUTED_VALUE"""),"PANASONIC")</f>
        <v>PANASONIC</v>
      </c>
      <c r="F1464" t="str">
        <f>IFERROR(__xludf.DUMMYFUNCTION("""COMPUTED_VALUE"""),"H")</f>
        <v>H</v>
      </c>
      <c r="G1464" t="str">
        <f>IFERROR(__xludf.DUMMYFUNCTION("""COMPUTED_VALUE"""),"AC")</f>
        <v>AC</v>
      </c>
      <c r="H1464">
        <f>IFERROR(__xludf.DUMMYFUNCTION("""COMPUTED_VALUE"""),79.99)</f>
        <v>79.99</v>
      </c>
      <c r="I1464">
        <f>IFERROR(__xludf.DUMMYFUNCTION("""COMPUTED_VALUE"""),79.99)</f>
        <v>79.99</v>
      </c>
      <c r="BD1464" s="2006"/>
      <c r="LL1464" s="2007"/>
      <c r="LM1464" s="2007"/>
      <c r="MX1464" s="2008"/>
      <c r="ND1464" s="2007"/>
    </row>
    <row r="1465">
      <c r="A1465" s="2005">
        <f>IFERROR(__xludf.DUMMYFUNCTION("""COMPUTED_VALUE"""),1125733.0)</f>
        <v>1125733</v>
      </c>
      <c r="B1465" s="2005">
        <f>IFERROR(__xludf.DUMMYFUNCTION("""COMPUTED_VALUE"""),2502020.0)</f>
        <v>2502020</v>
      </c>
      <c r="C1465" s="2005" t="str">
        <f>IFERROR(__xludf.DUMMYFUNCTION("""COMPUTED_VALUE"""),"Webcam")</f>
        <v>Webcam</v>
      </c>
      <c r="D1465" s="2005" t="str">
        <f>IFERROR(__xludf.DUMMYFUNCTION("""COMPUTED_VALUE"""),"C920S PRO")</f>
        <v>C920S PRO</v>
      </c>
      <c r="E1465" s="2005" t="str">
        <f>IFERROR(__xludf.DUMMYFUNCTION("""COMPUTED_VALUE"""),"LOGITECH")</f>
        <v>LOGITECH</v>
      </c>
      <c r="F1465" s="2005" t="str">
        <f>IFERROR(__xludf.DUMMYFUNCTION("""COMPUTED_VALUE"""),"A")</f>
        <v>A</v>
      </c>
      <c r="G1465" s="2005" t="str">
        <f>IFERROR(__xludf.DUMMYFUNCTION("""COMPUTED_VALUE"""),"AC")</f>
        <v>AC</v>
      </c>
      <c r="H1465" s="2005">
        <f>IFERROR(__xludf.DUMMYFUNCTION("""COMPUTED_VALUE"""),119.99)</f>
        <v>119.99</v>
      </c>
      <c r="I1465">
        <f>IFERROR(__xludf.DUMMYFUNCTION("""COMPUTED_VALUE"""),119.99)</f>
        <v>119.99</v>
      </c>
      <c r="BD1465" s="2006"/>
      <c r="LL1465" s="2007"/>
      <c r="LM1465" s="2007"/>
      <c r="MX1465" s="2008"/>
      <c r="ND1465" s="2007"/>
    </row>
    <row r="1466">
      <c r="A1466" s="2005">
        <f>IFERROR(__xludf.DUMMYFUNCTION("""COMPUTED_VALUE"""),1125909.0)</f>
        <v>1125909</v>
      </c>
      <c r="B1466" s="2005">
        <f>IFERROR(__xludf.DUMMYFUNCTION("""COMPUTED_VALUE"""),2704515.0)</f>
        <v>2704515</v>
      </c>
      <c r="C1466" s="2005" t="str">
        <f>IFERROR(__xludf.DUMMYFUNCTION("""COMPUTED_VALUE"""),"Calc-Scient")</f>
        <v>Calc-Scient</v>
      </c>
      <c r="D1466" s="2005" t="str">
        <f>IFERROR(__xludf.DUMMYFUNCTION("""COMPUTED_VALUE"""),"TI-83 Premium CE PYTHON")</f>
        <v>TI-83 Premium CE PYTHON</v>
      </c>
      <c r="E1466" s="2005" t="str">
        <f>IFERROR(__xludf.DUMMYFUNCTION("""COMPUTED_VALUE"""),"TEXAS INSTRUMENTS")</f>
        <v>TEXAS INSTRUMENTS</v>
      </c>
      <c r="F1466" s="2005" t="str">
        <f>IFERROR(__xludf.DUMMYFUNCTION("""COMPUTED_VALUE"""),"H")</f>
        <v>H</v>
      </c>
      <c r="G1466" s="2005" t="str">
        <f>IFERROR(__xludf.DUMMYFUNCTION("""COMPUTED_VALUE"""),"AC")</f>
        <v>AC</v>
      </c>
      <c r="H1466">
        <f>IFERROR(__xludf.DUMMYFUNCTION("""COMPUTED_VALUE"""),126.31)</f>
        <v>126.31</v>
      </c>
      <c r="I1466">
        <f>IFERROR(__xludf.DUMMYFUNCTION("""COMPUTED_VALUE"""),126.31)</f>
        <v>126.31</v>
      </c>
      <c r="BD1466" s="2006"/>
      <c r="LL1466" s="2007"/>
      <c r="LM1466" s="2007"/>
      <c r="MX1466" s="2007"/>
      <c r="ND1466" s="2007"/>
    </row>
    <row r="1467">
      <c r="A1467" s="2005">
        <f>IFERROR(__xludf.DUMMYFUNCTION("""COMPUTED_VALUE"""),1126054.0)</f>
        <v>1126054</v>
      </c>
      <c r="B1467" s="2005">
        <f>IFERROR(__xludf.DUMMYFUNCTION("""COMPUTED_VALUE"""),1103005.0)</f>
        <v>1103005</v>
      </c>
      <c r="C1467" s="2005" t="str">
        <f>IFERROR(__xludf.DUMMYFUNCTION("""COMPUTED_VALUE"""),"Tél.")</f>
        <v>Tél.</v>
      </c>
      <c r="D1467" s="2005" t="str">
        <f>IFERROR(__xludf.DUMMYFUNCTION("""COMPUTED_VALUE"""),"Aura 150 Solo Noir")</f>
        <v>Aura 150 Solo Noir</v>
      </c>
      <c r="E1467" s="2005" t="str">
        <f>IFERROR(__xludf.DUMMYFUNCTION("""COMPUTED_VALUE"""),"LOGICOM")</f>
        <v>LOGICOM</v>
      </c>
      <c r="F1467" s="2005" t="str">
        <f>IFERROR(__xludf.DUMMYFUNCTION("""COMPUTED_VALUE"""),"W")</f>
        <v>W</v>
      </c>
      <c r="G1467" s="2005" t="str">
        <f>IFERROR(__xludf.DUMMYFUNCTION("""COMPUTED_VALUE"""),"NN")</f>
        <v>NN</v>
      </c>
      <c r="H1467">
        <f>IFERROR(__xludf.DUMMYFUNCTION("""COMPUTED_VALUE"""),13.99)</f>
        <v>13.99</v>
      </c>
      <c r="I1467">
        <f>IFERROR(__xludf.DUMMYFUNCTION("""COMPUTED_VALUE"""),13.99)</f>
        <v>13.99</v>
      </c>
      <c r="BD1467" s="2006"/>
      <c r="LM1467" s="2007"/>
    </row>
    <row r="1468">
      <c r="A1468" s="2005">
        <f>IFERROR(__xludf.DUMMYFUNCTION("""COMPUTED_VALUE"""),1126112.0)</f>
        <v>1126112</v>
      </c>
      <c r="B1468" s="2005">
        <f>IFERROR(__xludf.DUMMYFUNCTION("""COMPUTED_VALUE"""),2201020.0)</f>
        <v>2201020</v>
      </c>
      <c r="C1468" s="2005" t="str">
        <f>IFERROR(__xludf.DUMMYFUNCTION("""COMPUTED_VALUE"""),"Mono Laser")</f>
        <v>Mono Laser</v>
      </c>
      <c r="D1468" s="2005" t="str">
        <f>IFERROR(__xludf.DUMMYFUNCTION("""COMPUTED_VALUE"""),"HL-L2370DN")</f>
        <v>HL-L2370DN</v>
      </c>
      <c r="E1468" s="2005" t="str">
        <f>IFERROR(__xludf.DUMMYFUNCTION("""COMPUTED_VALUE"""),"BROTHER")</f>
        <v>BROTHER</v>
      </c>
      <c r="F1468" s="2005" t="str">
        <f>IFERROR(__xludf.DUMMYFUNCTION("""COMPUTED_VALUE"""),"W")</f>
        <v>W</v>
      </c>
      <c r="G1468" s="2005" t="str">
        <f>IFERROR(__xludf.DUMMYFUNCTION("""COMPUTED_VALUE"""),"AC")</f>
        <v>AC</v>
      </c>
      <c r="H1468">
        <f>IFERROR(__xludf.DUMMYFUNCTION("""COMPUTED_VALUE"""),189.99)</f>
        <v>189.99</v>
      </c>
      <c r="I1468" s="2005">
        <f>IFERROR(__xludf.DUMMYFUNCTION("""COMPUTED_VALUE"""),152.4)</f>
        <v>152.4</v>
      </c>
      <c r="BD1468" s="2006"/>
      <c r="LM1468" s="2007"/>
    </row>
    <row r="1469">
      <c r="A1469" s="2005">
        <f>IFERROR(__xludf.DUMMYFUNCTION("""COMPUTED_VALUE"""),1126113.0)</f>
        <v>1126113</v>
      </c>
      <c r="B1469" s="2005">
        <f>IFERROR(__xludf.DUMMYFUNCTION("""COMPUTED_VALUE"""),2209805.0)</f>
        <v>2209805</v>
      </c>
      <c r="C1469" s="2005" t="str">
        <f>IFERROR(__xludf.DUMMYFUNCTION("""COMPUTED_VALUE"""),"Lot")</f>
        <v>Lot</v>
      </c>
      <c r="D1469" s="2005" t="str">
        <f>IFERROR(__xludf.DUMMYFUNCTION("""COMPUTED_VALUE"""),"HL-L2370D + Toner TN2410 Noir")</f>
        <v>HL-L2370D + Toner TN2410 Noir</v>
      </c>
      <c r="E1469" s="2005" t="str">
        <f>IFERROR(__xludf.DUMMYFUNCTION("""COMPUTED_VALUE"""),"BROTHER")</f>
        <v>BROTHER</v>
      </c>
      <c r="F1469" s="2005" t="str">
        <f>IFERROR(__xludf.DUMMYFUNCTION("""COMPUTED_VALUE"""),"W")</f>
        <v>W</v>
      </c>
      <c r="G1469" s="2005" t="str">
        <f>IFERROR(__xludf.DUMMYFUNCTION("""COMPUTED_VALUE"""),"AC")</f>
        <v>AC</v>
      </c>
      <c r="H1469" s="2005">
        <f>IFERROR(__xludf.DUMMYFUNCTION("""COMPUTED_VALUE"""),167.99)</f>
        <v>167.99</v>
      </c>
      <c r="I1469" s="2005">
        <f>IFERROR(__xludf.DUMMYFUNCTION("""COMPUTED_VALUE"""),167.99)</f>
        <v>167.99</v>
      </c>
      <c r="BD1469" s="2006"/>
      <c r="LM1469" s="2007"/>
    </row>
    <row r="1470">
      <c r="A1470" s="2005">
        <f>IFERROR(__xludf.DUMMYFUNCTION("""COMPUTED_VALUE"""),1126114.0)</f>
        <v>1126114</v>
      </c>
      <c r="B1470" s="2005">
        <f>IFERROR(__xludf.DUMMYFUNCTION("""COMPUTED_VALUE"""),2201020.0)</f>
        <v>2201020</v>
      </c>
      <c r="C1470" s="2005" t="str">
        <f>IFERROR(__xludf.DUMMYFUNCTION("""COMPUTED_VALUE"""),"Mono Laser")</f>
        <v>Mono Laser</v>
      </c>
      <c r="D1470" s="2005" t="str">
        <f>IFERROR(__xludf.DUMMYFUNCTION("""COMPUTED_VALUE"""),"HL-L2375DW")</f>
        <v>HL-L2375DW</v>
      </c>
      <c r="E1470" s="2005" t="str">
        <f>IFERROR(__xludf.DUMMYFUNCTION("""COMPUTED_VALUE"""),"BROTHER")</f>
        <v>BROTHER</v>
      </c>
      <c r="F1470" s="2005" t="str">
        <f>IFERROR(__xludf.DUMMYFUNCTION("""COMPUTED_VALUE"""),"W")</f>
        <v>W</v>
      </c>
      <c r="G1470" s="2005" t="str">
        <f>IFERROR(__xludf.DUMMYFUNCTION("""COMPUTED_VALUE"""),"AC")</f>
        <v>AC</v>
      </c>
      <c r="H1470" s="2005">
        <f>IFERROR(__xludf.DUMMYFUNCTION("""COMPUTED_VALUE"""),214.99)</f>
        <v>214.99</v>
      </c>
      <c r="I1470">
        <f>IFERROR(__xludf.DUMMYFUNCTION("""COMPUTED_VALUE"""),169.96)</f>
        <v>169.96</v>
      </c>
      <c r="BD1470" s="2006"/>
      <c r="LM1470" s="2007"/>
    </row>
    <row r="1471">
      <c r="A1471" s="2005">
        <f>IFERROR(__xludf.DUMMYFUNCTION("""COMPUTED_VALUE"""),1126115.0)</f>
        <v>1126115</v>
      </c>
      <c r="B1471" s="2005">
        <f>IFERROR(__xludf.DUMMYFUNCTION("""COMPUTED_VALUE"""),2209805.0)</f>
        <v>2209805</v>
      </c>
      <c r="C1471" s="2005" t="str">
        <f>IFERROR(__xludf.DUMMYFUNCTION("""COMPUTED_VALUE"""),"Lot")</f>
        <v>Lot</v>
      </c>
      <c r="D1471" s="2005" t="str">
        <f>IFERROR(__xludf.DUMMYFUNCTION("""COMPUTED_VALUE"""),"HL-L2375DW + Toner TN2410 Noir")</f>
        <v>HL-L2375DW + Toner TN2410 Noir</v>
      </c>
      <c r="E1471" s="2005" t="str">
        <f>IFERROR(__xludf.DUMMYFUNCTION("""COMPUTED_VALUE"""),"BROTHER")</f>
        <v>BROTHER</v>
      </c>
      <c r="F1471" s="2005" t="str">
        <f>IFERROR(__xludf.DUMMYFUNCTION("""COMPUTED_VALUE"""),"W")</f>
        <v>W</v>
      </c>
      <c r="G1471" s="2005" t="str">
        <f>IFERROR(__xludf.DUMMYFUNCTION("""COMPUTED_VALUE"""),"AC")</f>
        <v>AC</v>
      </c>
      <c r="H1471">
        <f>IFERROR(__xludf.DUMMYFUNCTION("""COMPUTED_VALUE"""),262.28)</f>
        <v>262.28</v>
      </c>
      <c r="I1471">
        <f>IFERROR(__xludf.DUMMYFUNCTION("""COMPUTED_VALUE"""),219.5)</f>
        <v>219.5</v>
      </c>
      <c r="BD1471" s="2006"/>
      <c r="LM1471" s="2007"/>
    </row>
    <row r="1472">
      <c r="A1472" s="2005">
        <f>IFERROR(__xludf.DUMMYFUNCTION("""COMPUTED_VALUE"""),1126116.0)</f>
        <v>1126116</v>
      </c>
      <c r="B1472" s="2005">
        <f>IFERROR(__xludf.DUMMYFUNCTION("""COMPUTED_VALUE"""),2202008.0)</f>
        <v>2202008</v>
      </c>
      <c r="C1472" s="2005" t="str">
        <f>IFERROR(__xludf.DUMMYFUNCTION("""COMPUTED_VALUE"""),"Multi Laser")</f>
        <v>Multi Laser</v>
      </c>
      <c r="D1472" s="2005" t="str">
        <f>IFERROR(__xludf.DUMMYFUNCTION("""COMPUTED_VALUE"""),"HL-L3210CW")</f>
        <v>HL-L3210CW</v>
      </c>
      <c r="E1472" s="2005" t="str">
        <f>IFERROR(__xludf.DUMMYFUNCTION("""COMPUTED_VALUE"""),"BROTHER")</f>
        <v>BROTHER</v>
      </c>
      <c r="F1472" s="2005" t="str">
        <f>IFERROR(__xludf.DUMMYFUNCTION("""COMPUTED_VALUE"""),"H")</f>
        <v>H</v>
      </c>
      <c r="G1472" s="2005" t="str">
        <f>IFERROR(__xludf.DUMMYFUNCTION("""COMPUTED_VALUE"""),"NN")</f>
        <v>NN</v>
      </c>
      <c r="H1472" s="2005">
        <f>IFERROR(__xludf.DUMMYFUNCTION("""COMPUTED_VALUE"""),239.99)</f>
        <v>239.99</v>
      </c>
      <c r="I1472" s="2005">
        <f>IFERROR(__xludf.DUMMYFUNCTION("""COMPUTED_VALUE"""),239.99)</f>
        <v>239.99</v>
      </c>
      <c r="BD1472" s="2006"/>
      <c r="LL1472" s="2007"/>
      <c r="LM1472" s="2007"/>
      <c r="MX1472" s="2007"/>
      <c r="ND1472" s="2008"/>
    </row>
    <row r="1473">
      <c r="A1473" s="2005">
        <f>IFERROR(__xludf.DUMMYFUNCTION("""COMPUTED_VALUE"""),1126117.0)</f>
        <v>1126117</v>
      </c>
      <c r="B1473" s="2005">
        <f>IFERROR(__xludf.DUMMYFUNCTION("""COMPUTED_VALUE"""),2209805.0)</f>
        <v>2209805</v>
      </c>
      <c r="C1473" s="2005" t="str">
        <f>IFERROR(__xludf.DUMMYFUNCTION("""COMPUTED_VALUE"""),"Lot")</f>
        <v>Lot</v>
      </c>
      <c r="D1473" s="2005" t="str">
        <f>IFERROR(__xludf.DUMMYFUNCTION("""COMPUTED_VALUE"""),"HL-L3210CW + Toner TN-243 Noir")</f>
        <v>HL-L3210CW + Toner TN-243 Noir</v>
      </c>
      <c r="E1473" s="2005" t="str">
        <f>IFERROR(__xludf.DUMMYFUNCTION("""COMPUTED_VALUE"""),"BROTHER")</f>
        <v>BROTHER</v>
      </c>
      <c r="F1473" s="2005" t="str">
        <f>IFERROR(__xludf.DUMMYFUNCTION("""COMPUTED_VALUE"""),"W")</f>
        <v>W</v>
      </c>
      <c r="G1473" s="2005" t="str">
        <f>IFERROR(__xludf.DUMMYFUNCTION("""COMPUTED_VALUE"""),"NN")</f>
        <v>NN</v>
      </c>
      <c r="H1473">
        <f>IFERROR(__xludf.DUMMYFUNCTION("""COMPUTED_VALUE"""),293.66)</f>
        <v>293.66</v>
      </c>
      <c r="I1473">
        <f>IFERROR(__xludf.DUMMYFUNCTION("""COMPUTED_VALUE"""),293.66)</f>
        <v>293.66</v>
      </c>
      <c r="BD1473" s="2006"/>
      <c r="LL1473" s="2007"/>
      <c r="LM1473" s="2007"/>
      <c r="MX1473" s="2007"/>
      <c r="ND1473" s="2007"/>
    </row>
    <row r="1474">
      <c r="A1474" s="2005">
        <f>IFERROR(__xludf.DUMMYFUNCTION("""COMPUTED_VALUE"""),1126941.0)</f>
        <v>1126941</v>
      </c>
      <c r="B1474" s="2005">
        <f>IFERROR(__xludf.DUMMYFUNCTION("""COMPUTED_VALUE"""),1103015.0)</f>
        <v>1103015</v>
      </c>
      <c r="C1474" s="2005" t="str">
        <f>IFERROR(__xludf.DUMMYFUNCTION("""COMPUTED_VALUE"""),"Combiné")</f>
        <v>Combiné</v>
      </c>
      <c r="D1474" s="2005" t="str">
        <f>IFERROR(__xludf.DUMMYFUNCTION("""COMPUTED_VALUE"""),"XTRA photo 8155")</f>
        <v>XTRA photo 8155</v>
      </c>
      <c r="E1474" s="2005" t="str">
        <f>IFERROR(__xludf.DUMMYFUNCTION("""COMPUTED_VALUE"""),"SWISSVOICE")</f>
        <v>SWISSVOICE</v>
      </c>
      <c r="F1474" s="2005" t="str">
        <f>IFERROR(__xludf.DUMMYFUNCTION("""COMPUTED_VALUE"""),"H")</f>
        <v>H</v>
      </c>
      <c r="G1474" s="2005" t="str">
        <f>IFERROR(__xludf.DUMMYFUNCTION("""COMPUTED_VALUE"""),"NN")</f>
        <v>NN</v>
      </c>
      <c r="H1474">
        <f>IFERROR(__xludf.DUMMYFUNCTION("""COMPUTED_VALUE"""),31.99)</f>
        <v>31.99</v>
      </c>
      <c r="I1474">
        <f>IFERROR(__xludf.DUMMYFUNCTION("""COMPUTED_VALUE"""),31.99)</f>
        <v>31.99</v>
      </c>
      <c r="BD1474" s="2006"/>
      <c r="LL1474" s="2007"/>
      <c r="LM1474" s="2007"/>
      <c r="MX1474" s="2007"/>
      <c r="ND1474" s="2007"/>
    </row>
    <row r="1475">
      <c r="A1475" s="2005">
        <f>IFERROR(__xludf.DUMMYFUNCTION("""COMPUTED_VALUE"""),1126943.0)</f>
        <v>1126943</v>
      </c>
      <c r="B1475" s="2005">
        <f>IFERROR(__xludf.DUMMYFUNCTION("""COMPUTED_VALUE"""),1103015.0)</f>
        <v>1103015</v>
      </c>
      <c r="C1475" s="2005" t="str">
        <f>IFERROR(__xludf.DUMMYFUNCTION("""COMPUTED_VALUE"""),"Tél.")</f>
        <v>Tél.</v>
      </c>
      <c r="D1475" s="2005" t="str">
        <f>IFERROR(__xludf.DUMMYFUNCTION("""COMPUTED_VALUE"""),"XTRA Ringer 8155")</f>
        <v>XTRA Ringer 8155</v>
      </c>
      <c r="E1475" s="2005" t="str">
        <f>IFERROR(__xludf.DUMMYFUNCTION("""COMPUTED_VALUE"""),"SWISSVOICE")</f>
        <v>SWISSVOICE</v>
      </c>
      <c r="F1475" s="2005" t="str">
        <f>IFERROR(__xludf.DUMMYFUNCTION("""COMPUTED_VALUE"""),"H")</f>
        <v>H</v>
      </c>
      <c r="G1475" s="2005" t="str">
        <f>IFERROR(__xludf.DUMMYFUNCTION("""COMPUTED_VALUE"""),"NN")</f>
        <v>NN</v>
      </c>
      <c r="H1475">
        <f>IFERROR(__xludf.DUMMYFUNCTION("""COMPUTED_VALUE"""),6.99)</f>
        <v>6.99</v>
      </c>
      <c r="I1475">
        <f>IFERROR(__xludf.DUMMYFUNCTION("""COMPUTED_VALUE"""),6.99)</f>
        <v>6.99</v>
      </c>
      <c r="BD1475" s="2006"/>
      <c r="LL1475" s="2007"/>
      <c r="LM1475" s="2007"/>
      <c r="MX1475" s="2007"/>
      <c r="ND1475" s="2007"/>
    </row>
    <row r="1476">
      <c r="A1476" s="2005">
        <f>IFERROR(__xludf.DUMMYFUNCTION("""COMPUTED_VALUE"""),1126945.0)</f>
        <v>1126945</v>
      </c>
      <c r="B1476" s="2005">
        <f>IFERROR(__xludf.DUMMYFUNCTION("""COMPUTED_VALUE"""),1103015.0)</f>
        <v>1103015</v>
      </c>
      <c r="C1476" s="2005" t="str">
        <f>IFERROR(__xludf.DUMMYFUNCTION("""COMPUTED_VALUE"""),"Tél.")</f>
        <v>Tél.</v>
      </c>
      <c r="D1476" s="2005" t="str">
        <f>IFERROR(__xludf.DUMMYFUNCTION("""COMPUTED_VALUE"""),"XTRA Doorbell 8155")</f>
        <v>XTRA Doorbell 8155</v>
      </c>
      <c r="E1476" s="2005" t="str">
        <f>IFERROR(__xludf.DUMMYFUNCTION("""COMPUTED_VALUE"""),"SWISSVOICE")</f>
        <v>SWISSVOICE</v>
      </c>
      <c r="F1476" s="2005" t="str">
        <f>IFERROR(__xludf.DUMMYFUNCTION("""COMPUTED_VALUE"""),"H")</f>
        <v>H</v>
      </c>
      <c r="G1476" s="2005" t="str">
        <f>IFERROR(__xludf.DUMMYFUNCTION("""COMPUTED_VALUE"""),"NN")</f>
        <v>NN</v>
      </c>
      <c r="H1476">
        <f>IFERROR(__xludf.DUMMYFUNCTION("""COMPUTED_VALUE"""),6.99)</f>
        <v>6.99</v>
      </c>
      <c r="I1476">
        <f>IFERROR(__xludf.DUMMYFUNCTION("""COMPUTED_VALUE"""),6.99)</f>
        <v>6.99</v>
      </c>
      <c r="BD1476" s="2006"/>
      <c r="LL1476" s="2007"/>
      <c r="LM1476" s="2007"/>
      <c r="MX1476" s="2007"/>
      <c r="ND1476" s="2007"/>
    </row>
    <row r="1477">
      <c r="A1477" s="2005">
        <f>IFERROR(__xludf.DUMMYFUNCTION("""COMPUTED_VALUE"""),1127241.0)</f>
        <v>1127241</v>
      </c>
      <c r="B1477" s="2005">
        <f>IFERROR(__xludf.DUMMYFUNCTION("""COMPUTED_VALUE"""),2706520.0)</f>
        <v>2706520</v>
      </c>
      <c r="C1477" s="2005" t="str">
        <f>IFERROR(__xludf.DUMMYFUNCTION("""COMPUTED_VALUE"""),"Lampe")</f>
        <v>Lampe</v>
      </c>
      <c r="D1477" s="2005" t="str">
        <f>IFERROR(__xludf.DUMMYFUNCTION("""COMPUTED_VALUE"""),"Mi Lampe de Bureau Blanche")</f>
        <v>Mi Lampe de Bureau Blanche</v>
      </c>
      <c r="E1477" s="2005" t="str">
        <f>IFERROR(__xludf.DUMMYFUNCTION("""COMPUTED_VALUE"""),"XIAOMI")</f>
        <v>XIAOMI</v>
      </c>
      <c r="F1477" s="2005" t="str">
        <f>IFERROR(__xludf.DUMMYFUNCTION("""COMPUTED_VALUE"""),"E")</f>
        <v>E</v>
      </c>
      <c r="G1477" s="2005" t="str">
        <f>IFERROR(__xludf.DUMMYFUNCTION("""COMPUTED_VALUE"""),"NN")</f>
        <v>NN</v>
      </c>
      <c r="H1477">
        <f>IFERROR(__xludf.DUMMYFUNCTION("""COMPUTED_VALUE"""),39.99)</f>
        <v>39.99</v>
      </c>
      <c r="I1477">
        <f>IFERROR(__xludf.DUMMYFUNCTION("""COMPUTED_VALUE"""),39.99)</f>
        <v>39.99</v>
      </c>
      <c r="BD1477" s="2006"/>
      <c r="LL1477" s="2007"/>
      <c r="LM1477" s="2007"/>
      <c r="MX1477" s="2007"/>
      <c r="ND1477" s="2007"/>
    </row>
    <row r="1478">
      <c r="A1478" s="2005">
        <f>IFERROR(__xludf.DUMMYFUNCTION("""COMPUTED_VALUE"""),1127489.0)</f>
        <v>1127489</v>
      </c>
      <c r="B1478" s="2005">
        <f>IFERROR(__xludf.DUMMYFUNCTION("""COMPUTED_VALUE"""),2707005.0)</f>
        <v>2707005</v>
      </c>
      <c r="C1478" s="2005" t="str">
        <f>IFERROR(__xludf.DUMMYFUNCTION("""COMPUTED_VALUE"""),"Traducteur")</f>
        <v>Traducteur</v>
      </c>
      <c r="D1478" s="2005" t="str">
        <f>IFERROR(__xludf.DUMMYFUNCTION("""COMPUTED_VALUE"""),"I-Translator 45 langues")</f>
        <v>I-Translator 45 langues</v>
      </c>
      <c r="E1478" s="2005" t="str">
        <f>IFERROR(__xludf.DUMMYFUNCTION("""COMPUTED_VALUE"""),"LEXIBOOK")</f>
        <v>LEXIBOOK</v>
      </c>
      <c r="F1478" s="2005" t="str">
        <f>IFERROR(__xludf.DUMMYFUNCTION("""COMPUTED_VALUE"""),"H")</f>
        <v>H</v>
      </c>
      <c r="G1478" s="2005" t="str">
        <f>IFERROR(__xludf.DUMMYFUNCTION("""COMPUTED_VALUE"""),"FR")</f>
        <v>FR</v>
      </c>
      <c r="H1478">
        <f>IFERROR(__xludf.DUMMYFUNCTION("""COMPUTED_VALUE"""),99.0)</f>
        <v>99</v>
      </c>
      <c r="I1478">
        <f>IFERROR(__xludf.DUMMYFUNCTION("""COMPUTED_VALUE"""),99.0)</f>
        <v>99</v>
      </c>
      <c r="BD1478" s="2006"/>
      <c r="LL1478" s="2008"/>
      <c r="LM1478" s="2007"/>
      <c r="MX1478" s="2007"/>
      <c r="ND1478" s="2007"/>
    </row>
    <row r="1479">
      <c r="A1479" s="2005">
        <f>IFERROR(__xludf.DUMMYFUNCTION("""COMPUTED_VALUE"""),1127727.0)</f>
        <v>1127727</v>
      </c>
      <c r="B1479" s="2005">
        <f>IFERROR(__xludf.DUMMYFUNCTION("""COMPUTED_VALUE"""),2704515.0)</f>
        <v>2704515</v>
      </c>
      <c r="C1479" s="2005" t="str">
        <f>IFERROR(__xludf.DUMMYFUNCTION("""COMPUTED_VALUE"""),"Calc.")</f>
        <v>Calc.</v>
      </c>
      <c r="D1479" s="2005" t="str">
        <f>IFERROR(__xludf.DUMMYFUNCTION("""COMPUTED_VALUE"""),"GRAPH 35+ E II PYTHON")</f>
        <v>GRAPH 35+ E II PYTHON</v>
      </c>
      <c r="E1479" s="2005" t="str">
        <f>IFERROR(__xludf.DUMMYFUNCTION("""COMPUTED_VALUE"""),"CASIO")</f>
        <v>CASIO</v>
      </c>
      <c r="F1479" s="2005" t="str">
        <f>IFERROR(__xludf.DUMMYFUNCTION("""COMPUTED_VALUE"""),"E")</f>
        <v>E</v>
      </c>
      <c r="G1479" s="2005" t="str">
        <f>IFERROR(__xludf.DUMMYFUNCTION("""COMPUTED_VALUE"""),"FR")</f>
        <v>FR</v>
      </c>
      <c r="H1479">
        <f>IFERROR(__xludf.DUMMYFUNCTION("""COMPUTED_VALUE"""),79.99)</f>
        <v>79.99</v>
      </c>
      <c r="I1479">
        <f>IFERROR(__xludf.DUMMYFUNCTION("""COMPUTED_VALUE"""),79.99)</f>
        <v>79.99</v>
      </c>
      <c r="BD1479" s="2006"/>
      <c r="LL1479" s="2007"/>
      <c r="LM1479" s="2007"/>
      <c r="MX1479" s="2008"/>
      <c r="ND1479" s="2007"/>
    </row>
    <row r="1480">
      <c r="A1480" s="2005">
        <f>IFERROR(__xludf.DUMMYFUNCTION("""COMPUTED_VALUE"""),1127730.0)</f>
        <v>1127730</v>
      </c>
      <c r="B1480" s="2005">
        <f>IFERROR(__xludf.DUMMYFUNCTION("""COMPUTED_VALUE"""),2502012.0)</f>
        <v>2502012</v>
      </c>
      <c r="C1480" s="2005" t="str">
        <f>IFERROR(__xludf.DUMMYFUNCTION("""COMPUTED_VALUE"""),"Tablette Graph")</f>
        <v>Tablette Graph</v>
      </c>
      <c r="D1480" s="2005" t="str">
        <f>IFERROR(__xludf.DUMMYFUNCTION("""COMPUTED_VALUE"""),"Intuos Pro Small Noir")</f>
        <v>Intuos Pro Small Noir</v>
      </c>
      <c r="E1480" s="2005" t="str">
        <f>IFERROR(__xludf.DUMMYFUNCTION("""COMPUTED_VALUE"""),"WACOM")</f>
        <v>WACOM</v>
      </c>
      <c r="F1480" s="2005" t="str">
        <f>IFERROR(__xludf.DUMMYFUNCTION("""COMPUTED_VALUE"""),"C")</f>
        <v>C</v>
      </c>
      <c r="G1480" s="2005" t="str">
        <f>IFERROR(__xludf.DUMMYFUNCTION("""COMPUTED_VALUE"""),"AC")</f>
        <v>AC</v>
      </c>
      <c r="H1480">
        <f>IFERROR(__xludf.DUMMYFUNCTION("""COMPUTED_VALUE"""),229.99)</f>
        <v>229.99</v>
      </c>
      <c r="I1480">
        <f>IFERROR(__xludf.DUMMYFUNCTION("""COMPUTED_VALUE"""),229.99)</f>
        <v>229.99</v>
      </c>
      <c r="BD1480" s="2006"/>
      <c r="LL1480" s="2008"/>
      <c r="LM1480" s="2007"/>
      <c r="MX1480" s="2008"/>
      <c r="ND1480" s="2007"/>
    </row>
    <row r="1481">
      <c r="A1481" s="2005">
        <f>IFERROR(__xludf.DUMMYFUNCTION("""COMPUTED_VALUE"""),1128120.0)</f>
        <v>1128120</v>
      </c>
      <c r="B1481" s="2005">
        <f>IFERROR(__xludf.DUMMYFUNCTION("""COMPUTED_VALUE"""),2707005.0)</f>
        <v>2707005</v>
      </c>
      <c r="C1481" s="2005" t="str">
        <f>IFERROR(__xludf.DUMMYFUNCTION("""COMPUTED_VALUE"""),"Papier")</f>
        <v>Papier</v>
      </c>
      <c r="D1481" s="2005" t="str">
        <f>IFERROR(__xludf.DUMMYFUNCTION("""COMPUTED_VALUE"""),"Rocketbook Everlast A4")</f>
        <v>Rocketbook Everlast A4</v>
      </c>
      <c r="E1481" s="2005" t="str">
        <f>IFERROR(__xludf.DUMMYFUNCTION("""COMPUTED_VALUE"""),"ROCKETBOOK")</f>
        <v>ROCKETBOOK</v>
      </c>
      <c r="F1481" s="2005" t="str">
        <f>IFERROR(__xludf.DUMMYFUNCTION("""COMPUTED_VALUE"""),"E")</f>
        <v>E</v>
      </c>
      <c r="G1481" s="2005" t="str">
        <f>IFERROR(__xludf.DUMMYFUNCTION("""COMPUTED_VALUE"""),"NN")</f>
        <v>NN</v>
      </c>
      <c r="H1481">
        <f>IFERROR(__xludf.DUMMYFUNCTION("""COMPUTED_VALUE"""),19.99)</f>
        <v>19.99</v>
      </c>
      <c r="I1481">
        <f>IFERROR(__xludf.DUMMYFUNCTION("""COMPUTED_VALUE"""),19.99)</f>
        <v>19.99</v>
      </c>
      <c r="BD1481" s="2006"/>
      <c r="LL1481" s="2007"/>
      <c r="LM1481" s="2007"/>
      <c r="MX1481" s="2007"/>
      <c r="ND1481" s="2007"/>
    </row>
    <row r="1482">
      <c r="A1482" s="2005">
        <f>IFERROR(__xludf.DUMMYFUNCTION("""COMPUTED_VALUE"""),1128390.0)</f>
        <v>1128390</v>
      </c>
      <c r="B1482" s="2005">
        <f>IFERROR(__xludf.DUMMYFUNCTION("""COMPUTED_VALUE"""),2202005.0)</f>
        <v>2202005</v>
      </c>
      <c r="C1482" s="2005" t="str">
        <f>IFERROR(__xludf.DUMMYFUNCTION("""COMPUTED_VALUE"""),"Multi Jet d'enc")</f>
        <v>Multi Jet d'enc</v>
      </c>
      <c r="D1482" s="2005" t="str">
        <f>IFERROR(__xludf.DUMMYFUNCTION("""COMPUTED_VALUE"""),"OfficeJet Pro 9014 éligible Instant Ink")</f>
        <v>OfficeJet Pro 9014 éligible Instant Ink</v>
      </c>
      <c r="E1482" s="2005" t="str">
        <f>IFERROR(__xludf.DUMMYFUNCTION("""COMPUTED_VALUE"""),"HP")</f>
        <v>HP</v>
      </c>
      <c r="F1482" s="2005" t="str">
        <f>IFERROR(__xludf.DUMMYFUNCTION("""COMPUTED_VALUE"""),"H")</f>
        <v>H</v>
      </c>
      <c r="G1482" s="2005" t="str">
        <f>IFERROR(__xludf.DUMMYFUNCTION("""COMPUTED_VALUE"""),"NN")</f>
        <v>NN</v>
      </c>
      <c r="H1482">
        <f>IFERROR(__xludf.DUMMYFUNCTION("""COMPUTED_VALUE"""),132.99)</f>
        <v>132.99</v>
      </c>
      <c r="I1482">
        <f>IFERROR(__xludf.DUMMYFUNCTION("""COMPUTED_VALUE"""),132.99)</f>
        <v>132.99</v>
      </c>
      <c r="BD1482" s="2006"/>
      <c r="LL1482" s="2007"/>
      <c r="LM1482" s="2007"/>
      <c r="MX1482" s="2007"/>
      <c r="ND1482" s="2007"/>
    </row>
    <row r="1483">
      <c r="A1483" s="2005">
        <f>IFERROR(__xludf.DUMMYFUNCTION("""COMPUTED_VALUE"""),1128413.0)</f>
        <v>1128413</v>
      </c>
      <c r="B1483" s="2005">
        <f>IFERROR(__xludf.DUMMYFUNCTION("""COMPUTED_VALUE"""),2202005.0)</f>
        <v>2202005</v>
      </c>
      <c r="C1483" s="2005" t="str">
        <f>IFERROR(__xludf.DUMMYFUNCTION("""COMPUTED_VALUE"""),"Multi Jet d'enc")</f>
        <v>Multi Jet d'enc</v>
      </c>
      <c r="D1483" s="2005" t="str">
        <f>IFERROR(__xludf.DUMMYFUNCTION("""COMPUTED_VALUE"""),"OfficeJet Pro 8024 éligible Instant Ink")</f>
        <v>OfficeJet Pro 8024 éligible Instant Ink</v>
      </c>
      <c r="E1483" s="2005" t="str">
        <f>IFERROR(__xludf.DUMMYFUNCTION("""COMPUTED_VALUE"""),"HP")</f>
        <v>HP</v>
      </c>
      <c r="F1483" s="2005" t="str">
        <f>IFERROR(__xludf.DUMMYFUNCTION("""COMPUTED_VALUE"""),"B")</f>
        <v>B</v>
      </c>
      <c r="G1483" s="2005" t="str">
        <f>IFERROR(__xludf.DUMMYFUNCTION("""COMPUTED_VALUE"""),"NN")</f>
        <v>NN</v>
      </c>
      <c r="H1483" s="2005">
        <f>IFERROR(__xludf.DUMMYFUNCTION("""COMPUTED_VALUE"""),101.99)</f>
        <v>101.99</v>
      </c>
      <c r="I1483" s="2005">
        <f>IFERROR(__xludf.DUMMYFUNCTION("""COMPUTED_VALUE"""),101.99)</f>
        <v>101.99</v>
      </c>
      <c r="BD1483" s="2006"/>
      <c r="LM1483" s="2007"/>
    </row>
    <row r="1484">
      <c r="A1484" s="2005">
        <f>IFERROR(__xludf.DUMMYFUNCTION("""COMPUTED_VALUE"""),1128450.0)</f>
        <v>1128450</v>
      </c>
      <c r="B1484" s="2005">
        <f>IFERROR(__xludf.DUMMYFUNCTION("""COMPUTED_VALUE"""),2402005.0)</f>
        <v>2402005</v>
      </c>
      <c r="C1484" s="2005" t="str">
        <f>IFERROR(__xludf.DUMMYFUNCTION("""COMPUTED_VALUE"""),"PLV")</f>
        <v>PLV</v>
      </c>
      <c r="D1484" s="2005" t="str">
        <f>IFERROR(__xludf.DUMMYFUNCTION("""COMPUTED_VALUE"""),"Moniteur Samsung S27R750")</f>
        <v>Moniteur Samsung S27R750</v>
      </c>
      <c r="E1484" s="2005" t="str">
        <f>IFERROR(__xludf.DUMMYFUNCTION("""COMPUTED_VALUE"""),"SAMSUNG")</f>
        <v>SAMSUNG</v>
      </c>
      <c r="F1484" s="2005" t="str">
        <f>IFERROR(__xludf.DUMMYFUNCTION("""COMPUTED_VALUE"""),"H")</f>
        <v>H</v>
      </c>
      <c r="G1484" s="2005" t="str">
        <f>IFERROR(__xludf.DUMMYFUNCTION("""COMPUTED_VALUE"""),"NN")</f>
        <v>NN</v>
      </c>
      <c r="H1484">
        <f>IFERROR(__xludf.DUMMYFUNCTION("""COMPUTED_VALUE"""),0.0)</f>
        <v>0</v>
      </c>
      <c r="I1484">
        <f>IFERROR(__xludf.DUMMYFUNCTION("""COMPUTED_VALUE"""),0.0)</f>
        <v>0</v>
      </c>
      <c r="BD1484" s="2006"/>
      <c r="LL1484" s="2007"/>
      <c r="LM1484" s="2007"/>
      <c r="MX1484" s="2007"/>
      <c r="ND1484" s="2007"/>
    </row>
    <row r="1485">
      <c r="A1485" s="2005">
        <f>IFERROR(__xludf.DUMMYFUNCTION("""COMPUTED_VALUE"""),1129068.0)</f>
        <v>1129068</v>
      </c>
      <c r="B1485" s="2005">
        <f>IFERROR(__xludf.DUMMYFUNCTION("""COMPUTED_VALUE"""),2502010.0)</f>
        <v>2502010</v>
      </c>
      <c r="C1485" s="2005" t="str">
        <f>IFERROR(__xludf.DUMMYFUNCTION("""COMPUTED_VALUE"""),"Souris")</f>
        <v>Souris</v>
      </c>
      <c r="D1485" s="2005" t="str">
        <f>IFERROR(__xludf.DUMMYFUNCTION("""COMPUTED_VALUE"""),"Pro IntelliMouse Shadow Noir")</f>
        <v>Pro IntelliMouse Shadow Noir</v>
      </c>
      <c r="E1485" s="2005" t="str">
        <f>IFERROR(__xludf.DUMMYFUNCTION("""COMPUTED_VALUE"""),"MICROSOFT")</f>
        <v>MICROSOFT</v>
      </c>
      <c r="F1485" s="2005" t="str">
        <f>IFERROR(__xludf.DUMMYFUNCTION("""COMPUTED_VALUE"""),"H")</f>
        <v>H</v>
      </c>
      <c r="G1485" s="2005" t="str">
        <f>IFERROR(__xludf.DUMMYFUNCTION("""COMPUTED_VALUE"""),"NN")</f>
        <v>NN</v>
      </c>
      <c r="H1485">
        <f>IFERROR(__xludf.DUMMYFUNCTION("""COMPUTED_VALUE"""),38.91)</f>
        <v>38.91</v>
      </c>
      <c r="I1485">
        <f>IFERROR(__xludf.DUMMYFUNCTION("""COMPUTED_VALUE"""),38.91)</f>
        <v>38.91</v>
      </c>
      <c r="BD1485" s="2006"/>
      <c r="LL1485" s="2007"/>
      <c r="LM1485" s="2007"/>
      <c r="MX1485" s="2008"/>
      <c r="ND1485" s="2007"/>
    </row>
    <row r="1486">
      <c r="A1486" s="2005">
        <f>IFERROR(__xludf.DUMMYFUNCTION("""COMPUTED_VALUE"""),1129340.0)</f>
        <v>1129340</v>
      </c>
      <c r="B1486" s="2005">
        <f>IFERROR(__xludf.DUMMYFUNCTION("""COMPUTED_VALUE"""),2202005.0)</f>
        <v>2202005</v>
      </c>
      <c r="C1486" s="2005" t="str">
        <f>IFERROR(__xludf.DUMMYFUNCTION("""COMPUTED_VALUE"""),"Multi Jet d'enc")</f>
        <v>Multi Jet d'enc</v>
      </c>
      <c r="D1486" s="2005" t="str">
        <f>IFERROR(__xludf.DUMMYFUNCTION("""COMPUTED_VALUE"""),"TS 5053 Grise")</f>
        <v>TS 5053 Grise</v>
      </c>
      <c r="E1486" s="2005" t="str">
        <f>IFERROR(__xludf.DUMMYFUNCTION("""COMPUTED_VALUE"""),"CANON")</f>
        <v>CANON</v>
      </c>
      <c r="F1486" s="2005" t="str">
        <f>IFERROR(__xludf.DUMMYFUNCTION("""COMPUTED_VALUE"""),"H")</f>
        <v>H</v>
      </c>
      <c r="G1486" s="2005" t="str">
        <f>IFERROR(__xludf.DUMMYFUNCTION("""COMPUTED_VALUE"""),"NN")</f>
        <v>NN</v>
      </c>
      <c r="H1486">
        <f>IFERROR(__xludf.DUMMYFUNCTION("""COMPUTED_VALUE"""),49.99)</f>
        <v>49.99</v>
      </c>
      <c r="I1486">
        <f>IFERROR(__xludf.DUMMYFUNCTION("""COMPUTED_VALUE"""),49.99)</f>
        <v>49.99</v>
      </c>
      <c r="BD1486" s="2006"/>
      <c r="LL1486" s="2008"/>
      <c r="LM1486" s="2007"/>
      <c r="MX1486" s="2007"/>
      <c r="ND1486" s="2007"/>
    </row>
    <row r="1487">
      <c r="A1487" s="2005">
        <f>IFERROR(__xludf.DUMMYFUNCTION("""COMPUTED_VALUE"""),1129549.0)</f>
        <v>1129549</v>
      </c>
      <c r="B1487" s="2005">
        <f>IFERROR(__xludf.DUMMYFUNCTION("""COMPUTED_VALUE"""),2707005.0)</f>
        <v>2707005</v>
      </c>
      <c r="C1487" s="2005" t="str">
        <f>IFERROR(__xludf.DUMMYFUNCTION("""COMPUTED_VALUE"""),"Traducteur")</f>
        <v>Traducteur</v>
      </c>
      <c r="D1487" s="2005" t="str">
        <f>IFERROR(__xludf.DUMMYFUNCTION("""COMPUTED_VALUE"""),"15 langues")</f>
        <v>15 langues</v>
      </c>
      <c r="E1487" s="2005" t="str">
        <f>IFERROR(__xludf.DUMMYFUNCTION("""COMPUTED_VALUE"""),"LEXIBOOK")</f>
        <v>LEXIBOOK</v>
      </c>
      <c r="F1487" s="2005" t="str">
        <f>IFERROR(__xludf.DUMMYFUNCTION("""COMPUTED_VALUE"""),"H")</f>
        <v>H</v>
      </c>
      <c r="G1487" s="2005" t="str">
        <f>IFERROR(__xludf.DUMMYFUNCTION("""COMPUTED_VALUE"""),"NN")</f>
        <v>NN</v>
      </c>
      <c r="H1487" s="2005">
        <f>IFERROR(__xludf.DUMMYFUNCTION("""COMPUTED_VALUE"""),29.99)</f>
        <v>29.99</v>
      </c>
      <c r="I1487" s="2005">
        <f>IFERROR(__xludf.DUMMYFUNCTION("""COMPUTED_VALUE"""),29.99)</f>
        <v>29.99</v>
      </c>
      <c r="BD1487" s="2006"/>
      <c r="LL1487" s="2008"/>
      <c r="LM1487" s="2007"/>
      <c r="MX1487" s="2007"/>
      <c r="ND1487" s="2007"/>
    </row>
    <row r="1488">
      <c r="A1488" s="2005">
        <f>IFERROR(__xludf.DUMMYFUNCTION("""COMPUTED_VALUE"""),1129550.0)</f>
        <v>1129550</v>
      </c>
      <c r="B1488" s="2005">
        <f>IFERROR(__xludf.DUMMYFUNCTION("""COMPUTED_VALUE"""),2707005.0)</f>
        <v>2707005</v>
      </c>
      <c r="C1488" s="2005" t="str">
        <f>IFERROR(__xludf.DUMMYFUNCTION("""COMPUTED_VALUE"""),"Dico")</f>
        <v>Dico</v>
      </c>
      <c r="D1488" s="2005" t="str">
        <f>IFERROR(__xludf.DUMMYFUNCTION("""COMPUTED_VALUE"""),"Du Scrabble  nouvelle Edition ODS8")</f>
        <v>Du Scrabble  nouvelle Edition ODS8</v>
      </c>
      <c r="E1488" s="2005" t="str">
        <f>IFERROR(__xludf.DUMMYFUNCTION("""COMPUTED_VALUE"""),"LEXIBOOK")</f>
        <v>LEXIBOOK</v>
      </c>
      <c r="F1488" s="2005" t="str">
        <f>IFERROR(__xludf.DUMMYFUNCTION("""COMPUTED_VALUE"""),"B")</f>
        <v>B</v>
      </c>
      <c r="G1488" s="2005" t="str">
        <f>IFERROR(__xludf.DUMMYFUNCTION("""COMPUTED_VALUE"""),"FR")</f>
        <v>FR</v>
      </c>
      <c r="H1488" s="2005">
        <f>IFERROR(__xludf.DUMMYFUNCTION("""COMPUTED_VALUE"""),49.99)</f>
        <v>49.99</v>
      </c>
      <c r="I1488" s="2005">
        <f>IFERROR(__xludf.DUMMYFUNCTION("""COMPUTED_VALUE"""),49.99)</f>
        <v>49.99</v>
      </c>
      <c r="BD1488" s="2006"/>
      <c r="LL1488" s="2007"/>
      <c r="LM1488" s="2007"/>
      <c r="MX1488" s="2007"/>
      <c r="ND1488" s="2007"/>
    </row>
    <row r="1489">
      <c r="A1489" s="2005">
        <f>IFERROR(__xludf.DUMMYFUNCTION("""COMPUTED_VALUE"""),1129570.0)</f>
        <v>1129570</v>
      </c>
      <c r="B1489" s="2005">
        <f>IFERROR(__xludf.DUMMYFUNCTION("""COMPUTED_VALUE"""),2403005.0)</f>
        <v>2403005</v>
      </c>
      <c r="C1489" s="2005" t="str">
        <f>IFERROR(__xludf.DUMMYFUNCTION("""COMPUTED_VALUE"""),"Cartouche")</f>
        <v>Cartouche</v>
      </c>
      <c r="D1489" s="2005" t="str">
        <f>IFERROR(__xludf.DUMMYFUNCTION("""COMPUTED_VALUE"""),"963 Noire")</f>
        <v>963 Noire</v>
      </c>
      <c r="E1489" s="2005" t="str">
        <f>IFERROR(__xludf.DUMMYFUNCTION("""COMPUTED_VALUE"""),"HP")</f>
        <v>HP</v>
      </c>
      <c r="F1489" s="2005" t="str">
        <f>IFERROR(__xludf.DUMMYFUNCTION("""COMPUTED_VALUE"""),"C")</f>
        <v>C</v>
      </c>
      <c r="G1489" s="2005" t="str">
        <f>IFERROR(__xludf.DUMMYFUNCTION("""COMPUTED_VALUE"""),"AC")</f>
        <v>AC</v>
      </c>
      <c r="H1489">
        <f>IFERROR(__xludf.DUMMYFUNCTION("""COMPUTED_VALUE"""),35.99)</f>
        <v>35.99</v>
      </c>
      <c r="I1489">
        <f>IFERROR(__xludf.DUMMYFUNCTION("""COMPUTED_VALUE"""),35.99)</f>
        <v>35.99</v>
      </c>
      <c r="BD1489" s="2006"/>
      <c r="LL1489" s="2007"/>
      <c r="LM1489" s="2007"/>
      <c r="MX1489" s="2007"/>
      <c r="ND1489" s="2007"/>
    </row>
    <row r="1490">
      <c r="A1490" s="2005">
        <f>IFERROR(__xludf.DUMMYFUNCTION("""COMPUTED_VALUE"""),1129580.0)</f>
        <v>1129580</v>
      </c>
      <c r="B1490" s="2005">
        <f>IFERROR(__xludf.DUMMYFUNCTION("""COMPUTED_VALUE"""),2403005.0)</f>
        <v>2403005</v>
      </c>
      <c r="C1490" s="2005" t="str">
        <f>IFERROR(__xludf.DUMMYFUNCTION("""COMPUTED_VALUE"""),"Cartouche")</f>
        <v>Cartouche</v>
      </c>
      <c r="D1490" s="2005" t="str">
        <f>IFERROR(__xludf.DUMMYFUNCTION("""COMPUTED_VALUE"""),"912XL  Noire")</f>
        <v>912XL  Noire</v>
      </c>
      <c r="E1490" s="2005" t="str">
        <f>IFERROR(__xludf.DUMMYFUNCTION("""COMPUTED_VALUE"""),"HP")</f>
        <v>HP</v>
      </c>
      <c r="F1490" s="2005" t="str">
        <f>IFERROR(__xludf.DUMMYFUNCTION("""COMPUTED_VALUE"""),"B")</f>
        <v>B</v>
      </c>
      <c r="G1490" s="2005" t="str">
        <f>IFERROR(__xludf.DUMMYFUNCTION("""COMPUTED_VALUE"""),"AC")</f>
        <v>AC</v>
      </c>
      <c r="H1490" s="2005">
        <f>IFERROR(__xludf.DUMMYFUNCTION("""COMPUTED_VALUE"""),40.99)</f>
        <v>40.99</v>
      </c>
      <c r="I1490" s="2005">
        <f>IFERROR(__xludf.DUMMYFUNCTION("""COMPUTED_VALUE"""),40.99)</f>
        <v>40.99</v>
      </c>
      <c r="BD1490" s="2006"/>
      <c r="LL1490" s="2007"/>
      <c r="LM1490" s="2007"/>
      <c r="MX1490" s="2007"/>
      <c r="ND1490" s="2007"/>
    </row>
    <row r="1491">
      <c r="A1491" s="2005">
        <f>IFERROR(__xludf.DUMMYFUNCTION("""COMPUTED_VALUE"""),1129588.0)</f>
        <v>1129588</v>
      </c>
      <c r="B1491" s="2005">
        <f>IFERROR(__xludf.DUMMYFUNCTION("""COMPUTED_VALUE"""),2403005.0)</f>
        <v>2403005</v>
      </c>
      <c r="C1491" s="2005" t="str">
        <f>IFERROR(__xludf.DUMMYFUNCTION("""COMPUTED_VALUE"""),"Cartouche")</f>
        <v>Cartouche</v>
      </c>
      <c r="D1491" s="2005" t="str">
        <f>IFERROR(__xludf.DUMMYFUNCTION("""COMPUTED_VALUE"""),"963 XL Noire")</f>
        <v>963 XL Noire</v>
      </c>
      <c r="E1491" s="2005" t="str">
        <f>IFERROR(__xludf.DUMMYFUNCTION("""COMPUTED_VALUE"""),"HP")</f>
        <v>HP</v>
      </c>
      <c r="F1491" s="2005" t="str">
        <f>IFERROR(__xludf.DUMMYFUNCTION("""COMPUTED_VALUE"""),"A")</f>
        <v>A</v>
      </c>
      <c r="G1491" s="2005" t="str">
        <f>IFERROR(__xludf.DUMMYFUNCTION("""COMPUTED_VALUE"""),"AC")</f>
        <v>AC</v>
      </c>
      <c r="H1491" s="2005">
        <f>IFERROR(__xludf.DUMMYFUNCTION("""COMPUTED_VALUE"""),51.99)</f>
        <v>51.99</v>
      </c>
      <c r="I1491" s="2005">
        <f>IFERROR(__xludf.DUMMYFUNCTION("""COMPUTED_VALUE"""),51.99)</f>
        <v>51.99</v>
      </c>
      <c r="BD1491" s="2006"/>
      <c r="LL1491" s="2007"/>
      <c r="LM1491" s="2007"/>
      <c r="MX1491" s="2007"/>
      <c r="ND1491" s="2007"/>
    </row>
    <row r="1492">
      <c r="A1492" s="2005">
        <f>IFERROR(__xludf.DUMMYFUNCTION("""COMPUTED_VALUE"""),1129593.0)</f>
        <v>1129593</v>
      </c>
      <c r="B1492" s="2005">
        <f>IFERROR(__xludf.DUMMYFUNCTION("""COMPUTED_VALUE"""),2403005.0)</f>
        <v>2403005</v>
      </c>
      <c r="C1492" s="2005" t="str">
        <f>IFERROR(__xludf.DUMMYFUNCTION("""COMPUTED_VALUE"""),"Cartouche")</f>
        <v>Cartouche</v>
      </c>
      <c r="D1492" s="2005" t="str">
        <f>IFERROR(__xludf.DUMMYFUNCTION("""COMPUTED_VALUE"""),"912 Noire")</f>
        <v>912 Noire</v>
      </c>
      <c r="E1492" s="2005" t="str">
        <f>IFERROR(__xludf.DUMMYFUNCTION("""COMPUTED_VALUE"""),"HP")</f>
        <v>HP</v>
      </c>
      <c r="F1492" s="2005" t="str">
        <f>IFERROR(__xludf.DUMMYFUNCTION("""COMPUTED_VALUE"""),"B")</f>
        <v>B</v>
      </c>
      <c r="G1492" s="2005" t="str">
        <f>IFERROR(__xludf.DUMMYFUNCTION("""COMPUTED_VALUE"""),"AC")</f>
        <v>AC</v>
      </c>
      <c r="H1492">
        <f>IFERROR(__xludf.DUMMYFUNCTION("""COMPUTED_VALUE"""),18.99)</f>
        <v>18.99</v>
      </c>
      <c r="I1492">
        <f>IFERROR(__xludf.DUMMYFUNCTION("""COMPUTED_VALUE"""),18.99)</f>
        <v>18.99</v>
      </c>
      <c r="BD1492" s="2006"/>
      <c r="LL1492" s="2007"/>
      <c r="LM1492" s="2007"/>
      <c r="MX1492" s="2007"/>
      <c r="ND1492" s="2007"/>
    </row>
    <row r="1493">
      <c r="A1493" s="2005">
        <f>IFERROR(__xludf.DUMMYFUNCTION("""COMPUTED_VALUE"""),1129597.0)</f>
        <v>1129597</v>
      </c>
      <c r="B1493" s="2005">
        <f>IFERROR(__xludf.DUMMYFUNCTION("""COMPUTED_VALUE"""),2202005.0)</f>
        <v>2202005</v>
      </c>
      <c r="C1493" s="2005" t="str">
        <f>IFERROR(__xludf.DUMMYFUNCTION("""COMPUTED_VALUE"""),"Multi Jet d'enc")</f>
        <v>Multi Jet d'enc</v>
      </c>
      <c r="D1493" s="2005" t="str">
        <f>IFERROR(__xludf.DUMMYFUNCTION("""COMPUTED_VALUE"""),"XP 2105")</f>
        <v>XP 2105</v>
      </c>
      <c r="E1493" s="2005" t="str">
        <f>IFERROR(__xludf.DUMMYFUNCTION("""COMPUTED_VALUE"""),"EPSON")</f>
        <v>EPSON</v>
      </c>
      <c r="F1493" s="2005" t="str">
        <f>IFERROR(__xludf.DUMMYFUNCTION("""COMPUTED_VALUE"""),"H")</f>
        <v>H</v>
      </c>
      <c r="G1493" s="2005" t="str">
        <f>IFERROR(__xludf.DUMMYFUNCTION("""COMPUTED_VALUE"""),"NN")</f>
        <v>NN</v>
      </c>
      <c r="H1493" s="2005">
        <f>IFERROR(__xludf.DUMMYFUNCTION("""COMPUTED_VALUE"""),35.99)</f>
        <v>35.99</v>
      </c>
      <c r="I1493" s="2005">
        <f>IFERROR(__xludf.DUMMYFUNCTION("""COMPUTED_VALUE"""),35.99)</f>
        <v>35.99</v>
      </c>
      <c r="LL1493" s="2007"/>
      <c r="LM1493" s="2007"/>
    </row>
    <row r="1494">
      <c r="A1494" s="2005">
        <f>IFERROR(__xludf.DUMMYFUNCTION("""COMPUTED_VALUE"""),1129599.0)</f>
        <v>1129599</v>
      </c>
      <c r="B1494" s="2005">
        <f>IFERROR(__xludf.DUMMYFUNCTION("""COMPUTED_VALUE"""),2202005.0)</f>
        <v>2202005</v>
      </c>
      <c r="C1494" s="2005" t="str">
        <f>IFERROR(__xludf.DUMMYFUNCTION("""COMPUTED_VALUE"""),"Multi Jet d'enc")</f>
        <v>Multi Jet d'enc</v>
      </c>
      <c r="D1494" s="2005" t="str">
        <f>IFERROR(__xludf.DUMMYFUNCTION("""COMPUTED_VALUE"""),"XP 4105")</f>
        <v>XP 4105</v>
      </c>
      <c r="E1494" s="2005" t="str">
        <f>IFERROR(__xludf.DUMMYFUNCTION("""COMPUTED_VALUE"""),"EPSON")</f>
        <v>EPSON</v>
      </c>
      <c r="F1494" s="2005" t="str">
        <f>IFERROR(__xludf.DUMMYFUNCTION("""COMPUTED_VALUE"""),"H")</f>
        <v>H</v>
      </c>
      <c r="G1494" s="2005" t="str">
        <f>IFERROR(__xludf.DUMMYFUNCTION("""COMPUTED_VALUE"""),"NN")</f>
        <v>NN</v>
      </c>
      <c r="H1494">
        <f>IFERROR(__xludf.DUMMYFUNCTION("""COMPUTED_VALUE"""),57.99)</f>
        <v>57.99</v>
      </c>
      <c r="I1494">
        <f>IFERROR(__xludf.DUMMYFUNCTION("""COMPUTED_VALUE"""),57.99)</f>
        <v>57.99</v>
      </c>
      <c r="LL1494" s="2007"/>
      <c r="LM1494" s="2007"/>
    </row>
    <row r="1495">
      <c r="A1495" s="2005">
        <f>IFERROR(__xludf.DUMMYFUNCTION("""COMPUTED_VALUE"""),1129650.0)</f>
        <v>1129650</v>
      </c>
      <c r="B1495" s="2005">
        <f>IFERROR(__xludf.DUMMYFUNCTION("""COMPUTED_VALUE"""),2403005.0)</f>
        <v>2403005</v>
      </c>
      <c r="C1495" s="2005" t="str">
        <f>IFERROR(__xludf.DUMMYFUNCTION("""COMPUTED_VALUE"""),"Cartouche")</f>
        <v>Cartouche</v>
      </c>
      <c r="D1495" s="2005" t="str">
        <f>IFERROR(__xludf.DUMMYFUNCTION("""COMPUTED_VALUE"""),"967XL  Noire Extra")</f>
        <v>967XL  Noire Extra</v>
      </c>
      <c r="E1495" s="2005" t="str">
        <f>IFERROR(__xludf.DUMMYFUNCTION("""COMPUTED_VALUE"""),"HP")</f>
        <v>HP</v>
      </c>
      <c r="F1495" s="2005" t="str">
        <f>IFERROR(__xludf.DUMMYFUNCTION("""COMPUTED_VALUE"""),"H")</f>
        <v>H</v>
      </c>
      <c r="G1495" s="2005" t="str">
        <f>IFERROR(__xludf.DUMMYFUNCTION("""COMPUTED_VALUE"""),"NN")</f>
        <v>NN</v>
      </c>
      <c r="H1495">
        <f>IFERROR(__xludf.DUMMYFUNCTION("""COMPUTED_VALUE"""),58.99)</f>
        <v>58.99</v>
      </c>
      <c r="I1495">
        <f>IFERROR(__xludf.DUMMYFUNCTION("""COMPUTED_VALUE"""),58.99)</f>
        <v>58.99</v>
      </c>
      <c r="BD1495" s="2006"/>
      <c r="LM1495" s="2007"/>
    </row>
    <row r="1496">
      <c r="A1496" s="2005">
        <f>IFERROR(__xludf.DUMMYFUNCTION("""COMPUTED_VALUE"""),1129663.0)</f>
        <v>1129663</v>
      </c>
      <c r="B1496" s="2005">
        <f>IFERROR(__xludf.DUMMYFUNCTION("""COMPUTED_VALUE"""),2202005.0)</f>
        <v>2202005</v>
      </c>
      <c r="C1496" s="2005" t="str">
        <f>IFERROR(__xludf.DUMMYFUNCTION("""COMPUTED_VALUE"""),"Multi Jet d'enc")</f>
        <v>Multi Jet d'enc</v>
      </c>
      <c r="D1496" s="2005" t="str">
        <f>IFERROR(__xludf.DUMMYFUNCTION("""COMPUTED_VALUE"""),"MFC-J5335DW")</f>
        <v>MFC-J5335DW</v>
      </c>
      <c r="E1496" s="2005" t="str">
        <f>IFERROR(__xludf.DUMMYFUNCTION("""COMPUTED_VALUE"""),"BROTHER")</f>
        <v>BROTHER</v>
      </c>
      <c r="F1496" s="2005" t="str">
        <f>IFERROR(__xludf.DUMMYFUNCTION("""COMPUTED_VALUE"""),"D")</f>
        <v>D</v>
      </c>
      <c r="G1496" s="2005" t="str">
        <f>IFERROR(__xludf.DUMMYFUNCTION("""COMPUTED_VALUE"""),"NN")</f>
        <v>NN</v>
      </c>
      <c r="H1496">
        <f>IFERROR(__xludf.DUMMYFUNCTION("""COMPUTED_VALUE"""),199.99)</f>
        <v>199.99</v>
      </c>
      <c r="I1496">
        <f>IFERROR(__xludf.DUMMYFUNCTION("""COMPUTED_VALUE"""),199.99)</f>
        <v>199.99</v>
      </c>
      <c r="BD1496" s="2006"/>
      <c r="LL1496" s="2007"/>
      <c r="LM1496" s="2007"/>
      <c r="MX1496" s="2007"/>
      <c r="ND1496" s="2007"/>
    </row>
    <row r="1497">
      <c r="A1497" s="2005">
        <f>IFERROR(__xludf.DUMMYFUNCTION("""COMPUTED_VALUE"""),1129664.0)</f>
        <v>1129664</v>
      </c>
      <c r="B1497" s="2005">
        <f>IFERROR(__xludf.DUMMYFUNCTION("""COMPUTED_VALUE"""),2209805.0)</f>
        <v>2209805</v>
      </c>
      <c r="C1497" s="2005" t="str">
        <f>IFERROR(__xludf.DUMMYFUNCTION("""COMPUTED_VALUE"""),"Lot")</f>
        <v>Lot</v>
      </c>
      <c r="D1497" s="2005" t="str">
        <f>IFERROR(__xludf.DUMMYFUNCTION("""COMPUTED_VALUE"""),"MFC-J5335 + cartouche LC3217 Noire")</f>
        <v>MFC-J5335 + cartouche LC3217 Noire</v>
      </c>
      <c r="E1497" s="2005" t="str">
        <f>IFERROR(__xludf.DUMMYFUNCTION("""COMPUTED_VALUE"""),"BROTHER")</f>
        <v>BROTHER</v>
      </c>
      <c r="F1497" s="2005" t="str">
        <f>IFERROR(__xludf.DUMMYFUNCTION("""COMPUTED_VALUE"""),"H")</f>
        <v>H</v>
      </c>
      <c r="G1497" s="2005" t="str">
        <f>IFERROR(__xludf.DUMMYFUNCTION("""COMPUTED_VALUE"""),"NN")</f>
        <v>NN</v>
      </c>
      <c r="H1497" s="2005">
        <f>IFERROR(__xludf.DUMMYFUNCTION("""COMPUTED_VALUE"""),211.99)</f>
        <v>211.99</v>
      </c>
      <c r="I1497" s="2005">
        <f>IFERROR(__xludf.DUMMYFUNCTION("""COMPUTED_VALUE"""),211.99)</f>
        <v>211.99</v>
      </c>
      <c r="BD1497" s="2006"/>
      <c r="LM1497" s="2007"/>
    </row>
    <row r="1498">
      <c r="A1498" s="2005">
        <f>IFERROR(__xludf.DUMMYFUNCTION("""COMPUTED_VALUE"""),1129692.0)</f>
        <v>1129692</v>
      </c>
      <c r="B1498" s="2005">
        <f>IFERROR(__xludf.DUMMYFUNCTION("""COMPUTED_VALUE"""),2403005.0)</f>
        <v>2403005</v>
      </c>
      <c r="C1498" s="2005" t="str">
        <f>IFERROR(__xludf.DUMMYFUNCTION("""COMPUTED_VALUE"""),"Cartouche")</f>
        <v>Cartouche</v>
      </c>
      <c r="D1498" s="2005" t="str">
        <f>IFERROR(__xludf.DUMMYFUNCTION("""COMPUTED_VALUE"""),"912  Cyan")</f>
        <v>912  Cyan</v>
      </c>
      <c r="E1498" s="2005" t="str">
        <f>IFERROR(__xludf.DUMMYFUNCTION("""COMPUTED_VALUE"""),"HP")</f>
        <v>HP</v>
      </c>
      <c r="F1498" s="2005" t="str">
        <f>IFERROR(__xludf.DUMMYFUNCTION("""COMPUTED_VALUE"""),"B")</f>
        <v>B</v>
      </c>
      <c r="G1498" s="2005" t="str">
        <f>IFERROR(__xludf.DUMMYFUNCTION("""COMPUTED_VALUE"""),"AC")</f>
        <v>AC</v>
      </c>
      <c r="H1498" s="2005">
        <f>IFERROR(__xludf.DUMMYFUNCTION("""COMPUTED_VALUE"""),11.99)</f>
        <v>11.99</v>
      </c>
      <c r="I1498" s="2005">
        <f>IFERROR(__xludf.DUMMYFUNCTION("""COMPUTED_VALUE"""),11.99)</f>
        <v>11.99</v>
      </c>
      <c r="LL1498" s="2007"/>
      <c r="LM1498" s="2007"/>
      <c r="MX1498" s="2007"/>
      <c r="ND1498" s="2007"/>
    </row>
    <row r="1499">
      <c r="A1499" s="2005">
        <f>IFERROR(__xludf.DUMMYFUNCTION("""COMPUTED_VALUE"""),1129693.0)</f>
        <v>1129693</v>
      </c>
      <c r="B1499" s="2005">
        <f>IFERROR(__xludf.DUMMYFUNCTION("""COMPUTED_VALUE"""),2403005.0)</f>
        <v>2403005</v>
      </c>
      <c r="C1499" s="2005" t="str">
        <f>IFERROR(__xludf.DUMMYFUNCTION("""COMPUTED_VALUE"""),"Cartouche")</f>
        <v>Cartouche</v>
      </c>
      <c r="D1499" s="2005" t="str">
        <f>IFERROR(__xludf.DUMMYFUNCTION("""COMPUTED_VALUE"""),"917XL Noire Extra")</f>
        <v>917XL Noire Extra</v>
      </c>
      <c r="E1499" s="2005" t="str">
        <f>IFERROR(__xludf.DUMMYFUNCTION("""COMPUTED_VALUE"""),"HP")</f>
        <v>HP</v>
      </c>
      <c r="F1499" s="2005" t="str">
        <f>IFERROR(__xludf.DUMMYFUNCTION("""COMPUTED_VALUE"""),"H")</f>
        <v>H</v>
      </c>
      <c r="G1499" s="2005" t="str">
        <f>IFERROR(__xludf.DUMMYFUNCTION("""COMPUTED_VALUE"""),"NN")</f>
        <v>NN</v>
      </c>
      <c r="H1499">
        <f>IFERROR(__xludf.DUMMYFUNCTION("""COMPUTED_VALUE"""),55.99)</f>
        <v>55.99</v>
      </c>
      <c r="I1499">
        <f>IFERROR(__xludf.DUMMYFUNCTION("""COMPUTED_VALUE"""),55.99)</f>
        <v>55.99</v>
      </c>
      <c r="LL1499" s="2007"/>
      <c r="LM1499" s="2007"/>
      <c r="MX1499" s="2007"/>
      <c r="ND1499" s="2007"/>
    </row>
    <row r="1500">
      <c r="A1500" s="2005">
        <f>IFERROR(__xludf.DUMMYFUNCTION("""COMPUTED_VALUE"""),1129694.0)</f>
        <v>1129694</v>
      </c>
      <c r="B1500" s="2005">
        <f>IFERROR(__xludf.DUMMYFUNCTION("""COMPUTED_VALUE"""),2403005.0)</f>
        <v>2403005</v>
      </c>
      <c r="C1500" s="2005" t="str">
        <f>IFERROR(__xludf.DUMMYFUNCTION("""COMPUTED_VALUE"""),"Cartouche")</f>
        <v>Cartouche</v>
      </c>
      <c r="D1500" s="2005" t="str">
        <f>IFERROR(__xludf.DUMMYFUNCTION("""COMPUTED_VALUE"""),"963XL Jaune")</f>
        <v>963XL Jaune</v>
      </c>
      <c r="E1500" s="2005" t="str">
        <f>IFERROR(__xludf.DUMMYFUNCTION("""COMPUTED_VALUE"""),"HP")</f>
        <v>HP</v>
      </c>
      <c r="F1500" s="2005" t="str">
        <f>IFERROR(__xludf.DUMMYFUNCTION("""COMPUTED_VALUE"""),"A")</f>
        <v>A</v>
      </c>
      <c r="G1500" s="2005" t="str">
        <f>IFERROR(__xludf.DUMMYFUNCTION("""COMPUTED_VALUE"""),"AC")</f>
        <v>AC</v>
      </c>
      <c r="H1500">
        <f>IFERROR(__xludf.DUMMYFUNCTION("""COMPUTED_VALUE"""),38.99)</f>
        <v>38.99</v>
      </c>
      <c r="I1500">
        <f>IFERROR(__xludf.DUMMYFUNCTION("""COMPUTED_VALUE"""),38.99)</f>
        <v>38.99</v>
      </c>
      <c r="BD1500" s="2006"/>
      <c r="LL1500" s="2007"/>
      <c r="LM1500" s="2007"/>
      <c r="MX1500" s="2007"/>
      <c r="ND1500" s="2007"/>
    </row>
    <row r="1501">
      <c r="A1501" s="2005">
        <f>IFERROR(__xludf.DUMMYFUNCTION("""COMPUTED_VALUE"""),1129695.0)</f>
        <v>1129695</v>
      </c>
      <c r="B1501" s="2005">
        <f>IFERROR(__xludf.DUMMYFUNCTION("""COMPUTED_VALUE"""),2403005.0)</f>
        <v>2403005</v>
      </c>
      <c r="C1501" s="2005" t="str">
        <f>IFERROR(__xludf.DUMMYFUNCTION("""COMPUTED_VALUE"""),"Cartouche")</f>
        <v>Cartouche</v>
      </c>
      <c r="D1501" s="2005" t="str">
        <f>IFERROR(__xludf.DUMMYFUNCTION("""COMPUTED_VALUE"""),"912XL  Jaune")</f>
        <v>912XL  Jaune</v>
      </c>
      <c r="E1501" s="2005" t="str">
        <f>IFERROR(__xludf.DUMMYFUNCTION("""COMPUTED_VALUE"""),"HP")</f>
        <v>HP</v>
      </c>
      <c r="F1501" s="2005" t="str">
        <f>IFERROR(__xludf.DUMMYFUNCTION("""COMPUTED_VALUE"""),"B")</f>
        <v>B</v>
      </c>
      <c r="G1501" s="2005" t="str">
        <f>IFERROR(__xludf.DUMMYFUNCTION("""COMPUTED_VALUE"""),"AC")</f>
        <v>AC</v>
      </c>
      <c r="H1501" s="2005">
        <f>IFERROR(__xludf.DUMMYFUNCTION("""COMPUTED_VALUE"""),21.99)</f>
        <v>21.99</v>
      </c>
      <c r="I1501" s="2005">
        <f>IFERROR(__xludf.DUMMYFUNCTION("""COMPUTED_VALUE"""),21.99)</f>
        <v>21.99</v>
      </c>
      <c r="BD1501" s="2006"/>
      <c r="LL1501" s="2008"/>
      <c r="LM1501" s="2007"/>
      <c r="MX1501" s="2007"/>
      <c r="ND1501" s="2007"/>
    </row>
    <row r="1502">
      <c r="A1502" s="2005">
        <f>IFERROR(__xludf.DUMMYFUNCTION("""COMPUTED_VALUE"""),1129701.0)</f>
        <v>1129701</v>
      </c>
      <c r="B1502" s="2005">
        <f>IFERROR(__xludf.DUMMYFUNCTION("""COMPUTED_VALUE"""),2403005.0)</f>
        <v>2403005</v>
      </c>
      <c r="C1502" s="2005" t="str">
        <f>IFERROR(__xludf.DUMMYFUNCTION("""COMPUTED_VALUE"""),"Cartouche")</f>
        <v>Cartouche</v>
      </c>
      <c r="D1502" s="2005" t="str">
        <f>IFERROR(__xludf.DUMMYFUNCTION("""COMPUTED_VALUE"""),"963 Cyan")</f>
        <v>963 Cyan</v>
      </c>
      <c r="E1502" s="2005" t="str">
        <f>IFERROR(__xludf.DUMMYFUNCTION("""COMPUTED_VALUE"""),"HP")</f>
        <v>HP</v>
      </c>
      <c r="F1502" s="2005" t="str">
        <f>IFERROR(__xludf.DUMMYFUNCTION("""COMPUTED_VALUE"""),"C")</f>
        <v>C</v>
      </c>
      <c r="G1502" s="2005" t="str">
        <f>IFERROR(__xludf.DUMMYFUNCTION("""COMPUTED_VALUE"""),"AC")</f>
        <v>AC</v>
      </c>
      <c r="H1502">
        <f>IFERROR(__xludf.DUMMYFUNCTION("""COMPUTED_VALUE"""),25.99)</f>
        <v>25.99</v>
      </c>
      <c r="I1502">
        <f>IFERROR(__xludf.DUMMYFUNCTION("""COMPUTED_VALUE"""),25.99)</f>
        <v>25.99</v>
      </c>
      <c r="BD1502" s="2006"/>
      <c r="LL1502" s="2007"/>
      <c r="LM1502" s="2007"/>
      <c r="MX1502" s="2008"/>
      <c r="ND1502" s="2007"/>
    </row>
    <row r="1503">
      <c r="A1503" s="2005">
        <f>IFERROR(__xludf.DUMMYFUNCTION("""COMPUTED_VALUE"""),1129702.0)</f>
        <v>1129702</v>
      </c>
      <c r="B1503" s="2005">
        <f>IFERROR(__xludf.DUMMYFUNCTION("""COMPUTED_VALUE"""),2403005.0)</f>
        <v>2403005</v>
      </c>
      <c r="C1503" s="2005" t="str">
        <f>IFERROR(__xludf.DUMMYFUNCTION("""COMPUTED_VALUE"""),"Pack")</f>
        <v>Pack</v>
      </c>
      <c r="D1503" s="2005" t="str">
        <f>IFERROR(__xludf.DUMMYFUNCTION("""COMPUTED_VALUE"""),"912 XL  noire + 3 couleurs")</f>
        <v>912 XL  noire + 3 couleurs</v>
      </c>
      <c r="E1503" s="2005" t="str">
        <f>IFERROR(__xludf.DUMMYFUNCTION("""COMPUTED_VALUE"""),"HP")</f>
        <v>HP</v>
      </c>
      <c r="F1503" s="2005" t="str">
        <f>IFERROR(__xludf.DUMMYFUNCTION("""COMPUTED_VALUE"""),"A")</f>
        <v>A</v>
      </c>
      <c r="G1503" s="2005" t="str">
        <f>IFERROR(__xludf.DUMMYFUNCTION("""COMPUTED_VALUE"""),"NN")</f>
        <v>NN</v>
      </c>
      <c r="H1503">
        <f>IFERROR(__xludf.DUMMYFUNCTION("""COMPUTED_VALUE"""),92.99)</f>
        <v>92.99</v>
      </c>
      <c r="I1503">
        <f>IFERROR(__xludf.DUMMYFUNCTION("""COMPUTED_VALUE"""),92.99)</f>
        <v>92.99</v>
      </c>
      <c r="BD1503" s="2006"/>
      <c r="LL1503" s="2007"/>
      <c r="LM1503" s="2007"/>
      <c r="MX1503" s="2007"/>
      <c r="ND1503" s="2007"/>
    </row>
    <row r="1504">
      <c r="A1504" s="2005">
        <f>IFERROR(__xludf.DUMMYFUNCTION("""COMPUTED_VALUE"""),1129703.0)</f>
        <v>1129703</v>
      </c>
      <c r="B1504" s="2005">
        <f>IFERROR(__xludf.DUMMYFUNCTION("""COMPUTED_VALUE"""),2403005.0)</f>
        <v>2403005</v>
      </c>
      <c r="C1504" s="2005" t="str">
        <f>IFERROR(__xludf.DUMMYFUNCTION("""COMPUTED_VALUE"""),"Cartouche")</f>
        <v>Cartouche</v>
      </c>
      <c r="D1504" s="2005" t="str">
        <f>IFERROR(__xludf.DUMMYFUNCTION("""COMPUTED_VALUE"""),"963  Jaune")</f>
        <v>963  Jaune</v>
      </c>
      <c r="E1504" s="2005" t="str">
        <f>IFERROR(__xludf.DUMMYFUNCTION("""COMPUTED_VALUE"""),"HP")</f>
        <v>HP</v>
      </c>
      <c r="F1504" s="2005" t="str">
        <f>IFERROR(__xludf.DUMMYFUNCTION("""COMPUTED_VALUE"""),"C")</f>
        <v>C</v>
      </c>
      <c r="G1504" s="2005" t="str">
        <f>IFERROR(__xludf.DUMMYFUNCTION("""COMPUTED_VALUE"""),"AC")</f>
        <v>AC</v>
      </c>
      <c r="H1504">
        <f>IFERROR(__xludf.DUMMYFUNCTION("""COMPUTED_VALUE"""),25.99)</f>
        <v>25.99</v>
      </c>
      <c r="I1504">
        <f>IFERROR(__xludf.DUMMYFUNCTION("""COMPUTED_VALUE"""),25.99)</f>
        <v>25.99</v>
      </c>
      <c r="BD1504" s="2006"/>
      <c r="LL1504" s="2007"/>
      <c r="LM1504" s="2007"/>
      <c r="MX1504" s="2007"/>
      <c r="ND1504" s="2007"/>
    </row>
    <row r="1505">
      <c r="A1505" s="2005">
        <f>IFERROR(__xludf.DUMMYFUNCTION("""COMPUTED_VALUE"""),1129704.0)</f>
        <v>1129704</v>
      </c>
      <c r="B1505" s="2005">
        <f>IFERROR(__xludf.DUMMYFUNCTION("""COMPUTED_VALUE"""),2403005.0)</f>
        <v>2403005</v>
      </c>
      <c r="C1505" s="2005" t="str">
        <f>IFERROR(__xludf.DUMMYFUNCTION("""COMPUTED_VALUE"""),"Cartouche")</f>
        <v>Cartouche</v>
      </c>
      <c r="D1505" s="2005" t="str">
        <f>IFERROR(__xludf.DUMMYFUNCTION("""COMPUTED_VALUE"""),"912  Jaune")</f>
        <v>912  Jaune</v>
      </c>
      <c r="E1505" s="2005" t="str">
        <f>IFERROR(__xludf.DUMMYFUNCTION("""COMPUTED_VALUE"""),"HP")</f>
        <v>HP</v>
      </c>
      <c r="F1505" s="2005" t="str">
        <f>IFERROR(__xludf.DUMMYFUNCTION("""COMPUTED_VALUE"""),"B")</f>
        <v>B</v>
      </c>
      <c r="G1505" s="2005" t="str">
        <f>IFERROR(__xludf.DUMMYFUNCTION("""COMPUTED_VALUE"""),"AC")</f>
        <v>AC</v>
      </c>
      <c r="H1505">
        <f>IFERROR(__xludf.DUMMYFUNCTION("""COMPUTED_VALUE"""),11.99)</f>
        <v>11.99</v>
      </c>
      <c r="I1505">
        <f>IFERROR(__xludf.DUMMYFUNCTION("""COMPUTED_VALUE"""),11.99)</f>
        <v>11.99</v>
      </c>
      <c r="BD1505" s="2006"/>
      <c r="LL1505" s="2007"/>
      <c r="LM1505" s="2007"/>
      <c r="MX1505" s="2007"/>
      <c r="ND1505" s="2007"/>
    </row>
    <row r="1506">
      <c r="A1506" s="2005">
        <f>IFERROR(__xludf.DUMMYFUNCTION("""COMPUTED_VALUE"""),1129711.0)</f>
        <v>1129711</v>
      </c>
      <c r="B1506" s="2005">
        <f>IFERROR(__xludf.DUMMYFUNCTION("""COMPUTED_VALUE"""),2403005.0)</f>
        <v>2403005</v>
      </c>
      <c r="C1506" s="2005" t="str">
        <f>IFERROR(__xludf.DUMMYFUNCTION("""COMPUTED_VALUE"""),"Cartouche")</f>
        <v>Cartouche</v>
      </c>
      <c r="D1506" s="2005" t="str">
        <f>IFERROR(__xludf.DUMMYFUNCTION("""COMPUTED_VALUE"""),"963XL  Cyan")</f>
        <v>963XL  Cyan</v>
      </c>
      <c r="E1506" s="2005" t="str">
        <f>IFERROR(__xludf.DUMMYFUNCTION("""COMPUTED_VALUE"""),"HP")</f>
        <v>HP</v>
      </c>
      <c r="F1506" s="2005" t="str">
        <f>IFERROR(__xludf.DUMMYFUNCTION("""COMPUTED_VALUE"""),"A")</f>
        <v>A</v>
      </c>
      <c r="G1506" s="2005" t="str">
        <f>IFERROR(__xludf.DUMMYFUNCTION("""COMPUTED_VALUE"""),"AC")</f>
        <v>AC</v>
      </c>
      <c r="H1506">
        <f>IFERROR(__xludf.DUMMYFUNCTION("""COMPUTED_VALUE"""),38.99)</f>
        <v>38.99</v>
      </c>
      <c r="I1506">
        <f>IFERROR(__xludf.DUMMYFUNCTION("""COMPUTED_VALUE"""),38.99)</f>
        <v>38.99</v>
      </c>
      <c r="BD1506" s="2006"/>
      <c r="LL1506" s="2007"/>
      <c r="LM1506" s="2007"/>
      <c r="MX1506" s="2008"/>
      <c r="ND1506" s="2007"/>
    </row>
    <row r="1507">
      <c r="A1507" s="2005">
        <f>IFERROR(__xludf.DUMMYFUNCTION("""COMPUTED_VALUE"""),1129712.0)</f>
        <v>1129712</v>
      </c>
      <c r="B1507" s="2005">
        <f>IFERROR(__xludf.DUMMYFUNCTION("""COMPUTED_VALUE"""),2403005.0)</f>
        <v>2403005</v>
      </c>
      <c r="C1507" s="2005" t="str">
        <f>IFERROR(__xludf.DUMMYFUNCTION("""COMPUTED_VALUE"""),"Cartouche")</f>
        <v>Cartouche</v>
      </c>
      <c r="D1507" s="2005" t="str">
        <f>IFERROR(__xludf.DUMMYFUNCTION("""COMPUTED_VALUE"""),"912XL  Cyan")</f>
        <v>912XL  Cyan</v>
      </c>
      <c r="E1507" s="2005" t="str">
        <f>IFERROR(__xludf.DUMMYFUNCTION("""COMPUTED_VALUE"""),"HP")</f>
        <v>HP</v>
      </c>
      <c r="F1507" s="2005" t="str">
        <f>IFERROR(__xludf.DUMMYFUNCTION("""COMPUTED_VALUE"""),"B")</f>
        <v>B</v>
      </c>
      <c r="G1507" s="2005" t="str">
        <f>IFERROR(__xludf.DUMMYFUNCTION("""COMPUTED_VALUE"""),"AC")</f>
        <v>AC</v>
      </c>
      <c r="H1507">
        <f>IFERROR(__xludf.DUMMYFUNCTION("""COMPUTED_VALUE"""),21.99)</f>
        <v>21.99</v>
      </c>
      <c r="I1507">
        <f>IFERROR(__xludf.DUMMYFUNCTION("""COMPUTED_VALUE"""),21.99)</f>
        <v>21.99</v>
      </c>
      <c r="BD1507" s="2006"/>
      <c r="LM1507" s="2007"/>
    </row>
    <row r="1508">
      <c r="A1508" s="2005">
        <f>IFERROR(__xludf.DUMMYFUNCTION("""COMPUTED_VALUE"""),1129713.0)</f>
        <v>1129713</v>
      </c>
      <c r="B1508" s="2005">
        <f>IFERROR(__xludf.DUMMYFUNCTION("""COMPUTED_VALUE"""),2403005.0)</f>
        <v>2403005</v>
      </c>
      <c r="C1508" s="2005" t="str">
        <f>IFERROR(__xludf.DUMMYFUNCTION("""COMPUTED_VALUE"""),"Cartouche")</f>
        <v>Cartouche</v>
      </c>
      <c r="D1508" s="2005" t="str">
        <f>IFERROR(__xludf.DUMMYFUNCTION("""COMPUTED_VALUE"""),"963  Magenta")</f>
        <v>963  Magenta</v>
      </c>
      <c r="E1508" s="2005" t="str">
        <f>IFERROR(__xludf.DUMMYFUNCTION("""COMPUTED_VALUE"""),"HP")</f>
        <v>HP</v>
      </c>
      <c r="F1508" s="2005" t="str">
        <f>IFERROR(__xludf.DUMMYFUNCTION("""COMPUTED_VALUE"""),"C")</f>
        <v>C</v>
      </c>
      <c r="G1508" s="2005" t="str">
        <f>IFERROR(__xludf.DUMMYFUNCTION("""COMPUTED_VALUE"""),"AC")</f>
        <v>AC</v>
      </c>
      <c r="H1508" s="2005">
        <f>IFERROR(__xludf.DUMMYFUNCTION("""COMPUTED_VALUE"""),25.99)</f>
        <v>25.99</v>
      </c>
      <c r="I1508" s="2005">
        <f>IFERROR(__xludf.DUMMYFUNCTION("""COMPUTED_VALUE"""),25.99)</f>
        <v>25.99</v>
      </c>
      <c r="BD1508" s="2006"/>
      <c r="LL1508" s="2007"/>
      <c r="LM1508" s="2007"/>
      <c r="MX1508" s="2007"/>
      <c r="ND1508" s="2007"/>
    </row>
    <row r="1509">
      <c r="A1509" s="2005">
        <f>IFERROR(__xludf.DUMMYFUNCTION("""COMPUTED_VALUE"""),1129714.0)</f>
        <v>1129714</v>
      </c>
      <c r="B1509" s="2005">
        <f>IFERROR(__xludf.DUMMYFUNCTION("""COMPUTED_VALUE"""),2403005.0)</f>
        <v>2403005</v>
      </c>
      <c r="C1509" s="2005" t="str">
        <f>IFERROR(__xludf.DUMMYFUNCTION("""COMPUTED_VALUE"""),"Cartouche")</f>
        <v>Cartouche</v>
      </c>
      <c r="D1509" s="2005" t="str">
        <f>IFERROR(__xludf.DUMMYFUNCTION("""COMPUTED_VALUE"""),"912  Magenta")</f>
        <v>912  Magenta</v>
      </c>
      <c r="E1509" s="2005" t="str">
        <f>IFERROR(__xludf.DUMMYFUNCTION("""COMPUTED_VALUE"""),"HP")</f>
        <v>HP</v>
      </c>
      <c r="F1509" s="2005" t="str">
        <f>IFERROR(__xludf.DUMMYFUNCTION("""COMPUTED_VALUE"""),"B")</f>
        <v>B</v>
      </c>
      <c r="G1509" s="2005" t="str">
        <f>IFERROR(__xludf.DUMMYFUNCTION("""COMPUTED_VALUE"""),"AC")</f>
        <v>AC</v>
      </c>
      <c r="H1509">
        <f>IFERROR(__xludf.DUMMYFUNCTION("""COMPUTED_VALUE"""),11.99)</f>
        <v>11.99</v>
      </c>
      <c r="I1509">
        <f>IFERROR(__xludf.DUMMYFUNCTION("""COMPUTED_VALUE"""),11.99)</f>
        <v>11.99</v>
      </c>
      <c r="BD1509" s="2006"/>
      <c r="LL1509" s="2008"/>
      <c r="LM1509" s="2007"/>
      <c r="MX1509" s="2007"/>
      <c r="ND1509" s="2007"/>
    </row>
    <row r="1510">
      <c r="A1510">
        <f>IFERROR(__xludf.DUMMYFUNCTION("""COMPUTED_VALUE"""),1129721.0)</f>
        <v>1129721</v>
      </c>
      <c r="B1510">
        <f>IFERROR(__xludf.DUMMYFUNCTION("""COMPUTED_VALUE"""),2403005.0)</f>
        <v>2403005</v>
      </c>
      <c r="C1510" t="str">
        <f>IFERROR(__xludf.DUMMYFUNCTION("""COMPUTED_VALUE"""),"Cartouche")</f>
        <v>Cartouche</v>
      </c>
      <c r="D1510" t="str">
        <f>IFERROR(__xludf.DUMMYFUNCTION("""COMPUTED_VALUE"""),"963XL  Magenta")</f>
        <v>963XL  Magenta</v>
      </c>
      <c r="E1510" t="str">
        <f>IFERROR(__xludf.DUMMYFUNCTION("""COMPUTED_VALUE"""),"HP")</f>
        <v>HP</v>
      </c>
      <c r="F1510" t="str">
        <f>IFERROR(__xludf.DUMMYFUNCTION("""COMPUTED_VALUE"""),"A")</f>
        <v>A</v>
      </c>
      <c r="G1510" t="str">
        <f>IFERROR(__xludf.DUMMYFUNCTION("""COMPUTED_VALUE"""),"AC")</f>
        <v>AC</v>
      </c>
      <c r="H1510">
        <f>IFERROR(__xludf.DUMMYFUNCTION("""COMPUTED_VALUE"""),38.99)</f>
        <v>38.99</v>
      </c>
      <c r="I1510">
        <f>IFERROR(__xludf.DUMMYFUNCTION("""COMPUTED_VALUE"""),38.99)</f>
        <v>38.99</v>
      </c>
      <c r="BD1510" s="2006"/>
      <c r="LM1510" s="2007"/>
    </row>
    <row r="1511">
      <c r="A1511" s="2005">
        <f>IFERROR(__xludf.DUMMYFUNCTION("""COMPUTED_VALUE"""),1129722.0)</f>
        <v>1129722</v>
      </c>
      <c r="B1511" s="2005">
        <f>IFERROR(__xludf.DUMMYFUNCTION("""COMPUTED_VALUE"""),2403005.0)</f>
        <v>2403005</v>
      </c>
      <c r="C1511" s="2005" t="str">
        <f>IFERROR(__xludf.DUMMYFUNCTION("""COMPUTED_VALUE"""),"Cartouche")</f>
        <v>Cartouche</v>
      </c>
      <c r="D1511" s="2005" t="str">
        <f>IFERROR(__xludf.DUMMYFUNCTION("""COMPUTED_VALUE"""),"912XL Magenta")</f>
        <v>912XL Magenta</v>
      </c>
      <c r="E1511" s="2005" t="str">
        <f>IFERROR(__xludf.DUMMYFUNCTION("""COMPUTED_VALUE"""),"HP")</f>
        <v>HP</v>
      </c>
      <c r="F1511" s="2005" t="str">
        <f>IFERROR(__xludf.DUMMYFUNCTION("""COMPUTED_VALUE"""),"B")</f>
        <v>B</v>
      </c>
      <c r="G1511" s="2005" t="str">
        <f>IFERROR(__xludf.DUMMYFUNCTION("""COMPUTED_VALUE"""),"AC")</f>
        <v>AC</v>
      </c>
      <c r="H1511" s="2005">
        <f>IFERROR(__xludf.DUMMYFUNCTION("""COMPUTED_VALUE"""),21.99)</f>
        <v>21.99</v>
      </c>
      <c r="I1511" s="2005">
        <f>IFERROR(__xludf.DUMMYFUNCTION("""COMPUTED_VALUE"""),21.99)</f>
        <v>21.99</v>
      </c>
      <c r="BD1511" s="2006"/>
      <c r="LL1511" s="2007"/>
      <c r="LM1511" s="2007"/>
      <c r="MX1511" s="2007"/>
      <c r="ND1511" s="2007"/>
    </row>
    <row r="1512">
      <c r="A1512" s="2005">
        <f>IFERROR(__xludf.DUMMYFUNCTION("""COMPUTED_VALUE"""),1129726.0)</f>
        <v>1129726</v>
      </c>
      <c r="B1512" s="2005">
        <f>IFERROR(__xludf.DUMMYFUNCTION("""COMPUTED_VALUE"""),2201010.0)</f>
        <v>2201010</v>
      </c>
      <c r="C1512" s="2005" t="str">
        <f>IFERROR(__xludf.DUMMYFUNCTION("""COMPUTED_VALUE"""),"Mono Jet d'encr")</f>
        <v>Mono Jet d'encr</v>
      </c>
      <c r="D1512" s="2005" t="str">
        <f>IFERROR(__xludf.DUMMYFUNCTION("""COMPUTED_VALUE"""),"EcoTank ET-M1120")</f>
        <v>EcoTank ET-M1120</v>
      </c>
      <c r="E1512" s="2005" t="str">
        <f>IFERROR(__xludf.DUMMYFUNCTION("""COMPUTED_VALUE"""),"EPSON")</f>
        <v>EPSON</v>
      </c>
      <c r="F1512" s="2005" t="str">
        <f>IFERROR(__xludf.DUMMYFUNCTION("""COMPUTED_VALUE"""),"W")</f>
        <v>W</v>
      </c>
      <c r="G1512" s="2005" t="str">
        <f>IFERROR(__xludf.DUMMYFUNCTION("""COMPUTED_VALUE"""),"AC")</f>
        <v>AC</v>
      </c>
      <c r="H1512">
        <f>IFERROR(__xludf.DUMMYFUNCTION("""COMPUTED_VALUE"""),199.99)</f>
        <v>199.99</v>
      </c>
      <c r="I1512">
        <f>IFERROR(__xludf.DUMMYFUNCTION("""COMPUTED_VALUE"""),149.0)</f>
        <v>149</v>
      </c>
      <c r="BD1512" s="2006"/>
      <c r="LL1512" s="2007"/>
      <c r="LM1512" s="2007"/>
      <c r="MX1512" s="2007"/>
      <c r="ND1512" s="2007"/>
    </row>
    <row r="1513">
      <c r="A1513" s="2005">
        <f>IFERROR(__xludf.DUMMYFUNCTION("""COMPUTED_VALUE"""),1129727.0)</f>
        <v>1129727</v>
      </c>
      <c r="B1513" s="2005">
        <f>IFERROR(__xludf.DUMMYFUNCTION("""COMPUTED_VALUE"""),2202010.0)</f>
        <v>2202010</v>
      </c>
      <c r="C1513" s="2005" t="str">
        <f>IFERROR(__xludf.DUMMYFUNCTION("""COMPUTED_VALUE"""),"Multi Jet d'enc")</f>
        <v>Multi Jet d'enc</v>
      </c>
      <c r="D1513" s="2005" t="str">
        <f>IFERROR(__xludf.DUMMYFUNCTION("""COMPUTED_VALUE"""),"EcoTank ET-M1170")</f>
        <v>EcoTank ET-M1170</v>
      </c>
      <c r="E1513" s="2005" t="str">
        <f>IFERROR(__xludf.DUMMYFUNCTION("""COMPUTED_VALUE"""),"EPSON")</f>
        <v>EPSON</v>
      </c>
      <c r="F1513" s="2005" t="str">
        <f>IFERROR(__xludf.DUMMYFUNCTION("""COMPUTED_VALUE"""),"E")</f>
        <v>E</v>
      </c>
      <c r="G1513" s="2005" t="str">
        <f>IFERROR(__xludf.DUMMYFUNCTION("""COMPUTED_VALUE"""),"AC")</f>
        <v>AC</v>
      </c>
      <c r="H1513" s="2005">
        <f>IFERROR(__xludf.DUMMYFUNCTION("""COMPUTED_VALUE"""),299.99)</f>
        <v>299.99</v>
      </c>
      <c r="I1513" s="2005">
        <f>IFERROR(__xludf.DUMMYFUNCTION("""COMPUTED_VALUE"""),299.99)</f>
        <v>299.99</v>
      </c>
      <c r="BD1513" s="2006"/>
      <c r="LL1513" s="2007"/>
      <c r="LM1513" s="2007"/>
      <c r="MX1513" s="2007"/>
      <c r="ND1513" s="2007"/>
    </row>
    <row r="1514">
      <c r="A1514">
        <f>IFERROR(__xludf.DUMMYFUNCTION("""COMPUTED_VALUE"""),1129728.0)</f>
        <v>1129728</v>
      </c>
      <c r="B1514">
        <f>IFERROR(__xludf.DUMMYFUNCTION("""COMPUTED_VALUE"""),2202010.0)</f>
        <v>2202010</v>
      </c>
      <c r="C1514" t="str">
        <f>IFERROR(__xludf.DUMMYFUNCTION("""COMPUTED_VALUE"""),"Multi Jet d'enc")</f>
        <v>Multi Jet d'enc</v>
      </c>
      <c r="D1514" t="str">
        <f>IFERROR(__xludf.DUMMYFUNCTION("""COMPUTED_VALUE"""),"EcoTank ET-M2170")</f>
        <v>EcoTank ET-M2170</v>
      </c>
      <c r="E1514" t="str">
        <f>IFERROR(__xludf.DUMMYFUNCTION("""COMPUTED_VALUE"""),"EPSON")</f>
        <v>EPSON</v>
      </c>
      <c r="F1514" t="str">
        <f>IFERROR(__xludf.DUMMYFUNCTION("""COMPUTED_VALUE"""),"H")</f>
        <v>H</v>
      </c>
      <c r="G1514" t="str">
        <f>IFERROR(__xludf.DUMMYFUNCTION("""COMPUTED_VALUE"""),"FR")</f>
        <v>FR</v>
      </c>
      <c r="H1514">
        <f>IFERROR(__xludf.DUMMYFUNCTION("""COMPUTED_VALUE"""),369.99)</f>
        <v>369.99</v>
      </c>
      <c r="I1514">
        <f>IFERROR(__xludf.DUMMYFUNCTION("""COMPUTED_VALUE"""),369.99)</f>
        <v>369.99</v>
      </c>
      <c r="BD1514" s="2006"/>
      <c r="LL1514" s="2007"/>
      <c r="LM1514" s="2007"/>
      <c r="MX1514" s="2007"/>
      <c r="ND1514" s="2007"/>
    </row>
    <row r="1515">
      <c r="A1515" s="2005">
        <f>IFERROR(__xludf.DUMMYFUNCTION("""COMPUTED_VALUE"""),1129729.0)</f>
        <v>1129729</v>
      </c>
      <c r="B1515" s="2005">
        <f>IFERROR(__xludf.DUMMYFUNCTION("""COMPUTED_VALUE"""),2202010.0)</f>
        <v>2202010</v>
      </c>
      <c r="C1515" s="2005" t="str">
        <f>IFERROR(__xludf.DUMMYFUNCTION("""COMPUTED_VALUE"""),"Multi Jet d'enc")</f>
        <v>Multi Jet d'enc</v>
      </c>
      <c r="D1515" s="2005" t="str">
        <f>IFERROR(__xludf.DUMMYFUNCTION("""COMPUTED_VALUE"""),"EcoTank ET-M3170")</f>
        <v>EcoTank ET-M3170</v>
      </c>
      <c r="E1515" s="2005" t="str">
        <f>IFERROR(__xludf.DUMMYFUNCTION("""COMPUTED_VALUE"""),"EPSON")</f>
        <v>EPSON</v>
      </c>
      <c r="F1515" s="2005" t="str">
        <f>IFERROR(__xludf.DUMMYFUNCTION("""COMPUTED_VALUE"""),"E")</f>
        <v>E</v>
      </c>
      <c r="G1515" s="2005" t="str">
        <f>IFERROR(__xludf.DUMMYFUNCTION("""COMPUTED_VALUE"""),"FF")</f>
        <v>FF</v>
      </c>
      <c r="H1515" s="2005">
        <f>IFERROR(__xludf.DUMMYFUNCTION("""COMPUTED_VALUE"""),449.99)</f>
        <v>449.99</v>
      </c>
      <c r="I1515" s="2005">
        <f>IFERROR(__xludf.DUMMYFUNCTION("""COMPUTED_VALUE"""),449.99)</f>
        <v>449.99</v>
      </c>
      <c r="BD1515" s="2006"/>
      <c r="LL1515" s="2007"/>
      <c r="LM1515" s="2007"/>
      <c r="MX1515" s="2007"/>
      <c r="ND1515" s="2007"/>
    </row>
    <row r="1516">
      <c r="A1516" s="2005">
        <f>IFERROR(__xludf.DUMMYFUNCTION("""COMPUTED_VALUE"""),1129767.0)</f>
        <v>1129767</v>
      </c>
      <c r="B1516" s="2005">
        <f>IFERROR(__xludf.DUMMYFUNCTION("""COMPUTED_VALUE"""),2202005.0)</f>
        <v>2202005</v>
      </c>
      <c r="C1516" s="2005" t="str">
        <f>IFERROR(__xludf.DUMMYFUNCTION("""COMPUTED_VALUE"""),"Multi Jet d'enc")</f>
        <v>Multi Jet d'enc</v>
      </c>
      <c r="D1516" s="2005" t="str">
        <f>IFERROR(__xludf.DUMMYFUNCTION("""COMPUTED_VALUE"""),"Envy 7134")</f>
        <v>Envy 7134</v>
      </c>
      <c r="E1516" s="2005" t="str">
        <f>IFERROR(__xludf.DUMMYFUNCTION("""COMPUTED_VALUE"""),"HP")</f>
        <v>HP</v>
      </c>
      <c r="F1516" s="2005" t="str">
        <f>IFERROR(__xludf.DUMMYFUNCTION("""COMPUTED_VALUE"""),"H")</f>
        <v>H</v>
      </c>
      <c r="G1516" s="2005" t="str">
        <f>IFERROR(__xludf.DUMMYFUNCTION("""COMPUTED_VALUE"""),"NN")</f>
        <v>NN</v>
      </c>
      <c r="H1516">
        <f>IFERROR(__xludf.DUMMYFUNCTION("""COMPUTED_VALUE"""),139.99)</f>
        <v>139.99</v>
      </c>
      <c r="I1516">
        <f>IFERROR(__xludf.DUMMYFUNCTION("""COMPUTED_VALUE"""),139.99)</f>
        <v>139.99</v>
      </c>
      <c r="BD1516" s="2006"/>
      <c r="LM1516" s="2007"/>
      <c r="MX1516" s="2007"/>
      <c r="ND1516" s="2007"/>
    </row>
    <row r="1517">
      <c r="A1517" s="2005">
        <f>IFERROR(__xludf.DUMMYFUNCTION("""COMPUTED_VALUE"""),1129828.0)</f>
        <v>1129828</v>
      </c>
      <c r="B1517" s="2005">
        <f>IFERROR(__xludf.DUMMYFUNCTION("""COMPUTED_VALUE"""),2403005.0)</f>
        <v>2403005</v>
      </c>
      <c r="C1517" s="2005" t="str">
        <f>IFERROR(__xludf.DUMMYFUNCTION("""COMPUTED_VALUE"""),"Cartouche")</f>
        <v>Cartouche</v>
      </c>
      <c r="D1517" s="2005" t="str">
        <f>IFERROR(__xludf.DUMMYFUNCTION("""COMPUTED_VALUE"""),"Ecotank Bouteille 111 Noir")</f>
        <v>Ecotank Bouteille 111 Noir</v>
      </c>
      <c r="E1517" s="2005" t="str">
        <f>IFERROR(__xludf.DUMMYFUNCTION("""COMPUTED_VALUE"""),"EPSON")</f>
        <v>EPSON</v>
      </c>
      <c r="F1517" s="2005" t="str">
        <f>IFERROR(__xludf.DUMMYFUNCTION("""COMPUTED_VALUE"""),"C")</f>
        <v>C</v>
      </c>
      <c r="G1517" s="2005" t="str">
        <f>IFERROR(__xludf.DUMMYFUNCTION("""COMPUTED_VALUE"""),"AC")</f>
        <v>AC</v>
      </c>
      <c r="H1517">
        <f>IFERROR(__xludf.DUMMYFUNCTION("""COMPUTED_VALUE"""),14.99)</f>
        <v>14.99</v>
      </c>
      <c r="I1517">
        <f>IFERROR(__xludf.DUMMYFUNCTION("""COMPUTED_VALUE"""),14.99)</f>
        <v>14.99</v>
      </c>
      <c r="BD1517" s="2006"/>
      <c r="LL1517" s="2007"/>
      <c r="LM1517" s="2007"/>
      <c r="MX1517" s="2007"/>
      <c r="ND1517" s="2007"/>
    </row>
    <row r="1518">
      <c r="A1518" s="2005">
        <f>IFERROR(__xludf.DUMMYFUNCTION("""COMPUTED_VALUE"""),1130116.0)</f>
        <v>1130116</v>
      </c>
      <c r="B1518" s="2005">
        <f>IFERROR(__xludf.DUMMYFUNCTION("""COMPUTED_VALUE"""),2704515.0)</f>
        <v>2704515</v>
      </c>
      <c r="C1518" s="2005" t="str">
        <f>IFERROR(__xludf.DUMMYFUNCTION("""COMPUTED_VALUE"""),"Calc.")</f>
        <v>Calc.</v>
      </c>
      <c r="D1518" s="2005" t="str">
        <f>IFERROR(__xludf.DUMMYFUNCTION("""COMPUTED_VALUE"""),"Petite FX vert")</f>
        <v>Petite FX vert</v>
      </c>
      <c r="E1518" s="2005" t="str">
        <f>IFERROR(__xludf.DUMMYFUNCTION("""COMPUTED_VALUE"""),"CASIO")</f>
        <v>CASIO</v>
      </c>
      <c r="F1518" s="2005" t="str">
        <f>IFERROR(__xludf.DUMMYFUNCTION("""COMPUTED_VALUE"""),"H")</f>
        <v>H</v>
      </c>
      <c r="G1518" s="2005" t="str">
        <f>IFERROR(__xludf.DUMMYFUNCTION("""COMPUTED_VALUE"""),"FR")</f>
        <v>FR</v>
      </c>
      <c r="H1518">
        <f>IFERROR(__xludf.DUMMYFUNCTION("""COMPUTED_VALUE"""),6.99)</f>
        <v>6.99</v>
      </c>
      <c r="I1518">
        <f>IFERROR(__xludf.DUMMYFUNCTION("""COMPUTED_VALUE"""),6.99)</f>
        <v>6.99</v>
      </c>
      <c r="BD1518" s="2006"/>
      <c r="LM1518" s="2007"/>
      <c r="MX1518" s="2007"/>
      <c r="ND1518" s="2007"/>
    </row>
    <row r="1519">
      <c r="A1519" s="2005">
        <f>IFERROR(__xludf.DUMMYFUNCTION("""COMPUTED_VALUE"""),1130131.0)</f>
        <v>1130131</v>
      </c>
      <c r="B1519" s="2005">
        <f>IFERROR(__xludf.DUMMYFUNCTION("""COMPUTED_VALUE"""),2704515.0)</f>
        <v>2704515</v>
      </c>
      <c r="C1519" s="2005" t="str">
        <f>IFERROR(__xludf.DUMMYFUNCTION("""COMPUTED_VALUE"""),"Calc-Scient")</f>
        <v>Calc-Scient</v>
      </c>
      <c r="D1519" s="2005" t="str">
        <f>IFERROR(__xludf.DUMMYFUNCTION("""COMPUTED_VALUE"""),"TI-Nspire CX II-T CAS Noir")</f>
        <v>TI-Nspire CX II-T CAS Noir</v>
      </c>
      <c r="E1519" s="2005" t="str">
        <f>IFERROR(__xludf.DUMMYFUNCTION("""COMPUTED_VALUE"""),"TEXAS INSTRUMENTS")</f>
        <v>TEXAS INSTRUMENTS</v>
      </c>
      <c r="F1519" s="2005" t="str">
        <f>IFERROR(__xludf.DUMMYFUNCTION("""COMPUTED_VALUE"""),"H")</f>
        <v>H</v>
      </c>
      <c r="G1519" s="2005" t="str">
        <f>IFERROR(__xludf.DUMMYFUNCTION("""COMPUTED_VALUE"""),"NN")</f>
        <v>NN</v>
      </c>
      <c r="H1519">
        <f>IFERROR(__xludf.DUMMYFUNCTION("""COMPUTED_VALUE"""),128.99)</f>
        <v>128.99</v>
      </c>
      <c r="I1519">
        <f>IFERROR(__xludf.DUMMYFUNCTION("""COMPUTED_VALUE"""),128.99)</f>
        <v>128.99</v>
      </c>
      <c r="BD1519" s="2006"/>
      <c r="LM1519" s="2007"/>
      <c r="MX1519" s="2007"/>
      <c r="ND1519" s="2007"/>
    </row>
    <row r="1520">
      <c r="A1520" s="2005">
        <f>IFERROR(__xludf.DUMMYFUNCTION("""COMPUTED_VALUE"""),1130895.0)</f>
        <v>1130895</v>
      </c>
      <c r="B1520" s="2005">
        <f>IFERROR(__xludf.DUMMYFUNCTION("""COMPUTED_VALUE"""),2502012.0)</f>
        <v>2502012</v>
      </c>
      <c r="C1520" s="2005" t="str">
        <f>IFERROR(__xludf.DUMMYFUNCTION("""COMPUTED_VALUE"""),"Tablette Graph")</f>
        <v>Tablette Graph</v>
      </c>
      <c r="D1520" s="2005" t="str">
        <f>IFERROR(__xludf.DUMMYFUNCTION("""COMPUTED_VALUE"""),"CINTIQ 22")</f>
        <v>CINTIQ 22</v>
      </c>
      <c r="E1520" s="2005" t="str">
        <f>IFERROR(__xludf.DUMMYFUNCTION("""COMPUTED_VALUE"""),"WACOM")</f>
        <v>WACOM</v>
      </c>
      <c r="F1520" s="2005" t="str">
        <f>IFERROR(__xludf.DUMMYFUNCTION("""COMPUTED_VALUE"""),"H")</f>
        <v>H</v>
      </c>
      <c r="G1520" s="2005" t="str">
        <f>IFERROR(__xludf.DUMMYFUNCTION("""COMPUTED_VALUE"""),"AC")</f>
        <v>AC</v>
      </c>
      <c r="H1520">
        <f>IFERROR(__xludf.DUMMYFUNCTION("""COMPUTED_VALUE"""),1399.99)</f>
        <v>1399.99</v>
      </c>
      <c r="I1520">
        <f>IFERROR(__xludf.DUMMYFUNCTION("""COMPUTED_VALUE"""),1299.99)</f>
        <v>1299.99</v>
      </c>
      <c r="BD1520" s="2006"/>
      <c r="LM1520" s="2007"/>
      <c r="MX1520" s="2007"/>
      <c r="ND1520" s="2007"/>
    </row>
    <row r="1521">
      <c r="A1521" s="2005">
        <f>IFERROR(__xludf.DUMMYFUNCTION("""COMPUTED_VALUE"""),1131068.0)</f>
        <v>1131068</v>
      </c>
      <c r="B1521" s="2005">
        <f>IFERROR(__xludf.DUMMYFUNCTION("""COMPUTED_VALUE"""),2503005.0)</f>
        <v>2503005</v>
      </c>
      <c r="C1521" s="2005" t="str">
        <f>IFERROR(__xludf.DUMMYFUNCTION("""COMPUTED_VALUE"""),"Enceinte")</f>
        <v>Enceinte</v>
      </c>
      <c r="D1521" s="2005" t="str">
        <f>IFERROR(__xludf.DUMMYFUNCTION("""COMPUTED_VALUE"""),"Z607  Bluetooth Noir")</f>
        <v>Z607  Bluetooth Noir</v>
      </c>
      <c r="E1521" s="2005" t="str">
        <f>IFERROR(__xludf.DUMMYFUNCTION("""COMPUTED_VALUE"""),"LOGITECH")</f>
        <v>LOGITECH</v>
      </c>
      <c r="F1521" s="2005" t="str">
        <f>IFERROR(__xludf.DUMMYFUNCTION("""COMPUTED_VALUE"""),"C")</f>
        <v>C</v>
      </c>
      <c r="G1521" s="2005" t="str">
        <f>IFERROR(__xludf.DUMMYFUNCTION("""COMPUTED_VALUE"""),"FF")</f>
        <v>FF</v>
      </c>
      <c r="H1521" s="2005">
        <f>IFERROR(__xludf.DUMMYFUNCTION("""COMPUTED_VALUE"""),129.99)</f>
        <v>129.99</v>
      </c>
      <c r="I1521" s="2005">
        <f>IFERROR(__xludf.DUMMYFUNCTION("""COMPUTED_VALUE"""),129.99)</f>
        <v>129.99</v>
      </c>
      <c r="BD1521" s="2006"/>
      <c r="LL1521" s="2007"/>
      <c r="LM1521" s="2007"/>
      <c r="MX1521" s="2007"/>
      <c r="ND1521" s="2007"/>
    </row>
    <row r="1522">
      <c r="A1522" s="2005">
        <f>IFERROR(__xludf.DUMMYFUNCTION("""COMPUTED_VALUE"""),1131220.0)</f>
        <v>1131220</v>
      </c>
      <c r="B1522" s="2005">
        <f>IFERROR(__xludf.DUMMYFUNCTION("""COMPUTED_VALUE"""),2502010.0)</f>
        <v>2502010</v>
      </c>
      <c r="C1522" s="2005" t="str">
        <f>IFERROR(__xludf.DUMMYFUNCTION("""COMPUTED_VALUE"""),"Souris")</f>
        <v>Souris</v>
      </c>
      <c r="D1522" s="2005" t="str">
        <f>IFERROR(__xludf.DUMMYFUNCTION("""COMPUTED_VALUE"""),"Riano noire")</f>
        <v>Riano noire</v>
      </c>
      <c r="E1522" s="2005" t="str">
        <f>IFERROR(__xludf.DUMMYFUNCTION("""COMPUTED_VALUE"""),"HAMA")</f>
        <v>HAMA</v>
      </c>
      <c r="F1522" s="2005" t="str">
        <f>IFERROR(__xludf.DUMMYFUNCTION("""COMPUTED_VALUE"""),"W")</f>
        <v>W</v>
      </c>
      <c r="G1522" s="2005" t="str">
        <f>IFERROR(__xludf.DUMMYFUNCTION("""COMPUTED_VALUE"""),"NN")</f>
        <v>NN</v>
      </c>
      <c r="H1522" s="2005">
        <f>IFERROR(__xludf.DUMMYFUNCTION("""COMPUTED_VALUE"""),8.99)</f>
        <v>8.99</v>
      </c>
      <c r="I1522" s="2005">
        <f>IFERROR(__xludf.DUMMYFUNCTION("""COMPUTED_VALUE"""),8.99)</f>
        <v>8.99</v>
      </c>
      <c r="BD1522" s="2006"/>
      <c r="LL1522" s="2007"/>
      <c r="LM1522" s="2007"/>
      <c r="MX1522" s="2007"/>
      <c r="ND1522" s="2007"/>
    </row>
    <row r="1523">
      <c r="A1523" s="2005">
        <f>IFERROR(__xludf.DUMMYFUNCTION("""COMPUTED_VALUE"""),1131356.0)</f>
        <v>1131356</v>
      </c>
      <c r="B1523" s="2005">
        <f>IFERROR(__xludf.DUMMYFUNCTION("""COMPUTED_VALUE"""),2503010.0)</f>
        <v>2503010</v>
      </c>
      <c r="C1523" s="2005" t="str">
        <f>IFERROR(__xludf.DUMMYFUNCTION("""COMPUTED_VALUE"""),"Micro")</f>
        <v>Micro</v>
      </c>
      <c r="D1523" s="2005" t="str">
        <f>IFERROR(__xludf.DUMMYFUNCTION("""COMPUTED_VALUE"""),"A clip")</f>
        <v>A clip</v>
      </c>
      <c r="E1523" s="2005" t="str">
        <f>IFERROR(__xludf.DUMMYFUNCTION("""COMPUTED_VALUE"""),"HAMA")</f>
        <v>HAMA</v>
      </c>
      <c r="F1523" s="2005" t="str">
        <f>IFERROR(__xludf.DUMMYFUNCTION("""COMPUTED_VALUE"""),"W")</f>
        <v>W</v>
      </c>
      <c r="G1523" s="2005" t="str">
        <f>IFERROR(__xludf.DUMMYFUNCTION("""COMPUTED_VALUE"""),"NN")</f>
        <v>NN</v>
      </c>
      <c r="H1523" s="2005">
        <f>IFERROR(__xludf.DUMMYFUNCTION("""COMPUTED_VALUE"""),3.99)</f>
        <v>3.99</v>
      </c>
      <c r="I1523" s="2005">
        <f>IFERROR(__xludf.DUMMYFUNCTION("""COMPUTED_VALUE"""),3.99)</f>
        <v>3.99</v>
      </c>
      <c r="BD1523" s="2006"/>
      <c r="LL1523" s="2007"/>
      <c r="LM1523" s="2007"/>
      <c r="MX1523" s="2007"/>
      <c r="ND1523" s="2007"/>
    </row>
    <row r="1524">
      <c r="A1524" s="2005">
        <f>IFERROR(__xludf.DUMMYFUNCTION("""COMPUTED_VALUE"""),1131358.0)</f>
        <v>1131358</v>
      </c>
      <c r="B1524" s="2005">
        <f>IFERROR(__xludf.DUMMYFUNCTION("""COMPUTED_VALUE"""),2503010.0)</f>
        <v>2503010</v>
      </c>
      <c r="C1524" s="2005" t="str">
        <f>IFERROR(__xludf.DUMMYFUNCTION("""COMPUTED_VALUE"""),"Micro")</f>
        <v>Micro</v>
      </c>
      <c r="D1524" s="2005" t="str">
        <f>IFERROR(__xludf.DUMMYFUNCTION("""COMPUTED_VALUE"""),"CS-461 Noir")</f>
        <v>CS-461 Noir</v>
      </c>
      <c r="E1524" s="2005" t="str">
        <f>IFERROR(__xludf.DUMMYFUNCTION("""COMPUTED_VALUE"""),"HAMA")</f>
        <v>HAMA</v>
      </c>
      <c r="F1524" s="2005" t="str">
        <f>IFERROR(__xludf.DUMMYFUNCTION("""COMPUTED_VALUE"""),"W")</f>
        <v>W</v>
      </c>
      <c r="G1524" s="2005" t="str">
        <f>IFERROR(__xludf.DUMMYFUNCTION("""COMPUTED_VALUE"""),"NN")</f>
        <v>NN</v>
      </c>
      <c r="H1524" s="2005">
        <f>IFERROR(__xludf.DUMMYFUNCTION("""COMPUTED_VALUE"""),7.99)</f>
        <v>7.99</v>
      </c>
      <c r="I1524" s="2005">
        <f>IFERROR(__xludf.DUMMYFUNCTION("""COMPUTED_VALUE"""),7.99)</f>
        <v>7.99</v>
      </c>
      <c r="BD1524" s="2006"/>
      <c r="LL1524" s="2007"/>
      <c r="LM1524" s="2007"/>
      <c r="MX1524" s="2007"/>
      <c r="ND1524" s="2007"/>
    </row>
    <row r="1525">
      <c r="A1525" s="2005">
        <f>IFERROR(__xludf.DUMMYFUNCTION("""COMPUTED_VALUE"""),1131917.0)</f>
        <v>1131917</v>
      </c>
      <c r="B1525" s="2005">
        <f>IFERROR(__xludf.DUMMYFUNCTION("""COMPUTED_VALUE"""),2209805.0)</f>
        <v>2209805</v>
      </c>
      <c r="C1525" s="2005" t="str">
        <f>IFERROR(__xludf.DUMMYFUNCTION("""COMPUTED_VALUE"""),"Lot")</f>
        <v>Lot</v>
      </c>
      <c r="D1525" s="2005" t="str">
        <f>IFERROR(__xludf.DUMMYFUNCTION("""COMPUTED_VALUE"""),"EcoTank ET-M1120 + Bouteille 111 Noire")</f>
        <v>EcoTank ET-M1120 + Bouteille 111 Noire</v>
      </c>
      <c r="E1525" s="2005" t="str">
        <f>IFERROR(__xludf.DUMMYFUNCTION("""COMPUTED_VALUE"""),"EPSON")</f>
        <v>EPSON</v>
      </c>
      <c r="F1525" s="2005" t="str">
        <f>IFERROR(__xludf.DUMMYFUNCTION("""COMPUTED_VALUE"""),"H")</f>
        <v>H</v>
      </c>
      <c r="G1525" s="2005" t="str">
        <f>IFERROR(__xludf.DUMMYFUNCTION("""COMPUTED_VALUE"""),"AC")</f>
        <v>AC</v>
      </c>
      <c r="H1525" s="2005">
        <f>IFERROR(__xludf.DUMMYFUNCTION("""COMPUTED_VALUE"""),204.26)</f>
        <v>204.26</v>
      </c>
      <c r="I1525" s="2005">
        <f>IFERROR(__xludf.DUMMYFUNCTION("""COMPUTED_VALUE"""),157.13)</f>
        <v>157.13</v>
      </c>
      <c r="BD1525" s="2006"/>
      <c r="LL1525" s="2007"/>
      <c r="LM1525" s="2007"/>
      <c r="MX1525" s="2007"/>
      <c r="ND1525" s="2007"/>
    </row>
    <row r="1526">
      <c r="A1526" s="2005">
        <f>IFERROR(__xludf.DUMMYFUNCTION("""COMPUTED_VALUE"""),1131918.0)</f>
        <v>1131918</v>
      </c>
      <c r="B1526" s="2005">
        <f>IFERROR(__xludf.DUMMYFUNCTION("""COMPUTED_VALUE"""),2209805.0)</f>
        <v>2209805</v>
      </c>
      <c r="C1526" s="2005" t="str">
        <f>IFERROR(__xludf.DUMMYFUNCTION("""COMPUTED_VALUE"""),"Lot")</f>
        <v>Lot</v>
      </c>
      <c r="D1526" s="2005" t="str">
        <f>IFERROR(__xludf.DUMMYFUNCTION("""COMPUTED_VALUE"""),"EcoTank ET-M2170 + Bouteille 111 Noire")</f>
        <v>EcoTank ET-M2170 + Bouteille 111 Noire</v>
      </c>
      <c r="E1526" s="2005" t="str">
        <f>IFERROR(__xludf.DUMMYFUNCTION("""COMPUTED_VALUE"""),"EPSON")</f>
        <v>EPSON</v>
      </c>
      <c r="F1526" s="2005" t="str">
        <f>IFERROR(__xludf.DUMMYFUNCTION("""COMPUTED_VALUE"""),"H")</f>
        <v>H</v>
      </c>
      <c r="G1526" s="2005" t="str">
        <f>IFERROR(__xludf.DUMMYFUNCTION("""COMPUTED_VALUE"""),"AC")</f>
        <v>AC</v>
      </c>
      <c r="H1526" s="2005">
        <f>IFERROR(__xludf.DUMMYFUNCTION("""COMPUTED_VALUE"""),365.78)</f>
        <v>365.78</v>
      </c>
      <c r="I1526" s="2005">
        <f>IFERROR(__xludf.DUMMYFUNCTION("""COMPUTED_VALUE"""),365.78)</f>
        <v>365.78</v>
      </c>
      <c r="BD1526" s="2006"/>
      <c r="LL1526" s="2007"/>
      <c r="LM1526" s="2007"/>
      <c r="MX1526" s="2007"/>
      <c r="ND1526" s="2007"/>
    </row>
    <row r="1527">
      <c r="A1527" s="2005">
        <f>IFERROR(__xludf.DUMMYFUNCTION("""COMPUTED_VALUE"""),1133600.0)</f>
        <v>1133600</v>
      </c>
      <c r="B1527" s="2005">
        <f>IFERROR(__xludf.DUMMYFUNCTION("""COMPUTED_VALUE"""),2403005.0)</f>
        <v>2403005</v>
      </c>
      <c r="C1527" s="2005" t="str">
        <f>IFERROR(__xludf.DUMMYFUNCTION("""COMPUTED_VALUE"""),"Cartouche")</f>
        <v>Cartouche</v>
      </c>
      <c r="D1527" s="2005" t="str">
        <f>IFERROR(__xludf.DUMMYFUNCTION("""COMPUTED_VALUE"""),"603 Cyan Etoile de Mer")</f>
        <v>603 Cyan Etoile de Mer</v>
      </c>
      <c r="E1527" s="2005" t="str">
        <f>IFERROR(__xludf.DUMMYFUNCTION("""COMPUTED_VALUE"""),"EPSON")</f>
        <v>EPSON</v>
      </c>
      <c r="F1527" s="2005" t="str">
        <f>IFERROR(__xludf.DUMMYFUNCTION("""COMPUTED_VALUE"""),"B")</f>
        <v>B</v>
      </c>
      <c r="G1527" s="2005" t="str">
        <f>IFERROR(__xludf.DUMMYFUNCTION("""COMPUTED_VALUE"""),"AC")</f>
        <v>AC</v>
      </c>
      <c r="H1527" s="2005">
        <f>IFERROR(__xludf.DUMMYFUNCTION("""COMPUTED_VALUE"""),9.99)</f>
        <v>9.99</v>
      </c>
      <c r="I1527" s="2005">
        <f>IFERROR(__xludf.DUMMYFUNCTION("""COMPUTED_VALUE"""),9.99)</f>
        <v>9.99</v>
      </c>
      <c r="BD1527" s="2006"/>
      <c r="LL1527" s="2007"/>
      <c r="LM1527" s="2007"/>
      <c r="MX1527" s="2007"/>
      <c r="ND1527" s="2007"/>
    </row>
    <row r="1528">
      <c r="A1528" s="2005">
        <f>IFERROR(__xludf.DUMMYFUNCTION("""COMPUTED_VALUE"""),1133608.0)</f>
        <v>1133608</v>
      </c>
      <c r="B1528" s="2005">
        <f>IFERROR(__xludf.DUMMYFUNCTION("""COMPUTED_VALUE"""),2403005.0)</f>
        <v>2403005</v>
      </c>
      <c r="C1528" s="2005" t="str">
        <f>IFERROR(__xludf.DUMMYFUNCTION("""COMPUTED_VALUE"""),"Cartouche")</f>
        <v>Cartouche</v>
      </c>
      <c r="D1528" s="2005" t="str">
        <f>IFERROR(__xludf.DUMMYFUNCTION("""COMPUTED_VALUE"""),"603 Magenta Etoile de Mer")</f>
        <v>603 Magenta Etoile de Mer</v>
      </c>
      <c r="E1528" s="2005" t="str">
        <f>IFERROR(__xludf.DUMMYFUNCTION("""COMPUTED_VALUE"""),"EPSON")</f>
        <v>EPSON</v>
      </c>
      <c r="F1528" s="2005" t="str">
        <f>IFERROR(__xludf.DUMMYFUNCTION("""COMPUTED_VALUE"""),"B")</f>
        <v>B</v>
      </c>
      <c r="G1528" s="2005" t="str">
        <f>IFERROR(__xludf.DUMMYFUNCTION("""COMPUTED_VALUE"""),"AC")</f>
        <v>AC</v>
      </c>
      <c r="H1528" s="2005">
        <f>IFERROR(__xludf.DUMMYFUNCTION("""COMPUTED_VALUE"""),9.99)</f>
        <v>9.99</v>
      </c>
      <c r="I1528" s="2005">
        <f>IFERROR(__xludf.DUMMYFUNCTION("""COMPUTED_VALUE"""),9.99)</f>
        <v>9.99</v>
      </c>
      <c r="BD1528" s="2006"/>
      <c r="LL1528" s="2007"/>
      <c r="LM1528" s="2007"/>
      <c r="MX1528" s="2007"/>
      <c r="ND1528" s="2007"/>
    </row>
    <row r="1529">
      <c r="A1529" s="2005">
        <f>IFERROR(__xludf.DUMMYFUNCTION("""COMPUTED_VALUE"""),1133609.0)</f>
        <v>1133609</v>
      </c>
      <c r="B1529" s="2005">
        <f>IFERROR(__xludf.DUMMYFUNCTION("""COMPUTED_VALUE"""),2403005.0)</f>
        <v>2403005</v>
      </c>
      <c r="C1529" s="2005" t="str">
        <f>IFERROR(__xludf.DUMMYFUNCTION("""COMPUTED_VALUE"""),"Cartouche")</f>
        <v>Cartouche</v>
      </c>
      <c r="D1529" s="2005" t="str">
        <f>IFERROR(__xludf.DUMMYFUNCTION("""COMPUTED_VALUE"""),"603XL Magenta Etoile de mer")</f>
        <v>603XL Magenta Etoile de mer</v>
      </c>
      <c r="E1529" s="2005" t="str">
        <f>IFERROR(__xludf.DUMMYFUNCTION("""COMPUTED_VALUE"""),"EPSON")</f>
        <v>EPSON</v>
      </c>
      <c r="F1529" s="2005" t="str">
        <f>IFERROR(__xludf.DUMMYFUNCTION("""COMPUTED_VALUE"""),"D")</f>
        <v>D</v>
      </c>
      <c r="G1529" s="2005" t="str">
        <f>IFERROR(__xludf.DUMMYFUNCTION("""COMPUTED_VALUE"""),"AC")</f>
        <v>AC</v>
      </c>
      <c r="H1529">
        <f>IFERROR(__xludf.DUMMYFUNCTION("""COMPUTED_VALUE"""),19.99)</f>
        <v>19.99</v>
      </c>
      <c r="I1529">
        <f>IFERROR(__xludf.DUMMYFUNCTION("""COMPUTED_VALUE"""),19.99)</f>
        <v>19.99</v>
      </c>
      <c r="BD1529" s="2006"/>
      <c r="LL1529" s="2007"/>
      <c r="LM1529" s="2007"/>
      <c r="MX1529" s="2007"/>
      <c r="ND1529" s="2007"/>
    </row>
    <row r="1530">
      <c r="A1530" s="2005">
        <f>IFERROR(__xludf.DUMMYFUNCTION("""COMPUTED_VALUE"""),1133610.0)</f>
        <v>1133610</v>
      </c>
      <c r="B1530" s="2005">
        <f>IFERROR(__xludf.DUMMYFUNCTION("""COMPUTED_VALUE"""),2403005.0)</f>
        <v>2403005</v>
      </c>
      <c r="C1530" s="2005" t="str">
        <f>IFERROR(__xludf.DUMMYFUNCTION("""COMPUTED_VALUE"""),"Pack")</f>
        <v>Pack</v>
      </c>
      <c r="D1530" s="2005" t="str">
        <f>IFERROR(__xludf.DUMMYFUNCTION("""COMPUTED_VALUE"""),"603 (CMJ) Etoile de Mer")</f>
        <v>603 (CMJ) Etoile de Mer</v>
      </c>
      <c r="E1530" s="2005" t="str">
        <f>IFERROR(__xludf.DUMMYFUNCTION("""COMPUTED_VALUE"""),"EPSON")</f>
        <v>EPSON</v>
      </c>
      <c r="F1530" s="2005" t="str">
        <f>IFERROR(__xludf.DUMMYFUNCTION("""COMPUTED_VALUE"""),"A")</f>
        <v>A</v>
      </c>
      <c r="G1530" s="2005" t="str">
        <f>IFERROR(__xludf.DUMMYFUNCTION("""COMPUTED_VALUE"""),"AC")</f>
        <v>AC</v>
      </c>
      <c r="H1530" s="2005">
        <f>IFERROR(__xludf.DUMMYFUNCTION("""COMPUTED_VALUE"""),28.0)</f>
        <v>28</v>
      </c>
      <c r="I1530" s="2005">
        <f>IFERROR(__xludf.DUMMYFUNCTION("""COMPUTED_VALUE"""),28.0)</f>
        <v>28</v>
      </c>
      <c r="BD1530" s="2006"/>
      <c r="LL1530" s="2007"/>
      <c r="LM1530" s="2007"/>
      <c r="MX1530" s="2007"/>
      <c r="ND1530" s="2007"/>
    </row>
    <row r="1531">
      <c r="A1531" s="2005">
        <f>IFERROR(__xludf.DUMMYFUNCTION("""COMPUTED_VALUE"""),1133617.0)</f>
        <v>1133617</v>
      </c>
      <c r="B1531" s="2005">
        <f>IFERROR(__xludf.DUMMYFUNCTION("""COMPUTED_VALUE"""),2403005.0)</f>
        <v>2403005</v>
      </c>
      <c r="C1531" s="2005" t="str">
        <f>IFERROR(__xludf.DUMMYFUNCTION("""COMPUTED_VALUE"""),"Cartouche")</f>
        <v>Cartouche</v>
      </c>
      <c r="D1531" s="2005" t="str">
        <f>IFERROR(__xludf.DUMMYFUNCTION("""COMPUTED_VALUE"""),"603 Etoile de Mer noire")</f>
        <v>603 Etoile de Mer noire</v>
      </c>
      <c r="E1531" s="2005" t="str">
        <f>IFERROR(__xludf.DUMMYFUNCTION("""COMPUTED_VALUE"""),"EPSON")</f>
        <v>EPSON</v>
      </c>
      <c r="F1531" s="2005" t="str">
        <f>IFERROR(__xludf.DUMMYFUNCTION("""COMPUTED_VALUE"""),"A")</f>
        <v>A</v>
      </c>
      <c r="G1531" s="2005" t="str">
        <f>IFERROR(__xludf.DUMMYFUNCTION("""COMPUTED_VALUE"""),"AC")</f>
        <v>AC</v>
      </c>
      <c r="H1531">
        <f>IFERROR(__xludf.DUMMYFUNCTION("""COMPUTED_VALUE"""),16.99)</f>
        <v>16.99</v>
      </c>
      <c r="I1531">
        <f>IFERROR(__xludf.DUMMYFUNCTION("""COMPUTED_VALUE"""),16.99)</f>
        <v>16.99</v>
      </c>
      <c r="BD1531" s="2006"/>
      <c r="LL1531" s="2007"/>
      <c r="LM1531" s="2007"/>
      <c r="MX1531" s="2007"/>
      <c r="ND1531" s="2007"/>
    </row>
    <row r="1532">
      <c r="A1532" s="2005">
        <f>IFERROR(__xludf.DUMMYFUNCTION("""COMPUTED_VALUE"""),1133618.0)</f>
        <v>1133618</v>
      </c>
      <c r="B1532" s="2005">
        <f>IFERROR(__xludf.DUMMYFUNCTION("""COMPUTED_VALUE"""),2403005.0)</f>
        <v>2403005</v>
      </c>
      <c r="C1532" s="2005" t="str">
        <f>IFERROR(__xludf.DUMMYFUNCTION("""COMPUTED_VALUE"""),"Cartouche")</f>
        <v>Cartouche</v>
      </c>
      <c r="D1532" s="2005" t="str">
        <f>IFERROR(__xludf.DUMMYFUNCTION("""COMPUTED_VALUE"""),"603XL Etoile de Mer Cyan")</f>
        <v>603XL Etoile de Mer Cyan</v>
      </c>
      <c r="E1532" s="2005" t="str">
        <f>IFERROR(__xludf.DUMMYFUNCTION("""COMPUTED_VALUE"""),"EPSON")</f>
        <v>EPSON</v>
      </c>
      <c r="F1532" s="2005" t="str">
        <f>IFERROR(__xludf.DUMMYFUNCTION("""COMPUTED_VALUE"""),"D")</f>
        <v>D</v>
      </c>
      <c r="G1532" s="2005" t="str">
        <f>IFERROR(__xludf.DUMMYFUNCTION("""COMPUTED_VALUE"""),"AC")</f>
        <v>AC</v>
      </c>
      <c r="H1532" s="2005">
        <f>IFERROR(__xludf.DUMMYFUNCTION("""COMPUTED_VALUE"""),19.99)</f>
        <v>19.99</v>
      </c>
      <c r="I1532" s="2005">
        <f>IFERROR(__xludf.DUMMYFUNCTION("""COMPUTED_VALUE"""),19.99)</f>
        <v>19.99</v>
      </c>
      <c r="BD1532" s="2006"/>
      <c r="LL1532" s="2007"/>
      <c r="LM1532" s="2007"/>
      <c r="MX1532" s="2007"/>
      <c r="ND1532" s="2007"/>
    </row>
    <row r="1533">
      <c r="A1533" s="2005">
        <f>IFERROR(__xludf.DUMMYFUNCTION("""COMPUTED_VALUE"""),1133619.0)</f>
        <v>1133619</v>
      </c>
      <c r="B1533" s="2005">
        <f>IFERROR(__xludf.DUMMYFUNCTION("""COMPUTED_VALUE"""),2403005.0)</f>
        <v>2403005</v>
      </c>
      <c r="C1533" s="2005" t="str">
        <f>IFERROR(__xludf.DUMMYFUNCTION("""COMPUTED_VALUE"""),"Pack")</f>
        <v>Pack</v>
      </c>
      <c r="D1533" s="2005" t="str">
        <f>IFERROR(__xludf.DUMMYFUNCTION("""COMPUTED_VALUE"""),"603XL Noir et CMJ STD Etoile de Mer")</f>
        <v>603XL Noir et CMJ STD Etoile de Mer</v>
      </c>
      <c r="E1533" s="2005" t="str">
        <f>IFERROR(__xludf.DUMMYFUNCTION("""COMPUTED_VALUE"""),"EPSON")</f>
        <v>EPSON</v>
      </c>
      <c r="F1533" s="2005" t="str">
        <f>IFERROR(__xludf.DUMMYFUNCTION("""COMPUTED_VALUE"""),"A")</f>
        <v>A</v>
      </c>
      <c r="G1533" s="2005" t="str">
        <f>IFERROR(__xludf.DUMMYFUNCTION("""COMPUTED_VALUE"""),"AC")</f>
        <v>AC</v>
      </c>
      <c r="H1533" s="2005">
        <f>IFERROR(__xludf.DUMMYFUNCTION("""COMPUTED_VALUE"""),60.0)</f>
        <v>60</v>
      </c>
      <c r="I1533" s="2005">
        <f>IFERROR(__xludf.DUMMYFUNCTION("""COMPUTED_VALUE"""),60.0)</f>
        <v>60</v>
      </c>
      <c r="BD1533" s="2006"/>
      <c r="LL1533" s="2007"/>
      <c r="LM1533" s="2007"/>
      <c r="MX1533" s="2007"/>
      <c r="ND1533" s="2007"/>
    </row>
    <row r="1534">
      <c r="A1534" s="2005">
        <f>IFERROR(__xludf.DUMMYFUNCTION("""COMPUTED_VALUE"""),1133624.0)</f>
        <v>1133624</v>
      </c>
      <c r="B1534" s="2005">
        <f>IFERROR(__xludf.DUMMYFUNCTION("""COMPUTED_VALUE"""),2403005.0)</f>
        <v>2403005</v>
      </c>
      <c r="C1534" s="2005" t="str">
        <f>IFERROR(__xludf.DUMMYFUNCTION("""COMPUTED_VALUE"""),"Cartouche")</f>
        <v>Cartouche</v>
      </c>
      <c r="D1534" s="2005" t="str">
        <f>IFERROR(__xludf.DUMMYFUNCTION("""COMPUTED_VALUE"""),"603 Jaune Etoile de Mer")</f>
        <v>603 Jaune Etoile de Mer</v>
      </c>
      <c r="E1534" s="2005" t="str">
        <f>IFERROR(__xludf.DUMMYFUNCTION("""COMPUTED_VALUE"""),"EPSON")</f>
        <v>EPSON</v>
      </c>
      <c r="F1534" s="2005" t="str">
        <f>IFERROR(__xludf.DUMMYFUNCTION("""COMPUTED_VALUE"""),"B")</f>
        <v>B</v>
      </c>
      <c r="G1534" s="2005" t="str">
        <f>IFERROR(__xludf.DUMMYFUNCTION("""COMPUTED_VALUE"""),"AC")</f>
        <v>AC</v>
      </c>
      <c r="H1534" s="2005">
        <f>IFERROR(__xludf.DUMMYFUNCTION("""COMPUTED_VALUE"""),9.99)</f>
        <v>9.99</v>
      </c>
      <c r="I1534" s="2005">
        <f>IFERROR(__xludf.DUMMYFUNCTION("""COMPUTED_VALUE"""),9.99)</f>
        <v>9.99</v>
      </c>
      <c r="BD1534" s="2006"/>
      <c r="LL1534" s="2007"/>
      <c r="LM1534" s="2007"/>
      <c r="MX1534" s="2007"/>
      <c r="ND1534" s="2007"/>
    </row>
    <row r="1535">
      <c r="A1535" s="2005">
        <f>IFERROR(__xludf.DUMMYFUNCTION("""COMPUTED_VALUE"""),1133625.0)</f>
        <v>1133625</v>
      </c>
      <c r="B1535" s="2005">
        <f>IFERROR(__xludf.DUMMYFUNCTION("""COMPUTED_VALUE"""),2403005.0)</f>
        <v>2403005</v>
      </c>
      <c r="C1535" s="2005" t="str">
        <f>IFERROR(__xludf.DUMMYFUNCTION("""COMPUTED_VALUE"""),"Cartouche")</f>
        <v>Cartouche</v>
      </c>
      <c r="D1535" s="2005" t="str">
        <f>IFERROR(__xludf.DUMMYFUNCTION("""COMPUTED_VALUE"""),"603XL Etoile de Mer Jaune")</f>
        <v>603XL Etoile de Mer Jaune</v>
      </c>
      <c r="E1535" s="2005" t="str">
        <f>IFERROR(__xludf.DUMMYFUNCTION("""COMPUTED_VALUE"""),"EPSON")</f>
        <v>EPSON</v>
      </c>
      <c r="F1535" s="2005" t="str">
        <f>IFERROR(__xludf.DUMMYFUNCTION("""COMPUTED_VALUE"""),"D")</f>
        <v>D</v>
      </c>
      <c r="G1535" s="2005" t="str">
        <f>IFERROR(__xludf.DUMMYFUNCTION("""COMPUTED_VALUE"""),"AC")</f>
        <v>AC</v>
      </c>
      <c r="H1535" s="2005">
        <f>IFERROR(__xludf.DUMMYFUNCTION("""COMPUTED_VALUE"""),19.99)</f>
        <v>19.99</v>
      </c>
      <c r="I1535" s="2005">
        <f>IFERROR(__xludf.DUMMYFUNCTION("""COMPUTED_VALUE"""),19.99)</f>
        <v>19.99</v>
      </c>
      <c r="BD1535" s="2006"/>
      <c r="LL1535" s="2007"/>
      <c r="LM1535" s="2007"/>
      <c r="MX1535" s="2007"/>
      <c r="ND1535" s="2007"/>
    </row>
    <row r="1536">
      <c r="A1536" s="2005">
        <f>IFERROR(__xludf.DUMMYFUNCTION("""COMPUTED_VALUE"""),1133626.0)</f>
        <v>1133626</v>
      </c>
      <c r="B1536" s="2005">
        <f>IFERROR(__xludf.DUMMYFUNCTION("""COMPUTED_VALUE"""),2403005.0)</f>
        <v>2403005</v>
      </c>
      <c r="C1536" s="2005" t="str">
        <f>IFERROR(__xludf.DUMMYFUNCTION("""COMPUTED_VALUE"""),"Pack")</f>
        <v>Pack</v>
      </c>
      <c r="D1536" s="2005" t="str">
        <f>IFERROR(__xludf.DUMMYFUNCTION("""COMPUTED_VALUE"""),"603 Etoile de Mer (CMJ N)")</f>
        <v>603 Etoile de Mer (CMJ N)</v>
      </c>
      <c r="E1536" s="2005" t="str">
        <f>IFERROR(__xludf.DUMMYFUNCTION("""COMPUTED_VALUE"""),"EPSON")</f>
        <v>EPSON</v>
      </c>
      <c r="F1536" s="2005" t="str">
        <f>IFERROR(__xludf.DUMMYFUNCTION("""COMPUTED_VALUE"""),"A")</f>
        <v>A</v>
      </c>
      <c r="G1536" s="2005" t="str">
        <f>IFERROR(__xludf.DUMMYFUNCTION("""COMPUTED_VALUE"""),"AC")</f>
        <v>AC</v>
      </c>
      <c r="H1536" s="2005">
        <f>IFERROR(__xludf.DUMMYFUNCTION("""COMPUTED_VALUE"""),44.0)</f>
        <v>44</v>
      </c>
      <c r="I1536" s="2005">
        <f>IFERROR(__xludf.DUMMYFUNCTION("""COMPUTED_VALUE"""),44.0)</f>
        <v>44</v>
      </c>
      <c r="BD1536" s="2006"/>
      <c r="LL1536" s="2007"/>
      <c r="LM1536" s="2007"/>
      <c r="MX1536" s="2007"/>
      <c r="ND1536" s="2007"/>
    </row>
    <row r="1537">
      <c r="A1537" s="2005">
        <f>IFERROR(__xludf.DUMMYFUNCTION("""COMPUTED_VALUE"""),1133631.0)</f>
        <v>1133631</v>
      </c>
      <c r="B1537" s="2005">
        <f>IFERROR(__xludf.DUMMYFUNCTION("""COMPUTED_VALUE"""),2403005.0)</f>
        <v>2403005</v>
      </c>
      <c r="C1537" s="2005" t="str">
        <f>IFERROR(__xludf.DUMMYFUNCTION("""COMPUTED_VALUE"""),"Cartouche")</f>
        <v>Cartouche</v>
      </c>
      <c r="D1537" s="2005" t="str">
        <f>IFERROR(__xludf.DUMMYFUNCTION("""COMPUTED_VALUE"""),"603XL Noir Etoile de Mer")</f>
        <v>603XL Noir Etoile de Mer</v>
      </c>
      <c r="E1537" s="2005" t="str">
        <f>IFERROR(__xludf.DUMMYFUNCTION("""COMPUTED_VALUE"""),"EPSON")</f>
        <v>EPSON</v>
      </c>
      <c r="F1537" s="2005" t="str">
        <f>IFERROR(__xludf.DUMMYFUNCTION("""COMPUTED_VALUE"""),"B")</f>
        <v>B</v>
      </c>
      <c r="G1537" s="2005" t="str">
        <f>IFERROR(__xludf.DUMMYFUNCTION("""COMPUTED_VALUE"""),"AC")</f>
        <v>AC</v>
      </c>
      <c r="H1537" s="2005">
        <f>IFERROR(__xludf.DUMMYFUNCTION("""COMPUTED_VALUE"""),33.99)</f>
        <v>33.99</v>
      </c>
      <c r="I1537" s="2005">
        <f>IFERROR(__xludf.DUMMYFUNCTION("""COMPUTED_VALUE"""),33.99)</f>
        <v>33.99</v>
      </c>
      <c r="BD1537" s="2006"/>
      <c r="LL1537" s="2007"/>
      <c r="LM1537" s="2007"/>
      <c r="MX1537" s="2007"/>
      <c r="ND1537" s="2007"/>
    </row>
    <row r="1538">
      <c r="A1538" s="2005">
        <f>IFERROR(__xludf.DUMMYFUNCTION("""COMPUTED_VALUE"""),1133632.0)</f>
        <v>1133632</v>
      </c>
      <c r="B1538" s="2005">
        <f>IFERROR(__xludf.DUMMYFUNCTION("""COMPUTED_VALUE"""),2403005.0)</f>
        <v>2403005</v>
      </c>
      <c r="C1538" s="2005" t="str">
        <f>IFERROR(__xludf.DUMMYFUNCTION("""COMPUTED_VALUE"""),"Pack")</f>
        <v>Pack</v>
      </c>
      <c r="D1538" s="2005" t="str">
        <f>IFERROR(__xludf.DUMMYFUNCTION("""COMPUTED_VALUE"""),"603XL (CMJ N) Etoile de Mer")</f>
        <v>603XL (CMJ N) Etoile de Mer</v>
      </c>
      <c r="E1538" s="2005" t="str">
        <f>IFERROR(__xludf.DUMMYFUNCTION("""COMPUTED_VALUE"""),"EPSON")</f>
        <v>EPSON</v>
      </c>
      <c r="F1538" s="2005" t="str">
        <f>IFERROR(__xludf.DUMMYFUNCTION("""COMPUTED_VALUE"""),"C")</f>
        <v>C</v>
      </c>
      <c r="G1538" s="2005" t="str">
        <f>IFERROR(__xludf.DUMMYFUNCTION("""COMPUTED_VALUE"""),"AC")</f>
        <v>AC</v>
      </c>
      <c r="H1538" s="2005">
        <f>IFERROR(__xludf.DUMMYFUNCTION("""COMPUTED_VALUE"""),91.0)</f>
        <v>91</v>
      </c>
      <c r="I1538" s="2005">
        <f>IFERROR(__xludf.DUMMYFUNCTION("""COMPUTED_VALUE"""),91.0)</f>
        <v>91</v>
      </c>
      <c r="BD1538" s="2006"/>
      <c r="LL1538" s="2007"/>
      <c r="LM1538" s="2007"/>
      <c r="MX1538" s="2007"/>
      <c r="ND1538" s="2007"/>
    </row>
    <row r="1539">
      <c r="A1539" s="2005">
        <f>IFERROR(__xludf.DUMMYFUNCTION("""COMPUTED_VALUE"""),1133753.0)</f>
        <v>1133753</v>
      </c>
      <c r="B1539" s="2005">
        <f>IFERROR(__xludf.DUMMYFUNCTION("""COMPUTED_VALUE"""),2202008.0)</f>
        <v>2202008</v>
      </c>
      <c r="C1539" s="2005" t="str">
        <f>IFERROR(__xludf.DUMMYFUNCTION("""COMPUTED_VALUE"""),"Multi Laser")</f>
        <v>Multi Laser</v>
      </c>
      <c r="D1539" s="2005" t="str">
        <f>IFERROR(__xludf.DUMMYFUNCTION("""COMPUTED_VALUE"""),"LaserJet Pro M148dw")</f>
        <v>LaserJet Pro M148dw</v>
      </c>
      <c r="E1539" s="2005" t="str">
        <f>IFERROR(__xludf.DUMMYFUNCTION("""COMPUTED_VALUE"""),"HP")</f>
        <v>HP</v>
      </c>
      <c r="F1539" s="2005" t="str">
        <f>IFERROR(__xludf.DUMMYFUNCTION("""COMPUTED_VALUE"""),"C")</f>
        <v>C</v>
      </c>
      <c r="G1539" s="2005" t="str">
        <f>IFERROR(__xludf.DUMMYFUNCTION("""COMPUTED_VALUE"""),"NN")</f>
        <v>NN</v>
      </c>
      <c r="H1539" s="2005">
        <f>IFERROR(__xludf.DUMMYFUNCTION("""COMPUTED_VALUE"""),107.99)</f>
        <v>107.99</v>
      </c>
      <c r="I1539" s="2005">
        <f>IFERROR(__xludf.DUMMYFUNCTION("""COMPUTED_VALUE"""),107.99)</f>
        <v>107.99</v>
      </c>
      <c r="BD1539" s="2006"/>
      <c r="LL1539" s="2007"/>
      <c r="LM1539" s="2007"/>
      <c r="MX1539" s="2007"/>
      <c r="ND1539" s="2007"/>
    </row>
    <row r="1540">
      <c r="A1540" s="2005">
        <f>IFERROR(__xludf.DUMMYFUNCTION("""COMPUTED_VALUE"""),1134725.0)</f>
        <v>1134725</v>
      </c>
      <c r="B1540" s="2005">
        <f>IFERROR(__xludf.DUMMYFUNCTION("""COMPUTED_VALUE"""),2703025.0)</f>
        <v>2703025</v>
      </c>
      <c r="C1540" s="2005" t="str">
        <f>IFERROR(__xludf.DUMMYFUNCTION("""COMPUTED_VALUE"""),"DESTRUCTEUR")</f>
        <v>DESTRUCTEUR</v>
      </c>
      <c r="D1540" s="2005" t="str">
        <f>IFERROR(__xludf.DUMMYFUNCTION("""COMPUTED_VALUE"""),"60sC")</f>
        <v>60sC</v>
      </c>
      <c r="E1540" s="2005" t="str">
        <f>IFERROR(__xludf.DUMMYFUNCTION("""COMPUTED_VALUE"""),"FELLOWES")</f>
        <v>FELLOWES</v>
      </c>
      <c r="F1540" s="2005" t="str">
        <f>IFERROR(__xludf.DUMMYFUNCTION("""COMPUTED_VALUE"""),"H")</f>
        <v>H</v>
      </c>
      <c r="G1540" s="2005" t="str">
        <f>IFERROR(__xludf.DUMMYFUNCTION("""COMPUTED_VALUE"""),"NN")</f>
        <v>NN</v>
      </c>
      <c r="H1540" s="2005">
        <f>IFERROR(__xludf.DUMMYFUNCTION("""COMPUTED_VALUE"""),126.99)</f>
        <v>126.99</v>
      </c>
      <c r="I1540" s="2005">
        <f>IFERROR(__xludf.DUMMYFUNCTION("""COMPUTED_VALUE"""),126.99)</f>
        <v>126.99</v>
      </c>
      <c r="BD1540" s="2006"/>
      <c r="LL1540" s="2007"/>
      <c r="LM1540" s="2007"/>
      <c r="MX1540" s="2007"/>
      <c r="ND1540" s="2007"/>
    </row>
    <row r="1541">
      <c r="A1541" s="2005">
        <f>IFERROR(__xludf.DUMMYFUNCTION("""COMPUTED_VALUE"""),1134726.0)</f>
        <v>1134726</v>
      </c>
      <c r="B1541" s="2005">
        <f>IFERROR(__xludf.DUMMYFUNCTION("""COMPUTED_VALUE"""),2703025.0)</f>
        <v>2703025</v>
      </c>
      <c r="C1541" s="2005" t="str">
        <f>IFERROR(__xludf.DUMMYFUNCTION("""COMPUTED_VALUE"""),"DESTRUCTEUR")</f>
        <v>DESTRUCTEUR</v>
      </c>
      <c r="D1541" s="2005" t="str">
        <f>IFERROR(__xludf.DUMMYFUNCTION("""COMPUTED_VALUE"""),"AutoMax 200C")</f>
        <v>AutoMax 200C</v>
      </c>
      <c r="E1541" s="2005" t="str">
        <f>IFERROR(__xludf.DUMMYFUNCTION("""COMPUTED_VALUE"""),"FELLOWES")</f>
        <v>FELLOWES</v>
      </c>
      <c r="F1541" s="2005" t="str">
        <f>IFERROR(__xludf.DUMMYFUNCTION("""COMPUTED_VALUE"""),"H")</f>
        <v>H</v>
      </c>
      <c r="G1541" s="2005" t="str">
        <f>IFERROR(__xludf.DUMMYFUNCTION("""COMPUTED_VALUE"""),"NN")</f>
        <v>NN</v>
      </c>
      <c r="H1541" s="2005">
        <f>IFERROR(__xludf.DUMMYFUNCTION("""COMPUTED_VALUE"""),335.99)</f>
        <v>335.99</v>
      </c>
      <c r="I1541" s="2005">
        <f>IFERROR(__xludf.DUMMYFUNCTION("""COMPUTED_VALUE"""),335.99)</f>
        <v>335.99</v>
      </c>
      <c r="BD1541" s="2006"/>
      <c r="LL1541" s="2007"/>
      <c r="LM1541" s="2007"/>
      <c r="MX1541" s="2007"/>
      <c r="ND1541" s="2007"/>
    </row>
    <row r="1542">
      <c r="A1542" s="2005">
        <f>IFERROR(__xludf.DUMMYFUNCTION("""COMPUTED_VALUE"""),1134727.0)</f>
        <v>1134727</v>
      </c>
      <c r="B1542" s="2005">
        <f>IFERROR(__xludf.DUMMYFUNCTION("""COMPUTED_VALUE"""),2703025.0)</f>
        <v>2703025</v>
      </c>
      <c r="C1542" s="2005" t="str">
        <f>IFERROR(__xludf.DUMMYFUNCTION("""COMPUTED_VALUE"""),"DESTRUCTEUR")</f>
        <v>DESTRUCTEUR</v>
      </c>
      <c r="D1542" s="2005" t="str">
        <f>IFERROR(__xludf.DUMMYFUNCTION("""COMPUTED_VALUE"""),"AutoMax 100M")</f>
        <v>AutoMax 100M</v>
      </c>
      <c r="E1542" s="2005" t="str">
        <f>IFERROR(__xludf.DUMMYFUNCTION("""COMPUTED_VALUE"""),"FELLOWES")</f>
        <v>FELLOWES</v>
      </c>
      <c r="F1542" s="2005" t="str">
        <f>IFERROR(__xludf.DUMMYFUNCTION("""COMPUTED_VALUE"""),"H")</f>
        <v>H</v>
      </c>
      <c r="G1542" s="2005" t="str">
        <f>IFERROR(__xludf.DUMMYFUNCTION("""COMPUTED_VALUE"""),"AC")</f>
        <v>AC</v>
      </c>
      <c r="H1542" s="2005">
        <f>IFERROR(__xludf.DUMMYFUNCTION("""COMPUTED_VALUE"""),349.99)</f>
        <v>349.99</v>
      </c>
      <c r="I1542" s="2005">
        <f>IFERROR(__xludf.DUMMYFUNCTION("""COMPUTED_VALUE"""),276.72)</f>
        <v>276.72</v>
      </c>
      <c r="BD1542" s="2006"/>
      <c r="LL1542" s="2007"/>
      <c r="LM1542" s="2007"/>
      <c r="MX1542" s="2007"/>
      <c r="ND1542" s="2007"/>
    </row>
    <row r="1543">
      <c r="A1543" s="2005">
        <f>IFERROR(__xludf.DUMMYFUNCTION("""COMPUTED_VALUE"""),1134810.0)</f>
        <v>1134810</v>
      </c>
      <c r="B1543" s="2005">
        <f>IFERROR(__xludf.DUMMYFUNCTION("""COMPUTED_VALUE"""),2502040.0)</f>
        <v>2502040</v>
      </c>
      <c r="C1543" s="2005" t="str">
        <f>IFERROR(__xludf.DUMMYFUNCTION("""COMPUTED_VALUE"""),"Stylet")</f>
        <v>Stylet</v>
      </c>
      <c r="D1543" s="2005" t="str">
        <f>IFERROR(__xludf.DUMMYFUNCTION("""COMPUTED_VALUE"""),"Surface Pen Rouge Coquelicot")</f>
        <v>Surface Pen Rouge Coquelicot</v>
      </c>
      <c r="E1543" s="2005" t="str">
        <f>IFERROR(__xludf.DUMMYFUNCTION("""COMPUTED_VALUE"""),"MICROSOFT")</f>
        <v>MICROSOFT</v>
      </c>
      <c r="F1543" s="2005" t="str">
        <f>IFERROR(__xludf.DUMMYFUNCTION("""COMPUTED_VALUE"""),"H")</f>
        <v>H</v>
      </c>
      <c r="G1543" s="2005" t="str">
        <f>IFERROR(__xludf.DUMMYFUNCTION("""COMPUTED_VALUE"""),"NN")</f>
        <v>NN</v>
      </c>
      <c r="H1543" s="2005">
        <f>IFERROR(__xludf.DUMMYFUNCTION("""COMPUTED_VALUE"""),66.9)</f>
        <v>66.9</v>
      </c>
      <c r="I1543" s="2005">
        <f>IFERROR(__xludf.DUMMYFUNCTION("""COMPUTED_VALUE"""),66.9)</f>
        <v>66.9</v>
      </c>
      <c r="BD1543" s="2006"/>
      <c r="LL1543" s="2007"/>
      <c r="LM1543" s="2007"/>
      <c r="MX1543" s="2007"/>
      <c r="ND1543" s="2007"/>
    </row>
    <row r="1544">
      <c r="A1544" s="2005">
        <f>IFERROR(__xludf.DUMMYFUNCTION("""COMPUTED_VALUE"""),1134811.0)</f>
        <v>1134811</v>
      </c>
      <c r="B1544" s="2005">
        <f>IFERROR(__xludf.DUMMYFUNCTION("""COMPUTED_VALUE"""),2502040.0)</f>
        <v>2502040</v>
      </c>
      <c r="C1544" s="2005" t="str">
        <f>IFERROR(__xludf.DUMMYFUNCTION("""COMPUTED_VALUE"""),"Stylet")</f>
        <v>Stylet</v>
      </c>
      <c r="D1544" s="2005" t="str">
        <f>IFERROR(__xludf.DUMMYFUNCTION("""COMPUTED_VALUE"""),"Surface Pen Bleu Glacier")</f>
        <v>Surface Pen Bleu Glacier</v>
      </c>
      <c r="E1544" s="2005" t="str">
        <f>IFERROR(__xludf.DUMMYFUNCTION("""COMPUTED_VALUE"""),"MICROSOFT")</f>
        <v>MICROSOFT</v>
      </c>
      <c r="F1544" s="2005" t="str">
        <f>IFERROR(__xludf.DUMMYFUNCTION("""COMPUTED_VALUE"""),"H")</f>
        <v>H</v>
      </c>
      <c r="G1544" s="2005" t="str">
        <f>IFERROR(__xludf.DUMMYFUNCTION("""COMPUTED_VALUE"""),"AC")</f>
        <v>AC</v>
      </c>
      <c r="H1544" s="2005">
        <f>IFERROR(__xludf.DUMMYFUNCTION("""COMPUTED_VALUE"""),109.9)</f>
        <v>109.9</v>
      </c>
      <c r="I1544" s="2005">
        <f>IFERROR(__xludf.DUMMYFUNCTION("""COMPUTED_VALUE"""),109.9)</f>
        <v>109.9</v>
      </c>
      <c r="LL1544" s="2008"/>
      <c r="LM1544" s="2007"/>
    </row>
    <row r="1545">
      <c r="A1545" s="2005">
        <f>IFERROR(__xludf.DUMMYFUNCTION("""COMPUTED_VALUE"""),1134812.0)</f>
        <v>1134812</v>
      </c>
      <c r="B1545" s="2005">
        <f>IFERROR(__xludf.DUMMYFUNCTION("""COMPUTED_VALUE"""),2502040.0)</f>
        <v>2502040</v>
      </c>
      <c r="C1545" s="2005" t="str">
        <f>IFERROR(__xludf.DUMMYFUNCTION("""COMPUTED_VALUE"""),"Clavier")</f>
        <v>Clavier</v>
      </c>
      <c r="D1545" s="2005" t="str">
        <f>IFERROR(__xludf.DUMMYFUNCTION("""COMPUTED_VALUE"""),"Type Cover Surface Pro Rouge  Coquelicot")</f>
        <v>Type Cover Surface Pro Rouge  Coquelicot</v>
      </c>
      <c r="E1545" s="2005" t="str">
        <f>IFERROR(__xludf.DUMMYFUNCTION("""COMPUTED_VALUE"""),"MICROSOFT")</f>
        <v>MICROSOFT</v>
      </c>
      <c r="F1545" s="2005" t="str">
        <f>IFERROR(__xludf.DUMMYFUNCTION("""COMPUTED_VALUE"""),"H")</f>
        <v>H</v>
      </c>
      <c r="G1545" s="2005" t="str">
        <f>IFERROR(__xludf.DUMMYFUNCTION("""COMPUTED_VALUE"""),"NN")</f>
        <v>NN</v>
      </c>
      <c r="H1545" s="2005">
        <f>IFERROR(__xludf.DUMMYFUNCTION("""COMPUTED_VALUE"""),108.99)</f>
        <v>108.99</v>
      </c>
      <c r="I1545" s="2005">
        <f>IFERROR(__xludf.DUMMYFUNCTION("""COMPUTED_VALUE"""),108.99)</f>
        <v>108.99</v>
      </c>
      <c r="LL1545" s="2007"/>
      <c r="LM1545" s="2007"/>
    </row>
    <row r="1546">
      <c r="A1546" s="2005">
        <f>IFERROR(__xludf.DUMMYFUNCTION("""COMPUTED_VALUE"""),1134926.0)</f>
        <v>1134926</v>
      </c>
      <c r="B1546" s="2005">
        <f>IFERROR(__xludf.DUMMYFUNCTION("""COMPUTED_VALUE"""),2202005.0)</f>
        <v>2202005</v>
      </c>
      <c r="C1546" s="2005" t="str">
        <f>IFERROR(__xludf.DUMMYFUNCTION("""COMPUTED_VALUE"""),"Multi Jet d'enc")</f>
        <v>Multi Jet d'enc</v>
      </c>
      <c r="D1546" s="2005" t="str">
        <f>IFERROR(__xludf.DUMMYFUNCTION("""COMPUTED_VALUE"""),"TS 6350 noir")</f>
        <v>TS 6350 noir</v>
      </c>
      <c r="E1546" s="2005" t="str">
        <f>IFERROR(__xludf.DUMMYFUNCTION("""COMPUTED_VALUE"""),"CANON")</f>
        <v>CANON</v>
      </c>
      <c r="F1546" s="2005" t="str">
        <f>IFERROR(__xludf.DUMMYFUNCTION("""COMPUTED_VALUE"""),"H")</f>
        <v>H</v>
      </c>
      <c r="G1546" s="2005" t="str">
        <f>IFERROR(__xludf.DUMMYFUNCTION("""COMPUTED_VALUE"""),"NN")</f>
        <v>NN</v>
      </c>
      <c r="H1546" s="2005">
        <f>IFERROR(__xludf.DUMMYFUNCTION("""COMPUTED_VALUE"""),139.99)</f>
        <v>139.99</v>
      </c>
      <c r="I1546" s="2005">
        <f>IFERROR(__xludf.DUMMYFUNCTION("""COMPUTED_VALUE"""),139.99)</f>
        <v>139.99</v>
      </c>
      <c r="LL1546" s="2008"/>
      <c r="LM1546" s="2007"/>
    </row>
    <row r="1547">
      <c r="A1547" s="2005">
        <f>IFERROR(__xludf.DUMMYFUNCTION("""COMPUTED_VALUE"""),1134927.0)</f>
        <v>1134927</v>
      </c>
      <c r="B1547" s="2005">
        <f>IFERROR(__xludf.DUMMYFUNCTION("""COMPUTED_VALUE"""),2202005.0)</f>
        <v>2202005</v>
      </c>
      <c r="C1547" s="2005" t="str">
        <f>IFERROR(__xludf.DUMMYFUNCTION("""COMPUTED_VALUE"""),"Multi Jet d'enc")</f>
        <v>Multi Jet d'enc</v>
      </c>
      <c r="D1547" s="2005" t="str">
        <f>IFERROR(__xludf.DUMMYFUNCTION("""COMPUTED_VALUE"""),"TS 6351 Blanche")</f>
        <v>TS 6351 Blanche</v>
      </c>
      <c r="E1547" s="2005" t="str">
        <f>IFERROR(__xludf.DUMMYFUNCTION("""COMPUTED_VALUE"""),"CANON")</f>
        <v>CANON</v>
      </c>
      <c r="F1547" s="2005" t="str">
        <f>IFERROR(__xludf.DUMMYFUNCTION("""COMPUTED_VALUE"""),"E")</f>
        <v>E</v>
      </c>
      <c r="G1547" s="2005" t="str">
        <f>IFERROR(__xludf.DUMMYFUNCTION("""COMPUTED_VALUE"""),"NN")</f>
        <v>NN</v>
      </c>
      <c r="H1547" s="2005">
        <f>IFERROR(__xludf.DUMMYFUNCTION("""COMPUTED_VALUE"""),139.99)</f>
        <v>139.99</v>
      </c>
      <c r="I1547" s="2005">
        <f>IFERROR(__xludf.DUMMYFUNCTION("""COMPUTED_VALUE"""),139.99)</f>
        <v>139.99</v>
      </c>
      <c r="BD1547" s="2006"/>
      <c r="LL1547" s="2007"/>
      <c r="LM1547" s="2007"/>
      <c r="MX1547" s="2008"/>
      <c r="ND1547" s="2007"/>
    </row>
    <row r="1548">
      <c r="A1548" s="2005">
        <f>IFERROR(__xludf.DUMMYFUNCTION("""COMPUTED_VALUE"""),1134928.0)</f>
        <v>1134928</v>
      </c>
      <c r="B1548" s="2005">
        <f>IFERROR(__xludf.DUMMYFUNCTION("""COMPUTED_VALUE"""),2209805.0)</f>
        <v>2209805</v>
      </c>
      <c r="C1548" s="2005" t="str">
        <f>IFERROR(__xludf.DUMMYFUNCTION("""COMPUTED_VALUE"""),"Lot")</f>
        <v>Lot</v>
      </c>
      <c r="D1548" s="2005" t="str">
        <f>IFERROR(__xludf.DUMMYFUNCTION("""COMPUTED_VALUE"""),"TS 6350 Noire + cartouche PGI580 Noire")</f>
        <v>TS 6350 Noire + cartouche PGI580 Noire</v>
      </c>
      <c r="E1548" s="2005" t="str">
        <f>IFERROR(__xludf.DUMMYFUNCTION("""COMPUTED_VALUE"""),"CANON")</f>
        <v>CANON</v>
      </c>
      <c r="F1548" s="2005" t="str">
        <f>IFERROR(__xludf.DUMMYFUNCTION("""COMPUTED_VALUE"""),"H")</f>
        <v>H</v>
      </c>
      <c r="G1548" s="2005" t="str">
        <f>IFERROR(__xludf.DUMMYFUNCTION("""COMPUTED_VALUE"""),"NN")</f>
        <v>NN</v>
      </c>
      <c r="H1548">
        <f>IFERROR(__xludf.DUMMYFUNCTION("""COMPUTED_VALUE"""),147.76)</f>
        <v>147.76</v>
      </c>
      <c r="I1548">
        <f>IFERROR(__xludf.DUMMYFUNCTION("""COMPUTED_VALUE"""),147.76)</f>
        <v>147.76</v>
      </c>
      <c r="BD1548" s="2006"/>
      <c r="LL1548" s="2008"/>
      <c r="LM1548" s="2007"/>
      <c r="MX1548" s="2008"/>
      <c r="ND1548" s="2007"/>
    </row>
    <row r="1549">
      <c r="A1549" s="2005">
        <f>IFERROR(__xludf.DUMMYFUNCTION("""COMPUTED_VALUE"""),1134929.0)</f>
        <v>1134929</v>
      </c>
      <c r="B1549" s="2005">
        <f>IFERROR(__xludf.DUMMYFUNCTION("""COMPUTED_VALUE"""),2209805.0)</f>
        <v>2209805</v>
      </c>
      <c r="C1549" s="2005" t="str">
        <f>IFERROR(__xludf.DUMMYFUNCTION("""COMPUTED_VALUE"""),"Lot")</f>
        <v>Lot</v>
      </c>
      <c r="D1549" s="2005" t="str">
        <f>IFERROR(__xludf.DUMMYFUNCTION("""COMPUTED_VALUE"""),"TS 6351 Blanche + cartouche PGI580 Noire")</f>
        <v>TS 6351 Blanche + cartouche PGI580 Noire</v>
      </c>
      <c r="E1549" s="2005" t="str">
        <f>IFERROR(__xludf.DUMMYFUNCTION("""COMPUTED_VALUE"""),"CANON")</f>
        <v>CANON</v>
      </c>
      <c r="F1549" s="2005" t="str">
        <f>IFERROR(__xludf.DUMMYFUNCTION("""COMPUTED_VALUE"""),"H")</f>
        <v>H</v>
      </c>
      <c r="G1549" s="2005" t="str">
        <f>IFERROR(__xludf.DUMMYFUNCTION("""COMPUTED_VALUE"""),"NN")</f>
        <v>NN</v>
      </c>
      <c r="H1549" s="2005">
        <f>IFERROR(__xludf.DUMMYFUNCTION("""COMPUTED_VALUE"""),147.76)</f>
        <v>147.76</v>
      </c>
      <c r="I1549" s="2005">
        <f>IFERROR(__xludf.DUMMYFUNCTION("""COMPUTED_VALUE"""),147.76)</f>
        <v>147.76</v>
      </c>
      <c r="BD1549" s="2006"/>
      <c r="LL1549" s="2008"/>
      <c r="LM1549" s="2007"/>
      <c r="MX1549" s="2007"/>
      <c r="ND1549" s="2007"/>
    </row>
    <row r="1550">
      <c r="A1550" s="2005">
        <f>IFERROR(__xludf.DUMMYFUNCTION("""COMPUTED_VALUE"""),1135161.0)</f>
        <v>1135161</v>
      </c>
      <c r="B1550" s="2005">
        <f>IFERROR(__xludf.DUMMYFUNCTION("""COMPUTED_VALUE"""),2403030.0)</f>
        <v>2403030</v>
      </c>
      <c r="C1550" s="2005" t="str">
        <f>IFERROR(__xludf.DUMMYFUNCTION("""COMPUTED_VALUE"""),"Forfait")</f>
        <v>Forfait</v>
      </c>
      <c r="D1550" s="2005" t="str">
        <f>IFERROR(__xludf.DUMMYFUNCTION("""COMPUTED_VALUE"""),"Instant Ink Abonnement 700 pages")</f>
        <v>Instant Ink Abonnement 700 pages</v>
      </c>
      <c r="E1550" s="2005" t="str">
        <f>IFERROR(__xludf.DUMMYFUNCTION("""COMPUTED_VALUE"""),"HP")</f>
        <v>HP</v>
      </c>
      <c r="F1550" s="2005" t="str">
        <f>IFERROR(__xludf.DUMMYFUNCTION("""COMPUTED_VALUE"""),"B")</f>
        <v>B</v>
      </c>
      <c r="G1550" s="2005" t="str">
        <f>IFERROR(__xludf.DUMMYFUNCTION("""COMPUTED_VALUE"""),"NN")</f>
        <v>NN</v>
      </c>
      <c r="H1550" s="2005">
        <f>IFERROR(__xludf.DUMMYFUNCTION("""COMPUTED_VALUE"""),20.0)</f>
        <v>20</v>
      </c>
      <c r="I1550" s="2005">
        <f>IFERROR(__xludf.DUMMYFUNCTION("""COMPUTED_VALUE"""),20.0)</f>
        <v>20</v>
      </c>
      <c r="BD1550" s="2006"/>
      <c r="LL1550" s="2007"/>
      <c r="LM1550" s="2007"/>
      <c r="MX1550" s="2007"/>
      <c r="ND1550" s="2007"/>
    </row>
    <row r="1551">
      <c r="A1551" s="2005">
        <f>IFERROR(__xludf.DUMMYFUNCTION("""COMPUTED_VALUE"""),1135258.0)</f>
        <v>1135258</v>
      </c>
      <c r="B1551" s="2005">
        <f>IFERROR(__xludf.DUMMYFUNCTION("""COMPUTED_VALUE"""),2502040.0)</f>
        <v>2502040</v>
      </c>
      <c r="C1551" s="2005" t="str">
        <f>IFERROR(__xludf.DUMMYFUNCTION("""COMPUTED_VALUE"""),"Souris")</f>
        <v>Souris</v>
      </c>
      <c r="D1551" s="2005" t="str">
        <f>IFERROR(__xludf.DUMMYFUNCTION("""COMPUTED_VALUE"""),"Arc Edition Surface Bleu Glacier")</f>
        <v>Arc Edition Surface Bleu Glacier</v>
      </c>
      <c r="E1551" s="2005" t="str">
        <f>IFERROR(__xludf.DUMMYFUNCTION("""COMPUTED_VALUE"""),"MICROSOFT")</f>
        <v>MICROSOFT</v>
      </c>
      <c r="F1551" s="2005" t="str">
        <f>IFERROR(__xludf.DUMMYFUNCTION("""COMPUTED_VALUE"""),"H")</f>
        <v>H</v>
      </c>
      <c r="G1551" s="2005" t="str">
        <f>IFERROR(__xludf.DUMMYFUNCTION("""COMPUTED_VALUE"""),"NN")</f>
        <v>NN</v>
      </c>
      <c r="H1551" s="2005">
        <f>IFERROR(__xludf.DUMMYFUNCTION("""COMPUTED_VALUE"""),89.91)</f>
        <v>89.91</v>
      </c>
      <c r="I1551" s="2005">
        <f>IFERROR(__xludf.DUMMYFUNCTION("""COMPUTED_VALUE"""),89.91)</f>
        <v>89.91</v>
      </c>
      <c r="BD1551" s="2006"/>
      <c r="LL1551" s="2007"/>
      <c r="LM1551" s="2007"/>
      <c r="MX1551" s="2007"/>
      <c r="ND1551" s="2007"/>
    </row>
    <row r="1552">
      <c r="A1552" s="2005">
        <f>IFERROR(__xludf.DUMMYFUNCTION("""COMPUTED_VALUE"""),1135259.0)</f>
        <v>1135259</v>
      </c>
      <c r="B1552" s="2005">
        <f>IFERROR(__xludf.DUMMYFUNCTION("""COMPUTED_VALUE"""),2202005.0)</f>
        <v>2202005</v>
      </c>
      <c r="C1552" s="2005" t="str">
        <f>IFERROR(__xludf.DUMMYFUNCTION("""COMPUTED_VALUE"""),"Multi Jet d'enc")</f>
        <v>Multi Jet d'enc</v>
      </c>
      <c r="D1552" s="2005" t="str">
        <f>IFERROR(__xludf.DUMMYFUNCTION("""COMPUTED_VALUE"""),"TS 8350")</f>
        <v>TS 8350</v>
      </c>
      <c r="E1552" s="2005" t="str">
        <f>IFERROR(__xludf.DUMMYFUNCTION("""COMPUTED_VALUE"""),"CANON")</f>
        <v>CANON</v>
      </c>
      <c r="F1552" s="2005" t="str">
        <f>IFERROR(__xludf.DUMMYFUNCTION("""COMPUTED_VALUE"""),"H")</f>
        <v>H</v>
      </c>
      <c r="G1552" s="2005" t="str">
        <f>IFERROR(__xludf.DUMMYFUNCTION("""COMPUTED_VALUE"""),"NN")</f>
        <v>NN</v>
      </c>
      <c r="H1552">
        <f>IFERROR(__xludf.DUMMYFUNCTION("""COMPUTED_VALUE"""),199.99)</f>
        <v>199.99</v>
      </c>
      <c r="I1552">
        <f>IFERROR(__xludf.DUMMYFUNCTION("""COMPUTED_VALUE"""),199.99)</f>
        <v>199.99</v>
      </c>
      <c r="BD1552" s="2006"/>
      <c r="LL1552" s="2008"/>
      <c r="LM1552" s="2007"/>
      <c r="MX1552" s="2007"/>
      <c r="ND1552" s="2007"/>
    </row>
    <row r="1553">
      <c r="A1553" s="2005">
        <f>IFERROR(__xludf.DUMMYFUNCTION("""COMPUTED_VALUE"""),1135278.0)</f>
        <v>1135278</v>
      </c>
      <c r="B1553" s="2005">
        <f>IFERROR(__xludf.DUMMYFUNCTION("""COMPUTED_VALUE"""),2202005.0)</f>
        <v>2202005</v>
      </c>
      <c r="C1553" s="2005" t="str">
        <f>IFERROR(__xludf.DUMMYFUNCTION("""COMPUTED_VALUE"""),"Multi Jet d'enc")</f>
        <v>Multi Jet d'enc</v>
      </c>
      <c r="D1553" s="2005" t="str">
        <f>IFERROR(__xludf.DUMMYFUNCTION("""COMPUTED_VALUE"""),"TS 5350 noir")</f>
        <v>TS 5350 noir</v>
      </c>
      <c r="E1553" s="2005" t="str">
        <f>IFERROR(__xludf.DUMMYFUNCTION("""COMPUTED_VALUE"""),"CANON")</f>
        <v>CANON</v>
      </c>
      <c r="F1553" s="2005" t="str">
        <f>IFERROR(__xludf.DUMMYFUNCTION("""COMPUTED_VALUE"""),"H")</f>
        <v>H</v>
      </c>
      <c r="G1553" s="2005" t="str">
        <f>IFERROR(__xludf.DUMMYFUNCTION("""COMPUTED_VALUE"""),"NN")</f>
        <v>NN</v>
      </c>
      <c r="H1553" s="2005">
        <f>IFERROR(__xludf.DUMMYFUNCTION("""COMPUTED_VALUE"""),114.99)</f>
        <v>114.99</v>
      </c>
      <c r="I1553" s="2005">
        <f>IFERROR(__xludf.DUMMYFUNCTION("""COMPUTED_VALUE"""),114.99)</f>
        <v>114.99</v>
      </c>
      <c r="BD1553" s="2006"/>
      <c r="LL1553" s="2007"/>
      <c r="LM1553" s="2007"/>
      <c r="MX1553" s="2007"/>
      <c r="ND1553" s="2007"/>
    </row>
    <row r="1554">
      <c r="A1554" s="2005">
        <f>IFERROR(__xludf.DUMMYFUNCTION("""COMPUTED_VALUE"""),1135282.0)</f>
        <v>1135282</v>
      </c>
      <c r="B1554" s="2005">
        <f>IFERROR(__xludf.DUMMYFUNCTION("""COMPUTED_VALUE"""),2202005.0)</f>
        <v>2202005</v>
      </c>
      <c r="C1554" s="2005" t="str">
        <f>IFERROR(__xludf.DUMMYFUNCTION("""COMPUTED_VALUE"""),"Multi Jet d'enc")</f>
        <v>Multi Jet d'enc</v>
      </c>
      <c r="D1554" s="2005" t="str">
        <f>IFERROR(__xludf.DUMMYFUNCTION("""COMPUTED_VALUE"""),"TS 5351 Blanche")</f>
        <v>TS 5351 Blanche</v>
      </c>
      <c r="E1554" s="2005" t="str">
        <f>IFERROR(__xludf.DUMMYFUNCTION("""COMPUTED_VALUE"""),"CANON")</f>
        <v>CANON</v>
      </c>
      <c r="F1554" s="2005" t="str">
        <f>IFERROR(__xludf.DUMMYFUNCTION("""COMPUTED_VALUE"""),"H")</f>
        <v>H</v>
      </c>
      <c r="G1554" s="2005" t="str">
        <f>IFERROR(__xludf.DUMMYFUNCTION("""COMPUTED_VALUE"""),"NN")</f>
        <v>NN</v>
      </c>
      <c r="H1554" s="2005">
        <f>IFERROR(__xludf.DUMMYFUNCTION("""COMPUTED_VALUE"""),114.99)</f>
        <v>114.99</v>
      </c>
      <c r="I1554" s="2005">
        <f>IFERROR(__xludf.DUMMYFUNCTION("""COMPUTED_VALUE"""),114.99)</f>
        <v>114.99</v>
      </c>
      <c r="BD1554" s="2006"/>
      <c r="LL1554" s="2007"/>
      <c r="LM1554" s="2007"/>
      <c r="MX1554" s="2007"/>
      <c r="ND1554" s="2007"/>
    </row>
    <row r="1555">
      <c r="A1555" s="2005">
        <f>IFERROR(__xludf.DUMMYFUNCTION("""COMPUTED_VALUE"""),1135283.0)</f>
        <v>1135283</v>
      </c>
      <c r="B1555" s="2005">
        <f>IFERROR(__xludf.DUMMYFUNCTION("""COMPUTED_VALUE"""),2209805.0)</f>
        <v>2209805</v>
      </c>
      <c r="C1555" s="2005" t="str">
        <f>IFERROR(__xludf.DUMMYFUNCTION("""COMPUTED_VALUE"""),"Lot")</f>
        <v>Lot</v>
      </c>
      <c r="D1555" s="2005" t="str">
        <f>IFERROR(__xludf.DUMMYFUNCTION("""COMPUTED_VALUE"""),"TS 8350 Noire + cartouche PGI580 Noire")</f>
        <v>TS 8350 Noire + cartouche PGI580 Noire</v>
      </c>
      <c r="E1555" s="2005" t="str">
        <f>IFERROR(__xludf.DUMMYFUNCTION("""COMPUTED_VALUE"""),"CANON")</f>
        <v>CANON</v>
      </c>
      <c r="F1555" s="2005" t="str">
        <f>IFERROR(__xludf.DUMMYFUNCTION("""COMPUTED_VALUE"""),"H")</f>
        <v>H</v>
      </c>
      <c r="G1555" s="2005" t="str">
        <f>IFERROR(__xludf.DUMMYFUNCTION("""COMPUTED_VALUE"""),"NN")</f>
        <v>NN</v>
      </c>
      <c r="H1555" s="2005">
        <f>IFERROR(__xludf.DUMMYFUNCTION("""COMPUTED_VALUE"""),181.99)</f>
        <v>181.99</v>
      </c>
      <c r="I1555" s="2005">
        <f>IFERROR(__xludf.DUMMYFUNCTION("""COMPUTED_VALUE"""),181.99)</f>
        <v>181.99</v>
      </c>
      <c r="BD1555" s="2006"/>
      <c r="LL1555" s="2007"/>
      <c r="LM1555" s="2007"/>
      <c r="MX1555" s="2008"/>
      <c r="ND1555" s="2007"/>
    </row>
    <row r="1556">
      <c r="A1556" s="2005">
        <f>IFERROR(__xludf.DUMMYFUNCTION("""COMPUTED_VALUE"""),1135488.0)</f>
        <v>1135488</v>
      </c>
      <c r="B1556" s="2005">
        <f>IFERROR(__xludf.DUMMYFUNCTION("""COMPUTED_VALUE"""),2502040.0)</f>
        <v>2502040</v>
      </c>
      <c r="C1556" s="2005" t="str">
        <f>IFERROR(__xludf.DUMMYFUNCTION("""COMPUTED_VALUE"""),"Souris")</f>
        <v>Souris</v>
      </c>
      <c r="D1556" s="2005" t="str">
        <f>IFERROR(__xludf.DUMMYFUNCTION("""COMPUTED_VALUE"""),"Arc Edition Surface Rouge Coquelicot")</f>
        <v>Arc Edition Surface Rouge Coquelicot</v>
      </c>
      <c r="E1556" s="2005" t="str">
        <f>IFERROR(__xludf.DUMMYFUNCTION("""COMPUTED_VALUE"""),"MICROSOFT")</f>
        <v>MICROSOFT</v>
      </c>
      <c r="F1556" s="2005" t="str">
        <f>IFERROR(__xludf.DUMMYFUNCTION("""COMPUTED_VALUE"""),"H")</f>
        <v>H</v>
      </c>
      <c r="G1556" s="2005" t="str">
        <f>IFERROR(__xludf.DUMMYFUNCTION("""COMPUTED_VALUE"""),"NN")</f>
        <v>NN</v>
      </c>
      <c r="H1556" s="2005">
        <f>IFERROR(__xludf.DUMMYFUNCTION("""COMPUTED_VALUE"""),59.91)</f>
        <v>59.91</v>
      </c>
      <c r="I1556" s="2005">
        <f>IFERROR(__xludf.DUMMYFUNCTION("""COMPUTED_VALUE"""),59.91)</f>
        <v>59.91</v>
      </c>
      <c r="LL1556" s="2007"/>
      <c r="LM1556" s="2007"/>
    </row>
    <row r="1557">
      <c r="A1557" s="2005">
        <f>IFERROR(__xludf.DUMMYFUNCTION("""COMPUTED_VALUE"""),1135561.0)</f>
        <v>1135561</v>
      </c>
      <c r="B1557" s="2005">
        <f>IFERROR(__xludf.DUMMYFUNCTION("""COMPUTED_VALUE"""),2502040.0)</f>
        <v>2502040</v>
      </c>
      <c r="C1557" s="2005" t="str">
        <f>IFERROR(__xludf.DUMMYFUNCTION("""COMPUTED_VALUE"""),"Clavier")</f>
        <v>Clavier</v>
      </c>
      <c r="D1557" s="2005" t="str">
        <f>IFERROR(__xludf.DUMMYFUNCTION("""COMPUTED_VALUE"""),"Demo Unit Clavier Surface Pro 7 Poppy Re")</f>
        <v>Demo Unit Clavier Surface Pro 7 Poppy Re</v>
      </c>
      <c r="E1557" s="2005" t="str">
        <f>IFERROR(__xludf.DUMMYFUNCTION("""COMPUTED_VALUE"""),"MICROSOFT")</f>
        <v>MICROSOFT</v>
      </c>
      <c r="F1557" s="2005" t="str">
        <f>IFERROR(__xludf.DUMMYFUNCTION("""COMPUTED_VALUE"""),"H")</f>
        <v>H</v>
      </c>
      <c r="G1557" s="2005" t="str">
        <f>IFERROR(__xludf.DUMMYFUNCTION("""COMPUTED_VALUE"""),"NN")</f>
        <v>NN</v>
      </c>
      <c r="H1557" s="2005">
        <f>IFERROR(__xludf.DUMMYFUNCTION("""COMPUTED_VALUE"""),54.99)</f>
        <v>54.99</v>
      </c>
      <c r="I1557">
        <f>IFERROR(__xludf.DUMMYFUNCTION("""COMPUTED_VALUE"""),54.99)</f>
        <v>54.99</v>
      </c>
      <c r="BD1557" s="2006"/>
      <c r="LL1557" s="2007"/>
      <c r="LM1557" s="2007"/>
      <c r="MX1557" s="2008"/>
      <c r="ND1557" s="2007"/>
    </row>
    <row r="1558">
      <c r="A1558" s="2005">
        <f>IFERROR(__xludf.DUMMYFUNCTION("""COMPUTED_VALUE"""),1135564.0)</f>
        <v>1135564</v>
      </c>
      <c r="B1558" s="2005">
        <f>IFERROR(__xludf.DUMMYFUNCTION("""COMPUTED_VALUE"""),2502040.0)</f>
        <v>2502040</v>
      </c>
      <c r="C1558" s="2005" t="str">
        <f>IFERROR(__xludf.DUMMYFUNCTION("""COMPUTED_VALUE"""),"Stylet")</f>
        <v>Stylet</v>
      </c>
      <c r="D1558" s="2005" t="str">
        <f>IFERROR(__xludf.DUMMYFUNCTION("""COMPUTED_VALUE"""),"DEMO Stylet Surface Bleu Glacier")</f>
        <v>DEMO Stylet Surface Bleu Glacier</v>
      </c>
      <c r="E1558" s="2005" t="str">
        <f>IFERROR(__xludf.DUMMYFUNCTION("""COMPUTED_VALUE"""),"MICROSOFT")</f>
        <v>MICROSOFT</v>
      </c>
      <c r="F1558" s="2005" t="str">
        <f>IFERROR(__xludf.DUMMYFUNCTION("""COMPUTED_VALUE"""),"H")</f>
        <v>H</v>
      </c>
      <c r="G1558" s="2005" t="str">
        <f>IFERROR(__xludf.DUMMYFUNCTION("""COMPUTED_VALUE"""),"NN")</f>
        <v>NN</v>
      </c>
      <c r="H1558">
        <f>IFERROR(__xludf.DUMMYFUNCTION("""COMPUTED_VALUE"""),999.0)</f>
        <v>999</v>
      </c>
      <c r="I1558">
        <f>IFERROR(__xludf.DUMMYFUNCTION("""COMPUTED_VALUE"""),999.0)</f>
        <v>999</v>
      </c>
      <c r="BD1558" s="2006"/>
      <c r="LL1558" s="2008"/>
      <c r="LM1558" s="2007"/>
      <c r="MX1558" s="2007"/>
      <c r="ND1558" s="2007"/>
    </row>
    <row r="1559">
      <c r="A1559" s="2005">
        <f>IFERROR(__xludf.DUMMYFUNCTION("""COMPUTED_VALUE"""),1135565.0)</f>
        <v>1135565</v>
      </c>
      <c r="B1559" s="2005">
        <f>IFERROR(__xludf.DUMMYFUNCTION("""COMPUTED_VALUE"""),2502040.0)</f>
        <v>2502040</v>
      </c>
      <c r="C1559" s="2005" t="str">
        <f>IFERROR(__xludf.DUMMYFUNCTION("""COMPUTED_VALUE"""),"Stylet")</f>
        <v>Stylet</v>
      </c>
      <c r="D1559" s="2005" t="str">
        <f>IFERROR(__xludf.DUMMYFUNCTION("""COMPUTED_VALUE"""),"DEMO Stylet Surface Bleu Glacier")</f>
        <v>DEMO Stylet Surface Bleu Glacier</v>
      </c>
      <c r="E1559" s="2005" t="str">
        <f>IFERROR(__xludf.DUMMYFUNCTION("""COMPUTED_VALUE"""),"MICROSOFT")</f>
        <v>MICROSOFT</v>
      </c>
      <c r="F1559" s="2005" t="str">
        <f>IFERROR(__xludf.DUMMYFUNCTION("""COMPUTED_VALUE"""),"H")</f>
        <v>H</v>
      </c>
      <c r="G1559" s="2005" t="str">
        <f>IFERROR(__xludf.DUMMYFUNCTION("""COMPUTED_VALUE"""),"FR")</f>
        <v>FR</v>
      </c>
      <c r="H1559" s="2005">
        <f>IFERROR(__xludf.DUMMYFUNCTION("""COMPUTED_VALUE"""),999.1)</f>
        <v>999.1</v>
      </c>
      <c r="I1559" s="2005">
        <f>IFERROR(__xludf.DUMMYFUNCTION("""COMPUTED_VALUE"""),999.1)</f>
        <v>999.1</v>
      </c>
      <c r="BD1559" s="2006"/>
      <c r="LL1559" s="2008"/>
      <c r="LM1559" s="2007"/>
      <c r="MX1559" s="2007"/>
      <c r="ND1559" s="2007"/>
    </row>
    <row r="1560">
      <c r="A1560" s="2005">
        <f>IFERROR(__xludf.DUMMYFUNCTION("""COMPUTED_VALUE"""),1135566.0)</f>
        <v>1135566</v>
      </c>
      <c r="B1560" s="2005">
        <f>IFERROR(__xludf.DUMMYFUNCTION("""COMPUTED_VALUE"""),2502040.0)</f>
        <v>2502040</v>
      </c>
      <c r="C1560" s="2005" t="str">
        <f>IFERROR(__xludf.DUMMYFUNCTION("""COMPUTED_VALUE"""),"Stylet")</f>
        <v>Stylet</v>
      </c>
      <c r="D1560" s="2005" t="str">
        <f>IFERROR(__xludf.DUMMYFUNCTION("""COMPUTED_VALUE"""),"DEMO Stylet Surface Poppy Rouge")</f>
        <v>DEMO Stylet Surface Poppy Rouge</v>
      </c>
      <c r="E1560" s="2005" t="str">
        <f>IFERROR(__xludf.DUMMYFUNCTION("""COMPUTED_VALUE"""),"MICROSOFT")</f>
        <v>MICROSOFT</v>
      </c>
      <c r="F1560" s="2005" t="str">
        <f>IFERROR(__xludf.DUMMYFUNCTION("""COMPUTED_VALUE"""),"H")</f>
        <v>H</v>
      </c>
      <c r="G1560" s="2005" t="str">
        <f>IFERROR(__xludf.DUMMYFUNCTION("""COMPUTED_VALUE"""),"NN")</f>
        <v>NN</v>
      </c>
      <c r="H1560" s="2005">
        <f>IFERROR(__xludf.DUMMYFUNCTION("""COMPUTED_VALUE"""),999.0)</f>
        <v>999</v>
      </c>
      <c r="I1560" s="2005">
        <f>IFERROR(__xludf.DUMMYFUNCTION("""COMPUTED_VALUE"""),999.0)</f>
        <v>999</v>
      </c>
      <c r="BD1560" s="2006"/>
      <c r="LL1560" s="2008"/>
      <c r="LM1560" s="2007"/>
      <c r="MX1560" s="2007"/>
      <c r="ND1560" s="2007"/>
    </row>
    <row r="1561">
      <c r="A1561" s="2005">
        <f>IFERROR(__xludf.DUMMYFUNCTION("""COMPUTED_VALUE"""),1135568.0)</f>
        <v>1135568</v>
      </c>
      <c r="B1561" s="2005">
        <f>IFERROR(__xludf.DUMMYFUNCTION("""COMPUTED_VALUE"""),2502040.0)</f>
        <v>2502040</v>
      </c>
      <c r="C1561" s="2005" t="str">
        <f>IFERROR(__xludf.DUMMYFUNCTION("""COMPUTED_VALUE"""),"Clavier")</f>
        <v>Clavier</v>
      </c>
      <c r="D1561" s="2005" t="str">
        <f>IFERROR(__xludf.DUMMYFUNCTION("""COMPUTED_VALUE"""),"Demo Unit Clavier Surface Pro 7 Noir")</f>
        <v>Demo Unit Clavier Surface Pro 7 Noir</v>
      </c>
      <c r="E1561" s="2005" t="str">
        <f>IFERROR(__xludf.DUMMYFUNCTION("""COMPUTED_VALUE"""),"MICROSOFT")</f>
        <v>MICROSOFT</v>
      </c>
      <c r="F1561" s="2005" t="str">
        <f>IFERROR(__xludf.DUMMYFUNCTION("""COMPUTED_VALUE"""),"H")</f>
        <v>H</v>
      </c>
      <c r="G1561" s="2005" t="str">
        <f>IFERROR(__xludf.DUMMYFUNCTION("""COMPUTED_VALUE"""),"NN")</f>
        <v>NN</v>
      </c>
      <c r="H1561" s="2005">
        <f>IFERROR(__xludf.DUMMYFUNCTION("""COMPUTED_VALUE"""),45.99)</f>
        <v>45.99</v>
      </c>
      <c r="I1561" s="2005">
        <f>IFERROR(__xludf.DUMMYFUNCTION("""COMPUTED_VALUE"""),45.99)</f>
        <v>45.99</v>
      </c>
      <c r="BD1561" s="2006"/>
      <c r="LL1561" s="2008"/>
      <c r="LM1561" s="2007"/>
      <c r="MX1561" s="2007"/>
      <c r="ND1561" s="2007"/>
    </row>
    <row r="1562">
      <c r="A1562" s="2005">
        <f>IFERROR(__xludf.DUMMYFUNCTION("""COMPUTED_VALUE"""),1135574.0)</f>
        <v>1135574</v>
      </c>
      <c r="B1562" s="2005">
        <f>IFERROR(__xludf.DUMMYFUNCTION("""COMPUTED_VALUE"""),2202008.0)</f>
        <v>2202008</v>
      </c>
      <c r="C1562" s="2005" t="str">
        <f>IFERROR(__xludf.DUMMYFUNCTION("""COMPUTED_VALUE"""),"Multi Laser")</f>
        <v>Multi Laser</v>
      </c>
      <c r="D1562" s="2005" t="str">
        <f>IFERROR(__xludf.DUMMYFUNCTION("""COMPUTED_VALUE"""),"Color LaserJet Pro 178nw")</f>
        <v>Color LaserJet Pro 178nw</v>
      </c>
      <c r="E1562" s="2005" t="str">
        <f>IFERROR(__xludf.DUMMYFUNCTION("""COMPUTED_VALUE"""),"HP")</f>
        <v>HP</v>
      </c>
      <c r="F1562" s="2005" t="str">
        <f>IFERROR(__xludf.DUMMYFUNCTION("""COMPUTED_VALUE"""),"A")</f>
        <v>A</v>
      </c>
      <c r="G1562" s="2005" t="str">
        <f>IFERROR(__xludf.DUMMYFUNCTION("""COMPUTED_VALUE"""),"AC")</f>
        <v>AC</v>
      </c>
      <c r="H1562" s="2005">
        <f>IFERROR(__xludf.DUMMYFUNCTION("""COMPUTED_VALUE"""),319.99)</f>
        <v>319.99</v>
      </c>
      <c r="I1562" s="2005">
        <f>IFERROR(__xludf.DUMMYFUNCTION("""COMPUTED_VALUE"""),319.99)</f>
        <v>319.99</v>
      </c>
      <c r="BD1562" s="2006"/>
      <c r="LL1562" s="2008"/>
      <c r="LM1562" s="2007"/>
      <c r="MX1562" s="2007"/>
      <c r="ND1562" s="2007"/>
    </row>
    <row r="1563">
      <c r="A1563" s="2005">
        <f>IFERROR(__xludf.DUMMYFUNCTION("""COMPUTED_VALUE"""),1135575.0)</f>
        <v>1135575</v>
      </c>
      <c r="B1563" s="2005">
        <f>IFERROR(__xludf.DUMMYFUNCTION("""COMPUTED_VALUE"""),2705505.0)</f>
        <v>2705505</v>
      </c>
      <c r="C1563" s="2005" t="str">
        <f>IFERROR(__xludf.DUMMYFUNCTION("""COMPUTED_VALUE"""),"Range-CD")</f>
        <v>Range-CD</v>
      </c>
      <c r="D1563" s="2005" t="str">
        <f>IFERROR(__xludf.DUMMYFUNCTION("""COMPUTED_VALUE"""),"Slim CD pack de 25 Différents coloris")</f>
        <v>Slim CD pack de 25 Différents coloris</v>
      </c>
      <c r="E1563" s="2005" t="str">
        <f>IFERROR(__xludf.DUMMYFUNCTION("""COMPUTED_VALUE"""),"HAMA")</f>
        <v>HAMA</v>
      </c>
      <c r="F1563" s="2005" t="str">
        <f>IFERROR(__xludf.DUMMYFUNCTION("""COMPUTED_VALUE"""),"W")</f>
        <v>W</v>
      </c>
      <c r="G1563" s="2005" t="str">
        <f>IFERROR(__xludf.DUMMYFUNCTION("""COMPUTED_VALUE"""),"AC")</f>
        <v>AC</v>
      </c>
      <c r="H1563" s="2005">
        <f>IFERROR(__xludf.DUMMYFUNCTION("""COMPUTED_VALUE"""),11.99)</f>
        <v>11.99</v>
      </c>
      <c r="I1563" s="2005">
        <f>IFERROR(__xludf.DUMMYFUNCTION("""COMPUTED_VALUE"""),11.99)</f>
        <v>11.99</v>
      </c>
      <c r="BD1563" s="2006"/>
      <c r="LL1563" s="2007"/>
      <c r="LM1563" s="2007"/>
      <c r="MX1563" s="2007"/>
      <c r="ND1563" s="2007"/>
    </row>
    <row r="1564">
      <c r="A1564" s="2005">
        <f>IFERROR(__xludf.DUMMYFUNCTION("""COMPUTED_VALUE"""),1135576.0)</f>
        <v>1135576</v>
      </c>
      <c r="B1564" s="2005">
        <f>IFERROR(__xludf.DUMMYFUNCTION("""COMPUTED_VALUE"""),2705505.0)</f>
        <v>2705505</v>
      </c>
      <c r="C1564" s="2005" t="str">
        <f>IFERROR(__xludf.DUMMYFUNCTION("""COMPUTED_VALUE"""),"Range-CD")</f>
        <v>Range-CD</v>
      </c>
      <c r="D1564" s="2005" t="str">
        <f>IFERROR(__xludf.DUMMYFUNCTION("""COMPUTED_VALUE"""),"Protection Pack CD/DVD 100 différ colori")</f>
        <v>Protection Pack CD/DVD 100 différ colori</v>
      </c>
      <c r="E1564" s="2005" t="str">
        <f>IFERROR(__xludf.DUMMYFUNCTION("""COMPUTED_VALUE"""),"HAMA")</f>
        <v>HAMA</v>
      </c>
      <c r="F1564" s="2005" t="str">
        <f>IFERROR(__xludf.DUMMYFUNCTION("""COMPUTED_VALUE"""),"W")</f>
        <v>W</v>
      </c>
      <c r="G1564" s="2005" t="str">
        <f>IFERROR(__xludf.DUMMYFUNCTION("""COMPUTED_VALUE"""),"FR")</f>
        <v>FR</v>
      </c>
      <c r="H1564">
        <f>IFERROR(__xludf.DUMMYFUNCTION("""COMPUTED_VALUE"""),7.99)</f>
        <v>7.99</v>
      </c>
      <c r="I1564">
        <f>IFERROR(__xludf.DUMMYFUNCTION("""COMPUTED_VALUE"""),7.99)</f>
        <v>7.99</v>
      </c>
      <c r="BD1564" s="2006"/>
      <c r="LL1564" s="2007"/>
      <c r="LM1564" s="2007"/>
      <c r="MX1564" s="2007"/>
      <c r="ND1564" s="2007"/>
    </row>
    <row r="1565">
      <c r="A1565" s="2005">
        <f>IFERROR(__xludf.DUMMYFUNCTION("""COMPUTED_VALUE"""),1135579.0)</f>
        <v>1135579</v>
      </c>
      <c r="B1565" s="2005">
        <f>IFERROR(__xludf.DUMMYFUNCTION("""COMPUTED_VALUE"""),2705505.0)</f>
        <v>2705505</v>
      </c>
      <c r="C1565" s="2005" t="str">
        <f>IFERROR(__xludf.DUMMYFUNCTION("""COMPUTED_VALUE"""),"Range-CD")</f>
        <v>Range-CD</v>
      </c>
      <c r="D1565" s="2005" t="str">
        <f>IFERROR(__xludf.DUMMYFUNCTION("""COMPUTED_VALUE"""),"Slim DVD pack de 10 Transparent")</f>
        <v>Slim DVD pack de 10 Transparent</v>
      </c>
      <c r="E1565" s="2005" t="str">
        <f>IFERROR(__xludf.DUMMYFUNCTION("""COMPUTED_VALUE"""),"HAMA")</f>
        <v>HAMA</v>
      </c>
      <c r="F1565" s="2005" t="str">
        <f>IFERROR(__xludf.DUMMYFUNCTION("""COMPUTED_VALUE"""),"W")</f>
        <v>W</v>
      </c>
      <c r="G1565" s="2005" t="str">
        <f>IFERROR(__xludf.DUMMYFUNCTION("""COMPUTED_VALUE"""),"NN")</f>
        <v>NN</v>
      </c>
      <c r="H1565" s="2005">
        <f>IFERROR(__xludf.DUMMYFUNCTION("""COMPUTED_VALUE"""),6.49)</f>
        <v>6.49</v>
      </c>
      <c r="I1565" s="2005">
        <f>IFERROR(__xludf.DUMMYFUNCTION("""COMPUTED_VALUE"""),6.49)</f>
        <v>6.49</v>
      </c>
      <c r="BD1565" s="2006"/>
      <c r="LL1565" s="2007"/>
      <c r="LM1565" s="2007"/>
      <c r="MX1565" s="2007"/>
      <c r="ND1565" s="2007"/>
    </row>
    <row r="1566">
      <c r="A1566" s="2005">
        <f>IFERROR(__xludf.DUMMYFUNCTION("""COMPUTED_VALUE"""),1135580.0)</f>
        <v>1135580</v>
      </c>
      <c r="B1566" s="2005">
        <f>IFERROR(__xludf.DUMMYFUNCTION("""COMPUTED_VALUE"""),2705505.0)</f>
        <v>2705505</v>
      </c>
      <c r="C1566" s="2005" t="str">
        <f>IFERROR(__xludf.DUMMYFUNCTION("""COMPUTED_VALUE"""),"Range-CD")</f>
        <v>Range-CD</v>
      </c>
      <c r="D1566" s="2005" t="str">
        <f>IFERROR(__xludf.DUMMYFUNCTION("""COMPUTED_VALUE"""),"Standard DVD pack de 5Transparent")</f>
        <v>Standard DVD pack de 5Transparent</v>
      </c>
      <c r="E1566" s="2005" t="str">
        <f>IFERROR(__xludf.DUMMYFUNCTION("""COMPUTED_VALUE"""),"HAMA")</f>
        <v>HAMA</v>
      </c>
      <c r="F1566" s="2005" t="str">
        <f>IFERROR(__xludf.DUMMYFUNCTION("""COMPUTED_VALUE"""),"W")</f>
        <v>W</v>
      </c>
      <c r="G1566" s="2005" t="str">
        <f>IFERROR(__xludf.DUMMYFUNCTION("""COMPUTED_VALUE"""),"NN")</f>
        <v>NN</v>
      </c>
      <c r="H1566" s="2005">
        <f>IFERROR(__xludf.DUMMYFUNCTION("""COMPUTED_VALUE"""),4.49)</f>
        <v>4.49</v>
      </c>
      <c r="I1566" s="2005">
        <f>IFERROR(__xludf.DUMMYFUNCTION("""COMPUTED_VALUE"""),4.49)</f>
        <v>4.49</v>
      </c>
      <c r="LL1566" s="2007"/>
      <c r="LM1566" s="2007"/>
    </row>
    <row r="1567">
      <c r="A1567" s="2005">
        <f>IFERROR(__xludf.DUMMYFUNCTION("""COMPUTED_VALUE"""),1135581.0)</f>
        <v>1135581</v>
      </c>
      <c r="B1567" s="2005">
        <f>IFERROR(__xludf.DUMMYFUNCTION("""COMPUTED_VALUE"""),2502040.0)</f>
        <v>2502040</v>
      </c>
      <c r="C1567" s="2005" t="str">
        <f>IFERROR(__xludf.DUMMYFUNCTION("""COMPUTED_VALUE"""),"Souris")</f>
        <v>Souris</v>
      </c>
      <c r="D1567" s="2005" t="str">
        <f>IFERROR(__xludf.DUMMYFUNCTION("""COMPUTED_VALUE"""),"DEMO Souris Mobile Platine")</f>
        <v>DEMO Souris Mobile Platine</v>
      </c>
      <c r="E1567" s="2005" t="str">
        <f>IFERROR(__xludf.DUMMYFUNCTION("""COMPUTED_VALUE"""),"MICROSOFT")</f>
        <v>MICROSOFT</v>
      </c>
      <c r="F1567" s="2005" t="str">
        <f>IFERROR(__xludf.DUMMYFUNCTION("""COMPUTED_VALUE"""),"H")</f>
        <v>H</v>
      </c>
      <c r="G1567" s="2005" t="str">
        <f>IFERROR(__xludf.DUMMYFUNCTION("""COMPUTED_VALUE"""),"NN")</f>
        <v>NN</v>
      </c>
      <c r="H1567">
        <f>IFERROR(__xludf.DUMMYFUNCTION("""COMPUTED_VALUE"""),999.0)</f>
        <v>999</v>
      </c>
      <c r="I1567">
        <f>IFERROR(__xludf.DUMMYFUNCTION("""COMPUTED_VALUE"""),999.0)</f>
        <v>999</v>
      </c>
      <c r="LL1567" s="2007"/>
      <c r="LM1567" s="2007"/>
    </row>
    <row r="1568">
      <c r="A1568" s="2005">
        <f>IFERROR(__xludf.DUMMYFUNCTION("""COMPUTED_VALUE"""),1135661.0)</f>
        <v>1135661</v>
      </c>
      <c r="B1568" s="2005">
        <f>IFERROR(__xludf.DUMMYFUNCTION("""COMPUTED_VALUE"""),2705505.0)</f>
        <v>2705505</v>
      </c>
      <c r="C1568" s="2005" t="str">
        <f>IFERROR(__xludf.DUMMYFUNCTION("""COMPUTED_VALUE"""),"Range-CD")</f>
        <v>Range-CD</v>
      </c>
      <c r="D1568" s="2005" t="str">
        <f>IFERROR(__xludf.DUMMYFUNCTION("""COMPUTED_VALUE"""),"Boitier pour DVD Lot de 5 Noir")</f>
        <v>Boitier pour DVD Lot de 5 Noir</v>
      </c>
      <c r="E1568" s="2005" t="str">
        <f>IFERROR(__xludf.DUMMYFUNCTION("""COMPUTED_VALUE"""),"HAMA")</f>
        <v>HAMA</v>
      </c>
      <c r="F1568" s="2005" t="str">
        <f>IFERROR(__xludf.DUMMYFUNCTION("""COMPUTED_VALUE"""),"W")</f>
        <v>W</v>
      </c>
      <c r="G1568" s="2005" t="str">
        <f>IFERROR(__xludf.DUMMYFUNCTION("""COMPUTED_VALUE"""),"AC")</f>
        <v>AC</v>
      </c>
      <c r="H1568" s="2005">
        <f>IFERROR(__xludf.DUMMYFUNCTION("""COMPUTED_VALUE"""),5.99)</f>
        <v>5.99</v>
      </c>
      <c r="I1568" s="2005">
        <f>IFERROR(__xludf.DUMMYFUNCTION("""COMPUTED_VALUE"""),5.99)</f>
        <v>5.99</v>
      </c>
      <c r="BD1568" s="2006"/>
      <c r="LL1568" s="2007"/>
      <c r="LM1568" s="2007"/>
      <c r="MX1568" s="2007"/>
      <c r="ND1568" s="2007"/>
    </row>
    <row r="1569">
      <c r="A1569" s="2005">
        <f>IFERROR(__xludf.DUMMYFUNCTION("""COMPUTED_VALUE"""),1135896.0)</f>
        <v>1135896</v>
      </c>
      <c r="B1569" s="2005">
        <f>IFERROR(__xludf.DUMMYFUNCTION("""COMPUTED_VALUE"""),2502010.0)</f>
        <v>2502010</v>
      </c>
      <c r="C1569" s="2005" t="str">
        <f>IFERROR(__xludf.DUMMYFUNCTION("""COMPUTED_VALUE"""),"Souris")</f>
        <v>Souris</v>
      </c>
      <c r="D1569" s="2005" t="str">
        <f>IFERROR(__xludf.DUMMYFUNCTION("""COMPUTED_VALUE"""),"Bluetooth Mouse Noir Mat")</f>
        <v>Bluetooth Mouse Noir Mat</v>
      </c>
      <c r="E1569" s="2005" t="str">
        <f>IFERROR(__xludf.DUMMYFUNCTION("""COMPUTED_VALUE"""),"MICROSOFT")</f>
        <v>MICROSOFT</v>
      </c>
      <c r="F1569" s="2005" t="str">
        <f>IFERROR(__xludf.DUMMYFUNCTION("""COMPUTED_VALUE"""),"D")</f>
        <v>D</v>
      </c>
      <c r="G1569" s="2005" t="str">
        <f>IFERROR(__xludf.DUMMYFUNCTION("""COMPUTED_VALUE"""),"FI")</f>
        <v>FI</v>
      </c>
      <c r="H1569" s="2005">
        <f>IFERROR(__xludf.DUMMYFUNCTION("""COMPUTED_VALUE"""),24.91)</f>
        <v>24.91</v>
      </c>
      <c r="I1569" s="2005">
        <f>IFERROR(__xludf.DUMMYFUNCTION("""COMPUTED_VALUE"""),24.91)</f>
        <v>24.91</v>
      </c>
      <c r="BD1569" s="2006"/>
      <c r="LL1569" s="2007"/>
      <c r="LM1569" s="2007"/>
      <c r="MX1569" s="2007"/>
      <c r="ND1569" s="2007"/>
    </row>
    <row r="1570">
      <c r="A1570" s="2005">
        <f>IFERROR(__xludf.DUMMYFUNCTION("""COMPUTED_VALUE"""),1135897.0)</f>
        <v>1135897</v>
      </c>
      <c r="B1570" s="2005">
        <f>IFERROR(__xludf.DUMMYFUNCTION("""COMPUTED_VALUE"""),2502010.0)</f>
        <v>2502010</v>
      </c>
      <c r="C1570" s="2005" t="str">
        <f>IFERROR(__xludf.DUMMYFUNCTION("""COMPUTED_VALUE"""),"Souris")</f>
        <v>Souris</v>
      </c>
      <c r="D1570" s="2005" t="str">
        <f>IFERROR(__xludf.DUMMYFUNCTION("""COMPUTED_VALUE"""),"Bluetooth Mouse Bleu Pastel")</f>
        <v>Bluetooth Mouse Bleu Pastel</v>
      </c>
      <c r="E1570" s="2005" t="str">
        <f>IFERROR(__xludf.DUMMYFUNCTION("""COMPUTED_VALUE"""),"MICROSOFT")</f>
        <v>MICROSOFT</v>
      </c>
      <c r="F1570" s="2005" t="str">
        <f>IFERROR(__xludf.DUMMYFUNCTION("""COMPUTED_VALUE"""),"H")</f>
        <v>H</v>
      </c>
      <c r="G1570" s="2005" t="str">
        <f>IFERROR(__xludf.DUMMYFUNCTION("""COMPUTED_VALUE"""),"NN")</f>
        <v>NN</v>
      </c>
      <c r="H1570" s="2005">
        <f>IFERROR(__xludf.DUMMYFUNCTION("""COMPUTED_VALUE"""),25.01)</f>
        <v>25.01</v>
      </c>
      <c r="I1570" s="2005">
        <f>IFERROR(__xludf.DUMMYFUNCTION("""COMPUTED_VALUE"""),25.01)</f>
        <v>25.01</v>
      </c>
      <c r="BD1570" s="2006"/>
      <c r="LL1570" s="2007"/>
      <c r="LM1570" s="2007"/>
      <c r="MX1570" s="2007"/>
      <c r="ND1570" s="2007"/>
    </row>
    <row r="1571">
      <c r="A1571" s="2005">
        <f>IFERROR(__xludf.DUMMYFUNCTION("""COMPUTED_VALUE"""),1135929.0)</f>
        <v>1135929</v>
      </c>
      <c r="B1571" s="2005">
        <f>IFERROR(__xludf.DUMMYFUNCTION("""COMPUTED_VALUE"""),2502015.0)</f>
        <v>2502015</v>
      </c>
      <c r="C1571" s="2005" t="str">
        <f>IFERROR(__xludf.DUMMYFUNCTION("""COMPUTED_VALUE"""),"Clavier")</f>
        <v>Clavier</v>
      </c>
      <c r="D1571" s="2005" t="str">
        <f>IFERROR(__xludf.DUMMYFUNCTION("""COMPUTED_VALUE"""),"Bluetooth Keyboard Noir")</f>
        <v>Bluetooth Keyboard Noir</v>
      </c>
      <c r="E1571" s="2005" t="str">
        <f>IFERROR(__xludf.DUMMYFUNCTION("""COMPUTED_VALUE"""),"MICROSOFT")</f>
        <v>MICROSOFT</v>
      </c>
      <c r="F1571" s="2005" t="str">
        <f>IFERROR(__xludf.DUMMYFUNCTION("""COMPUTED_VALUE"""),"D")</f>
        <v>D</v>
      </c>
      <c r="G1571" s="2005" t="str">
        <f>IFERROR(__xludf.DUMMYFUNCTION("""COMPUTED_VALUE"""),"FR")</f>
        <v>FR</v>
      </c>
      <c r="H1571" s="2005">
        <f>IFERROR(__xludf.DUMMYFUNCTION("""COMPUTED_VALUE"""),59.95)</f>
        <v>59.95</v>
      </c>
      <c r="I1571" s="2005">
        <f>IFERROR(__xludf.DUMMYFUNCTION("""COMPUTED_VALUE"""),59.95)</f>
        <v>59.95</v>
      </c>
      <c r="BD1571" s="2006"/>
      <c r="LL1571" s="2007"/>
      <c r="LM1571" s="2007"/>
      <c r="MX1571" s="2007"/>
      <c r="ND1571" s="2007"/>
    </row>
    <row r="1572">
      <c r="A1572" s="2005">
        <f>IFERROR(__xludf.DUMMYFUNCTION("""COMPUTED_VALUE"""),1135931.0)</f>
        <v>1135931</v>
      </c>
      <c r="B1572" s="2005">
        <f>IFERROR(__xludf.DUMMYFUNCTION("""COMPUTED_VALUE"""),2502015.0)</f>
        <v>2502015</v>
      </c>
      <c r="C1572" s="2005" t="str">
        <f>IFERROR(__xludf.DUMMYFUNCTION("""COMPUTED_VALUE"""),"Clavier")</f>
        <v>Clavier</v>
      </c>
      <c r="D1572" s="2005" t="str">
        <f>IFERROR(__xludf.DUMMYFUNCTION("""COMPUTED_VALUE"""),"Ergonomic Keyboard Noir")</f>
        <v>Ergonomic Keyboard Noir</v>
      </c>
      <c r="E1572" s="2005" t="str">
        <f>IFERROR(__xludf.DUMMYFUNCTION("""COMPUTED_VALUE"""),"MICROSOFT")</f>
        <v>MICROSOFT</v>
      </c>
      <c r="F1572" s="2005" t="str">
        <f>IFERROR(__xludf.DUMMYFUNCTION("""COMPUTED_VALUE"""),"H")</f>
        <v>H</v>
      </c>
      <c r="G1572" s="2005" t="str">
        <f>IFERROR(__xludf.DUMMYFUNCTION("""COMPUTED_VALUE"""),"NN")</f>
        <v>NN</v>
      </c>
      <c r="H1572" s="2005">
        <f>IFERROR(__xludf.DUMMYFUNCTION("""COMPUTED_VALUE"""),44.95)</f>
        <v>44.95</v>
      </c>
      <c r="I1572">
        <f>IFERROR(__xludf.DUMMYFUNCTION("""COMPUTED_VALUE"""),44.95)</f>
        <v>44.95</v>
      </c>
      <c r="BD1572" s="2006"/>
      <c r="LL1572" s="2007"/>
      <c r="LM1572" s="2007"/>
      <c r="MX1572" s="2007"/>
      <c r="ND1572" s="2007"/>
    </row>
    <row r="1573">
      <c r="A1573" s="2005">
        <f>IFERROR(__xludf.DUMMYFUNCTION("""COMPUTED_VALUE"""),1135947.0)</f>
        <v>1135947</v>
      </c>
      <c r="B1573" s="2005">
        <f>IFERROR(__xludf.DUMMYFUNCTION("""COMPUTED_VALUE"""),2403005.0)</f>
        <v>2403005</v>
      </c>
      <c r="C1573" s="2005" t="str">
        <f>IFERROR(__xludf.DUMMYFUNCTION("""COMPUTED_VALUE"""),"Cartouche")</f>
        <v>Cartouche</v>
      </c>
      <c r="D1573" s="2005" t="str">
        <f>IFERROR(__xludf.DUMMYFUNCTION("""COMPUTED_VALUE"""),"PG560 Noire")</f>
        <v>PG560 Noire</v>
      </c>
      <c r="E1573" s="2005" t="str">
        <f>IFERROR(__xludf.DUMMYFUNCTION("""COMPUTED_VALUE"""),"CANON")</f>
        <v>CANON</v>
      </c>
      <c r="F1573" s="2005" t="str">
        <f>IFERROR(__xludf.DUMMYFUNCTION("""COMPUTED_VALUE"""),"B")</f>
        <v>B</v>
      </c>
      <c r="G1573" s="2005" t="str">
        <f>IFERROR(__xludf.DUMMYFUNCTION("""COMPUTED_VALUE"""),"AC")</f>
        <v>AC</v>
      </c>
      <c r="H1573">
        <f>IFERROR(__xludf.DUMMYFUNCTION("""COMPUTED_VALUE"""),22.49)</f>
        <v>22.49</v>
      </c>
      <c r="I1573">
        <f>IFERROR(__xludf.DUMMYFUNCTION("""COMPUTED_VALUE"""),22.49)</f>
        <v>22.49</v>
      </c>
      <c r="BD1573" s="2006"/>
      <c r="LL1573" s="2007"/>
      <c r="LM1573" s="2007"/>
      <c r="MX1573" s="2007"/>
      <c r="ND1573" s="2007"/>
    </row>
    <row r="1574">
      <c r="A1574" s="2005">
        <f>IFERROR(__xludf.DUMMYFUNCTION("""COMPUTED_VALUE"""),1135949.0)</f>
        <v>1135949</v>
      </c>
      <c r="B1574" s="2005">
        <f>IFERROR(__xludf.DUMMYFUNCTION("""COMPUTED_VALUE"""),2403005.0)</f>
        <v>2403005</v>
      </c>
      <c r="C1574" s="2005" t="str">
        <f>IFERROR(__xludf.DUMMYFUNCTION("""COMPUTED_VALUE"""),"Cartouche")</f>
        <v>Cartouche</v>
      </c>
      <c r="D1574" s="2005" t="str">
        <f>IFERROR(__xludf.DUMMYFUNCTION("""COMPUTED_VALUE"""),"CL561 Couleur")</f>
        <v>CL561 Couleur</v>
      </c>
      <c r="E1574" s="2005" t="str">
        <f>IFERROR(__xludf.DUMMYFUNCTION("""COMPUTED_VALUE"""),"CANON")</f>
        <v>CANON</v>
      </c>
      <c r="F1574" s="2005" t="str">
        <f>IFERROR(__xludf.DUMMYFUNCTION("""COMPUTED_VALUE"""),"B")</f>
        <v>B</v>
      </c>
      <c r="G1574" s="2005" t="str">
        <f>IFERROR(__xludf.DUMMYFUNCTION("""COMPUTED_VALUE"""),"AC")</f>
        <v>AC</v>
      </c>
      <c r="H1574">
        <f>IFERROR(__xludf.DUMMYFUNCTION("""COMPUTED_VALUE"""),24.99)</f>
        <v>24.99</v>
      </c>
      <c r="I1574">
        <f>IFERROR(__xludf.DUMMYFUNCTION("""COMPUTED_VALUE"""),24.99)</f>
        <v>24.99</v>
      </c>
      <c r="BD1574" s="2006"/>
      <c r="LL1574" s="2007"/>
      <c r="LM1574" s="2007"/>
      <c r="MX1574" s="2008"/>
      <c r="ND1574" s="2007"/>
    </row>
    <row r="1575">
      <c r="A1575" s="2005">
        <f>IFERROR(__xludf.DUMMYFUNCTION("""COMPUTED_VALUE"""),1135950.0)</f>
        <v>1135950</v>
      </c>
      <c r="B1575" s="2005">
        <f>IFERROR(__xludf.DUMMYFUNCTION("""COMPUTED_VALUE"""),2403005.0)</f>
        <v>2403005</v>
      </c>
      <c r="C1575" s="2005" t="str">
        <f>IFERROR(__xludf.DUMMYFUNCTION("""COMPUTED_VALUE"""),"Cartouche")</f>
        <v>Cartouche</v>
      </c>
      <c r="D1575" s="2005" t="str">
        <f>IFERROR(__xludf.DUMMYFUNCTION("""COMPUTED_VALUE"""),"PG560 XL Noire")</f>
        <v>PG560 XL Noire</v>
      </c>
      <c r="E1575" s="2005" t="str">
        <f>IFERROR(__xludf.DUMMYFUNCTION("""COMPUTED_VALUE"""),"CANON")</f>
        <v>CANON</v>
      </c>
      <c r="F1575" s="2005" t="str">
        <f>IFERROR(__xludf.DUMMYFUNCTION("""COMPUTED_VALUE"""),"C")</f>
        <v>C</v>
      </c>
      <c r="G1575" s="2005" t="str">
        <f>IFERROR(__xludf.DUMMYFUNCTION("""COMPUTED_VALUE"""),"AC")</f>
        <v>AC</v>
      </c>
      <c r="H1575">
        <f>IFERROR(__xludf.DUMMYFUNCTION("""COMPUTED_VALUE"""),30.49)</f>
        <v>30.49</v>
      </c>
      <c r="I1575">
        <f>IFERROR(__xludf.DUMMYFUNCTION("""COMPUTED_VALUE"""),30.49)</f>
        <v>30.49</v>
      </c>
      <c r="BD1575" s="2006"/>
      <c r="LL1575" s="2007"/>
      <c r="LM1575" s="2007"/>
      <c r="MX1575" s="2007"/>
      <c r="ND1575" s="2007"/>
    </row>
    <row r="1576">
      <c r="A1576" s="2005">
        <f>IFERROR(__xludf.DUMMYFUNCTION("""COMPUTED_VALUE"""),1135961.0)</f>
        <v>1135961</v>
      </c>
      <c r="B1576" s="2005">
        <f>IFERROR(__xludf.DUMMYFUNCTION("""COMPUTED_VALUE"""),2403005.0)</f>
        <v>2403005</v>
      </c>
      <c r="C1576" s="2005" t="str">
        <f>IFERROR(__xludf.DUMMYFUNCTION("""COMPUTED_VALUE"""),"Cartouche")</f>
        <v>Cartouche</v>
      </c>
      <c r="D1576" s="2005" t="str">
        <f>IFERROR(__xludf.DUMMYFUNCTION("""COMPUTED_VALUE"""),"CL561 XL Couleur")</f>
        <v>CL561 XL Couleur</v>
      </c>
      <c r="E1576" s="2005" t="str">
        <f>IFERROR(__xludf.DUMMYFUNCTION("""COMPUTED_VALUE"""),"CANON")</f>
        <v>CANON</v>
      </c>
      <c r="F1576" s="2005" t="str">
        <f>IFERROR(__xludf.DUMMYFUNCTION("""COMPUTED_VALUE"""),"C")</f>
        <v>C</v>
      </c>
      <c r="G1576" s="2005" t="str">
        <f>IFERROR(__xludf.DUMMYFUNCTION("""COMPUTED_VALUE"""),"AC")</f>
        <v>AC</v>
      </c>
      <c r="H1576">
        <f>IFERROR(__xludf.DUMMYFUNCTION("""COMPUTED_VALUE"""),24.99)</f>
        <v>24.99</v>
      </c>
      <c r="I1576">
        <f>IFERROR(__xludf.DUMMYFUNCTION("""COMPUTED_VALUE"""),24.99)</f>
        <v>24.99</v>
      </c>
      <c r="BD1576" s="2006"/>
      <c r="LL1576" s="2007"/>
      <c r="LM1576" s="2007"/>
      <c r="MX1576" s="2007"/>
      <c r="ND1576" s="2007"/>
    </row>
    <row r="1577">
      <c r="A1577" s="2005">
        <f>IFERROR(__xludf.DUMMYFUNCTION("""COMPUTED_VALUE"""),1135962.0)</f>
        <v>1135962</v>
      </c>
      <c r="B1577" s="2005">
        <f>IFERROR(__xludf.DUMMYFUNCTION("""COMPUTED_VALUE"""),2403005.0)</f>
        <v>2403005</v>
      </c>
      <c r="C1577" s="2005" t="str">
        <f>IFERROR(__xludf.DUMMYFUNCTION("""COMPUTED_VALUE"""),"Cartouche")</f>
        <v>Cartouche</v>
      </c>
      <c r="D1577" s="2005" t="str">
        <f>IFERROR(__xludf.DUMMYFUNCTION("""COMPUTED_VALUE"""),"Multi Pack PG560/CL561")</f>
        <v>Multi Pack PG560/CL561</v>
      </c>
      <c r="E1577" s="2005" t="str">
        <f>IFERROR(__xludf.DUMMYFUNCTION("""COMPUTED_VALUE"""),"CANON")</f>
        <v>CANON</v>
      </c>
      <c r="F1577" s="2005" t="str">
        <f>IFERROR(__xludf.DUMMYFUNCTION("""COMPUTED_VALUE"""),"A")</f>
        <v>A</v>
      </c>
      <c r="G1577" s="2005" t="str">
        <f>IFERROR(__xludf.DUMMYFUNCTION("""COMPUTED_VALUE"""),"AC")</f>
        <v>AC</v>
      </c>
      <c r="H1577" s="2005">
        <f>IFERROR(__xludf.DUMMYFUNCTION("""COMPUTED_VALUE"""),45.51)</f>
        <v>45.51</v>
      </c>
      <c r="I1577" s="2005">
        <f>IFERROR(__xludf.DUMMYFUNCTION("""COMPUTED_VALUE"""),45.51)</f>
        <v>45.51</v>
      </c>
      <c r="LL1577" s="2007"/>
      <c r="LM1577" s="2007"/>
    </row>
    <row r="1578">
      <c r="A1578" s="2005">
        <f>IFERROR(__xludf.DUMMYFUNCTION("""COMPUTED_VALUE"""),1136058.0)</f>
        <v>1136058</v>
      </c>
      <c r="B1578" s="2005">
        <f>IFERROR(__xludf.DUMMYFUNCTION("""COMPUTED_VALUE"""),2502010.0)</f>
        <v>2502010</v>
      </c>
      <c r="C1578" s="2005" t="str">
        <f>IFERROR(__xludf.DUMMYFUNCTION("""COMPUTED_VALUE"""),"Souris")</f>
        <v>Souris</v>
      </c>
      <c r="D1578" s="2005" t="str">
        <f>IFERROR(__xludf.DUMMYFUNCTION("""COMPUTED_VALUE"""),"MX Master 3 Graphite")</f>
        <v>MX Master 3 Graphite</v>
      </c>
      <c r="E1578" s="2005" t="str">
        <f>IFERROR(__xludf.DUMMYFUNCTION("""COMPUTED_VALUE"""),"LOGITECH")</f>
        <v>LOGITECH</v>
      </c>
      <c r="F1578" s="2005" t="str">
        <f>IFERROR(__xludf.DUMMYFUNCTION("""COMPUTED_VALUE"""),"A")</f>
        <v>A</v>
      </c>
      <c r="G1578" s="2005" t="str">
        <f>IFERROR(__xludf.DUMMYFUNCTION("""COMPUTED_VALUE"""),"NN")</f>
        <v>NN</v>
      </c>
      <c r="H1578" s="2005">
        <f>IFERROR(__xludf.DUMMYFUNCTION("""COMPUTED_VALUE"""),129.99)</f>
        <v>129.99</v>
      </c>
      <c r="I1578" s="2005">
        <f>IFERROR(__xludf.DUMMYFUNCTION("""COMPUTED_VALUE"""),129.99)</f>
        <v>129.99</v>
      </c>
      <c r="LL1578" s="2007"/>
      <c r="LM1578" s="2007"/>
      <c r="MX1578" s="2007"/>
      <c r="ND1578" s="2007"/>
    </row>
    <row r="1579">
      <c r="A1579" s="2005">
        <f>IFERROR(__xludf.DUMMYFUNCTION("""COMPUTED_VALUE"""),1136059.0)</f>
        <v>1136059</v>
      </c>
      <c r="B1579" s="2005">
        <f>IFERROR(__xludf.DUMMYFUNCTION("""COMPUTED_VALUE"""),2502015.0)</f>
        <v>2502015</v>
      </c>
      <c r="C1579" s="2005" t="str">
        <f>IFERROR(__xludf.DUMMYFUNCTION("""COMPUTED_VALUE"""),"Clavier")</f>
        <v>Clavier</v>
      </c>
      <c r="D1579" s="2005" t="str">
        <f>IFERROR(__xludf.DUMMYFUNCTION("""COMPUTED_VALUE"""),"MX Keys Advanced Wireless Graphite")</f>
        <v>MX Keys Advanced Wireless Graphite</v>
      </c>
      <c r="E1579" s="2005" t="str">
        <f>IFERROR(__xludf.DUMMYFUNCTION("""COMPUTED_VALUE"""),"LOGITECH")</f>
        <v>LOGITECH</v>
      </c>
      <c r="F1579" s="2005" t="str">
        <f>IFERROR(__xludf.DUMMYFUNCTION("""COMPUTED_VALUE"""),"A")</f>
        <v>A</v>
      </c>
      <c r="G1579" s="2005" t="str">
        <f>IFERROR(__xludf.DUMMYFUNCTION("""COMPUTED_VALUE"""),"FF")</f>
        <v>FF</v>
      </c>
      <c r="H1579">
        <f>IFERROR(__xludf.DUMMYFUNCTION("""COMPUTED_VALUE"""),129.99)</f>
        <v>129.99</v>
      </c>
      <c r="I1579">
        <f>IFERROR(__xludf.DUMMYFUNCTION("""COMPUTED_VALUE"""),129.99)</f>
        <v>129.99</v>
      </c>
      <c r="LL1579" s="2007"/>
      <c r="LM1579" s="2007"/>
      <c r="MX1579" s="2007"/>
      <c r="ND1579" s="2007"/>
    </row>
    <row r="1580">
      <c r="A1580" s="2005">
        <f>IFERROR(__xludf.DUMMYFUNCTION("""COMPUTED_VALUE"""),1136060.0)</f>
        <v>1136060</v>
      </c>
      <c r="B1580" s="2005">
        <f>IFERROR(__xludf.DUMMYFUNCTION("""COMPUTED_VALUE"""),2502010.0)</f>
        <v>2502010</v>
      </c>
      <c r="C1580" s="2005" t="str">
        <f>IFERROR(__xludf.DUMMYFUNCTION("""COMPUTED_VALUE"""),"Souris")</f>
        <v>Souris</v>
      </c>
      <c r="D1580" s="2005" t="str">
        <f>IFERROR(__xludf.DUMMYFUNCTION("""COMPUTED_VALUE"""),"Pebble M350 Wireless Blanche")</f>
        <v>Pebble M350 Wireless Blanche</v>
      </c>
      <c r="E1580" s="2005" t="str">
        <f>IFERROR(__xludf.DUMMYFUNCTION("""COMPUTED_VALUE"""),"LOGITECH")</f>
        <v>LOGITECH</v>
      </c>
      <c r="F1580" s="2005" t="str">
        <f>IFERROR(__xludf.DUMMYFUNCTION("""COMPUTED_VALUE"""),"C")</f>
        <v>C</v>
      </c>
      <c r="G1580" s="2005" t="str">
        <f>IFERROR(__xludf.DUMMYFUNCTION("""COMPUTED_VALUE"""),"FF")</f>
        <v>FF</v>
      </c>
      <c r="H1580">
        <f>IFERROR(__xludf.DUMMYFUNCTION("""COMPUTED_VALUE"""),27.99)</f>
        <v>27.99</v>
      </c>
      <c r="I1580">
        <f>IFERROR(__xludf.DUMMYFUNCTION("""COMPUTED_VALUE"""),27.99)</f>
        <v>27.99</v>
      </c>
      <c r="LL1580" s="2007"/>
      <c r="LM1580" s="2007"/>
      <c r="MX1580" s="2007"/>
      <c r="ND1580" s="2007"/>
    </row>
    <row r="1581">
      <c r="A1581" s="2005">
        <f>IFERROR(__xludf.DUMMYFUNCTION("""COMPUTED_VALUE"""),1136104.0)</f>
        <v>1136104</v>
      </c>
      <c r="B1581" s="2005">
        <f>IFERROR(__xludf.DUMMYFUNCTION("""COMPUTED_VALUE"""),2502012.0)</f>
        <v>2502012</v>
      </c>
      <c r="C1581" s="2005" t="str">
        <f>IFERROR(__xludf.DUMMYFUNCTION("""COMPUTED_VALUE"""),"Tablette Graph")</f>
        <v>Tablette Graph</v>
      </c>
      <c r="D1581" s="2005" t="str">
        <f>IFERROR(__xludf.DUMMYFUNCTION("""COMPUTED_VALUE"""),"MobileStudio Pro16P i7 512GB  GEN2")</f>
        <v>MobileStudio Pro16P i7 512GB  GEN2</v>
      </c>
      <c r="E1581" s="2005" t="str">
        <f>IFERROR(__xludf.DUMMYFUNCTION("""COMPUTED_VALUE"""),"WACOM")</f>
        <v>WACOM</v>
      </c>
      <c r="F1581" s="2005" t="str">
        <f>IFERROR(__xludf.DUMMYFUNCTION("""COMPUTED_VALUE"""),"H")</f>
        <v>H</v>
      </c>
      <c r="G1581" s="2005" t="str">
        <f>IFERROR(__xludf.DUMMYFUNCTION("""COMPUTED_VALUE"""),"NN")</f>
        <v>NN</v>
      </c>
      <c r="H1581" s="2005">
        <f>IFERROR(__xludf.DUMMYFUNCTION("""COMPUTED_VALUE"""),3599.9)</f>
        <v>3599.9</v>
      </c>
      <c r="I1581" s="2005">
        <f>IFERROR(__xludf.DUMMYFUNCTION("""COMPUTED_VALUE"""),3599.9)</f>
        <v>3599.9</v>
      </c>
      <c r="LL1581" s="2007"/>
      <c r="LM1581" s="2007"/>
      <c r="MX1581" s="2007"/>
      <c r="ND1581" s="2007"/>
    </row>
    <row r="1582">
      <c r="A1582" s="2005">
        <f>IFERROR(__xludf.DUMMYFUNCTION("""COMPUTED_VALUE"""),1136106.0)</f>
        <v>1136106</v>
      </c>
      <c r="B1582" s="2005">
        <f>IFERROR(__xludf.DUMMYFUNCTION("""COMPUTED_VALUE"""),2502024.0)</f>
        <v>2502024</v>
      </c>
      <c r="C1582" s="2005" t="str">
        <f>IFERROR(__xludf.DUMMYFUNCTION("""COMPUTED_VALUE"""),"Stylet")</f>
        <v>Stylet</v>
      </c>
      <c r="D1582" s="2005" t="str">
        <f>IFERROR(__xludf.DUMMYFUNCTION("""COMPUTED_VALUE"""),"Crayon Intense Sorbet")</f>
        <v>Crayon Intense Sorbet</v>
      </c>
      <c r="E1582" s="2005" t="str">
        <f>IFERROR(__xludf.DUMMYFUNCTION("""COMPUTED_VALUE"""),"LOGITECH")</f>
        <v>LOGITECH</v>
      </c>
      <c r="F1582" s="2005" t="str">
        <f>IFERROR(__xludf.DUMMYFUNCTION("""COMPUTED_VALUE"""),"B")</f>
        <v>B</v>
      </c>
      <c r="G1582" s="2005" t="str">
        <f>IFERROR(__xludf.DUMMYFUNCTION("""COMPUTED_VALUE"""),"AC")</f>
        <v>AC</v>
      </c>
      <c r="H1582" s="2005">
        <f>IFERROR(__xludf.DUMMYFUNCTION("""COMPUTED_VALUE"""),69.99)</f>
        <v>69.99</v>
      </c>
      <c r="I1582" s="2005">
        <f>IFERROR(__xludf.DUMMYFUNCTION("""COMPUTED_VALUE"""),69.99)</f>
        <v>69.99</v>
      </c>
      <c r="LL1582" s="2007"/>
      <c r="LM1582" s="2007"/>
      <c r="MX1582" s="2008"/>
      <c r="ND1582" s="2007"/>
    </row>
    <row r="1583">
      <c r="A1583" s="2005">
        <f>IFERROR(__xludf.DUMMYFUNCTION("""COMPUTED_VALUE"""),1136107.0)</f>
        <v>1136107</v>
      </c>
      <c r="B1583" s="2005">
        <f>IFERROR(__xludf.DUMMYFUNCTION("""COMPUTED_VALUE"""),2502015.0)</f>
        <v>2502015</v>
      </c>
      <c r="C1583" s="2005" t="str">
        <f>IFERROR(__xludf.DUMMYFUNCTION("""COMPUTED_VALUE"""),"Clavier+Souris")</f>
        <v>Clavier+Souris</v>
      </c>
      <c r="D1583" s="2005" t="str">
        <f>IFERROR(__xludf.DUMMYFUNCTION("""COMPUTED_VALUE"""),"MK470 Graphite")</f>
        <v>MK470 Graphite</v>
      </c>
      <c r="E1583" s="2005" t="str">
        <f>IFERROR(__xludf.DUMMYFUNCTION("""COMPUTED_VALUE"""),"LOGITECH")</f>
        <v>LOGITECH</v>
      </c>
      <c r="F1583" s="2005" t="str">
        <f>IFERROR(__xludf.DUMMYFUNCTION("""COMPUTED_VALUE"""),"B")</f>
        <v>B</v>
      </c>
      <c r="G1583" s="2005" t="str">
        <f>IFERROR(__xludf.DUMMYFUNCTION("""COMPUTED_VALUE"""),"AC")</f>
        <v>AC</v>
      </c>
      <c r="H1583">
        <f>IFERROR(__xludf.DUMMYFUNCTION("""COMPUTED_VALUE"""),59.99)</f>
        <v>59.99</v>
      </c>
      <c r="I1583">
        <f>IFERROR(__xludf.DUMMYFUNCTION("""COMPUTED_VALUE"""),59.99)</f>
        <v>59.99</v>
      </c>
      <c r="LL1583" s="2007"/>
      <c r="LM1583" s="2007"/>
      <c r="MX1583" s="2007"/>
      <c r="ND1583" s="2007"/>
    </row>
    <row r="1584">
      <c r="A1584" s="2005">
        <f>IFERROR(__xludf.DUMMYFUNCTION("""COMPUTED_VALUE"""),1136108.0)</f>
        <v>1136108</v>
      </c>
      <c r="B1584" s="2005">
        <f>IFERROR(__xludf.DUMMYFUNCTION("""COMPUTED_VALUE"""),2502015.0)</f>
        <v>2502015</v>
      </c>
      <c r="C1584" s="2005" t="str">
        <f>IFERROR(__xludf.DUMMYFUNCTION("""COMPUTED_VALUE"""),"Clavier+Souris")</f>
        <v>Clavier+Souris</v>
      </c>
      <c r="D1584" s="2005" t="str">
        <f>IFERROR(__xludf.DUMMYFUNCTION("""COMPUTED_VALUE"""),"MK470 Blanc")</f>
        <v>MK470 Blanc</v>
      </c>
      <c r="E1584" s="2005" t="str">
        <f>IFERROR(__xludf.DUMMYFUNCTION("""COMPUTED_VALUE"""),"LOGITECH")</f>
        <v>LOGITECH</v>
      </c>
      <c r="F1584" s="2005" t="str">
        <f>IFERROR(__xludf.DUMMYFUNCTION("""COMPUTED_VALUE"""),"B")</f>
        <v>B</v>
      </c>
      <c r="G1584" s="2005" t="str">
        <f>IFERROR(__xludf.DUMMYFUNCTION("""COMPUTED_VALUE"""),"AC")</f>
        <v>AC</v>
      </c>
      <c r="H1584">
        <f>IFERROR(__xludf.DUMMYFUNCTION("""COMPUTED_VALUE"""),59.99)</f>
        <v>59.99</v>
      </c>
      <c r="I1584">
        <f>IFERROR(__xludf.DUMMYFUNCTION("""COMPUTED_VALUE"""),59.99)</f>
        <v>59.99</v>
      </c>
      <c r="BD1584" s="2006"/>
      <c r="LL1584" s="2007"/>
      <c r="LM1584" s="2007"/>
      <c r="MX1584" s="2007"/>
      <c r="ND1584" s="2007"/>
    </row>
    <row r="1585">
      <c r="A1585" s="2005">
        <f>IFERROR(__xludf.DUMMYFUNCTION("""COMPUTED_VALUE"""),1136212.0)</f>
        <v>1136212</v>
      </c>
      <c r="B1585" s="2005">
        <f>IFERROR(__xludf.DUMMYFUNCTION("""COMPUTED_VALUE"""),2502010.0)</f>
        <v>2502010</v>
      </c>
      <c r="C1585" s="2005" t="str">
        <f>IFERROR(__xludf.DUMMYFUNCTION("""COMPUTED_VALUE"""),"Souris")</f>
        <v>Souris</v>
      </c>
      <c r="D1585" s="2005" t="str">
        <f>IFERROR(__xludf.DUMMYFUNCTION("""COMPUTED_VALUE"""),"Pebble M350 Wireless Graphite")</f>
        <v>Pebble M350 Wireless Graphite</v>
      </c>
      <c r="E1585" s="2005" t="str">
        <f>IFERROR(__xludf.DUMMYFUNCTION("""COMPUTED_VALUE"""),"LOGITECH")</f>
        <v>LOGITECH</v>
      </c>
      <c r="F1585" s="2005" t="str">
        <f>IFERROR(__xludf.DUMMYFUNCTION("""COMPUTED_VALUE"""),"A")</f>
        <v>A</v>
      </c>
      <c r="G1585" s="2005" t="str">
        <f>IFERROR(__xludf.DUMMYFUNCTION("""COMPUTED_VALUE"""),"NN")</f>
        <v>NN</v>
      </c>
      <c r="H1585" s="2005">
        <f>IFERROR(__xludf.DUMMYFUNCTION("""COMPUTED_VALUE"""),24.99)</f>
        <v>24.99</v>
      </c>
      <c r="I1585" s="2005">
        <f>IFERROR(__xludf.DUMMYFUNCTION("""COMPUTED_VALUE"""),24.99)</f>
        <v>24.99</v>
      </c>
      <c r="BD1585" s="2006"/>
      <c r="LL1585" s="2007"/>
      <c r="LM1585" s="2007"/>
      <c r="MX1585" s="2008"/>
      <c r="ND1585" s="2007"/>
    </row>
    <row r="1586">
      <c r="A1586" s="2005">
        <f>IFERROR(__xludf.DUMMYFUNCTION("""COMPUTED_VALUE"""),1136221.0)</f>
        <v>1136221</v>
      </c>
      <c r="B1586" s="2005">
        <f>IFERROR(__xludf.DUMMYFUNCTION("""COMPUTED_VALUE"""),2502010.0)</f>
        <v>2502010</v>
      </c>
      <c r="C1586" s="2005" t="str">
        <f>IFERROR(__xludf.DUMMYFUNCTION("""COMPUTED_VALUE"""),"Souris")</f>
        <v>Souris</v>
      </c>
      <c r="D1586" s="2005" t="str">
        <f>IFERROR(__xludf.DUMMYFUNCTION("""COMPUTED_VALUE"""),"Pebble M350 Wireless Rose")</f>
        <v>Pebble M350 Wireless Rose</v>
      </c>
      <c r="E1586" s="2005" t="str">
        <f>IFERROR(__xludf.DUMMYFUNCTION("""COMPUTED_VALUE"""),"LOGITECH")</f>
        <v>LOGITECH</v>
      </c>
      <c r="F1586" s="2005" t="str">
        <f>IFERROR(__xludf.DUMMYFUNCTION("""COMPUTED_VALUE"""),"D")</f>
        <v>D</v>
      </c>
      <c r="G1586" s="2005" t="str">
        <f>IFERROR(__xludf.DUMMYFUNCTION("""COMPUTED_VALUE"""),"FI")</f>
        <v>FI</v>
      </c>
      <c r="H1586">
        <f>IFERROR(__xludf.DUMMYFUNCTION("""COMPUTED_VALUE"""),27.99)</f>
        <v>27.99</v>
      </c>
      <c r="I1586">
        <f>IFERROR(__xludf.DUMMYFUNCTION("""COMPUTED_VALUE"""),27.99)</f>
        <v>27.99</v>
      </c>
      <c r="BD1586" s="2006"/>
      <c r="LL1586" s="2007"/>
      <c r="LM1586" s="2007"/>
      <c r="MX1586" s="2007"/>
      <c r="ND1586" s="2007"/>
    </row>
    <row r="1587">
      <c r="A1587" s="2005">
        <f>IFERROR(__xludf.DUMMYFUNCTION("""COMPUTED_VALUE"""),1136686.0)</f>
        <v>1136686</v>
      </c>
      <c r="B1587" s="2005">
        <f>IFERROR(__xludf.DUMMYFUNCTION("""COMPUTED_VALUE"""),2502020.0)</f>
        <v>2502020</v>
      </c>
      <c r="C1587" s="2005" t="str">
        <f>IFERROR(__xludf.DUMMYFUNCTION("""COMPUTED_VALUE"""),"Webcam")</f>
        <v>Webcam</v>
      </c>
      <c r="D1587" s="2005" t="str">
        <f>IFERROR(__xludf.DUMMYFUNCTION("""COMPUTED_VALUE"""),"CAM 313 Live Streamer")</f>
        <v>CAM 313 Live Streamer</v>
      </c>
      <c r="E1587" s="2005" t="str">
        <f>IFERROR(__xludf.DUMMYFUNCTION("""COMPUTED_VALUE"""),"AVERMEDIA")</f>
        <v>AVERMEDIA</v>
      </c>
      <c r="F1587" s="2005" t="str">
        <f>IFERROR(__xludf.DUMMYFUNCTION("""COMPUTED_VALUE"""),"C")</f>
        <v>C</v>
      </c>
      <c r="G1587" s="2005" t="str">
        <f>IFERROR(__xludf.DUMMYFUNCTION("""COMPUTED_VALUE"""),"NN")</f>
        <v>NN</v>
      </c>
      <c r="H1587">
        <f>IFERROR(__xludf.DUMMYFUNCTION("""COMPUTED_VALUE"""),43.99)</f>
        <v>43.99</v>
      </c>
      <c r="I1587" s="2005">
        <f>IFERROR(__xludf.DUMMYFUNCTION("""COMPUTED_VALUE"""),43.99)</f>
        <v>43.99</v>
      </c>
      <c r="BD1587" s="2006"/>
      <c r="LL1587" s="2007"/>
      <c r="LM1587" s="2007"/>
      <c r="MX1587" s="2007"/>
      <c r="ND1587" s="2007"/>
    </row>
    <row r="1588">
      <c r="A1588" s="2005">
        <f>IFERROR(__xludf.DUMMYFUNCTION("""COMPUTED_VALUE"""),1136738.0)</f>
        <v>1136738</v>
      </c>
      <c r="B1588" s="2005">
        <f>IFERROR(__xludf.DUMMYFUNCTION("""COMPUTED_VALUE"""),2202010.0)</f>
        <v>2202010</v>
      </c>
      <c r="C1588" s="2005" t="str">
        <f>IFERROR(__xludf.DUMMYFUNCTION("""COMPUTED_VALUE"""),"Multi Jet d'enc")</f>
        <v>Multi Jet d'enc</v>
      </c>
      <c r="D1588" s="2005" t="str">
        <f>IFERROR(__xludf.DUMMYFUNCTION("""COMPUTED_VALUE"""),"EcoTank ET-2726")</f>
        <v>EcoTank ET-2726</v>
      </c>
      <c r="E1588" s="2005" t="str">
        <f>IFERROR(__xludf.DUMMYFUNCTION("""COMPUTED_VALUE"""),"EPSON")</f>
        <v>EPSON</v>
      </c>
      <c r="F1588" s="2005" t="str">
        <f>IFERROR(__xludf.DUMMYFUNCTION("""COMPUTED_VALUE"""),"C")</f>
        <v>C</v>
      </c>
      <c r="G1588" s="2005" t="str">
        <f>IFERROR(__xludf.DUMMYFUNCTION("""COMPUTED_VALUE"""),"NN")</f>
        <v>NN</v>
      </c>
      <c r="H1588">
        <f>IFERROR(__xludf.DUMMYFUNCTION("""COMPUTED_VALUE"""),168.99)</f>
        <v>168.99</v>
      </c>
      <c r="I1588">
        <f>IFERROR(__xludf.DUMMYFUNCTION("""COMPUTED_VALUE"""),168.99)</f>
        <v>168.99</v>
      </c>
      <c r="BD1588" s="2006"/>
      <c r="LL1588" s="2007"/>
      <c r="LM1588" s="2007"/>
      <c r="MX1588" s="2007"/>
      <c r="ND1588" s="2007"/>
    </row>
    <row r="1589">
      <c r="A1589" s="2005">
        <f>IFERROR(__xludf.DUMMYFUNCTION("""COMPUTED_VALUE"""),1137151.0)</f>
        <v>1137151</v>
      </c>
      <c r="B1589" s="2005">
        <f>IFERROR(__xludf.DUMMYFUNCTION("""COMPUTED_VALUE"""),2502040.0)</f>
        <v>2502040</v>
      </c>
      <c r="C1589" s="2005" t="str">
        <f>IFERROR(__xludf.DUMMYFUNCTION("""COMPUTED_VALUE"""),"Pack")</f>
        <v>Pack</v>
      </c>
      <c r="D1589" s="2005" t="str">
        <f>IFERROR(__xludf.DUMMYFUNCTION("""COMPUTED_VALUE"""),"Clavier+Stylet Surface Pro X Slim Pen No")</f>
        <v>Clavier+Stylet Surface Pro X Slim Pen No</v>
      </c>
      <c r="E1589" s="2005" t="str">
        <f>IFERROR(__xludf.DUMMYFUNCTION("""COMPUTED_VALUE"""),"MICROSOFT")</f>
        <v>MICROSOFT</v>
      </c>
      <c r="F1589" s="2005" t="str">
        <f>IFERROR(__xludf.DUMMYFUNCTION("""COMPUTED_VALUE"""),"C")</f>
        <v>C</v>
      </c>
      <c r="G1589" s="2005" t="str">
        <f>IFERROR(__xludf.DUMMYFUNCTION("""COMPUTED_VALUE"""),"NN")</f>
        <v>NN</v>
      </c>
      <c r="H1589" s="2005">
        <f>IFERROR(__xludf.DUMMYFUNCTION("""COMPUTED_VALUE"""),178.99)</f>
        <v>178.99</v>
      </c>
      <c r="I1589" s="2005">
        <f>IFERROR(__xludf.DUMMYFUNCTION("""COMPUTED_VALUE"""),178.99)</f>
        <v>178.99</v>
      </c>
      <c r="BD1589" s="2006"/>
      <c r="LL1589" s="2007"/>
      <c r="LM1589" s="2007"/>
      <c r="MX1589" s="2007"/>
      <c r="ND1589" s="2007"/>
    </row>
    <row r="1590">
      <c r="A1590" s="2005">
        <f>IFERROR(__xludf.DUMMYFUNCTION("""COMPUTED_VALUE"""),1137152.0)</f>
        <v>1137152</v>
      </c>
      <c r="B1590" s="2005">
        <f>IFERROR(__xludf.DUMMYFUNCTION("""COMPUTED_VALUE"""),2502040.0)</f>
        <v>2502040</v>
      </c>
      <c r="C1590" s="2005" t="str">
        <f>IFERROR(__xludf.DUMMYFUNCTION("""COMPUTED_VALUE"""),"Clavier + supp")</f>
        <v>Clavier + supp</v>
      </c>
      <c r="D1590" s="2005" t="str">
        <f>IFERROR(__xludf.DUMMYFUNCTION("""COMPUTED_VALUE"""),"Demo Unit Clavier+ Stylet Surface Pro X")</f>
        <v>Demo Unit Clavier+ Stylet Surface Pro X</v>
      </c>
      <c r="E1590" s="2005" t="str">
        <f>IFERROR(__xludf.DUMMYFUNCTION("""COMPUTED_VALUE"""),"MICROSOFT")</f>
        <v>MICROSOFT</v>
      </c>
      <c r="F1590" s="2005" t="str">
        <f>IFERROR(__xludf.DUMMYFUNCTION("""COMPUTED_VALUE"""),"H")</f>
        <v>H</v>
      </c>
      <c r="G1590" s="2005" t="str">
        <f>IFERROR(__xludf.DUMMYFUNCTION("""COMPUTED_VALUE"""),"NN")</f>
        <v>NN</v>
      </c>
      <c r="H1590">
        <f>IFERROR(__xludf.DUMMYFUNCTION("""COMPUTED_VALUE"""),89.99)</f>
        <v>89.99</v>
      </c>
      <c r="I1590">
        <f>IFERROR(__xludf.DUMMYFUNCTION("""COMPUTED_VALUE"""),89.99)</f>
        <v>89.99</v>
      </c>
      <c r="BD1590" s="2006"/>
      <c r="LL1590" s="2007"/>
      <c r="LM1590" s="2007"/>
      <c r="MX1590" s="2008"/>
      <c r="ND1590" s="2007"/>
    </row>
    <row r="1591">
      <c r="A1591" s="2005">
        <f>IFERROR(__xludf.DUMMYFUNCTION("""COMPUTED_VALUE"""),1137154.0)</f>
        <v>1137154</v>
      </c>
      <c r="B1591" s="2005">
        <f>IFERROR(__xludf.DUMMYFUNCTION("""COMPUTED_VALUE"""),2502040.0)</f>
        <v>2502040</v>
      </c>
      <c r="C1591" s="2005" t="str">
        <f>IFERROR(__xludf.DUMMYFUNCTION("""COMPUTED_VALUE"""),"Clavier")</f>
        <v>Clavier</v>
      </c>
      <c r="D1591" s="2005" t="str">
        <f>IFERROR(__xludf.DUMMYFUNCTION("""COMPUTED_VALUE"""),"Surface Pro X et Pro 8 Keyboard Noir")</f>
        <v>Surface Pro X et Pro 8 Keyboard Noir</v>
      </c>
      <c r="E1591" s="2005" t="str">
        <f>IFERROR(__xludf.DUMMYFUNCTION("""COMPUTED_VALUE"""),"MICROSOFT")</f>
        <v>MICROSOFT</v>
      </c>
      <c r="F1591" s="2005" t="str">
        <f>IFERROR(__xludf.DUMMYFUNCTION("""COMPUTED_VALUE"""),"H")</f>
        <v>H</v>
      </c>
      <c r="G1591" s="2005" t="str">
        <f>IFERROR(__xludf.DUMMYFUNCTION("""COMPUTED_VALUE"""),"NN")</f>
        <v>NN</v>
      </c>
      <c r="H1591">
        <f>IFERROR(__xludf.DUMMYFUNCTION("""COMPUTED_VALUE"""),149.95)</f>
        <v>149.95</v>
      </c>
      <c r="I1591">
        <f>IFERROR(__xludf.DUMMYFUNCTION("""COMPUTED_VALUE"""),149.95)</f>
        <v>149.95</v>
      </c>
      <c r="BD1591" s="2006"/>
      <c r="LL1591" s="2007"/>
      <c r="LM1591" s="2007"/>
      <c r="MX1591" s="2008"/>
      <c r="ND1591" s="2007"/>
    </row>
    <row r="1592">
      <c r="A1592" s="2005">
        <f>IFERROR(__xludf.DUMMYFUNCTION("""COMPUTED_VALUE"""),1137525.0)</f>
        <v>1137525</v>
      </c>
      <c r="B1592" s="2005">
        <f>IFERROR(__xludf.DUMMYFUNCTION("""COMPUTED_VALUE"""),2403005.0)</f>
        <v>2403005</v>
      </c>
      <c r="C1592" s="2005" t="str">
        <f>IFERROR(__xludf.DUMMYFUNCTION("""COMPUTED_VALUE"""),"Cartouche")</f>
        <v>Cartouche</v>
      </c>
      <c r="D1592" s="2005" t="str">
        <f>IFERROR(__xludf.DUMMYFUNCTION("""COMPUTED_VALUE"""),"LC3233 Noire")</f>
        <v>LC3233 Noire</v>
      </c>
      <c r="E1592" s="2005" t="str">
        <f>IFERROR(__xludf.DUMMYFUNCTION("""COMPUTED_VALUE"""),"BROTHER")</f>
        <v>BROTHER</v>
      </c>
      <c r="F1592" s="2005" t="str">
        <f>IFERROR(__xludf.DUMMYFUNCTION("""COMPUTED_VALUE"""),"H")</f>
        <v>H</v>
      </c>
      <c r="G1592" s="2005" t="str">
        <f>IFERROR(__xludf.DUMMYFUNCTION("""COMPUTED_VALUE"""),"FR")</f>
        <v>FR</v>
      </c>
      <c r="H1592" s="2005">
        <f>IFERROR(__xludf.DUMMYFUNCTION("""COMPUTED_VALUE"""),32.01)</f>
        <v>32.01</v>
      </c>
      <c r="I1592" s="2005">
        <f>IFERROR(__xludf.DUMMYFUNCTION("""COMPUTED_VALUE"""),32.01)</f>
        <v>32.01</v>
      </c>
      <c r="BD1592" s="2006"/>
      <c r="LL1592" s="2007"/>
      <c r="LM1592" s="2007"/>
      <c r="MX1592" s="2008"/>
      <c r="ND1592" s="2007"/>
    </row>
    <row r="1593">
      <c r="A1593" s="2005">
        <f>IFERROR(__xludf.DUMMYFUNCTION("""COMPUTED_VALUE"""),1137526.0)</f>
        <v>1137526</v>
      </c>
      <c r="B1593" s="2005">
        <f>IFERROR(__xludf.DUMMYFUNCTION("""COMPUTED_VALUE"""),2403005.0)</f>
        <v>2403005</v>
      </c>
      <c r="C1593" s="2005" t="str">
        <f>IFERROR(__xludf.DUMMYFUNCTION("""COMPUTED_VALUE"""),"Cartouche")</f>
        <v>Cartouche</v>
      </c>
      <c r="D1593" s="2005" t="str">
        <f>IFERROR(__xludf.DUMMYFUNCTION("""COMPUTED_VALUE"""),"LC3233 Cyan")</f>
        <v>LC3233 Cyan</v>
      </c>
      <c r="E1593" s="2005" t="str">
        <f>IFERROR(__xludf.DUMMYFUNCTION("""COMPUTED_VALUE"""),"BROTHER")</f>
        <v>BROTHER</v>
      </c>
      <c r="F1593" s="2005" t="str">
        <f>IFERROR(__xludf.DUMMYFUNCTION("""COMPUTED_VALUE"""),"H")</f>
        <v>H</v>
      </c>
      <c r="G1593" s="2005" t="str">
        <f>IFERROR(__xludf.DUMMYFUNCTION("""COMPUTED_VALUE"""),"FR")</f>
        <v>FR</v>
      </c>
      <c r="H1593">
        <f>IFERROR(__xludf.DUMMYFUNCTION("""COMPUTED_VALUE"""),22.01)</f>
        <v>22.01</v>
      </c>
      <c r="I1593">
        <f>IFERROR(__xludf.DUMMYFUNCTION("""COMPUTED_VALUE"""),22.01)</f>
        <v>22.01</v>
      </c>
      <c r="BD1593" s="2006"/>
      <c r="LL1593" s="2007"/>
      <c r="LM1593" s="2007"/>
      <c r="MX1593" s="2007"/>
      <c r="ND1593" s="2007"/>
    </row>
    <row r="1594">
      <c r="A1594" s="2005">
        <f>IFERROR(__xludf.DUMMYFUNCTION("""COMPUTED_VALUE"""),1137527.0)</f>
        <v>1137527</v>
      </c>
      <c r="B1594" s="2005">
        <f>IFERROR(__xludf.DUMMYFUNCTION("""COMPUTED_VALUE"""),2403005.0)</f>
        <v>2403005</v>
      </c>
      <c r="C1594" s="2005" t="str">
        <f>IFERROR(__xludf.DUMMYFUNCTION("""COMPUTED_VALUE"""),"Cartouche")</f>
        <v>Cartouche</v>
      </c>
      <c r="D1594" s="2005" t="str">
        <f>IFERROR(__xludf.DUMMYFUNCTION("""COMPUTED_VALUE"""),"LC3233 Magenta")</f>
        <v>LC3233 Magenta</v>
      </c>
      <c r="E1594" s="2005" t="str">
        <f>IFERROR(__xludf.DUMMYFUNCTION("""COMPUTED_VALUE"""),"BROTHER")</f>
        <v>BROTHER</v>
      </c>
      <c r="F1594" s="2005" t="str">
        <f>IFERROR(__xludf.DUMMYFUNCTION("""COMPUTED_VALUE"""),"H")</f>
        <v>H</v>
      </c>
      <c r="G1594" s="2005" t="str">
        <f>IFERROR(__xludf.DUMMYFUNCTION("""COMPUTED_VALUE"""),"FR")</f>
        <v>FR</v>
      </c>
      <c r="H1594">
        <f>IFERROR(__xludf.DUMMYFUNCTION("""COMPUTED_VALUE"""),22.01)</f>
        <v>22.01</v>
      </c>
      <c r="I1594">
        <f>IFERROR(__xludf.DUMMYFUNCTION("""COMPUTED_VALUE"""),22.01)</f>
        <v>22.01</v>
      </c>
      <c r="BD1594" s="2006"/>
      <c r="LL1594" s="2007"/>
      <c r="LM1594" s="2007"/>
      <c r="MX1594" s="2008"/>
      <c r="ND1594" s="2007"/>
    </row>
    <row r="1595">
      <c r="A1595" s="2005">
        <f>IFERROR(__xludf.DUMMYFUNCTION("""COMPUTED_VALUE"""),1137530.0)</f>
        <v>1137530</v>
      </c>
      <c r="B1595" s="2005">
        <f>IFERROR(__xludf.DUMMYFUNCTION("""COMPUTED_VALUE"""),2403005.0)</f>
        <v>2403005</v>
      </c>
      <c r="C1595" s="2005" t="str">
        <f>IFERROR(__xludf.DUMMYFUNCTION("""COMPUTED_VALUE"""),"Cartouche")</f>
        <v>Cartouche</v>
      </c>
      <c r="D1595" s="2005" t="str">
        <f>IFERROR(__xludf.DUMMYFUNCTION("""COMPUTED_VALUE"""),"LC3233 Jaune")</f>
        <v>LC3233 Jaune</v>
      </c>
      <c r="E1595" s="2005" t="str">
        <f>IFERROR(__xludf.DUMMYFUNCTION("""COMPUTED_VALUE"""),"BROTHER")</f>
        <v>BROTHER</v>
      </c>
      <c r="F1595" s="2005" t="str">
        <f>IFERROR(__xludf.DUMMYFUNCTION("""COMPUTED_VALUE"""),"H")</f>
        <v>H</v>
      </c>
      <c r="G1595" s="2005" t="str">
        <f>IFERROR(__xludf.DUMMYFUNCTION("""COMPUTED_VALUE"""),"FR")</f>
        <v>FR</v>
      </c>
      <c r="H1595">
        <f>IFERROR(__xludf.DUMMYFUNCTION("""COMPUTED_VALUE"""),22.01)</f>
        <v>22.01</v>
      </c>
      <c r="I1595">
        <f>IFERROR(__xludf.DUMMYFUNCTION("""COMPUTED_VALUE"""),22.01)</f>
        <v>22.01</v>
      </c>
      <c r="BD1595" s="2006"/>
      <c r="LL1595" s="2008"/>
      <c r="LM1595" s="2007"/>
      <c r="MX1595" s="2008"/>
      <c r="ND1595" s="2007"/>
    </row>
    <row r="1596">
      <c r="A1596" s="2005">
        <f>IFERROR(__xludf.DUMMYFUNCTION("""COMPUTED_VALUE"""),1137533.0)</f>
        <v>1137533</v>
      </c>
      <c r="B1596" s="2005">
        <f>IFERROR(__xludf.DUMMYFUNCTION("""COMPUTED_VALUE"""),2403005.0)</f>
        <v>2403005</v>
      </c>
      <c r="C1596" s="2005" t="str">
        <f>IFERROR(__xludf.DUMMYFUNCTION("""COMPUTED_VALUE"""),"Cartouche")</f>
        <v>Cartouche</v>
      </c>
      <c r="D1596" s="2005" t="str">
        <f>IFERROR(__xludf.DUMMYFUNCTION("""COMPUTED_VALUE"""),"LC3235 Noire XL")</f>
        <v>LC3235 Noire XL</v>
      </c>
      <c r="E1596" s="2005" t="str">
        <f>IFERROR(__xludf.DUMMYFUNCTION("""COMPUTED_VALUE"""),"BROTHER")</f>
        <v>BROTHER</v>
      </c>
      <c r="F1596" s="2005" t="str">
        <f>IFERROR(__xludf.DUMMYFUNCTION("""COMPUTED_VALUE"""),"H")</f>
        <v>H</v>
      </c>
      <c r="G1596" s="2005" t="str">
        <f>IFERROR(__xludf.DUMMYFUNCTION("""COMPUTED_VALUE"""),"NN")</f>
        <v>NN</v>
      </c>
      <c r="H1596">
        <f>IFERROR(__xludf.DUMMYFUNCTION("""COMPUTED_VALUE"""),49.05)</f>
        <v>49.05</v>
      </c>
      <c r="I1596">
        <f>IFERROR(__xludf.DUMMYFUNCTION("""COMPUTED_VALUE"""),49.05)</f>
        <v>49.05</v>
      </c>
      <c r="BD1596" s="2006"/>
      <c r="LL1596" s="2007"/>
      <c r="LM1596" s="2007"/>
      <c r="MX1596" s="2008"/>
      <c r="ND1596" s="2007"/>
    </row>
    <row r="1597">
      <c r="A1597" s="2005">
        <f>IFERROR(__xludf.DUMMYFUNCTION("""COMPUTED_VALUE"""),1137536.0)</f>
        <v>1137536</v>
      </c>
      <c r="B1597" s="2005">
        <f>IFERROR(__xludf.DUMMYFUNCTION("""COMPUTED_VALUE"""),2403005.0)</f>
        <v>2403005</v>
      </c>
      <c r="C1597" s="2005" t="str">
        <f>IFERROR(__xludf.DUMMYFUNCTION("""COMPUTED_VALUE"""),"Cartouche")</f>
        <v>Cartouche</v>
      </c>
      <c r="D1597" s="2005" t="str">
        <f>IFERROR(__xludf.DUMMYFUNCTION("""COMPUTED_VALUE"""),"LC3235 Cyan XL")</f>
        <v>LC3235 Cyan XL</v>
      </c>
      <c r="E1597" s="2005" t="str">
        <f>IFERROR(__xludf.DUMMYFUNCTION("""COMPUTED_VALUE"""),"BROTHER")</f>
        <v>BROTHER</v>
      </c>
      <c r="F1597" s="2005" t="str">
        <f>IFERROR(__xludf.DUMMYFUNCTION("""COMPUTED_VALUE"""),"H")</f>
        <v>H</v>
      </c>
      <c r="G1597" s="2005" t="str">
        <f>IFERROR(__xludf.DUMMYFUNCTION("""COMPUTED_VALUE"""),"NN")</f>
        <v>NN</v>
      </c>
      <c r="H1597" s="2005">
        <f>IFERROR(__xludf.DUMMYFUNCTION("""COMPUTED_VALUE"""),43.01)</f>
        <v>43.01</v>
      </c>
      <c r="I1597" s="2005">
        <f>IFERROR(__xludf.DUMMYFUNCTION("""COMPUTED_VALUE"""),43.01)</f>
        <v>43.01</v>
      </c>
      <c r="BD1597" s="2006"/>
      <c r="LL1597" s="2007"/>
      <c r="LM1597" s="2007"/>
      <c r="MX1597" s="2008"/>
      <c r="ND1597" s="2007"/>
    </row>
    <row r="1598">
      <c r="A1598" s="2005">
        <f>IFERROR(__xludf.DUMMYFUNCTION("""COMPUTED_VALUE"""),1137537.0)</f>
        <v>1137537</v>
      </c>
      <c r="B1598" s="2005">
        <f>IFERROR(__xludf.DUMMYFUNCTION("""COMPUTED_VALUE"""),2403005.0)</f>
        <v>2403005</v>
      </c>
      <c r="C1598" s="2005" t="str">
        <f>IFERROR(__xludf.DUMMYFUNCTION("""COMPUTED_VALUE"""),"Cartouche")</f>
        <v>Cartouche</v>
      </c>
      <c r="D1598" s="2005" t="str">
        <f>IFERROR(__xludf.DUMMYFUNCTION("""COMPUTED_VALUE"""),"LC3235 Magenta XL")</f>
        <v>LC3235 Magenta XL</v>
      </c>
      <c r="E1598" s="2005" t="str">
        <f>IFERROR(__xludf.DUMMYFUNCTION("""COMPUTED_VALUE"""),"BROTHER")</f>
        <v>BROTHER</v>
      </c>
      <c r="F1598" s="2005" t="str">
        <f>IFERROR(__xludf.DUMMYFUNCTION("""COMPUTED_VALUE"""),"H")</f>
        <v>H</v>
      </c>
      <c r="G1598" s="2005" t="str">
        <f>IFERROR(__xludf.DUMMYFUNCTION("""COMPUTED_VALUE"""),"NN")</f>
        <v>NN</v>
      </c>
      <c r="H1598" s="2005">
        <f>IFERROR(__xludf.DUMMYFUNCTION("""COMPUTED_VALUE"""),43.01)</f>
        <v>43.01</v>
      </c>
      <c r="I1598" s="2005">
        <f>IFERROR(__xludf.DUMMYFUNCTION("""COMPUTED_VALUE"""),43.01)</f>
        <v>43.01</v>
      </c>
      <c r="BD1598" s="2006"/>
      <c r="LL1598" s="2007"/>
      <c r="LM1598" s="2007"/>
      <c r="MX1598" s="2008"/>
      <c r="ND1598" s="2007"/>
    </row>
    <row r="1599">
      <c r="A1599" s="2005">
        <f>IFERROR(__xludf.DUMMYFUNCTION("""COMPUTED_VALUE"""),1137538.0)</f>
        <v>1137538</v>
      </c>
      <c r="B1599" s="2005">
        <f>IFERROR(__xludf.DUMMYFUNCTION("""COMPUTED_VALUE"""),2403005.0)</f>
        <v>2403005</v>
      </c>
      <c r="C1599" s="2005" t="str">
        <f>IFERROR(__xludf.DUMMYFUNCTION("""COMPUTED_VALUE"""),"Cartouche")</f>
        <v>Cartouche</v>
      </c>
      <c r="D1599" s="2005" t="str">
        <f>IFERROR(__xludf.DUMMYFUNCTION("""COMPUTED_VALUE"""),"LC3235 Jaune XL")</f>
        <v>LC3235 Jaune XL</v>
      </c>
      <c r="E1599" s="2005" t="str">
        <f>IFERROR(__xludf.DUMMYFUNCTION("""COMPUTED_VALUE"""),"BROTHER")</f>
        <v>BROTHER</v>
      </c>
      <c r="F1599" s="2005" t="str">
        <f>IFERROR(__xludf.DUMMYFUNCTION("""COMPUTED_VALUE"""),"H")</f>
        <v>H</v>
      </c>
      <c r="G1599" s="2005" t="str">
        <f>IFERROR(__xludf.DUMMYFUNCTION("""COMPUTED_VALUE"""),"NN")</f>
        <v>NN</v>
      </c>
      <c r="H1599" s="2005">
        <f>IFERROR(__xludf.DUMMYFUNCTION("""COMPUTED_VALUE"""),43.01)</f>
        <v>43.01</v>
      </c>
      <c r="I1599" s="2005">
        <f>IFERROR(__xludf.DUMMYFUNCTION("""COMPUTED_VALUE"""),43.01)</f>
        <v>43.01</v>
      </c>
      <c r="BD1599" s="2006"/>
      <c r="LL1599" s="2008"/>
      <c r="LM1599" s="2007"/>
      <c r="MX1599" s="2007"/>
      <c r="ND1599" s="2007"/>
    </row>
    <row r="1600">
      <c r="A1600" s="2005">
        <f>IFERROR(__xludf.DUMMYFUNCTION("""COMPUTED_VALUE"""),1138326.0)</f>
        <v>1138326</v>
      </c>
      <c r="B1600" s="2005">
        <f>IFERROR(__xludf.DUMMYFUNCTION("""COMPUTED_VALUE"""),2705020.0)</f>
        <v>2705020</v>
      </c>
      <c r="C1600" s="2005" t="str">
        <f>IFERROR(__xludf.DUMMYFUNCTION("""COMPUTED_VALUE"""),"Filtre")</f>
        <v>Filtre</v>
      </c>
      <c r="D1600" s="2005" t="str">
        <f>IFERROR(__xludf.DUMMYFUNCTION("""COMPUTED_VALUE"""),"Magnétic Privé pour MacBook 12'")</f>
        <v>Magnétic Privé pour MacBook 12'</v>
      </c>
      <c r="E1600" s="2005" t="str">
        <f>IFERROR(__xludf.DUMMYFUNCTION("""COMPUTED_VALUE"""),"XTREMEMAC")</f>
        <v>XTREMEMAC</v>
      </c>
      <c r="F1600" s="2005" t="str">
        <f>IFERROR(__xludf.DUMMYFUNCTION("""COMPUTED_VALUE"""),"H")</f>
        <v>H</v>
      </c>
      <c r="G1600" s="2005" t="str">
        <f>IFERROR(__xludf.DUMMYFUNCTION("""COMPUTED_VALUE"""),"NN")</f>
        <v>NN</v>
      </c>
      <c r="H1600">
        <f>IFERROR(__xludf.DUMMYFUNCTION("""COMPUTED_VALUE"""),5.0)</f>
        <v>5</v>
      </c>
      <c r="I1600">
        <f>IFERROR(__xludf.DUMMYFUNCTION("""COMPUTED_VALUE"""),5.0)</f>
        <v>5</v>
      </c>
      <c r="BD1600" s="2006"/>
      <c r="LL1600" s="2008"/>
      <c r="LM1600" s="2007"/>
      <c r="MX1600" s="2007"/>
      <c r="ND1600" s="2007"/>
    </row>
    <row r="1601">
      <c r="A1601" s="2005">
        <f>IFERROR(__xludf.DUMMYFUNCTION("""COMPUTED_VALUE"""),1138327.0)</f>
        <v>1138327</v>
      </c>
      <c r="B1601" s="2005">
        <f>IFERROR(__xludf.DUMMYFUNCTION("""COMPUTED_VALUE"""),2705020.0)</f>
        <v>2705020</v>
      </c>
      <c r="C1601" s="2005" t="str">
        <f>IFERROR(__xludf.DUMMYFUNCTION("""COMPUTED_VALUE"""),"Filtre")</f>
        <v>Filtre</v>
      </c>
      <c r="D1601" s="2005" t="str">
        <f>IFERROR(__xludf.DUMMYFUNCTION("""COMPUTED_VALUE"""),"Magnétic Privé pour MacBook Air 13'")</f>
        <v>Magnétic Privé pour MacBook Air 13'</v>
      </c>
      <c r="E1601" s="2005" t="str">
        <f>IFERROR(__xludf.DUMMYFUNCTION("""COMPUTED_VALUE"""),"XTREMEMAC")</f>
        <v>XTREMEMAC</v>
      </c>
      <c r="F1601" s="2005" t="str">
        <f>IFERROR(__xludf.DUMMYFUNCTION("""COMPUTED_VALUE"""),"H")</f>
        <v>H</v>
      </c>
      <c r="G1601" s="2005" t="str">
        <f>IFERROR(__xludf.DUMMYFUNCTION("""COMPUTED_VALUE"""),"NN")</f>
        <v>NN</v>
      </c>
      <c r="H1601">
        <f>IFERROR(__xludf.DUMMYFUNCTION("""COMPUTED_VALUE"""),49.99)</f>
        <v>49.99</v>
      </c>
      <c r="I1601">
        <f>IFERROR(__xludf.DUMMYFUNCTION("""COMPUTED_VALUE"""),49.99)</f>
        <v>49.99</v>
      </c>
      <c r="BD1601" s="2006"/>
      <c r="LL1601" s="2007"/>
      <c r="LM1601" s="2007"/>
      <c r="MX1601" s="2007"/>
      <c r="ND1601" s="2007"/>
    </row>
    <row r="1602">
      <c r="A1602" s="2005">
        <f>IFERROR(__xludf.DUMMYFUNCTION("""COMPUTED_VALUE"""),1138330.0)</f>
        <v>1138330</v>
      </c>
      <c r="B1602" s="2005">
        <f>IFERROR(__xludf.DUMMYFUNCTION("""COMPUTED_VALUE"""),2705020.0)</f>
        <v>2705020</v>
      </c>
      <c r="C1602" s="2005" t="str">
        <f>IFERROR(__xludf.DUMMYFUNCTION("""COMPUTED_VALUE"""),"Filtre")</f>
        <v>Filtre</v>
      </c>
      <c r="D1602" s="2005" t="str">
        <f>IFERROR(__xludf.DUMMYFUNCTION("""COMPUTED_VALUE"""),"Magnétic Privé pour MacBook Pro 15'")</f>
        <v>Magnétic Privé pour MacBook Pro 15'</v>
      </c>
      <c r="E1602" s="2005" t="str">
        <f>IFERROR(__xludf.DUMMYFUNCTION("""COMPUTED_VALUE"""),"XTREMEMAC")</f>
        <v>XTREMEMAC</v>
      </c>
      <c r="F1602" s="2005" t="str">
        <f>IFERROR(__xludf.DUMMYFUNCTION("""COMPUTED_VALUE"""),"H")</f>
        <v>H</v>
      </c>
      <c r="G1602" s="2005" t="str">
        <f>IFERROR(__xludf.DUMMYFUNCTION("""COMPUTED_VALUE"""),"NN")</f>
        <v>NN</v>
      </c>
      <c r="H1602" s="2005">
        <f>IFERROR(__xludf.DUMMYFUNCTION("""COMPUTED_VALUE"""),29.99)</f>
        <v>29.99</v>
      </c>
      <c r="I1602" s="2005">
        <f>IFERROR(__xludf.DUMMYFUNCTION("""COMPUTED_VALUE"""),29.99)</f>
        <v>29.99</v>
      </c>
      <c r="BD1602" s="2006"/>
      <c r="LL1602" s="2007"/>
      <c r="LM1602" s="2007"/>
      <c r="MX1602" s="2007"/>
      <c r="ND1602" s="2007"/>
    </row>
    <row r="1603">
      <c r="A1603" s="2005">
        <f>IFERROR(__xludf.DUMMYFUNCTION("""COMPUTED_VALUE"""),1139656.0)</f>
        <v>1139656</v>
      </c>
      <c r="B1603" s="2005">
        <f>IFERROR(__xludf.DUMMYFUNCTION("""COMPUTED_VALUE"""),2202005.0)</f>
        <v>2202005</v>
      </c>
      <c r="C1603" s="2005" t="str">
        <f>IFERROR(__xludf.DUMMYFUNCTION("""COMPUTED_VALUE"""),"Multi Jet d'enc")</f>
        <v>Multi Jet d'enc</v>
      </c>
      <c r="D1603" s="2005" t="str">
        <f>IFERROR(__xludf.DUMMYFUNCTION("""COMPUTED_VALUE"""),"OfficeJet Pro 9019 éligible Instant Ink")</f>
        <v>OfficeJet Pro 9019 éligible Instant Ink</v>
      </c>
      <c r="E1603" s="2005" t="str">
        <f>IFERROR(__xludf.DUMMYFUNCTION("""COMPUTED_VALUE"""),"HP")</f>
        <v>HP</v>
      </c>
      <c r="F1603" s="2005" t="str">
        <f>IFERROR(__xludf.DUMMYFUNCTION("""COMPUTED_VALUE"""),"D")</f>
        <v>D</v>
      </c>
      <c r="G1603" s="2005" t="str">
        <f>IFERROR(__xludf.DUMMYFUNCTION("""COMPUTED_VALUE"""),"NN")</f>
        <v>NN</v>
      </c>
      <c r="H1603" s="2005">
        <f>IFERROR(__xludf.DUMMYFUNCTION("""COMPUTED_VALUE"""),202.99)</f>
        <v>202.99</v>
      </c>
      <c r="I1603" s="2005">
        <f>IFERROR(__xludf.DUMMYFUNCTION("""COMPUTED_VALUE"""),202.99)</f>
        <v>202.99</v>
      </c>
      <c r="BD1603" s="2006"/>
      <c r="LL1603" s="2007"/>
      <c r="LM1603" s="2007"/>
      <c r="MX1603" s="2007"/>
      <c r="ND1603" s="2007"/>
    </row>
    <row r="1604">
      <c r="A1604" s="2005">
        <f>IFERROR(__xludf.DUMMYFUNCTION("""COMPUTED_VALUE"""),1139657.0)</f>
        <v>1139657</v>
      </c>
      <c r="B1604" s="2005">
        <f>IFERROR(__xludf.DUMMYFUNCTION("""COMPUTED_VALUE"""),2202005.0)</f>
        <v>2202005</v>
      </c>
      <c r="C1604" s="2005" t="str">
        <f>IFERROR(__xludf.DUMMYFUNCTION("""COMPUTED_VALUE"""),"Multi Jet d'enc")</f>
        <v>Multi Jet d'enc</v>
      </c>
      <c r="D1604" s="2005" t="str">
        <f>IFERROR(__xludf.DUMMYFUNCTION("""COMPUTED_VALUE"""),"OfficeJet Pro 9022 éligible Instant Ink")</f>
        <v>OfficeJet Pro 9022 éligible Instant Ink</v>
      </c>
      <c r="E1604" s="2005" t="str">
        <f>IFERROR(__xludf.DUMMYFUNCTION("""COMPUTED_VALUE"""),"HP")</f>
        <v>HP</v>
      </c>
      <c r="F1604" s="2005" t="str">
        <f>IFERROR(__xludf.DUMMYFUNCTION("""COMPUTED_VALUE"""),"H")</f>
        <v>H</v>
      </c>
      <c r="G1604" s="2005" t="str">
        <f>IFERROR(__xludf.DUMMYFUNCTION("""COMPUTED_VALUE"""),"NN")</f>
        <v>NN</v>
      </c>
      <c r="H1604">
        <f>IFERROR(__xludf.DUMMYFUNCTION("""COMPUTED_VALUE"""),299.99)</f>
        <v>299.99</v>
      </c>
      <c r="I1604">
        <f>IFERROR(__xludf.DUMMYFUNCTION("""COMPUTED_VALUE"""),299.99)</f>
        <v>299.99</v>
      </c>
      <c r="BD1604" s="2006"/>
      <c r="LL1604" s="2007"/>
      <c r="LM1604" s="2007"/>
      <c r="MX1604" s="2007"/>
      <c r="ND1604" s="2007"/>
    </row>
    <row r="1605">
      <c r="A1605" s="2005">
        <f>IFERROR(__xludf.DUMMYFUNCTION("""COMPUTED_VALUE"""),1139961.0)</f>
        <v>1139961</v>
      </c>
      <c r="B1605" s="2005">
        <f>IFERROR(__xludf.DUMMYFUNCTION("""COMPUTED_VALUE"""),2706510.0)</f>
        <v>2706510</v>
      </c>
      <c r="C1605" s="2005" t="str">
        <f>IFERROR(__xludf.DUMMYFUNCTION("""COMPUTED_VALUE"""),"Etui")</f>
        <v>Etui</v>
      </c>
      <c r="D1605" s="2005" t="str">
        <f>IFERROR(__xludf.DUMMYFUNCTION("""COMPUTED_VALUE"""),"FX92 Speciale")</f>
        <v>FX92 Speciale</v>
      </c>
      <c r="E1605" s="2005" t="str">
        <f>IFERROR(__xludf.DUMMYFUNCTION("""COMPUTED_VALUE"""),"CASIO")</f>
        <v>CASIO</v>
      </c>
      <c r="F1605" s="2005" t="str">
        <f>IFERROR(__xludf.DUMMYFUNCTION("""COMPUTED_VALUE"""),"H")</f>
        <v>H</v>
      </c>
      <c r="G1605" s="2005" t="str">
        <f>IFERROR(__xludf.DUMMYFUNCTION("""COMPUTED_VALUE"""),"NN")</f>
        <v>NN</v>
      </c>
      <c r="H1605" s="2005">
        <f>IFERROR(__xludf.DUMMYFUNCTION("""COMPUTED_VALUE"""),9.99)</f>
        <v>9.99</v>
      </c>
      <c r="I1605" s="2005">
        <f>IFERROR(__xludf.DUMMYFUNCTION("""COMPUTED_VALUE"""),9.99)</f>
        <v>9.99</v>
      </c>
      <c r="BD1605" s="2006"/>
      <c r="LL1605" s="2007"/>
      <c r="LM1605" s="2007"/>
      <c r="MX1605" s="2007"/>
      <c r="ND1605" s="2007"/>
    </row>
    <row r="1606">
      <c r="A1606" s="2005">
        <f>IFERROR(__xludf.DUMMYFUNCTION("""COMPUTED_VALUE"""),1140326.0)</f>
        <v>1140326</v>
      </c>
      <c r="B1606" s="2005">
        <f>IFERROR(__xludf.DUMMYFUNCTION("""COMPUTED_VALUE"""),2402005.0)</f>
        <v>2402005</v>
      </c>
      <c r="C1606" s="2005" t="str">
        <f>IFERROR(__xludf.DUMMYFUNCTION("""COMPUTED_VALUE"""),"Papier")</f>
        <v>Papier</v>
      </c>
      <c r="D1606" s="2005" t="str">
        <f>IFERROR(__xludf.DUMMYFUNCTION("""COMPUTED_VALUE"""),"Ramette Premium A4 80grs 500 Feuilles")</f>
        <v>Ramette Premium A4 80grs 500 Feuilles</v>
      </c>
      <c r="E1606" s="2005" t="str">
        <f>IFERROR(__xludf.DUMMYFUNCTION("""COMPUTED_VALUE"""),"HP")</f>
        <v>HP</v>
      </c>
      <c r="F1606" s="2005" t="str">
        <f>IFERROR(__xludf.DUMMYFUNCTION("""COMPUTED_VALUE"""),"A")</f>
        <v>A</v>
      </c>
      <c r="G1606" s="2005" t="str">
        <f>IFERROR(__xludf.DUMMYFUNCTION("""COMPUTED_VALUE"""),"NN")</f>
        <v>NN</v>
      </c>
      <c r="H1606">
        <f>IFERROR(__xludf.DUMMYFUNCTION("""COMPUTED_VALUE"""),5.99)</f>
        <v>5.99</v>
      </c>
      <c r="I1606">
        <f>IFERROR(__xludf.DUMMYFUNCTION("""COMPUTED_VALUE"""),5.99)</f>
        <v>5.99</v>
      </c>
      <c r="BD1606" s="2006"/>
      <c r="LL1606" s="2007"/>
      <c r="LM1606" s="2007"/>
      <c r="MX1606" s="2007"/>
      <c r="ND1606" s="2007"/>
    </row>
    <row r="1607">
      <c r="A1607" s="2005">
        <f>IFERROR(__xludf.DUMMYFUNCTION("""COMPUTED_VALUE"""),1140430.0)</f>
        <v>1140430</v>
      </c>
      <c r="B1607" s="2005">
        <f>IFERROR(__xludf.DUMMYFUNCTION("""COMPUTED_VALUE"""),1101005.0)</f>
        <v>1101005</v>
      </c>
      <c r="C1607" s="2005" t="str">
        <f>IFERROR(__xludf.DUMMYFUNCTION("""COMPUTED_VALUE"""),"Tél.")</f>
        <v>Tél.</v>
      </c>
      <c r="D1607" s="2005" t="str">
        <f>IFERROR(__xludf.DUMMYFUNCTION("""COMPUTED_VALUE"""),"E290 Blanc")</f>
        <v>E290 Blanc</v>
      </c>
      <c r="E1607" s="2005" t="str">
        <f>IFERROR(__xludf.DUMMYFUNCTION("""COMPUTED_VALUE"""),"GIGASET")</f>
        <v>GIGASET</v>
      </c>
      <c r="F1607" s="2005" t="str">
        <f>IFERROR(__xludf.DUMMYFUNCTION("""COMPUTED_VALUE"""),"H")</f>
        <v>H</v>
      </c>
      <c r="G1607" s="2005" t="str">
        <f>IFERROR(__xludf.DUMMYFUNCTION("""COMPUTED_VALUE"""),"AC")</f>
        <v>AC</v>
      </c>
      <c r="H1607" s="2005">
        <f>IFERROR(__xludf.DUMMYFUNCTION("""COMPUTED_VALUE"""),39.99)</f>
        <v>39.99</v>
      </c>
      <c r="I1607" s="2005">
        <f>IFERROR(__xludf.DUMMYFUNCTION("""COMPUTED_VALUE"""),33.25)</f>
        <v>33.25</v>
      </c>
      <c r="BD1607" s="2006"/>
      <c r="LL1607" s="2008"/>
      <c r="LM1607" s="2007"/>
      <c r="MX1607" s="2007"/>
      <c r="ND1607" s="2007"/>
    </row>
    <row r="1608">
      <c r="A1608" s="2005">
        <f>IFERROR(__xludf.DUMMYFUNCTION("""COMPUTED_VALUE"""),1140469.0)</f>
        <v>1140469</v>
      </c>
      <c r="B1608" s="2005">
        <f>IFERROR(__xludf.DUMMYFUNCTION("""COMPUTED_VALUE"""),2502010.0)</f>
        <v>2502010</v>
      </c>
      <c r="C1608" s="2005" t="str">
        <f>IFERROR(__xludf.DUMMYFUNCTION("""COMPUTED_VALUE"""),"Souris")</f>
        <v>Souris</v>
      </c>
      <c r="D1608" s="2005" t="str">
        <f>IFERROR(__xludf.DUMMYFUNCTION("""COMPUTED_VALUE"""),"Wireless 220")</f>
        <v>Wireless 220</v>
      </c>
      <c r="E1608" s="2005" t="str">
        <f>IFERROR(__xludf.DUMMYFUNCTION("""COMPUTED_VALUE"""),"HP")</f>
        <v>HP</v>
      </c>
      <c r="F1608" s="2005" t="str">
        <f>IFERROR(__xludf.DUMMYFUNCTION("""COMPUTED_VALUE"""),"W")</f>
        <v>W</v>
      </c>
      <c r="G1608" s="2005" t="str">
        <f>IFERROR(__xludf.DUMMYFUNCTION("""COMPUTED_VALUE"""),"AC")</f>
        <v>AC</v>
      </c>
      <c r="H1608" s="2005">
        <f>IFERROR(__xludf.DUMMYFUNCTION("""COMPUTED_VALUE"""),29.99)</f>
        <v>29.99</v>
      </c>
      <c r="I1608" s="2005">
        <f>IFERROR(__xludf.DUMMYFUNCTION("""COMPUTED_VALUE"""),18.2)</f>
        <v>18.2</v>
      </c>
      <c r="BD1608" s="2006"/>
      <c r="LL1608" s="2008"/>
      <c r="LM1608" s="2007"/>
      <c r="MX1608" s="2007"/>
      <c r="ND1608" s="2007"/>
    </row>
    <row r="1609">
      <c r="A1609" s="2005">
        <f>IFERROR(__xludf.DUMMYFUNCTION("""COMPUTED_VALUE"""),1140470.0)</f>
        <v>1140470</v>
      </c>
      <c r="B1609" s="2005">
        <f>IFERROR(__xludf.DUMMYFUNCTION("""COMPUTED_VALUE"""),2502010.0)</f>
        <v>2502010</v>
      </c>
      <c r="C1609" s="2005" t="str">
        <f>IFERROR(__xludf.DUMMYFUNCTION("""COMPUTED_VALUE"""),"Souris")</f>
        <v>Souris</v>
      </c>
      <c r="D1609" s="2005" t="str">
        <f>IFERROR(__xludf.DUMMYFUNCTION("""COMPUTED_VALUE"""),"Wireless 250 Noir")</f>
        <v>Wireless 250 Noir</v>
      </c>
      <c r="E1609" s="2005" t="str">
        <f>IFERROR(__xludf.DUMMYFUNCTION("""COMPUTED_VALUE"""),"HP")</f>
        <v>HP</v>
      </c>
      <c r="F1609" s="2005" t="str">
        <f>IFERROR(__xludf.DUMMYFUNCTION("""COMPUTED_VALUE"""),"W")</f>
        <v>W</v>
      </c>
      <c r="G1609" s="2005" t="str">
        <f>IFERROR(__xludf.DUMMYFUNCTION("""COMPUTED_VALUE"""),"AC")</f>
        <v>AC</v>
      </c>
      <c r="H1609">
        <f>IFERROR(__xludf.DUMMYFUNCTION("""COMPUTED_VALUE"""),29.99)</f>
        <v>29.99</v>
      </c>
      <c r="I1609">
        <f>IFERROR(__xludf.DUMMYFUNCTION("""COMPUTED_VALUE"""),26.49)</f>
        <v>26.49</v>
      </c>
      <c r="BD1609" s="2006"/>
      <c r="LL1609" s="2008"/>
      <c r="LM1609" s="2007"/>
      <c r="MX1609" s="2007"/>
      <c r="ND1609" s="2007"/>
    </row>
    <row r="1610">
      <c r="A1610" s="2005">
        <f>IFERROR(__xludf.DUMMYFUNCTION("""COMPUTED_VALUE"""),1140497.0)</f>
        <v>1140497</v>
      </c>
      <c r="B1610" s="2005">
        <f>IFERROR(__xludf.DUMMYFUNCTION("""COMPUTED_VALUE"""),2203010.0)</f>
        <v>2203010</v>
      </c>
      <c r="C1610" s="2005" t="str">
        <f>IFERROR(__xludf.DUMMYFUNCTION("""COMPUTED_VALUE"""),"Scanner")</f>
        <v>Scanner</v>
      </c>
      <c r="D1610" s="2005" t="str">
        <f>IFERROR(__xludf.DUMMYFUNCTION("""COMPUTED_VALUE"""),"IRIScan Desk Pro 5")</f>
        <v>IRIScan Desk Pro 5</v>
      </c>
      <c r="E1610" s="2005" t="str">
        <f>IFERROR(__xludf.DUMMYFUNCTION("""COMPUTED_VALUE"""),"IRIS")</f>
        <v>IRIS</v>
      </c>
      <c r="F1610" s="2005" t="str">
        <f>IFERROR(__xludf.DUMMYFUNCTION("""COMPUTED_VALUE"""),"H")</f>
        <v>H</v>
      </c>
      <c r="G1610" s="2005" t="str">
        <f>IFERROR(__xludf.DUMMYFUNCTION("""COMPUTED_VALUE"""),"AC")</f>
        <v>AC</v>
      </c>
      <c r="H1610">
        <f>IFERROR(__xludf.DUMMYFUNCTION("""COMPUTED_VALUE"""),298.99)</f>
        <v>298.99</v>
      </c>
      <c r="I1610">
        <f>IFERROR(__xludf.DUMMYFUNCTION("""COMPUTED_VALUE"""),296.95)</f>
        <v>296.95</v>
      </c>
      <c r="BD1610" s="2006"/>
      <c r="LL1610" s="2007"/>
      <c r="LM1610" s="2007"/>
      <c r="MX1610" s="2007"/>
      <c r="ND1610" s="2007"/>
    </row>
    <row r="1611">
      <c r="A1611" s="2005">
        <f>IFERROR(__xludf.DUMMYFUNCTION("""COMPUTED_VALUE"""),1140498.0)</f>
        <v>1140498</v>
      </c>
      <c r="B1611" s="2005">
        <f>IFERROR(__xludf.DUMMYFUNCTION("""COMPUTED_VALUE"""),1101005.0)</f>
        <v>1101005</v>
      </c>
      <c r="C1611" s="2005" t="str">
        <f>IFERROR(__xludf.DUMMYFUNCTION("""COMPUTED_VALUE"""),"Tél.")</f>
        <v>Tél.</v>
      </c>
      <c r="D1611" s="2005" t="str">
        <f>IFERROR(__xludf.DUMMYFUNCTION("""COMPUTED_VALUE"""),"E290 Duo Blanc")</f>
        <v>E290 Duo Blanc</v>
      </c>
      <c r="E1611" s="2005" t="str">
        <f>IFERROR(__xludf.DUMMYFUNCTION("""COMPUTED_VALUE"""),"GIGASET")</f>
        <v>GIGASET</v>
      </c>
      <c r="F1611" s="2005" t="str">
        <f>IFERROR(__xludf.DUMMYFUNCTION("""COMPUTED_VALUE"""),"H")</f>
        <v>H</v>
      </c>
      <c r="G1611" s="2005" t="str">
        <f>IFERROR(__xludf.DUMMYFUNCTION("""COMPUTED_VALUE"""),"NN")</f>
        <v>NN</v>
      </c>
      <c r="H1611">
        <f>IFERROR(__xludf.DUMMYFUNCTION("""COMPUTED_VALUE"""),69.99)</f>
        <v>69.99</v>
      </c>
      <c r="I1611">
        <f>IFERROR(__xludf.DUMMYFUNCTION("""COMPUTED_VALUE"""),69.99)</f>
        <v>69.99</v>
      </c>
      <c r="BD1611" s="2006"/>
      <c r="LL1611" s="2007"/>
      <c r="LM1611" s="2007"/>
      <c r="MX1611" s="2007"/>
      <c r="ND1611" s="2007"/>
    </row>
    <row r="1612">
      <c r="A1612" s="2005">
        <f>IFERROR(__xludf.DUMMYFUNCTION("""COMPUTED_VALUE"""),1140499.0)</f>
        <v>1140499</v>
      </c>
      <c r="B1612" s="2005">
        <f>IFERROR(__xludf.DUMMYFUNCTION("""COMPUTED_VALUE"""),1101005.0)</f>
        <v>1101005</v>
      </c>
      <c r="C1612" s="2005" t="str">
        <f>IFERROR(__xludf.DUMMYFUNCTION("""COMPUTED_VALUE"""),"Tél.")</f>
        <v>Tél.</v>
      </c>
      <c r="D1612" s="2005" t="str">
        <f>IFERROR(__xludf.DUMMYFUNCTION("""COMPUTED_VALUE"""),"E290A Blanc")</f>
        <v>E290A Blanc</v>
      </c>
      <c r="E1612" s="2005" t="str">
        <f>IFERROR(__xludf.DUMMYFUNCTION("""COMPUTED_VALUE"""),"GIGASET")</f>
        <v>GIGASET</v>
      </c>
      <c r="F1612" s="2005" t="str">
        <f>IFERROR(__xludf.DUMMYFUNCTION("""COMPUTED_VALUE"""),"H")</f>
        <v>H</v>
      </c>
      <c r="G1612" s="2005" t="str">
        <f>IFERROR(__xludf.DUMMYFUNCTION("""COMPUTED_VALUE"""),"NN")</f>
        <v>NN</v>
      </c>
      <c r="H1612" s="2005">
        <f>IFERROR(__xludf.DUMMYFUNCTION("""COMPUTED_VALUE"""),59.99)</f>
        <v>59.99</v>
      </c>
      <c r="I1612" s="2005">
        <f>IFERROR(__xludf.DUMMYFUNCTION("""COMPUTED_VALUE"""),59.99)</f>
        <v>59.99</v>
      </c>
      <c r="BD1612" s="2006"/>
      <c r="LL1612" s="2007"/>
      <c r="LM1612" s="2007"/>
      <c r="MX1612" s="2007"/>
      <c r="ND1612" s="2007"/>
    </row>
    <row r="1613">
      <c r="A1613" s="2005">
        <f>IFERROR(__xludf.DUMMYFUNCTION("""COMPUTED_VALUE"""),1140500.0)</f>
        <v>1140500</v>
      </c>
      <c r="B1613" s="2005">
        <f>IFERROR(__xludf.DUMMYFUNCTION("""COMPUTED_VALUE"""),1101005.0)</f>
        <v>1101005</v>
      </c>
      <c r="C1613" s="2005" t="str">
        <f>IFERROR(__xludf.DUMMYFUNCTION("""COMPUTED_VALUE"""),"Tél.")</f>
        <v>Tél.</v>
      </c>
      <c r="D1613" s="2005" t="str">
        <f>IFERROR(__xludf.DUMMYFUNCTION("""COMPUTED_VALUE"""),"E290A Duo Blanc")</f>
        <v>E290A Duo Blanc</v>
      </c>
      <c r="E1613" s="2005" t="str">
        <f>IFERROR(__xludf.DUMMYFUNCTION("""COMPUTED_VALUE"""),"GIGASET")</f>
        <v>GIGASET</v>
      </c>
      <c r="F1613" s="2005" t="str">
        <f>IFERROR(__xludf.DUMMYFUNCTION("""COMPUTED_VALUE"""),"H")</f>
        <v>H</v>
      </c>
      <c r="G1613" s="2005" t="str">
        <f>IFERROR(__xludf.DUMMYFUNCTION("""COMPUTED_VALUE"""),"AC")</f>
        <v>AC</v>
      </c>
      <c r="H1613">
        <f>IFERROR(__xludf.DUMMYFUNCTION("""COMPUTED_VALUE"""),79.99)</f>
        <v>79.99</v>
      </c>
      <c r="I1613">
        <f>IFERROR(__xludf.DUMMYFUNCTION("""COMPUTED_VALUE"""),79.99)</f>
        <v>79.99</v>
      </c>
      <c r="BD1613" s="2006"/>
      <c r="LL1613" s="2008"/>
      <c r="LM1613" s="2007"/>
      <c r="MX1613" s="2007"/>
      <c r="ND1613" s="2007"/>
    </row>
    <row r="1614">
      <c r="A1614" s="2005">
        <f>IFERROR(__xludf.DUMMYFUNCTION("""COMPUTED_VALUE"""),1140501.0)</f>
        <v>1140501</v>
      </c>
      <c r="B1614" s="2005">
        <f>IFERROR(__xludf.DUMMYFUNCTION("""COMPUTED_VALUE"""),1101005.0)</f>
        <v>1101005</v>
      </c>
      <c r="C1614" s="2005" t="str">
        <f>IFERROR(__xludf.DUMMYFUNCTION("""COMPUTED_VALUE"""),"Tél.")</f>
        <v>Tél.</v>
      </c>
      <c r="D1614" s="2005" t="str">
        <f>IFERROR(__xludf.DUMMYFUNCTION("""COMPUTED_VALUE"""),"DL580 Noir")</f>
        <v>DL580 Noir</v>
      </c>
      <c r="E1614" s="2005" t="str">
        <f>IFERROR(__xludf.DUMMYFUNCTION("""COMPUTED_VALUE"""),"GIGASET")</f>
        <v>GIGASET</v>
      </c>
      <c r="F1614" s="2005" t="str">
        <f>IFERROR(__xludf.DUMMYFUNCTION("""COMPUTED_VALUE"""),"C")</f>
        <v>C</v>
      </c>
      <c r="G1614" s="2005" t="str">
        <f>IFERROR(__xludf.DUMMYFUNCTION("""COMPUTED_VALUE"""),"AC")</f>
        <v>AC</v>
      </c>
      <c r="H1614" s="2005">
        <f>IFERROR(__xludf.DUMMYFUNCTION("""COMPUTED_VALUE"""),49.99)</f>
        <v>49.99</v>
      </c>
      <c r="I1614" s="2005">
        <f>IFERROR(__xludf.DUMMYFUNCTION("""COMPUTED_VALUE"""),49.99)</f>
        <v>49.99</v>
      </c>
      <c r="BD1614" s="2006"/>
      <c r="LL1614" s="2007"/>
      <c r="LM1614" s="2007"/>
      <c r="MX1614" s="2007"/>
      <c r="ND1614" s="2007"/>
    </row>
    <row r="1615">
      <c r="A1615" s="2005">
        <f>IFERROR(__xludf.DUMMYFUNCTION("""COMPUTED_VALUE"""),1140666.0)</f>
        <v>1140666</v>
      </c>
      <c r="B1615" s="2005">
        <f>IFERROR(__xludf.DUMMYFUNCTION("""COMPUTED_VALUE"""),2209805.0)</f>
        <v>2209805</v>
      </c>
      <c r="C1615" s="2005" t="str">
        <f>IFERROR(__xludf.DUMMYFUNCTION("""COMPUTED_VALUE"""),"Lot")</f>
        <v>Lot</v>
      </c>
      <c r="D1615" s="2005" t="str">
        <f>IFERROR(__xludf.DUMMYFUNCTION("""COMPUTED_VALUE"""),"6232+Papier AVERY 50 Photos brillantes")</f>
        <v>6232+Papier AVERY 50 Photos brillantes</v>
      </c>
      <c r="E1615" s="2005" t="str">
        <f>IFERROR(__xludf.DUMMYFUNCTION("""COMPUTED_VALUE"""),"HP")</f>
        <v>HP</v>
      </c>
      <c r="F1615" s="2005" t="str">
        <f>IFERROR(__xludf.DUMMYFUNCTION("""COMPUTED_VALUE"""),"H")</f>
        <v>H</v>
      </c>
      <c r="G1615" s="2005" t="str">
        <f>IFERROR(__xludf.DUMMYFUNCTION("""COMPUTED_VALUE"""),"NN")</f>
        <v>NN</v>
      </c>
      <c r="H1615" s="2005">
        <f>IFERROR(__xludf.DUMMYFUNCTION("""COMPUTED_VALUE"""),115.73)</f>
        <v>115.73</v>
      </c>
      <c r="I1615" s="2005">
        <f>IFERROR(__xludf.DUMMYFUNCTION("""COMPUTED_VALUE"""),115.73)</f>
        <v>115.73</v>
      </c>
      <c r="BD1615" s="2006"/>
      <c r="LL1615" s="2007"/>
      <c r="LM1615" s="2007"/>
      <c r="MX1615" s="2007"/>
      <c r="ND1615" s="2007"/>
    </row>
    <row r="1616">
      <c r="A1616" s="2005">
        <f>IFERROR(__xludf.DUMMYFUNCTION("""COMPUTED_VALUE"""),1140691.0)</f>
        <v>1140691</v>
      </c>
      <c r="B1616" s="2005">
        <f>IFERROR(__xludf.DUMMYFUNCTION("""COMPUTED_VALUE"""),2703015.0)</f>
        <v>2703015</v>
      </c>
      <c r="C1616" s="2005" t="str">
        <f>IFERROR(__xludf.DUMMYFUNCTION("""COMPUTED_VALUE"""),"Plastifieuse")</f>
        <v>Plastifieuse</v>
      </c>
      <c r="D1616" s="2005" t="str">
        <f>IFERROR(__xludf.DUMMYFUNCTION("""COMPUTED_VALUE"""),"ARC A4 80 microns")</f>
        <v>ARC A4 80 microns</v>
      </c>
      <c r="E1616" s="2005" t="str">
        <f>IFERROR(__xludf.DUMMYFUNCTION("""COMPUTED_VALUE"""),"FELLOWES")</f>
        <v>FELLOWES</v>
      </c>
      <c r="F1616" s="2005" t="str">
        <f>IFERROR(__xludf.DUMMYFUNCTION("""COMPUTED_VALUE"""),"H")</f>
        <v>H</v>
      </c>
      <c r="G1616" s="2005" t="str">
        <f>IFERROR(__xludf.DUMMYFUNCTION("""COMPUTED_VALUE"""),"NN")</f>
        <v>NN</v>
      </c>
      <c r="H1616">
        <f>IFERROR(__xludf.DUMMYFUNCTION("""COMPUTED_VALUE"""),37.98)</f>
        <v>37.98</v>
      </c>
      <c r="I1616">
        <f>IFERROR(__xludf.DUMMYFUNCTION("""COMPUTED_VALUE"""),37.98)</f>
        <v>37.98</v>
      </c>
      <c r="BD1616" s="2006"/>
      <c r="LL1616" s="2008"/>
      <c r="LM1616" s="2007"/>
      <c r="MX1616" s="2007"/>
      <c r="ND1616" s="2007"/>
    </row>
    <row r="1617">
      <c r="A1617" s="2005">
        <f>IFERROR(__xludf.DUMMYFUNCTION("""COMPUTED_VALUE"""),1140692.0)</f>
        <v>1140692</v>
      </c>
      <c r="B1617" s="2005">
        <f>IFERROR(__xludf.DUMMYFUNCTION("""COMPUTED_VALUE"""),2703015.0)</f>
        <v>2703015</v>
      </c>
      <c r="C1617" s="2005" t="str">
        <f>IFERROR(__xludf.DUMMYFUNCTION("""COMPUTED_VALUE"""),"Plastifieuse")</f>
        <v>Plastifieuse</v>
      </c>
      <c r="D1617" s="2005" t="str">
        <f>IFERROR(__xludf.DUMMYFUNCTION("""COMPUTED_VALUE"""),"LUNAR A4 125 microns")</f>
        <v>LUNAR A4 125 microns</v>
      </c>
      <c r="E1617" s="2005" t="str">
        <f>IFERROR(__xludf.DUMMYFUNCTION("""COMPUTED_VALUE"""),"FELLOWES")</f>
        <v>FELLOWES</v>
      </c>
      <c r="F1617" s="2005" t="str">
        <f>IFERROR(__xludf.DUMMYFUNCTION("""COMPUTED_VALUE"""),"W")</f>
        <v>W</v>
      </c>
      <c r="G1617" s="2005" t="str">
        <f>IFERROR(__xludf.DUMMYFUNCTION("""COMPUTED_VALUE"""),"AC")</f>
        <v>AC</v>
      </c>
      <c r="H1617" s="2005">
        <f>IFERROR(__xludf.DUMMYFUNCTION("""COMPUTED_VALUE"""),45.98)</f>
        <v>45.98</v>
      </c>
      <c r="I1617" s="2005">
        <f>IFERROR(__xludf.DUMMYFUNCTION("""COMPUTED_VALUE"""),45.98)</f>
        <v>45.98</v>
      </c>
      <c r="BD1617" s="2006"/>
      <c r="LL1617" s="2007"/>
      <c r="LM1617" s="2007"/>
      <c r="MX1617" s="2007"/>
      <c r="ND1617" s="2007"/>
    </row>
    <row r="1618">
      <c r="A1618" s="2005">
        <f>IFERROR(__xludf.DUMMYFUNCTION("""COMPUTED_VALUE"""),1140693.0)</f>
        <v>1140693</v>
      </c>
      <c r="B1618" s="2005">
        <f>IFERROR(__xludf.DUMMYFUNCTION("""COMPUTED_VALUE"""),1103010.0)</f>
        <v>1103010</v>
      </c>
      <c r="C1618" s="2005" t="str">
        <f>IFERROR(__xludf.DUMMYFUNCTION("""COMPUTED_VALUE"""),"Tél.")</f>
        <v>Tél.</v>
      </c>
      <c r="D1618" s="2005" t="str">
        <f>IFERROR(__xludf.DUMMYFUNCTION("""COMPUTED_VALUE"""),"Vega 100 Solo Noir")</f>
        <v>Vega 100 Solo Noir</v>
      </c>
      <c r="E1618" s="2005" t="str">
        <f>IFERROR(__xludf.DUMMYFUNCTION("""COMPUTED_VALUE"""),"LOGICOM")</f>
        <v>LOGICOM</v>
      </c>
      <c r="F1618" s="2005" t="str">
        <f>IFERROR(__xludf.DUMMYFUNCTION("""COMPUTED_VALUE"""),"W")</f>
        <v>W</v>
      </c>
      <c r="G1618" s="2005" t="str">
        <f>IFERROR(__xludf.DUMMYFUNCTION("""COMPUTED_VALUE"""),"NN")</f>
        <v>NN</v>
      </c>
      <c r="H1618">
        <f>IFERROR(__xludf.DUMMYFUNCTION("""COMPUTED_VALUE"""),24.99)</f>
        <v>24.99</v>
      </c>
      <c r="I1618">
        <f>IFERROR(__xludf.DUMMYFUNCTION("""COMPUTED_VALUE"""),24.99)</f>
        <v>24.99</v>
      </c>
      <c r="BD1618" s="2006"/>
      <c r="LL1618" s="2007"/>
      <c r="LM1618" s="2007"/>
      <c r="MX1618" s="2007"/>
      <c r="ND1618" s="2007"/>
    </row>
    <row r="1619">
      <c r="A1619" s="2005">
        <f>IFERROR(__xludf.DUMMYFUNCTION("""COMPUTED_VALUE"""),1140694.0)</f>
        <v>1140694</v>
      </c>
      <c r="B1619" s="2005">
        <f>IFERROR(__xludf.DUMMYFUNCTION("""COMPUTED_VALUE"""),1103010.0)</f>
        <v>1103010</v>
      </c>
      <c r="C1619" s="2005" t="str">
        <f>IFERROR(__xludf.DUMMYFUNCTION("""COMPUTED_VALUE"""),"Tél.")</f>
        <v>Tél.</v>
      </c>
      <c r="D1619" s="2005" t="str">
        <f>IFERROR(__xludf.DUMMYFUNCTION("""COMPUTED_VALUE"""),"Vega 150 Solo Noir")</f>
        <v>Vega 150 Solo Noir</v>
      </c>
      <c r="E1619" s="2005" t="str">
        <f>IFERROR(__xludf.DUMMYFUNCTION("""COMPUTED_VALUE"""),"LOGICOM")</f>
        <v>LOGICOM</v>
      </c>
      <c r="F1619" s="2005" t="str">
        <f>IFERROR(__xludf.DUMMYFUNCTION("""COMPUTED_VALUE"""),"W")</f>
        <v>W</v>
      </c>
      <c r="G1619" s="2005" t="str">
        <f>IFERROR(__xludf.DUMMYFUNCTION("""COMPUTED_VALUE"""),"AC")</f>
        <v>AC</v>
      </c>
      <c r="H1619" s="2005">
        <f>IFERROR(__xludf.DUMMYFUNCTION("""COMPUTED_VALUE"""),24.99)</f>
        <v>24.99</v>
      </c>
      <c r="I1619" s="2005">
        <f>IFERROR(__xludf.DUMMYFUNCTION("""COMPUTED_VALUE"""),23.72)</f>
        <v>23.72</v>
      </c>
      <c r="BD1619" s="2006"/>
      <c r="LL1619" s="2007"/>
      <c r="LM1619" s="2007"/>
      <c r="MX1619" s="2007"/>
      <c r="ND1619" s="2007"/>
    </row>
    <row r="1620">
      <c r="A1620" s="2005">
        <f>IFERROR(__xludf.DUMMYFUNCTION("""COMPUTED_VALUE"""),1140695.0)</f>
        <v>1140695</v>
      </c>
      <c r="B1620" s="2005">
        <f>IFERROR(__xludf.DUMMYFUNCTION("""COMPUTED_VALUE"""),1103010.0)</f>
        <v>1103010</v>
      </c>
      <c r="C1620" s="2005" t="str">
        <f>IFERROR(__xludf.DUMMYFUNCTION("""COMPUTED_VALUE"""),"Tél.")</f>
        <v>Tél.</v>
      </c>
      <c r="D1620" s="2005" t="str">
        <f>IFERROR(__xludf.DUMMYFUNCTION("""COMPUTED_VALUE"""),"Vega 155T Solo Noir")</f>
        <v>Vega 155T Solo Noir</v>
      </c>
      <c r="E1620" s="2005" t="str">
        <f>IFERROR(__xludf.DUMMYFUNCTION("""COMPUTED_VALUE"""),"LOGICOM")</f>
        <v>LOGICOM</v>
      </c>
      <c r="F1620" s="2005" t="str">
        <f>IFERROR(__xludf.DUMMYFUNCTION("""COMPUTED_VALUE"""),"W")</f>
        <v>W</v>
      </c>
      <c r="G1620" s="2005" t="str">
        <f>IFERROR(__xludf.DUMMYFUNCTION("""COMPUTED_VALUE"""),"NN")</f>
        <v>NN</v>
      </c>
      <c r="H1620" s="2005">
        <f>IFERROR(__xludf.DUMMYFUNCTION("""COMPUTED_VALUE"""),29.99)</f>
        <v>29.99</v>
      </c>
      <c r="I1620" s="2005">
        <f>IFERROR(__xludf.DUMMYFUNCTION("""COMPUTED_VALUE"""),29.99)</f>
        <v>29.99</v>
      </c>
      <c r="BD1620" s="2006"/>
      <c r="LL1620" s="2007"/>
      <c r="LM1620" s="2007"/>
      <c r="MX1620" s="2007"/>
      <c r="ND1620" s="2007"/>
    </row>
    <row r="1621">
      <c r="A1621" s="2005">
        <f>IFERROR(__xludf.DUMMYFUNCTION("""COMPUTED_VALUE"""),1140696.0)</f>
        <v>1140696</v>
      </c>
      <c r="B1621" s="2005">
        <f>IFERROR(__xludf.DUMMYFUNCTION("""COMPUTED_VALUE"""),1103010.0)</f>
        <v>1103010</v>
      </c>
      <c r="C1621" s="2005" t="str">
        <f>IFERROR(__xludf.DUMMYFUNCTION("""COMPUTED_VALUE"""),"Pack")</f>
        <v>Pack</v>
      </c>
      <c r="D1621" s="2005" t="str">
        <f>IFERROR(__xludf.DUMMYFUNCTION("""COMPUTED_VALUE"""),"Vega 250 Duo Noir")</f>
        <v>Vega 250 Duo Noir</v>
      </c>
      <c r="E1621" s="2005" t="str">
        <f>IFERROR(__xludf.DUMMYFUNCTION("""COMPUTED_VALUE"""),"LOGICOM")</f>
        <v>LOGICOM</v>
      </c>
      <c r="F1621" s="2005" t="str">
        <f>IFERROR(__xludf.DUMMYFUNCTION("""COMPUTED_VALUE"""),"W")</f>
        <v>W</v>
      </c>
      <c r="G1621" s="2005" t="str">
        <f>IFERROR(__xludf.DUMMYFUNCTION("""COMPUTED_VALUE"""),"NN")</f>
        <v>NN</v>
      </c>
      <c r="H1621">
        <f>IFERROR(__xludf.DUMMYFUNCTION("""COMPUTED_VALUE"""),29.9)</f>
        <v>29.9</v>
      </c>
      <c r="I1621">
        <f>IFERROR(__xludf.DUMMYFUNCTION("""COMPUTED_VALUE"""),29.9)</f>
        <v>29.9</v>
      </c>
      <c r="BD1621" s="2006"/>
      <c r="LL1621" s="2007"/>
      <c r="LM1621" s="2007"/>
      <c r="MX1621" s="2007"/>
      <c r="ND1621" s="2007"/>
    </row>
    <row r="1622">
      <c r="A1622" s="2005">
        <f>IFERROR(__xludf.DUMMYFUNCTION("""COMPUTED_VALUE"""),1141110.0)</f>
        <v>1141110</v>
      </c>
      <c r="B1622" s="2005">
        <f>IFERROR(__xludf.DUMMYFUNCTION("""COMPUTED_VALUE"""),2502012.0)</f>
        <v>2502012</v>
      </c>
      <c r="C1622" s="2005" t="str">
        <f>IFERROR(__xludf.DUMMYFUNCTION("""COMPUTED_VALUE"""),"Tablette Graph")</f>
        <v>Tablette Graph</v>
      </c>
      <c r="D1622" s="2005" t="str">
        <f>IFERROR(__xludf.DUMMYFUNCTION("""COMPUTED_VALUE"""),"One 13 pen display")</f>
        <v>One 13 pen display</v>
      </c>
      <c r="E1622" s="2005" t="str">
        <f>IFERROR(__xludf.DUMMYFUNCTION("""COMPUTED_VALUE"""),"WACOM")</f>
        <v>WACOM</v>
      </c>
      <c r="F1622" s="2005" t="str">
        <f>IFERROR(__xludf.DUMMYFUNCTION("""COMPUTED_VALUE"""),"B")</f>
        <v>B</v>
      </c>
      <c r="G1622" s="2005" t="str">
        <f>IFERROR(__xludf.DUMMYFUNCTION("""COMPUTED_VALUE"""),"AC")</f>
        <v>AC</v>
      </c>
      <c r="H1622">
        <f>IFERROR(__xludf.DUMMYFUNCTION("""COMPUTED_VALUE"""),399.99)</f>
        <v>399.99</v>
      </c>
      <c r="I1622">
        <f>IFERROR(__xludf.DUMMYFUNCTION("""COMPUTED_VALUE"""),399.99)</f>
        <v>399.99</v>
      </c>
      <c r="BD1622" s="2006"/>
      <c r="LL1622" s="2007"/>
      <c r="LM1622" s="2007"/>
      <c r="MX1622" s="2007"/>
      <c r="ND1622" s="2007"/>
    </row>
    <row r="1623">
      <c r="A1623" s="2005">
        <f>IFERROR(__xludf.DUMMYFUNCTION("""COMPUTED_VALUE"""),1141290.0)</f>
        <v>1141290</v>
      </c>
      <c r="B1623" s="2005">
        <f>IFERROR(__xludf.DUMMYFUNCTION("""COMPUTED_VALUE"""),2403006.0)</f>
        <v>2403006</v>
      </c>
      <c r="C1623" s="2005" t="str">
        <f>IFERROR(__xludf.DUMMYFUNCTION("""COMPUTED_VALUE"""),"Imprimante")</f>
        <v>Imprimante</v>
      </c>
      <c r="D1623" s="2005" t="str">
        <f>IFERROR(__xludf.DUMMYFUNCTION("""COMPUTED_VALUE"""),"Tete Da Vinci Pro")</f>
        <v>Tete Da Vinci Pro</v>
      </c>
      <c r="E1623" s="2005" t="str">
        <f>IFERROR(__xludf.DUMMYFUNCTION("""COMPUTED_VALUE"""),"XYZ PRINTING")</f>
        <v>XYZ PRINTING</v>
      </c>
      <c r="F1623" s="2005" t="str">
        <f>IFERROR(__xludf.DUMMYFUNCTION("""COMPUTED_VALUE"""),"H")</f>
        <v>H</v>
      </c>
      <c r="G1623" s="2005" t="str">
        <f>IFERROR(__xludf.DUMMYFUNCTION("""COMPUTED_VALUE"""),"NN")</f>
        <v>NN</v>
      </c>
      <c r="H1623">
        <f>IFERROR(__xludf.DUMMYFUNCTION("""COMPUTED_VALUE"""),129.0)</f>
        <v>129</v>
      </c>
      <c r="I1623">
        <f>IFERROR(__xludf.DUMMYFUNCTION("""COMPUTED_VALUE"""),129.0)</f>
        <v>129</v>
      </c>
      <c r="BD1623" s="2006"/>
      <c r="LL1623" s="2007"/>
      <c r="LM1623" s="2007"/>
      <c r="MX1623" s="2007"/>
      <c r="ND1623" s="2007"/>
    </row>
    <row r="1624">
      <c r="A1624" s="2005">
        <f>IFERROR(__xludf.DUMMYFUNCTION("""COMPUTED_VALUE"""),1141304.0)</f>
        <v>1141304</v>
      </c>
      <c r="B1624" s="2005">
        <f>IFERROR(__xludf.DUMMYFUNCTION("""COMPUTED_VALUE"""),2202010.0)</f>
        <v>2202010</v>
      </c>
      <c r="C1624" s="2005" t="str">
        <f>IFERROR(__xludf.DUMMYFUNCTION("""COMPUTED_VALUE"""),"Multi Jet d'enc")</f>
        <v>Multi Jet d'enc</v>
      </c>
      <c r="D1624" s="2005" t="str">
        <f>IFERROR(__xludf.DUMMYFUNCTION("""COMPUTED_VALUE"""),"MegaTank GM4050")</f>
        <v>MegaTank GM4050</v>
      </c>
      <c r="E1624" s="2005" t="str">
        <f>IFERROR(__xludf.DUMMYFUNCTION("""COMPUTED_VALUE"""),"CANON")</f>
        <v>CANON</v>
      </c>
      <c r="F1624" s="2005" t="str">
        <f>IFERROR(__xludf.DUMMYFUNCTION("""COMPUTED_VALUE"""),"H")</f>
        <v>H</v>
      </c>
      <c r="G1624" s="2005" t="str">
        <f>IFERROR(__xludf.DUMMYFUNCTION("""COMPUTED_VALUE"""),"NN")</f>
        <v>NN</v>
      </c>
      <c r="H1624">
        <f>IFERROR(__xludf.DUMMYFUNCTION("""COMPUTED_VALUE"""),274.99)</f>
        <v>274.99</v>
      </c>
      <c r="I1624">
        <f>IFERROR(__xludf.DUMMYFUNCTION("""COMPUTED_VALUE"""),274.99)</f>
        <v>274.99</v>
      </c>
      <c r="BD1624" s="2006"/>
      <c r="LL1624" s="2007"/>
      <c r="LM1624" s="2007"/>
      <c r="MX1624" s="2007"/>
      <c r="ND1624" s="2007"/>
    </row>
    <row r="1625">
      <c r="A1625" s="2005">
        <f>IFERROR(__xludf.DUMMYFUNCTION("""COMPUTED_VALUE"""),1141380.0)</f>
        <v>1141380</v>
      </c>
      <c r="B1625" s="2005">
        <f>IFERROR(__xludf.DUMMYFUNCTION("""COMPUTED_VALUE"""),2402030.0)</f>
        <v>2402030</v>
      </c>
      <c r="C1625" s="2005" t="str">
        <f>IFERROR(__xludf.DUMMYFUNCTION("""COMPUTED_VALUE"""),"Etiquette")</f>
        <v>Etiquette</v>
      </c>
      <c r="D1625" s="2005" t="str">
        <f>IFERROR(__xludf.DUMMYFUNCTION("""COMPUTED_VALUE"""),"TZE251")</f>
        <v>TZE251</v>
      </c>
      <c r="E1625" s="2005" t="str">
        <f>IFERROR(__xludf.DUMMYFUNCTION("""COMPUTED_VALUE"""),"BROTHER")</f>
        <v>BROTHER</v>
      </c>
      <c r="F1625" s="2005" t="str">
        <f>IFERROR(__xludf.DUMMYFUNCTION("""COMPUTED_VALUE"""),"H")</f>
        <v>H</v>
      </c>
      <c r="G1625" s="2005" t="str">
        <f>IFERROR(__xludf.DUMMYFUNCTION("""COMPUTED_VALUE"""),"NN")</f>
        <v>NN</v>
      </c>
      <c r="H1625">
        <f>IFERROR(__xludf.DUMMYFUNCTION("""COMPUTED_VALUE"""),26.99)</f>
        <v>26.99</v>
      </c>
      <c r="I1625">
        <f>IFERROR(__xludf.DUMMYFUNCTION("""COMPUTED_VALUE"""),26.99)</f>
        <v>26.99</v>
      </c>
      <c r="BD1625" s="2006"/>
      <c r="LL1625" s="2007"/>
      <c r="LM1625" s="2007"/>
      <c r="MX1625" s="2007"/>
      <c r="ND1625" s="2007"/>
    </row>
    <row r="1626">
      <c r="A1626" s="2005">
        <f>IFERROR(__xludf.DUMMYFUNCTION("""COMPUTED_VALUE"""),1141390.0)</f>
        <v>1141390</v>
      </c>
      <c r="B1626" s="2005">
        <f>IFERROR(__xludf.DUMMYFUNCTION("""COMPUTED_VALUE"""),2203010.0)</f>
        <v>2203010</v>
      </c>
      <c r="C1626" s="2005" t="str">
        <f>IFERROR(__xludf.DUMMYFUNCTION("""COMPUTED_VALUE"""),"Scanner")</f>
        <v>Scanner</v>
      </c>
      <c r="D1626" s="2005" t="str">
        <f>IFERROR(__xludf.DUMMYFUNCTION("""COMPUTED_VALUE"""),"DS-640")</f>
        <v>DS-640</v>
      </c>
      <c r="E1626" s="2005" t="str">
        <f>IFERROR(__xludf.DUMMYFUNCTION("""COMPUTED_VALUE"""),"BROTHER")</f>
        <v>BROTHER</v>
      </c>
      <c r="F1626" s="2005" t="str">
        <f>IFERROR(__xludf.DUMMYFUNCTION("""COMPUTED_VALUE"""),"H")</f>
        <v>H</v>
      </c>
      <c r="G1626" s="2005" t="str">
        <f>IFERROR(__xludf.DUMMYFUNCTION("""COMPUTED_VALUE"""),"AC")</f>
        <v>AC</v>
      </c>
      <c r="H1626">
        <f>IFERROR(__xludf.DUMMYFUNCTION("""COMPUTED_VALUE"""),134.05)</f>
        <v>134.05</v>
      </c>
      <c r="I1626">
        <f>IFERROR(__xludf.DUMMYFUNCTION("""COMPUTED_VALUE"""),106.99)</f>
        <v>106.99</v>
      </c>
      <c r="BD1626" s="2006"/>
      <c r="LL1626" s="2007"/>
      <c r="LM1626" s="2007"/>
      <c r="MX1626" s="2007"/>
      <c r="ND1626" s="2007"/>
    </row>
    <row r="1627">
      <c r="A1627" s="2005">
        <f>IFERROR(__xludf.DUMMYFUNCTION("""COMPUTED_VALUE"""),1141411.0)</f>
        <v>1141411</v>
      </c>
      <c r="B1627" s="2005">
        <f>IFERROR(__xludf.DUMMYFUNCTION("""COMPUTED_VALUE"""),2203010.0)</f>
        <v>2203010</v>
      </c>
      <c r="C1627" s="2005" t="str">
        <f>IFERROR(__xludf.DUMMYFUNCTION("""COMPUTED_VALUE"""),"Scanner")</f>
        <v>Scanner</v>
      </c>
      <c r="D1627" s="2005" t="str">
        <f>IFERROR(__xludf.DUMMYFUNCTION("""COMPUTED_VALUE"""),"DS-740d")</f>
        <v>DS-740d</v>
      </c>
      <c r="E1627" s="2005" t="str">
        <f>IFERROR(__xludf.DUMMYFUNCTION("""COMPUTED_VALUE"""),"BROTHER")</f>
        <v>BROTHER</v>
      </c>
      <c r="F1627" s="2005" t="str">
        <f>IFERROR(__xludf.DUMMYFUNCTION("""COMPUTED_VALUE"""),"H")</f>
        <v>H</v>
      </c>
      <c r="G1627" s="2005" t="str">
        <f>IFERROR(__xludf.DUMMYFUNCTION("""COMPUTED_VALUE"""),"AC")</f>
        <v>AC</v>
      </c>
      <c r="H1627">
        <f>IFERROR(__xludf.DUMMYFUNCTION("""COMPUTED_VALUE"""),184.11)</f>
        <v>184.11</v>
      </c>
      <c r="I1627">
        <f>IFERROR(__xludf.DUMMYFUNCTION("""COMPUTED_VALUE"""),184.11)</f>
        <v>184.11</v>
      </c>
      <c r="BD1627" s="2006"/>
      <c r="LL1627" s="2007"/>
      <c r="LM1627" s="2007"/>
      <c r="MX1627" s="2007"/>
      <c r="ND1627" s="2007"/>
    </row>
    <row r="1628">
      <c r="A1628" s="2005">
        <f>IFERROR(__xludf.DUMMYFUNCTION("""COMPUTED_VALUE"""),1141412.0)</f>
        <v>1141412</v>
      </c>
      <c r="B1628" s="2005">
        <f>IFERROR(__xludf.DUMMYFUNCTION("""COMPUTED_VALUE"""),2203010.0)</f>
        <v>2203010</v>
      </c>
      <c r="C1628" s="2005" t="str">
        <f>IFERROR(__xludf.DUMMYFUNCTION("""COMPUTED_VALUE"""),"Scanner")</f>
        <v>Scanner</v>
      </c>
      <c r="D1628" s="2005" t="str">
        <f>IFERROR(__xludf.DUMMYFUNCTION("""COMPUTED_VALUE"""),"DS-940DW")</f>
        <v>DS-940DW</v>
      </c>
      <c r="E1628" s="2005" t="str">
        <f>IFERROR(__xludf.DUMMYFUNCTION("""COMPUTED_VALUE"""),"BROTHER")</f>
        <v>BROTHER</v>
      </c>
      <c r="F1628" s="2005" t="str">
        <f>IFERROR(__xludf.DUMMYFUNCTION("""COMPUTED_VALUE"""),"H")</f>
        <v>H</v>
      </c>
      <c r="G1628" s="2005" t="str">
        <f>IFERROR(__xludf.DUMMYFUNCTION("""COMPUTED_VALUE"""),"AC")</f>
        <v>AC</v>
      </c>
      <c r="H1628">
        <f>IFERROR(__xludf.DUMMYFUNCTION("""COMPUTED_VALUE"""),267.11)</f>
        <v>267.11</v>
      </c>
      <c r="I1628">
        <f>IFERROR(__xludf.DUMMYFUNCTION("""COMPUTED_VALUE"""),189.99)</f>
        <v>189.99</v>
      </c>
      <c r="BD1628" s="2006"/>
      <c r="LL1628" s="2008"/>
      <c r="LM1628" s="2007"/>
      <c r="MX1628" s="2007"/>
      <c r="ND1628" s="2007"/>
    </row>
    <row r="1629">
      <c r="A1629" s="2005">
        <f>IFERROR(__xludf.DUMMYFUNCTION("""COMPUTED_VALUE"""),1141416.0)</f>
        <v>1141416</v>
      </c>
      <c r="B1629" s="2005">
        <f>IFERROR(__xludf.DUMMYFUNCTION("""COMPUTED_VALUE"""),2707005.0)</f>
        <v>2707005</v>
      </c>
      <c r="C1629" s="2005" t="str">
        <f>IFERROR(__xludf.DUMMYFUNCTION("""COMPUTED_VALUE"""),"Dico")</f>
        <v>Dico</v>
      </c>
      <c r="D1629" s="2005" t="str">
        <f>IFERROR(__xludf.DUMMYFUNCTION("""COMPUTED_VALUE"""),"Le Larousse de poche électronique D650FR")</f>
        <v>Le Larousse de poche électronique D650FR</v>
      </c>
      <c r="E1629" s="2005" t="str">
        <f>IFERROR(__xludf.DUMMYFUNCTION("""COMPUTED_VALUE"""),"LAROUSSE")</f>
        <v>LAROUSSE</v>
      </c>
      <c r="F1629" s="2005" t="str">
        <f>IFERROR(__xludf.DUMMYFUNCTION("""COMPUTED_VALUE"""),"H")</f>
        <v>H</v>
      </c>
      <c r="G1629" s="2005" t="str">
        <f>IFERROR(__xludf.DUMMYFUNCTION("""COMPUTED_VALUE"""),"AC")</f>
        <v>AC</v>
      </c>
      <c r="H1629">
        <f>IFERROR(__xludf.DUMMYFUNCTION("""COMPUTED_VALUE"""),49.99)</f>
        <v>49.99</v>
      </c>
      <c r="I1629">
        <f>IFERROR(__xludf.DUMMYFUNCTION("""COMPUTED_VALUE"""),49.99)</f>
        <v>49.99</v>
      </c>
      <c r="LL1629" s="2007"/>
      <c r="LM1629" s="2007"/>
    </row>
    <row r="1630">
      <c r="A1630" s="2005">
        <f>IFERROR(__xludf.DUMMYFUNCTION("""COMPUTED_VALUE"""),1141417.0)</f>
        <v>1141417</v>
      </c>
      <c r="B1630" s="2005">
        <f>IFERROR(__xludf.DUMMYFUNCTION("""COMPUTED_VALUE"""),2707005.0)</f>
        <v>2707005</v>
      </c>
      <c r="C1630" s="2005" t="str">
        <f>IFERROR(__xludf.DUMMYFUNCTION("""COMPUTED_VALUE"""),"Calc.")</f>
        <v>Calc.</v>
      </c>
      <c r="D1630" s="2005" t="str">
        <f>IFERROR(__xludf.DUMMYFUNCTION("""COMPUTED_VALUE"""),"Le dictionnaire de Francais D850FR")</f>
        <v>Le dictionnaire de Francais D850FR</v>
      </c>
      <c r="E1630" s="2005" t="str">
        <f>IFERROR(__xludf.DUMMYFUNCTION("""COMPUTED_VALUE"""),"LEXIBOOK")</f>
        <v>LEXIBOOK</v>
      </c>
      <c r="F1630" s="2005" t="str">
        <f>IFERROR(__xludf.DUMMYFUNCTION("""COMPUTED_VALUE"""),"H")</f>
        <v>H</v>
      </c>
      <c r="G1630" s="2005" t="str">
        <f>IFERROR(__xludf.DUMMYFUNCTION("""COMPUTED_VALUE"""),"FR")</f>
        <v>FR</v>
      </c>
      <c r="H1630">
        <f>IFERROR(__xludf.DUMMYFUNCTION("""COMPUTED_VALUE"""),59.99)</f>
        <v>59.99</v>
      </c>
      <c r="I1630">
        <f>IFERROR(__xludf.DUMMYFUNCTION("""COMPUTED_VALUE"""),59.99)</f>
        <v>59.99</v>
      </c>
      <c r="LL1630" s="2007"/>
      <c r="LM1630" s="2007"/>
    </row>
    <row r="1631">
      <c r="A1631" s="2005">
        <f>IFERROR(__xludf.DUMMYFUNCTION("""COMPUTED_VALUE"""),1141446.0)</f>
        <v>1141446</v>
      </c>
      <c r="B1631" s="2005">
        <f>IFERROR(__xludf.DUMMYFUNCTION("""COMPUTED_VALUE"""),2202010.0)</f>
        <v>2202010</v>
      </c>
      <c r="C1631" s="2005" t="str">
        <f>IFERROR(__xludf.DUMMYFUNCTION("""COMPUTED_VALUE"""),"Multi Jet d'enc")</f>
        <v>Multi Jet d'enc</v>
      </c>
      <c r="D1631" s="2005" t="str">
        <f>IFERROR(__xludf.DUMMYFUNCTION("""COMPUTED_VALUE"""),"Smart Tank 555")</f>
        <v>Smart Tank 555</v>
      </c>
      <c r="E1631" s="2005" t="str">
        <f>IFERROR(__xludf.DUMMYFUNCTION("""COMPUTED_VALUE"""),"HP")</f>
        <v>HP</v>
      </c>
      <c r="F1631" s="2005" t="str">
        <f>IFERROR(__xludf.DUMMYFUNCTION("""COMPUTED_VALUE"""),"W")</f>
        <v>W</v>
      </c>
      <c r="G1631" s="2005" t="str">
        <f>IFERROR(__xludf.DUMMYFUNCTION("""COMPUTED_VALUE"""),"NN")</f>
        <v>NN</v>
      </c>
      <c r="H1631">
        <f>IFERROR(__xludf.DUMMYFUNCTION("""COMPUTED_VALUE"""),219.99)</f>
        <v>219.99</v>
      </c>
      <c r="I1631">
        <f>IFERROR(__xludf.DUMMYFUNCTION("""COMPUTED_VALUE"""),219.99)</f>
        <v>219.99</v>
      </c>
      <c r="LL1631" s="2007"/>
      <c r="LM1631" s="2007"/>
    </row>
    <row r="1632">
      <c r="A1632" s="2005">
        <f>IFERROR(__xludf.DUMMYFUNCTION("""COMPUTED_VALUE"""),1141448.0)</f>
        <v>1141448</v>
      </c>
      <c r="B1632" s="2005">
        <f>IFERROR(__xludf.DUMMYFUNCTION("""COMPUTED_VALUE"""),2202010.0)</f>
        <v>2202010</v>
      </c>
      <c r="C1632" s="2005" t="str">
        <f>IFERROR(__xludf.DUMMYFUNCTION("""COMPUTED_VALUE"""),"Multi Jet d'enc")</f>
        <v>Multi Jet d'enc</v>
      </c>
      <c r="D1632" s="2005" t="str">
        <f>IFERROR(__xludf.DUMMYFUNCTION("""COMPUTED_VALUE"""),"Smart Tank 655")</f>
        <v>Smart Tank 655</v>
      </c>
      <c r="E1632" s="2005" t="str">
        <f>IFERROR(__xludf.DUMMYFUNCTION("""COMPUTED_VALUE"""),"HP")</f>
        <v>HP</v>
      </c>
      <c r="F1632" s="2005" t="str">
        <f>IFERROR(__xludf.DUMMYFUNCTION("""COMPUTED_VALUE"""),"H")</f>
        <v>H</v>
      </c>
      <c r="G1632" s="2005" t="str">
        <f>IFERROR(__xludf.DUMMYFUNCTION("""COMPUTED_VALUE"""),"NN")</f>
        <v>NN</v>
      </c>
      <c r="H1632">
        <f>IFERROR(__xludf.DUMMYFUNCTION("""COMPUTED_VALUE"""),399.99)</f>
        <v>399.99</v>
      </c>
      <c r="I1632">
        <f>IFERROR(__xludf.DUMMYFUNCTION("""COMPUTED_VALUE"""),399.99)</f>
        <v>399.99</v>
      </c>
      <c r="LL1632" s="2007"/>
      <c r="LM1632" s="2007"/>
    </row>
    <row r="1633">
      <c r="A1633" s="2005">
        <f>IFERROR(__xludf.DUMMYFUNCTION("""COMPUTED_VALUE"""),1141815.0)</f>
        <v>1141815</v>
      </c>
      <c r="B1633" s="2005">
        <f>IFERROR(__xludf.DUMMYFUNCTION("""COMPUTED_VALUE"""),2402030.0)</f>
        <v>2402030</v>
      </c>
      <c r="C1633" s="2005" t="str">
        <f>IFERROR(__xludf.DUMMYFUNCTION("""COMPUTED_VALUE"""),"Etiquette")</f>
        <v>Etiquette</v>
      </c>
      <c r="D1633" s="2005" t="str">
        <f>IFERROR(__xludf.DUMMYFUNCTION("""COMPUTED_VALUE"""),"TZER231")</f>
        <v>TZER231</v>
      </c>
      <c r="E1633" s="2005" t="str">
        <f>IFERROR(__xludf.DUMMYFUNCTION("""COMPUTED_VALUE"""),"BROTHER")</f>
        <v>BROTHER</v>
      </c>
      <c r="F1633" s="2005" t="str">
        <f>IFERROR(__xludf.DUMMYFUNCTION("""COMPUTED_VALUE"""),"H")</f>
        <v>H</v>
      </c>
      <c r="G1633" s="2005" t="str">
        <f>IFERROR(__xludf.DUMMYFUNCTION("""COMPUTED_VALUE"""),"NN")</f>
        <v>NN</v>
      </c>
      <c r="H1633">
        <f>IFERROR(__xludf.DUMMYFUNCTION("""COMPUTED_VALUE"""),11.99)</f>
        <v>11.99</v>
      </c>
      <c r="I1633">
        <f>IFERROR(__xludf.DUMMYFUNCTION("""COMPUTED_VALUE"""),11.99)</f>
        <v>11.99</v>
      </c>
      <c r="BD1633" s="2006"/>
      <c r="LL1633" s="2007"/>
      <c r="LM1633" s="2007"/>
      <c r="MX1633" s="2007"/>
      <c r="ND1633" s="2007"/>
    </row>
    <row r="1634">
      <c r="A1634" s="2005">
        <f>IFERROR(__xludf.DUMMYFUNCTION("""COMPUTED_VALUE"""),1141816.0)</f>
        <v>1141816</v>
      </c>
      <c r="B1634" s="2005">
        <f>IFERROR(__xludf.DUMMYFUNCTION("""COMPUTED_VALUE"""),2703040.0)</f>
        <v>2703040</v>
      </c>
      <c r="C1634" s="2005" t="str">
        <f>IFERROR(__xludf.DUMMYFUNCTION("""COMPUTED_VALUE"""),"Etiqueteuse")</f>
        <v>Etiqueteuse</v>
      </c>
      <c r="D1634" s="2005" t="str">
        <f>IFERROR(__xludf.DUMMYFUNCTION("""COMPUTED_VALUE"""),"PT-H110")</f>
        <v>PT-H110</v>
      </c>
      <c r="E1634" s="2005" t="str">
        <f>IFERROR(__xludf.DUMMYFUNCTION("""COMPUTED_VALUE"""),"BROTHER")</f>
        <v>BROTHER</v>
      </c>
      <c r="F1634" s="2005" t="str">
        <f>IFERROR(__xludf.DUMMYFUNCTION("""COMPUTED_VALUE"""),"H")</f>
        <v>H</v>
      </c>
      <c r="G1634" s="2005" t="str">
        <f>IFERROR(__xludf.DUMMYFUNCTION("""COMPUTED_VALUE"""),"NN")</f>
        <v>NN</v>
      </c>
      <c r="H1634">
        <f>IFERROR(__xludf.DUMMYFUNCTION("""COMPUTED_VALUE"""),39.99)</f>
        <v>39.99</v>
      </c>
      <c r="I1634">
        <f>IFERROR(__xludf.DUMMYFUNCTION("""COMPUTED_VALUE"""),39.99)</f>
        <v>39.99</v>
      </c>
      <c r="BD1634" s="2006"/>
      <c r="LL1634" s="2007"/>
      <c r="LM1634" s="2007"/>
      <c r="MX1634" s="2007"/>
      <c r="ND1634" s="2007"/>
    </row>
    <row r="1635">
      <c r="A1635" s="2005">
        <f>IFERROR(__xludf.DUMMYFUNCTION("""COMPUTED_VALUE"""),1141817.0)</f>
        <v>1141817</v>
      </c>
      <c r="B1635" s="2005">
        <f>IFERROR(__xludf.DUMMYFUNCTION("""COMPUTED_VALUE"""),2703040.0)</f>
        <v>2703040</v>
      </c>
      <c r="C1635" s="2005" t="str">
        <f>IFERROR(__xludf.DUMMYFUNCTION("""COMPUTED_VALUE"""),"Etiqueteuse")</f>
        <v>Etiqueteuse</v>
      </c>
      <c r="D1635" s="2005" t="str">
        <f>IFERROR(__xludf.DUMMYFUNCTION("""COMPUTED_VALUE"""),"QL-810W")</f>
        <v>QL-810W</v>
      </c>
      <c r="E1635" s="2005" t="str">
        <f>IFERROR(__xludf.DUMMYFUNCTION("""COMPUTED_VALUE"""),"BROTHER")</f>
        <v>BROTHER</v>
      </c>
      <c r="F1635" s="2005" t="str">
        <f>IFERROR(__xludf.DUMMYFUNCTION("""COMPUTED_VALUE"""),"H")</f>
        <v>H</v>
      </c>
      <c r="G1635" s="2005" t="str">
        <f>IFERROR(__xludf.DUMMYFUNCTION("""COMPUTED_VALUE"""),"NN")</f>
        <v>NN</v>
      </c>
      <c r="H1635" s="2005">
        <f>IFERROR(__xludf.DUMMYFUNCTION("""COMPUTED_VALUE"""),184.99)</f>
        <v>184.99</v>
      </c>
      <c r="I1635" s="2005">
        <f>IFERROR(__xludf.DUMMYFUNCTION("""COMPUTED_VALUE"""),184.99)</f>
        <v>184.99</v>
      </c>
      <c r="BD1635" s="2006"/>
      <c r="LL1635" s="2007"/>
      <c r="LM1635" s="2007"/>
      <c r="MX1635" s="2007"/>
      <c r="ND1635" s="2007"/>
    </row>
    <row r="1636">
      <c r="A1636" s="2005">
        <f>IFERROR(__xludf.DUMMYFUNCTION("""COMPUTED_VALUE"""),1141825.0)</f>
        <v>1141825</v>
      </c>
      <c r="B1636" s="2005">
        <f>IFERROR(__xludf.DUMMYFUNCTION("""COMPUTED_VALUE"""),2402030.0)</f>
        <v>2402030</v>
      </c>
      <c r="C1636" s="2005" t="str">
        <f>IFERROR(__xludf.DUMMYFUNCTION("""COMPUTED_VALUE"""),"Etiquette")</f>
        <v>Etiquette</v>
      </c>
      <c r="D1636" s="2005" t="str">
        <f>IFERROR(__xludf.DUMMYFUNCTION("""COMPUTED_VALUE"""),"TZEMQL35")</f>
        <v>TZEMQL35</v>
      </c>
      <c r="E1636" s="2005" t="str">
        <f>IFERROR(__xludf.DUMMYFUNCTION("""COMPUTED_VALUE"""),"BROTHER")</f>
        <v>BROTHER</v>
      </c>
      <c r="F1636" s="2005" t="str">
        <f>IFERROR(__xludf.DUMMYFUNCTION("""COMPUTED_VALUE"""),"H")</f>
        <v>H</v>
      </c>
      <c r="G1636" s="2005" t="str">
        <f>IFERROR(__xludf.DUMMYFUNCTION("""COMPUTED_VALUE"""),"FR")</f>
        <v>FR</v>
      </c>
      <c r="H1636" s="2005">
        <f>IFERROR(__xludf.DUMMYFUNCTION("""COMPUTED_VALUE"""),16.99)</f>
        <v>16.99</v>
      </c>
      <c r="I1636">
        <f>IFERROR(__xludf.DUMMYFUNCTION("""COMPUTED_VALUE"""),16.99)</f>
        <v>16.99</v>
      </c>
      <c r="BD1636" s="2006"/>
      <c r="LL1636" s="2007"/>
      <c r="LM1636" s="2007"/>
      <c r="MX1636" s="2008"/>
      <c r="ND1636" s="2007"/>
    </row>
    <row r="1637">
      <c r="A1637" s="2005">
        <f>IFERROR(__xludf.DUMMYFUNCTION("""COMPUTED_VALUE"""),1141826.0)</f>
        <v>1141826</v>
      </c>
      <c r="B1637" s="2005">
        <f>IFERROR(__xludf.DUMMYFUNCTION("""COMPUTED_VALUE"""),2703040.0)</f>
        <v>2703040</v>
      </c>
      <c r="C1637" s="2005" t="str">
        <f>IFERROR(__xludf.DUMMYFUNCTION("""COMPUTED_VALUE"""),"Etiqueteuse")</f>
        <v>Etiqueteuse</v>
      </c>
      <c r="D1637" s="2005" t="str">
        <f>IFERROR(__xludf.DUMMYFUNCTION("""COMPUTED_VALUE"""),"PT-D210")</f>
        <v>PT-D210</v>
      </c>
      <c r="E1637" s="2005" t="str">
        <f>IFERROR(__xludf.DUMMYFUNCTION("""COMPUTED_VALUE"""),"BROTHER")</f>
        <v>BROTHER</v>
      </c>
      <c r="F1637" s="2005" t="str">
        <f>IFERROR(__xludf.DUMMYFUNCTION("""COMPUTED_VALUE"""),"H")</f>
        <v>H</v>
      </c>
      <c r="G1637" s="2005" t="str">
        <f>IFERROR(__xludf.DUMMYFUNCTION("""COMPUTED_VALUE"""),"AC")</f>
        <v>AC</v>
      </c>
      <c r="H1637">
        <f>IFERROR(__xludf.DUMMYFUNCTION("""COMPUTED_VALUE"""),49.99)</f>
        <v>49.99</v>
      </c>
      <c r="I1637">
        <f>IFERROR(__xludf.DUMMYFUNCTION("""COMPUTED_VALUE"""),34.99)</f>
        <v>34.99</v>
      </c>
      <c r="BD1637" s="2006"/>
      <c r="LL1637" s="2007"/>
      <c r="LM1637" s="2007"/>
      <c r="MX1637" s="2007"/>
      <c r="ND1637" s="2007"/>
    </row>
    <row r="1638">
      <c r="A1638" s="2005">
        <f>IFERROR(__xludf.DUMMYFUNCTION("""COMPUTED_VALUE"""),1141842.0)</f>
        <v>1141842</v>
      </c>
      <c r="B1638" s="2005">
        <f>IFERROR(__xludf.DUMMYFUNCTION("""COMPUTED_VALUE"""),2402030.0)</f>
        <v>2402030</v>
      </c>
      <c r="C1638" s="2005" t="str">
        <f>IFERROR(__xludf.DUMMYFUNCTION("""COMPUTED_VALUE"""),"Etiquette")</f>
        <v>Etiquette</v>
      </c>
      <c r="D1638" s="2005" t="str">
        <f>IFERROR(__xludf.DUMMYFUNCTION("""COMPUTED_VALUE"""),"TZE-RE34")</f>
        <v>TZE-RE34</v>
      </c>
      <c r="E1638" s="2005" t="str">
        <f>IFERROR(__xludf.DUMMYFUNCTION("""COMPUTED_VALUE"""),"BROTHER")</f>
        <v>BROTHER</v>
      </c>
      <c r="F1638" s="2005" t="str">
        <f>IFERROR(__xludf.DUMMYFUNCTION("""COMPUTED_VALUE"""),"H")</f>
        <v>H</v>
      </c>
      <c r="G1638" s="2005" t="str">
        <f>IFERROR(__xludf.DUMMYFUNCTION("""COMPUTED_VALUE"""),"NN")</f>
        <v>NN</v>
      </c>
      <c r="H1638">
        <f>IFERROR(__xludf.DUMMYFUNCTION("""COMPUTED_VALUE"""),11.99)</f>
        <v>11.99</v>
      </c>
      <c r="I1638">
        <f>IFERROR(__xludf.DUMMYFUNCTION("""COMPUTED_VALUE"""),11.99)</f>
        <v>11.99</v>
      </c>
      <c r="BD1638" s="2006"/>
      <c r="LL1638" s="2007"/>
      <c r="LM1638" s="2007"/>
      <c r="MX1638" s="2007"/>
      <c r="ND1638" s="2007"/>
    </row>
    <row r="1639">
      <c r="A1639" s="2005">
        <f>IFERROR(__xludf.DUMMYFUNCTION("""COMPUTED_VALUE"""),1141843.0)</f>
        <v>1141843</v>
      </c>
      <c r="B1639" s="2005">
        <f>IFERROR(__xludf.DUMMYFUNCTION("""COMPUTED_VALUE"""),2703040.0)</f>
        <v>2703040</v>
      </c>
      <c r="C1639" s="2005" t="str">
        <f>IFERROR(__xludf.DUMMYFUNCTION("""COMPUTED_VALUE"""),"Etiqueteuse")</f>
        <v>Etiqueteuse</v>
      </c>
      <c r="D1639" s="2005" t="str">
        <f>IFERROR(__xludf.DUMMYFUNCTION("""COMPUTED_VALUE"""),"PT-P300BT")</f>
        <v>PT-P300BT</v>
      </c>
      <c r="E1639" s="2005" t="str">
        <f>IFERROR(__xludf.DUMMYFUNCTION("""COMPUTED_VALUE"""),"BROTHER")</f>
        <v>BROTHER</v>
      </c>
      <c r="F1639" s="2005" t="str">
        <f>IFERROR(__xludf.DUMMYFUNCTION("""COMPUTED_VALUE"""),"H")</f>
        <v>H</v>
      </c>
      <c r="G1639" s="2005" t="str">
        <f>IFERROR(__xludf.DUMMYFUNCTION("""COMPUTED_VALUE"""),"NN")</f>
        <v>NN</v>
      </c>
      <c r="H1639">
        <f>IFERROR(__xludf.DUMMYFUNCTION("""COMPUTED_VALUE"""),64.99)</f>
        <v>64.99</v>
      </c>
      <c r="I1639">
        <f>IFERROR(__xludf.DUMMYFUNCTION("""COMPUTED_VALUE"""),64.99)</f>
        <v>64.99</v>
      </c>
      <c r="BD1639" s="2006"/>
      <c r="LL1639" s="2007"/>
      <c r="LM1639" s="2007"/>
      <c r="MX1639" s="2007"/>
      <c r="ND1639" s="2007"/>
    </row>
    <row r="1640">
      <c r="A1640" s="2005">
        <f>IFERROR(__xludf.DUMMYFUNCTION("""COMPUTED_VALUE"""),1141844.0)</f>
        <v>1141844</v>
      </c>
      <c r="B1640" s="2005">
        <f>IFERROR(__xludf.DUMMYFUNCTION("""COMPUTED_VALUE"""),2703040.0)</f>
        <v>2703040</v>
      </c>
      <c r="C1640" s="2005" t="str">
        <f>IFERROR(__xludf.DUMMYFUNCTION("""COMPUTED_VALUE"""),"Etiqueteuse")</f>
        <v>Etiqueteuse</v>
      </c>
      <c r="D1640" s="2005" t="str">
        <f>IFERROR(__xludf.DUMMYFUNCTION("""COMPUTED_VALUE"""),"PT-H200")</f>
        <v>PT-H200</v>
      </c>
      <c r="E1640" s="2005" t="str">
        <f>IFERROR(__xludf.DUMMYFUNCTION("""COMPUTED_VALUE"""),"BROTHER")</f>
        <v>BROTHER</v>
      </c>
      <c r="F1640" s="2005" t="str">
        <f>IFERROR(__xludf.DUMMYFUNCTION("""COMPUTED_VALUE"""),"H")</f>
        <v>H</v>
      </c>
      <c r="G1640" s="2005" t="str">
        <f>IFERROR(__xludf.DUMMYFUNCTION("""COMPUTED_VALUE"""),"AC")</f>
        <v>AC</v>
      </c>
      <c r="H1640">
        <f>IFERROR(__xludf.DUMMYFUNCTION("""COMPUTED_VALUE"""),49.99)</f>
        <v>49.99</v>
      </c>
      <c r="I1640">
        <f>IFERROR(__xludf.DUMMYFUNCTION("""COMPUTED_VALUE"""),42.95)</f>
        <v>42.95</v>
      </c>
      <c r="BD1640" s="2006"/>
      <c r="LL1640" s="2007"/>
      <c r="LM1640" s="2007"/>
      <c r="MX1640" s="2007"/>
      <c r="ND1640" s="2007"/>
    </row>
    <row r="1641">
      <c r="A1641" s="2005">
        <f>IFERROR(__xludf.DUMMYFUNCTION("""COMPUTED_VALUE"""),1141856.0)</f>
        <v>1141856</v>
      </c>
      <c r="B1641" s="2005">
        <f>IFERROR(__xludf.DUMMYFUNCTION("""COMPUTED_VALUE"""),2402030.0)</f>
        <v>2402030</v>
      </c>
      <c r="C1641" s="2005" t="str">
        <f>IFERROR(__xludf.DUMMYFUNCTION("""COMPUTED_VALUE"""),"Etiquette")</f>
        <v>Etiquette</v>
      </c>
      <c r="D1641" s="2005" t="str">
        <f>IFERROR(__xludf.DUMMYFUNCTION("""COMPUTED_VALUE"""),"TZEMQP35")</f>
        <v>TZEMQP35</v>
      </c>
      <c r="E1641" s="2005" t="str">
        <f>IFERROR(__xludf.DUMMYFUNCTION("""COMPUTED_VALUE"""),"BROTHER")</f>
        <v>BROTHER</v>
      </c>
      <c r="F1641" s="2005" t="str">
        <f>IFERROR(__xludf.DUMMYFUNCTION("""COMPUTED_VALUE"""),"H")</f>
        <v>H</v>
      </c>
      <c r="G1641" s="2005" t="str">
        <f>IFERROR(__xludf.DUMMYFUNCTION("""COMPUTED_VALUE"""),"NN")</f>
        <v>NN</v>
      </c>
      <c r="H1641" s="2005">
        <f>IFERROR(__xludf.DUMMYFUNCTION("""COMPUTED_VALUE"""),16.99)</f>
        <v>16.99</v>
      </c>
      <c r="I1641">
        <f>IFERROR(__xludf.DUMMYFUNCTION("""COMPUTED_VALUE"""),16.99)</f>
        <v>16.99</v>
      </c>
      <c r="BD1641" s="2006"/>
      <c r="LL1641" s="2007"/>
      <c r="LM1641" s="2007"/>
      <c r="MX1641" s="2007"/>
      <c r="ND1641" s="2007"/>
    </row>
    <row r="1642">
      <c r="A1642">
        <f>IFERROR(__xludf.DUMMYFUNCTION("""COMPUTED_VALUE"""),1141857.0)</f>
        <v>1141857</v>
      </c>
      <c r="B1642">
        <f>IFERROR(__xludf.DUMMYFUNCTION("""COMPUTED_VALUE"""),2402030.0)</f>
        <v>2402030</v>
      </c>
      <c r="C1642" t="str">
        <f>IFERROR(__xludf.DUMMYFUNCTION("""COMPUTED_VALUE"""),"Etiquette")</f>
        <v>Etiquette</v>
      </c>
      <c r="D1642" t="str">
        <f>IFERROR(__xludf.DUMMYFUNCTION("""COMPUTED_VALUE"""),"DK22251")</f>
        <v>DK22251</v>
      </c>
      <c r="E1642" t="str">
        <f>IFERROR(__xludf.DUMMYFUNCTION("""COMPUTED_VALUE"""),"BROTHER")</f>
        <v>BROTHER</v>
      </c>
      <c r="F1642" t="str">
        <f>IFERROR(__xludf.DUMMYFUNCTION("""COMPUTED_VALUE"""),"H")</f>
        <v>H</v>
      </c>
      <c r="G1642" t="str">
        <f>IFERROR(__xludf.DUMMYFUNCTION("""COMPUTED_VALUE"""),"NN")</f>
        <v>NN</v>
      </c>
      <c r="H1642">
        <f>IFERROR(__xludf.DUMMYFUNCTION("""COMPUTED_VALUE"""),29.99)</f>
        <v>29.99</v>
      </c>
      <c r="I1642">
        <f>IFERROR(__xludf.DUMMYFUNCTION("""COMPUTED_VALUE"""),29.99)</f>
        <v>29.99</v>
      </c>
      <c r="BD1642" s="2006"/>
      <c r="LL1642" s="2007"/>
      <c r="LM1642" s="2007"/>
      <c r="MX1642" s="2007"/>
      <c r="ND1642" s="2007"/>
    </row>
    <row r="1643">
      <c r="A1643" s="2005">
        <f>IFERROR(__xludf.DUMMYFUNCTION("""COMPUTED_VALUE"""),1141858.0)</f>
        <v>1141858</v>
      </c>
      <c r="B1643" s="2005">
        <f>IFERROR(__xludf.DUMMYFUNCTION("""COMPUTED_VALUE"""),2703040.0)</f>
        <v>2703040</v>
      </c>
      <c r="C1643" s="2005" t="str">
        <f>IFERROR(__xludf.DUMMYFUNCTION("""COMPUTED_VALUE"""),"Etiqueteuse")</f>
        <v>Etiqueteuse</v>
      </c>
      <c r="D1643" s="2005" t="str">
        <f>IFERROR(__xludf.DUMMYFUNCTION("""COMPUTED_VALUE"""),"PT-D450VP")</f>
        <v>PT-D450VP</v>
      </c>
      <c r="E1643" s="2005" t="str">
        <f>IFERROR(__xludf.DUMMYFUNCTION("""COMPUTED_VALUE"""),"BROTHER")</f>
        <v>BROTHER</v>
      </c>
      <c r="F1643" s="2005" t="str">
        <f>IFERROR(__xludf.DUMMYFUNCTION("""COMPUTED_VALUE"""),"H")</f>
        <v>H</v>
      </c>
      <c r="G1643" s="2005" t="str">
        <f>IFERROR(__xludf.DUMMYFUNCTION("""COMPUTED_VALUE"""),"NN")</f>
        <v>NN</v>
      </c>
      <c r="H1643">
        <f>IFERROR(__xludf.DUMMYFUNCTION("""COMPUTED_VALUE"""),114.99)</f>
        <v>114.99</v>
      </c>
      <c r="I1643">
        <f>IFERROR(__xludf.DUMMYFUNCTION("""COMPUTED_VALUE"""),114.99)</f>
        <v>114.99</v>
      </c>
      <c r="BD1643" s="2006"/>
      <c r="LL1643" s="2007"/>
      <c r="LM1643" s="2007"/>
      <c r="MX1643" s="2007"/>
      <c r="ND1643" s="2007"/>
    </row>
    <row r="1644">
      <c r="A1644" s="2005">
        <f>IFERROR(__xludf.DUMMYFUNCTION("""COMPUTED_VALUE"""),1141861.0)</f>
        <v>1141861</v>
      </c>
      <c r="B1644" s="2005">
        <f>IFERROR(__xludf.DUMMYFUNCTION("""COMPUTED_VALUE"""),2703040.0)</f>
        <v>2703040</v>
      </c>
      <c r="C1644" s="2005" t="str">
        <f>IFERROR(__xludf.DUMMYFUNCTION("""COMPUTED_VALUE"""),"Etiqueteuse")</f>
        <v>Etiqueteuse</v>
      </c>
      <c r="D1644" s="2005" t="str">
        <f>IFERROR(__xludf.DUMMYFUNCTION("""COMPUTED_VALUE"""),"QL-600")</f>
        <v>QL-600</v>
      </c>
      <c r="E1644" s="2005" t="str">
        <f>IFERROR(__xludf.DUMMYFUNCTION("""COMPUTED_VALUE"""),"BROTHER")</f>
        <v>BROTHER</v>
      </c>
      <c r="F1644" s="2005" t="str">
        <f>IFERROR(__xludf.DUMMYFUNCTION("""COMPUTED_VALUE"""),"H")</f>
        <v>H</v>
      </c>
      <c r="G1644" s="2005" t="str">
        <f>IFERROR(__xludf.DUMMYFUNCTION("""COMPUTED_VALUE"""),"AC")</f>
        <v>AC</v>
      </c>
      <c r="H1644">
        <f>IFERROR(__xludf.DUMMYFUNCTION("""COMPUTED_VALUE"""),84.99)</f>
        <v>84.99</v>
      </c>
      <c r="I1644">
        <f>IFERROR(__xludf.DUMMYFUNCTION("""COMPUTED_VALUE"""),70.9)</f>
        <v>70.9</v>
      </c>
      <c r="BD1644" s="2006"/>
      <c r="LL1644" s="2007"/>
      <c r="LM1644" s="2007"/>
      <c r="MX1644" s="2007"/>
      <c r="ND1644" s="2007"/>
    </row>
    <row r="1645">
      <c r="A1645" s="2005">
        <f>IFERROR(__xludf.DUMMYFUNCTION("""COMPUTED_VALUE"""),1141862.0)</f>
        <v>1141862</v>
      </c>
      <c r="B1645" s="2005">
        <f>IFERROR(__xludf.DUMMYFUNCTION("""COMPUTED_VALUE"""),2703040.0)</f>
        <v>2703040</v>
      </c>
      <c r="C1645" s="2005" t="str">
        <f>IFERROR(__xludf.DUMMYFUNCTION("""COMPUTED_VALUE"""),"Etiqueteuse")</f>
        <v>Etiqueteuse</v>
      </c>
      <c r="D1645" s="2005" t="str">
        <f>IFERROR(__xludf.DUMMYFUNCTION("""COMPUTED_VALUE"""),"PT-E110")</f>
        <v>PT-E110</v>
      </c>
      <c r="E1645" s="2005" t="str">
        <f>IFERROR(__xludf.DUMMYFUNCTION("""COMPUTED_VALUE"""),"BROTHER")</f>
        <v>BROTHER</v>
      </c>
      <c r="F1645" s="2005" t="str">
        <f>IFERROR(__xludf.DUMMYFUNCTION("""COMPUTED_VALUE"""),"H")</f>
        <v>H</v>
      </c>
      <c r="G1645" s="2005" t="str">
        <f>IFERROR(__xludf.DUMMYFUNCTION("""COMPUTED_VALUE"""),"AC")</f>
        <v>AC</v>
      </c>
      <c r="H1645">
        <f>IFERROR(__xludf.DUMMYFUNCTION("""COMPUTED_VALUE"""),44.99)</f>
        <v>44.99</v>
      </c>
      <c r="I1645">
        <f>IFERROR(__xludf.DUMMYFUNCTION("""COMPUTED_VALUE"""),36.95)</f>
        <v>36.95</v>
      </c>
      <c r="BD1645" s="2006"/>
      <c r="LL1645" s="2007"/>
      <c r="LM1645" s="2007"/>
      <c r="MX1645" s="2007"/>
      <c r="ND1645" s="2007"/>
    </row>
    <row r="1646">
      <c r="A1646" s="2005">
        <f>IFERROR(__xludf.DUMMYFUNCTION("""COMPUTED_VALUE"""),1142109.0)</f>
        <v>1142109</v>
      </c>
      <c r="B1646" s="2005">
        <f>IFERROR(__xludf.DUMMYFUNCTION("""COMPUTED_VALUE"""),2403005.0)</f>
        <v>2403005</v>
      </c>
      <c r="C1646" s="2005" t="str">
        <f>IFERROR(__xludf.DUMMYFUNCTION("""COMPUTED_VALUE"""),"Cartouche")</f>
        <v>Cartouche</v>
      </c>
      <c r="D1646" s="2005" t="str">
        <f>IFERROR(__xludf.DUMMYFUNCTION("""COMPUTED_VALUE"""),"Bouteille 32 XL Noir")</f>
        <v>Bouteille 32 XL Noir</v>
      </c>
      <c r="E1646" s="2005" t="str">
        <f>IFERROR(__xludf.DUMMYFUNCTION("""COMPUTED_VALUE"""),"HP")</f>
        <v>HP</v>
      </c>
      <c r="F1646" s="2005" t="str">
        <f>IFERROR(__xludf.DUMMYFUNCTION("""COMPUTED_VALUE"""),"B")</f>
        <v>B</v>
      </c>
      <c r="G1646" s="2005" t="str">
        <f>IFERROR(__xludf.DUMMYFUNCTION("""COMPUTED_VALUE"""),"AC")</f>
        <v>AC</v>
      </c>
      <c r="H1646">
        <f>IFERROR(__xludf.DUMMYFUNCTION("""COMPUTED_VALUE"""),14.99)</f>
        <v>14.99</v>
      </c>
      <c r="I1646">
        <f>IFERROR(__xludf.DUMMYFUNCTION("""COMPUTED_VALUE"""),14.99)</f>
        <v>14.99</v>
      </c>
      <c r="BD1646" s="2006"/>
      <c r="LL1646" s="2007"/>
      <c r="LM1646" s="2007"/>
      <c r="MX1646" s="2007"/>
      <c r="ND1646" s="2007"/>
    </row>
    <row r="1647">
      <c r="A1647" s="2005">
        <f>IFERROR(__xludf.DUMMYFUNCTION("""COMPUTED_VALUE"""),1142365.0)</f>
        <v>1142365</v>
      </c>
      <c r="B1647" s="2005">
        <f>IFERROR(__xludf.DUMMYFUNCTION("""COMPUTED_VALUE"""),2202008.0)</f>
        <v>2202008</v>
      </c>
      <c r="C1647" s="2005" t="str">
        <f>IFERROR(__xludf.DUMMYFUNCTION("""COMPUTED_VALUE"""),"Multi Laser")</f>
        <v>Multi Laser</v>
      </c>
      <c r="D1647" s="2005" t="str">
        <f>IFERROR(__xludf.DUMMYFUNCTION("""COMPUTED_VALUE"""),"Color LaserJet Pro M283fdw")</f>
        <v>Color LaserJet Pro M283fdw</v>
      </c>
      <c r="E1647" s="2005" t="str">
        <f>IFERROR(__xludf.DUMMYFUNCTION("""COMPUTED_VALUE"""),"HP")</f>
        <v>HP</v>
      </c>
      <c r="F1647" s="2005" t="str">
        <f>IFERROR(__xludf.DUMMYFUNCTION("""COMPUTED_VALUE"""),"B")</f>
        <v>B</v>
      </c>
      <c r="G1647" s="2005" t="str">
        <f>IFERROR(__xludf.DUMMYFUNCTION("""COMPUTED_VALUE"""),"AC")</f>
        <v>AC</v>
      </c>
      <c r="H1647">
        <f>IFERROR(__xludf.DUMMYFUNCTION("""COMPUTED_VALUE"""),549.99)</f>
        <v>549.99</v>
      </c>
      <c r="I1647">
        <f>IFERROR(__xludf.DUMMYFUNCTION("""COMPUTED_VALUE"""),549.99)</f>
        <v>549.99</v>
      </c>
      <c r="BD1647" s="2006"/>
      <c r="LL1647" s="2007"/>
      <c r="LM1647" s="2007"/>
      <c r="MX1647" s="2007"/>
      <c r="ND1647" s="2007"/>
    </row>
    <row r="1648">
      <c r="A1648" s="2005">
        <f>IFERROR(__xludf.DUMMYFUNCTION("""COMPUTED_VALUE"""),1142823.0)</f>
        <v>1142823</v>
      </c>
      <c r="B1648" s="2005">
        <f>IFERROR(__xludf.DUMMYFUNCTION("""COMPUTED_VALUE"""),2502020.0)</f>
        <v>2502020</v>
      </c>
      <c r="C1648" s="2005" t="str">
        <f>IFERROR(__xludf.DUMMYFUNCTION("""COMPUTED_VALUE"""),"Webcam")</f>
        <v>Webcam</v>
      </c>
      <c r="D1648" s="2005" t="str">
        <f>IFERROR(__xludf.DUMMYFUNCTION("""COMPUTED_VALUE"""),"Streamcam Graphite double microphone")</f>
        <v>Streamcam Graphite double microphone</v>
      </c>
      <c r="E1648" s="2005" t="str">
        <f>IFERROR(__xludf.DUMMYFUNCTION("""COMPUTED_VALUE"""),"LOGITECH")</f>
        <v>LOGITECH</v>
      </c>
      <c r="F1648" s="2005" t="str">
        <f>IFERROR(__xludf.DUMMYFUNCTION("""COMPUTED_VALUE"""),"C")</f>
        <v>C</v>
      </c>
      <c r="G1648" s="2005" t="str">
        <f>IFERROR(__xludf.DUMMYFUNCTION("""COMPUTED_VALUE"""),"AC")</f>
        <v>AC</v>
      </c>
      <c r="H1648">
        <f>IFERROR(__xludf.DUMMYFUNCTION("""COMPUTED_VALUE"""),159.99)</f>
        <v>159.99</v>
      </c>
      <c r="I1648">
        <f>IFERROR(__xludf.DUMMYFUNCTION("""COMPUTED_VALUE"""),159.99)</f>
        <v>159.99</v>
      </c>
      <c r="BD1648" s="2006"/>
      <c r="LL1648" s="2007"/>
      <c r="LM1648" s="2007"/>
      <c r="MX1648" s="2007"/>
      <c r="ND1648" s="2007"/>
    </row>
    <row r="1649">
      <c r="A1649" s="2005">
        <f>IFERROR(__xludf.DUMMYFUNCTION("""COMPUTED_VALUE"""),1142824.0)</f>
        <v>1142824</v>
      </c>
      <c r="B1649" s="2005">
        <f>IFERROR(__xludf.DUMMYFUNCTION("""COMPUTED_VALUE"""),2502020.0)</f>
        <v>2502020</v>
      </c>
      <c r="C1649" s="2005" t="str">
        <f>IFERROR(__xludf.DUMMYFUNCTION("""COMPUTED_VALUE"""),"Webcam")</f>
        <v>Webcam</v>
      </c>
      <c r="D1649" s="2005" t="str">
        <f>IFERROR(__xludf.DUMMYFUNCTION("""COMPUTED_VALUE"""),"Streamcam Off White double microphone")</f>
        <v>Streamcam Off White double microphone</v>
      </c>
      <c r="E1649" s="2005" t="str">
        <f>IFERROR(__xludf.DUMMYFUNCTION("""COMPUTED_VALUE"""),"LOGITECH")</f>
        <v>LOGITECH</v>
      </c>
      <c r="F1649" s="2005" t="str">
        <f>IFERROR(__xludf.DUMMYFUNCTION("""COMPUTED_VALUE"""),"W")</f>
        <v>W</v>
      </c>
      <c r="G1649" s="2005" t="str">
        <f>IFERROR(__xludf.DUMMYFUNCTION("""COMPUTED_VALUE"""),"AC")</f>
        <v>AC</v>
      </c>
      <c r="H1649">
        <f>IFERROR(__xludf.DUMMYFUNCTION("""COMPUTED_VALUE"""),159.99)</f>
        <v>159.99</v>
      </c>
      <c r="I1649">
        <f>IFERROR(__xludf.DUMMYFUNCTION("""COMPUTED_VALUE"""),106.66)</f>
        <v>106.66</v>
      </c>
      <c r="BD1649" s="2006"/>
      <c r="LL1649" s="2007"/>
      <c r="LM1649" s="2007"/>
      <c r="MX1649" s="2007"/>
      <c r="ND1649" s="2007"/>
    </row>
    <row r="1650">
      <c r="A1650" s="2005">
        <f>IFERROR(__xludf.DUMMYFUNCTION("""COMPUTED_VALUE"""),1142961.0)</f>
        <v>1142961</v>
      </c>
      <c r="B1650" s="2005">
        <f>IFERROR(__xludf.DUMMYFUNCTION("""COMPUTED_VALUE"""),2502012.0)</f>
        <v>2502012</v>
      </c>
      <c r="C1650" s="2005" t="str">
        <f>IFERROR(__xludf.DUMMYFUNCTION("""COMPUTED_VALUE"""),"Tablette Graph")</f>
        <v>Tablette Graph</v>
      </c>
      <c r="D1650" s="2005" t="str">
        <f>IFERROR(__xludf.DUMMYFUNCTION("""COMPUTED_VALUE"""),"One by medium - Noir  à stylet")</f>
        <v>One by medium - Noir  à stylet</v>
      </c>
      <c r="E1650" s="2005" t="str">
        <f>IFERROR(__xludf.DUMMYFUNCTION("""COMPUTED_VALUE"""),"WACOM")</f>
        <v>WACOM</v>
      </c>
      <c r="F1650" s="2005" t="str">
        <f>IFERROR(__xludf.DUMMYFUNCTION("""COMPUTED_VALUE"""),"D")</f>
        <v>D</v>
      </c>
      <c r="G1650" s="2005" t="str">
        <f>IFERROR(__xludf.DUMMYFUNCTION("""COMPUTED_VALUE"""),"AC")</f>
        <v>AC</v>
      </c>
      <c r="H1650">
        <f>IFERROR(__xludf.DUMMYFUNCTION("""COMPUTED_VALUE"""),59.9)</f>
        <v>59.9</v>
      </c>
      <c r="I1650" s="2005">
        <f>IFERROR(__xludf.DUMMYFUNCTION("""COMPUTED_VALUE"""),59.9)</f>
        <v>59.9</v>
      </c>
      <c r="BD1650" s="2006"/>
      <c r="LL1650" s="2007"/>
      <c r="LM1650" s="2007"/>
      <c r="MX1650" s="2007"/>
      <c r="ND1650" s="2007"/>
    </row>
    <row r="1651">
      <c r="A1651" s="2005">
        <f>IFERROR(__xludf.DUMMYFUNCTION("""COMPUTED_VALUE"""),1142964.0)</f>
        <v>1142964</v>
      </c>
      <c r="B1651" s="2005">
        <f>IFERROR(__xludf.DUMMYFUNCTION("""COMPUTED_VALUE"""),2707005.0)</f>
        <v>2707005</v>
      </c>
      <c r="C1651" s="2005" t="str">
        <f>IFERROR(__xludf.DUMMYFUNCTION("""COMPUTED_VALUE"""),"Traducteur")</f>
        <v>Traducteur</v>
      </c>
      <c r="D1651" s="2005" t="str">
        <f>IFERROR(__xludf.DUMMYFUNCTION("""COMPUTED_VALUE"""),"S Noir")</f>
        <v>S Noir</v>
      </c>
      <c r="E1651" s="2005" t="str">
        <f>IFERROR(__xludf.DUMMYFUNCTION("""COMPUTED_VALUE"""),"POCKETALK")</f>
        <v>POCKETALK</v>
      </c>
      <c r="F1651" s="2005" t="str">
        <f>IFERROR(__xludf.DUMMYFUNCTION("""COMPUTED_VALUE"""),"D")</f>
        <v>D</v>
      </c>
      <c r="G1651" s="2005" t="str">
        <f>IFERROR(__xludf.DUMMYFUNCTION("""COMPUTED_VALUE"""),"NN")</f>
        <v>NN</v>
      </c>
      <c r="H1651">
        <f>IFERROR(__xludf.DUMMYFUNCTION("""COMPUTED_VALUE"""),209.99)</f>
        <v>209.99</v>
      </c>
      <c r="I1651">
        <f>IFERROR(__xludf.DUMMYFUNCTION("""COMPUTED_VALUE"""),209.99)</f>
        <v>209.99</v>
      </c>
      <c r="BD1651" s="2006"/>
      <c r="LL1651" s="2007"/>
      <c r="LM1651" s="2007"/>
      <c r="MX1651" s="2007"/>
      <c r="ND1651" s="2007"/>
    </row>
    <row r="1652">
      <c r="A1652" s="2005">
        <f>IFERROR(__xludf.DUMMYFUNCTION("""COMPUTED_VALUE"""),1143075.0)</f>
        <v>1143075</v>
      </c>
      <c r="B1652" s="2005">
        <f>IFERROR(__xludf.DUMMYFUNCTION("""COMPUTED_VALUE"""),2707005.0)</f>
        <v>2707005</v>
      </c>
      <c r="C1652" s="2005" t="str">
        <f>IFERROR(__xludf.DUMMYFUNCTION("""COMPUTED_VALUE"""),"Traducteur")</f>
        <v>Traducteur</v>
      </c>
      <c r="D1652" s="2005" t="str">
        <f>IFERROR(__xludf.DUMMYFUNCTION("""COMPUTED_VALUE"""),"S Blanc")</f>
        <v>S Blanc</v>
      </c>
      <c r="E1652" s="2005" t="str">
        <f>IFERROR(__xludf.DUMMYFUNCTION("""COMPUTED_VALUE"""),"POCKETALK")</f>
        <v>POCKETALK</v>
      </c>
      <c r="F1652" s="2005" t="str">
        <f>IFERROR(__xludf.DUMMYFUNCTION("""COMPUTED_VALUE"""),"D")</f>
        <v>D</v>
      </c>
      <c r="G1652" s="2005" t="str">
        <f>IFERROR(__xludf.DUMMYFUNCTION("""COMPUTED_VALUE"""),"NN")</f>
        <v>NN</v>
      </c>
      <c r="H1652">
        <f>IFERROR(__xludf.DUMMYFUNCTION("""COMPUTED_VALUE"""),209.99)</f>
        <v>209.99</v>
      </c>
      <c r="I1652">
        <f>IFERROR(__xludf.DUMMYFUNCTION("""COMPUTED_VALUE"""),209.99)</f>
        <v>209.99</v>
      </c>
      <c r="BD1652" s="2006"/>
      <c r="LL1652" s="2007"/>
      <c r="LM1652" s="2007"/>
      <c r="MX1652" s="2007"/>
      <c r="ND1652" s="2007"/>
    </row>
    <row r="1653">
      <c r="A1653" s="2005">
        <f>IFERROR(__xludf.DUMMYFUNCTION("""COMPUTED_VALUE"""),1143663.0)</f>
        <v>1143663</v>
      </c>
      <c r="B1653" s="2005">
        <f>IFERROR(__xludf.DUMMYFUNCTION("""COMPUTED_VALUE"""),2403010.0)</f>
        <v>2403010</v>
      </c>
      <c r="C1653" s="2005" t="str">
        <f>IFERROR(__xludf.DUMMYFUNCTION("""COMPUTED_VALUE"""),"Toner")</f>
        <v>Toner</v>
      </c>
      <c r="D1653" s="2005" t="str">
        <f>IFERROR(__xludf.DUMMYFUNCTION("""COMPUTED_VALUE"""),"117 A Noir")</f>
        <v>117 A Noir</v>
      </c>
      <c r="E1653" s="2005" t="str">
        <f>IFERROR(__xludf.DUMMYFUNCTION("""COMPUTED_VALUE"""),"HP")</f>
        <v>HP</v>
      </c>
      <c r="F1653" s="2005" t="str">
        <f>IFERROR(__xludf.DUMMYFUNCTION("""COMPUTED_VALUE"""),"B")</f>
        <v>B</v>
      </c>
      <c r="G1653" s="2005" t="str">
        <f>IFERROR(__xludf.DUMMYFUNCTION("""COMPUTED_VALUE"""),"AC")</f>
        <v>AC</v>
      </c>
      <c r="H1653">
        <f>IFERROR(__xludf.DUMMYFUNCTION("""COMPUTED_VALUE"""),67.99)</f>
        <v>67.99</v>
      </c>
      <c r="I1653">
        <f>IFERROR(__xludf.DUMMYFUNCTION("""COMPUTED_VALUE"""),67.99)</f>
        <v>67.99</v>
      </c>
      <c r="BD1653" s="2006"/>
      <c r="LL1653" s="2007"/>
      <c r="LM1653" s="2007"/>
      <c r="MX1653" s="2007"/>
      <c r="ND1653" s="2007"/>
    </row>
    <row r="1654">
      <c r="A1654" s="2005">
        <f>IFERROR(__xludf.DUMMYFUNCTION("""COMPUTED_VALUE"""),1143664.0)</f>
        <v>1143664</v>
      </c>
      <c r="B1654" s="2005">
        <f>IFERROR(__xludf.DUMMYFUNCTION("""COMPUTED_VALUE"""),2403010.0)</f>
        <v>2403010</v>
      </c>
      <c r="C1654" s="2005" t="str">
        <f>IFERROR(__xludf.DUMMYFUNCTION("""COMPUTED_VALUE"""),"Toner")</f>
        <v>Toner</v>
      </c>
      <c r="D1654" s="2005" t="str">
        <f>IFERROR(__xludf.DUMMYFUNCTION("""COMPUTED_VALUE"""),"117 A Cyan")</f>
        <v>117 A Cyan</v>
      </c>
      <c r="E1654" s="2005" t="str">
        <f>IFERROR(__xludf.DUMMYFUNCTION("""COMPUTED_VALUE"""),"HP")</f>
        <v>HP</v>
      </c>
      <c r="F1654" s="2005" t="str">
        <f>IFERROR(__xludf.DUMMYFUNCTION("""COMPUTED_VALUE"""),"B")</f>
        <v>B</v>
      </c>
      <c r="G1654" s="2005" t="str">
        <f>IFERROR(__xludf.DUMMYFUNCTION("""COMPUTED_VALUE"""),"AC")</f>
        <v>AC</v>
      </c>
      <c r="H1654">
        <f>IFERROR(__xludf.DUMMYFUNCTION("""COMPUTED_VALUE"""),75.99)</f>
        <v>75.99</v>
      </c>
      <c r="I1654">
        <f>IFERROR(__xludf.DUMMYFUNCTION("""COMPUTED_VALUE"""),75.99)</f>
        <v>75.99</v>
      </c>
      <c r="BD1654" s="2006"/>
      <c r="LL1654" s="2008"/>
      <c r="LM1654" s="2007"/>
      <c r="MX1654" s="2007"/>
      <c r="ND1654" s="2007"/>
    </row>
    <row r="1655">
      <c r="A1655" s="2005">
        <f>IFERROR(__xludf.DUMMYFUNCTION("""COMPUTED_VALUE"""),1143665.0)</f>
        <v>1143665</v>
      </c>
      <c r="B1655" s="2005">
        <f>IFERROR(__xludf.DUMMYFUNCTION("""COMPUTED_VALUE"""),2403010.0)</f>
        <v>2403010</v>
      </c>
      <c r="C1655" s="2005" t="str">
        <f>IFERROR(__xludf.DUMMYFUNCTION("""COMPUTED_VALUE"""),"Toner")</f>
        <v>Toner</v>
      </c>
      <c r="D1655" s="2005" t="str">
        <f>IFERROR(__xludf.DUMMYFUNCTION("""COMPUTED_VALUE"""),"117 A Jaune")</f>
        <v>117 A Jaune</v>
      </c>
      <c r="E1655" s="2005" t="str">
        <f>IFERROR(__xludf.DUMMYFUNCTION("""COMPUTED_VALUE"""),"HP")</f>
        <v>HP</v>
      </c>
      <c r="F1655" s="2005" t="str">
        <f>IFERROR(__xludf.DUMMYFUNCTION("""COMPUTED_VALUE"""),"B")</f>
        <v>B</v>
      </c>
      <c r="G1655" s="2005" t="str">
        <f>IFERROR(__xludf.DUMMYFUNCTION("""COMPUTED_VALUE"""),"AC")</f>
        <v>AC</v>
      </c>
      <c r="H1655">
        <f>IFERROR(__xludf.DUMMYFUNCTION("""COMPUTED_VALUE"""),75.99)</f>
        <v>75.99</v>
      </c>
      <c r="I1655">
        <f>IFERROR(__xludf.DUMMYFUNCTION("""COMPUTED_VALUE"""),75.99)</f>
        <v>75.99</v>
      </c>
      <c r="BD1655" s="2006"/>
      <c r="LL1655" s="2007"/>
      <c r="LM1655" s="2007"/>
      <c r="MX1655" s="2007"/>
      <c r="ND1655" s="2007"/>
    </row>
    <row r="1656">
      <c r="A1656" s="2005">
        <f>IFERROR(__xludf.DUMMYFUNCTION("""COMPUTED_VALUE"""),1143666.0)</f>
        <v>1143666</v>
      </c>
      <c r="B1656" s="2005">
        <f>IFERROR(__xludf.DUMMYFUNCTION("""COMPUTED_VALUE"""),2403010.0)</f>
        <v>2403010</v>
      </c>
      <c r="C1656" s="2005" t="str">
        <f>IFERROR(__xludf.DUMMYFUNCTION("""COMPUTED_VALUE"""),"Toner")</f>
        <v>Toner</v>
      </c>
      <c r="D1656" s="2005" t="str">
        <f>IFERROR(__xludf.DUMMYFUNCTION("""COMPUTED_VALUE"""),"117 A Magenta")</f>
        <v>117 A Magenta</v>
      </c>
      <c r="E1656" s="2005" t="str">
        <f>IFERROR(__xludf.DUMMYFUNCTION("""COMPUTED_VALUE"""),"HP")</f>
        <v>HP</v>
      </c>
      <c r="F1656" s="2005" t="str">
        <f>IFERROR(__xludf.DUMMYFUNCTION("""COMPUTED_VALUE"""),"B")</f>
        <v>B</v>
      </c>
      <c r="G1656" s="2005" t="str">
        <f>IFERROR(__xludf.DUMMYFUNCTION("""COMPUTED_VALUE"""),"AC")</f>
        <v>AC</v>
      </c>
      <c r="H1656">
        <f>IFERROR(__xludf.DUMMYFUNCTION("""COMPUTED_VALUE"""),75.99)</f>
        <v>75.99</v>
      </c>
      <c r="I1656">
        <f>IFERROR(__xludf.DUMMYFUNCTION("""COMPUTED_VALUE"""),75.99)</f>
        <v>75.99</v>
      </c>
      <c r="BD1656" s="2006"/>
      <c r="LL1656" s="2007"/>
      <c r="LM1656" s="2007"/>
      <c r="MX1656" s="2007"/>
      <c r="ND1656" s="2007"/>
    </row>
    <row r="1657">
      <c r="A1657" s="2005">
        <f>IFERROR(__xludf.DUMMYFUNCTION("""COMPUTED_VALUE"""),1144139.0)</f>
        <v>1144139</v>
      </c>
      <c r="B1657" s="2005">
        <f>IFERROR(__xludf.DUMMYFUNCTION("""COMPUTED_VALUE"""),2202005.0)</f>
        <v>2202005</v>
      </c>
      <c r="C1657" s="2005" t="str">
        <f>IFERROR(__xludf.DUMMYFUNCTION("""COMPUTED_VALUE"""),"Multi Jet d'enc")</f>
        <v>Multi Jet d'enc</v>
      </c>
      <c r="D1657" s="2005" t="str">
        <f>IFERROR(__xludf.DUMMYFUNCTION("""COMPUTED_VALUE"""),"Deskjet 2723 éligible instant ink")</f>
        <v>Deskjet 2723 éligible instant ink</v>
      </c>
      <c r="E1657" s="2005" t="str">
        <f>IFERROR(__xludf.DUMMYFUNCTION("""COMPUTED_VALUE"""),"HP")</f>
        <v>HP</v>
      </c>
      <c r="F1657" s="2005" t="str">
        <f>IFERROR(__xludf.DUMMYFUNCTION("""COMPUTED_VALUE"""),"B")</f>
        <v>B</v>
      </c>
      <c r="G1657" s="2005" t="str">
        <f>IFERROR(__xludf.DUMMYFUNCTION("""COMPUTED_VALUE"""),"NN")</f>
        <v>NN</v>
      </c>
      <c r="H1657" s="2005">
        <f>IFERROR(__xludf.DUMMYFUNCTION("""COMPUTED_VALUE"""),36.99)</f>
        <v>36.99</v>
      </c>
      <c r="I1657">
        <f>IFERROR(__xludf.DUMMYFUNCTION("""COMPUTED_VALUE"""),36.99)</f>
        <v>36.99</v>
      </c>
      <c r="BD1657" s="2006"/>
      <c r="LL1657" s="2008"/>
      <c r="LM1657" s="2007"/>
      <c r="MX1657" s="2007"/>
      <c r="ND1657" s="2008"/>
    </row>
    <row r="1658">
      <c r="A1658" s="2005">
        <f>IFERROR(__xludf.DUMMYFUNCTION("""COMPUTED_VALUE"""),1144162.0)</f>
        <v>1144162</v>
      </c>
      <c r="B1658" s="2005">
        <f>IFERROR(__xludf.DUMMYFUNCTION("""COMPUTED_VALUE"""),2202005.0)</f>
        <v>2202005</v>
      </c>
      <c r="C1658" s="2005" t="str">
        <f>IFERROR(__xludf.DUMMYFUNCTION("""COMPUTED_VALUE"""),"Multi Jet d'enc")</f>
        <v>Multi Jet d'enc</v>
      </c>
      <c r="D1658" s="2005" t="str">
        <f>IFERROR(__xludf.DUMMYFUNCTION("""COMPUTED_VALUE"""),"Deskjet Plus 4122 éligilbe instant ink")</f>
        <v>Deskjet Plus 4122 éligilbe instant ink</v>
      </c>
      <c r="E1658" s="2005" t="str">
        <f>IFERROR(__xludf.DUMMYFUNCTION("""COMPUTED_VALUE"""),"HP")</f>
        <v>HP</v>
      </c>
      <c r="F1658" s="2005" t="str">
        <f>IFERROR(__xludf.DUMMYFUNCTION("""COMPUTED_VALUE"""),"H")</f>
        <v>H</v>
      </c>
      <c r="G1658" s="2005" t="str">
        <f>IFERROR(__xludf.DUMMYFUNCTION("""COMPUTED_VALUE"""),"NN")</f>
        <v>NN</v>
      </c>
      <c r="H1658" s="2005">
        <f>IFERROR(__xludf.DUMMYFUNCTION("""COMPUTED_VALUE"""),50.99)</f>
        <v>50.99</v>
      </c>
      <c r="I1658" s="2005">
        <f>IFERROR(__xludf.DUMMYFUNCTION("""COMPUTED_VALUE"""),50.99)</f>
        <v>50.99</v>
      </c>
      <c r="BD1658" s="2006"/>
      <c r="LL1658" s="2007"/>
      <c r="LM1658" s="2007"/>
      <c r="MX1658" s="2007"/>
      <c r="ND1658" s="2008"/>
    </row>
    <row r="1659">
      <c r="A1659" s="2005">
        <f>IFERROR(__xludf.DUMMYFUNCTION("""COMPUTED_VALUE"""),1144206.0)</f>
        <v>1144206</v>
      </c>
      <c r="B1659" s="2005">
        <f>IFERROR(__xludf.DUMMYFUNCTION("""COMPUTED_VALUE"""),2502010.0)</f>
        <v>2502010</v>
      </c>
      <c r="C1659" s="2005" t="str">
        <f>IFERROR(__xludf.DUMMYFUNCTION("""COMPUTED_VALUE"""),"Souris")</f>
        <v>Souris</v>
      </c>
      <c r="D1659" s="2005" t="str">
        <f>IFERROR(__xludf.DUMMYFUNCTION("""COMPUTED_VALUE"""),"SPECTRE 700 LUXE COOPER")</f>
        <v>SPECTRE 700 LUXE COOPER</v>
      </c>
      <c r="E1659" s="2005" t="str">
        <f>IFERROR(__xludf.DUMMYFUNCTION("""COMPUTED_VALUE"""),"HP")</f>
        <v>HP</v>
      </c>
      <c r="F1659" s="2005" t="str">
        <f>IFERROR(__xludf.DUMMYFUNCTION("""COMPUTED_VALUE"""),"H")</f>
        <v>H</v>
      </c>
      <c r="G1659" s="2005" t="str">
        <f>IFERROR(__xludf.DUMMYFUNCTION("""COMPUTED_VALUE"""),"NN")</f>
        <v>NN</v>
      </c>
      <c r="H1659">
        <f>IFERROR(__xludf.DUMMYFUNCTION("""COMPUTED_VALUE"""),89.99)</f>
        <v>89.99</v>
      </c>
      <c r="I1659">
        <f>IFERROR(__xludf.DUMMYFUNCTION("""COMPUTED_VALUE"""),89.99)</f>
        <v>89.99</v>
      </c>
      <c r="BD1659" s="2006"/>
      <c r="LL1659" s="2008"/>
      <c r="LM1659" s="2007"/>
      <c r="MX1659" s="2007"/>
      <c r="ND1659" s="2008"/>
    </row>
    <row r="1660">
      <c r="A1660" s="2005">
        <f>IFERROR(__xludf.DUMMYFUNCTION("""COMPUTED_VALUE"""),1144513.0)</f>
        <v>1144513</v>
      </c>
      <c r="B1660" s="2005">
        <f>IFERROR(__xludf.DUMMYFUNCTION("""COMPUTED_VALUE"""),2403005.0)</f>
        <v>2403005</v>
      </c>
      <c r="C1660" s="2005" t="str">
        <f>IFERROR(__xludf.DUMMYFUNCTION("""COMPUTED_VALUE"""),"Pack")</f>
        <v>Pack</v>
      </c>
      <c r="D1660" s="2005" t="str">
        <f>IFERROR(__xludf.DUMMYFUNCTION("""COMPUTED_VALUE"""),"Ecotank Bouteille Serie 664 - 4 Couleurs")</f>
        <v>Ecotank Bouteille Serie 664 - 4 Couleurs</v>
      </c>
      <c r="E1660" s="2005" t="str">
        <f>IFERROR(__xludf.DUMMYFUNCTION("""COMPUTED_VALUE"""),"EPSON")</f>
        <v>EPSON</v>
      </c>
      <c r="F1660" s="2005" t="str">
        <f>IFERROR(__xludf.DUMMYFUNCTION("""COMPUTED_VALUE"""),"A")</f>
        <v>A</v>
      </c>
      <c r="G1660" s="2005" t="str">
        <f>IFERROR(__xludf.DUMMYFUNCTION("""COMPUTED_VALUE"""),"AC")</f>
        <v>AC</v>
      </c>
      <c r="H1660" s="2005">
        <f>IFERROR(__xludf.DUMMYFUNCTION("""COMPUTED_VALUE"""),43.98)</f>
        <v>43.98</v>
      </c>
      <c r="I1660" s="2005">
        <f>IFERROR(__xludf.DUMMYFUNCTION("""COMPUTED_VALUE"""),43.98)</f>
        <v>43.98</v>
      </c>
      <c r="BD1660" s="2006"/>
      <c r="LL1660" s="2007"/>
      <c r="LM1660" s="2007"/>
      <c r="MX1660" s="2008"/>
      <c r="ND1660" s="2008"/>
    </row>
    <row r="1661">
      <c r="A1661" s="2005">
        <f>IFERROR(__xludf.DUMMYFUNCTION("""COMPUTED_VALUE"""),1144514.0)</f>
        <v>1144514</v>
      </c>
      <c r="B1661" s="2005">
        <f>IFERROR(__xludf.DUMMYFUNCTION("""COMPUTED_VALUE"""),2403005.0)</f>
        <v>2403005</v>
      </c>
      <c r="C1661" s="2005" t="str">
        <f>IFERROR(__xludf.DUMMYFUNCTION("""COMPUTED_VALUE"""),"Pack")</f>
        <v>Pack</v>
      </c>
      <c r="D1661" s="2005" t="str">
        <f>IFERROR(__xludf.DUMMYFUNCTION("""COMPUTED_VALUE"""),"Ecotank Bouteille Serie 102 - 4 Couleurs")</f>
        <v>Ecotank Bouteille Serie 102 - 4 Couleurs</v>
      </c>
      <c r="E1661" s="2005" t="str">
        <f>IFERROR(__xludf.DUMMYFUNCTION("""COMPUTED_VALUE"""),"EPSON")</f>
        <v>EPSON</v>
      </c>
      <c r="F1661" s="2005" t="str">
        <f>IFERROR(__xludf.DUMMYFUNCTION("""COMPUTED_VALUE"""),"A")</f>
        <v>A</v>
      </c>
      <c r="G1661" s="2005" t="str">
        <f>IFERROR(__xludf.DUMMYFUNCTION("""COMPUTED_VALUE"""),"AC")</f>
        <v>AC</v>
      </c>
      <c r="H1661">
        <f>IFERROR(__xludf.DUMMYFUNCTION("""COMPUTED_VALUE"""),45.98)</f>
        <v>45.98</v>
      </c>
      <c r="I1661">
        <f>IFERROR(__xludf.DUMMYFUNCTION("""COMPUTED_VALUE"""),45.98)</f>
        <v>45.98</v>
      </c>
      <c r="BD1661" s="2006"/>
      <c r="LL1661" s="2008"/>
      <c r="LM1661" s="2007"/>
      <c r="MX1661" s="2007"/>
      <c r="ND1661" s="2007"/>
    </row>
    <row r="1662">
      <c r="A1662" s="2005">
        <f>IFERROR(__xludf.DUMMYFUNCTION("""COMPUTED_VALUE"""),1144516.0)</f>
        <v>1144516</v>
      </c>
      <c r="B1662" s="2005">
        <f>IFERROR(__xludf.DUMMYFUNCTION("""COMPUTED_VALUE"""),2403005.0)</f>
        <v>2403005</v>
      </c>
      <c r="C1662" s="2005" t="str">
        <f>IFERROR(__xludf.DUMMYFUNCTION("""COMPUTED_VALUE"""),"Pack")</f>
        <v>Pack</v>
      </c>
      <c r="D1662" s="2005" t="str">
        <f>IFERROR(__xludf.DUMMYFUNCTION("""COMPUTED_VALUE"""),"Ecotank Bouteille Serie 104 - 4 Couleurs")</f>
        <v>Ecotank Bouteille Serie 104 - 4 Couleurs</v>
      </c>
      <c r="E1662" s="2005" t="str">
        <f>IFERROR(__xludf.DUMMYFUNCTION("""COMPUTED_VALUE"""),"EPSON")</f>
        <v>EPSON</v>
      </c>
      <c r="F1662" s="2005" t="str">
        <f>IFERROR(__xludf.DUMMYFUNCTION("""COMPUTED_VALUE"""),"A")</f>
        <v>A</v>
      </c>
      <c r="G1662" s="2005" t="str">
        <f>IFERROR(__xludf.DUMMYFUNCTION("""COMPUTED_VALUE"""),"AC")</f>
        <v>AC</v>
      </c>
      <c r="H1662" s="2005">
        <f>IFERROR(__xludf.DUMMYFUNCTION("""COMPUTED_VALUE"""),39.99)</f>
        <v>39.99</v>
      </c>
      <c r="I1662" s="2005">
        <f>IFERROR(__xludf.DUMMYFUNCTION("""COMPUTED_VALUE"""),39.99)</f>
        <v>39.99</v>
      </c>
      <c r="BD1662" s="2006"/>
      <c r="LL1662" s="2007"/>
      <c r="LM1662" s="2007"/>
      <c r="MX1662" s="2007"/>
      <c r="ND1662" s="2007"/>
    </row>
    <row r="1663">
      <c r="A1663" s="2005">
        <f>IFERROR(__xludf.DUMMYFUNCTION("""COMPUTED_VALUE"""),1144576.0)</f>
        <v>1144576</v>
      </c>
      <c r="B1663" s="2005">
        <f>IFERROR(__xludf.DUMMYFUNCTION("""COMPUTED_VALUE"""),2202005.0)</f>
        <v>2202005</v>
      </c>
      <c r="C1663" s="2005" t="str">
        <f>IFERROR(__xludf.DUMMYFUNCTION("""COMPUTED_VALUE"""),"Multi Jet d'enc")</f>
        <v>Multi Jet d'enc</v>
      </c>
      <c r="D1663" s="2005" t="str">
        <f>IFERROR(__xludf.DUMMYFUNCTION("""COMPUTED_VALUE"""),"XP 5105")</f>
        <v>XP 5105</v>
      </c>
      <c r="E1663" s="2005" t="str">
        <f>IFERROR(__xludf.DUMMYFUNCTION("""COMPUTED_VALUE"""),"EPSON")</f>
        <v>EPSON</v>
      </c>
      <c r="F1663" s="2005" t="str">
        <f>IFERROR(__xludf.DUMMYFUNCTION("""COMPUTED_VALUE"""),"C")</f>
        <v>C</v>
      </c>
      <c r="G1663" s="2005" t="str">
        <f>IFERROR(__xludf.DUMMYFUNCTION("""COMPUTED_VALUE"""),"NN")</f>
        <v>NN</v>
      </c>
      <c r="H1663">
        <f>IFERROR(__xludf.DUMMYFUNCTION("""COMPUTED_VALUE"""),71.99)</f>
        <v>71.99</v>
      </c>
      <c r="I1663">
        <f>IFERROR(__xludf.DUMMYFUNCTION("""COMPUTED_VALUE"""),71.99)</f>
        <v>71.99</v>
      </c>
      <c r="BD1663" s="2006"/>
      <c r="LL1663" s="2008"/>
      <c r="LM1663" s="2007"/>
      <c r="MX1663" s="2008"/>
      <c r="ND1663" s="2007"/>
    </row>
    <row r="1664">
      <c r="A1664" s="2005">
        <f>IFERROR(__xludf.DUMMYFUNCTION("""COMPUTED_VALUE"""),1144577.0)</f>
        <v>1144577</v>
      </c>
      <c r="B1664" s="2005">
        <f>IFERROR(__xludf.DUMMYFUNCTION("""COMPUTED_VALUE"""),2209805.0)</f>
        <v>2209805</v>
      </c>
      <c r="C1664" s="2005" t="str">
        <f>IFERROR(__xludf.DUMMYFUNCTION("""COMPUTED_VALUE"""),"Lot")</f>
        <v>Lot</v>
      </c>
      <c r="D1664" s="2005" t="str">
        <f>IFERROR(__xludf.DUMMYFUNCTION("""COMPUTED_VALUE"""),"XP 5105 + cartouche 502 Noire")</f>
        <v>XP 5105 + cartouche 502 Noire</v>
      </c>
      <c r="E1664" s="2005" t="str">
        <f>IFERROR(__xludf.DUMMYFUNCTION("""COMPUTED_VALUE"""),"EPSON")</f>
        <v>EPSON</v>
      </c>
      <c r="F1664" s="2005" t="str">
        <f>IFERROR(__xludf.DUMMYFUNCTION("""COMPUTED_VALUE"""),"H")</f>
        <v>H</v>
      </c>
      <c r="G1664" s="2005" t="str">
        <f>IFERROR(__xludf.DUMMYFUNCTION("""COMPUTED_VALUE"""),"NN")</f>
        <v>NN</v>
      </c>
      <c r="H1664" s="2005">
        <f>IFERROR(__xludf.DUMMYFUNCTION("""COMPUTED_VALUE"""),90.28)</f>
        <v>90.28</v>
      </c>
      <c r="I1664" s="2005">
        <f>IFERROR(__xludf.DUMMYFUNCTION("""COMPUTED_VALUE"""),90.28)</f>
        <v>90.28</v>
      </c>
      <c r="BD1664" s="2006"/>
      <c r="LL1664" s="2008"/>
      <c r="LM1664" s="2007"/>
      <c r="MX1664" s="2007"/>
      <c r="ND1664" s="2007"/>
    </row>
    <row r="1665">
      <c r="A1665" s="2005">
        <f>IFERROR(__xludf.DUMMYFUNCTION("""COMPUTED_VALUE"""),1144886.0)</f>
        <v>1144886</v>
      </c>
      <c r="B1665" s="2005">
        <f>IFERROR(__xludf.DUMMYFUNCTION("""COMPUTED_VALUE"""),2502040.0)</f>
        <v>2502040</v>
      </c>
      <c r="C1665" s="2005" t="str">
        <f>IFERROR(__xludf.DUMMYFUNCTION("""COMPUTED_VALUE"""),"Clavier")</f>
        <v>Clavier</v>
      </c>
      <c r="D1665" s="2005" t="str">
        <f>IFERROR(__xludf.DUMMYFUNCTION("""COMPUTED_VALUE"""),"DEMO Type Cover Signature Rouge")</f>
        <v>DEMO Type Cover Signature Rouge</v>
      </c>
      <c r="E1665" s="2005" t="str">
        <f>IFERROR(__xludf.DUMMYFUNCTION("""COMPUTED_VALUE"""),"MICROSOFT")</f>
        <v>MICROSOFT</v>
      </c>
      <c r="F1665" s="2005" t="str">
        <f>IFERROR(__xludf.DUMMYFUNCTION("""COMPUTED_VALUE"""),"H")</f>
        <v>H</v>
      </c>
      <c r="G1665" s="2005" t="str">
        <f>IFERROR(__xludf.DUMMYFUNCTION("""COMPUTED_VALUE"""),"NN")</f>
        <v>NN</v>
      </c>
      <c r="H1665">
        <f>IFERROR(__xludf.DUMMYFUNCTION("""COMPUTED_VALUE"""),42.99)</f>
        <v>42.99</v>
      </c>
      <c r="I1665">
        <f>IFERROR(__xludf.DUMMYFUNCTION("""COMPUTED_VALUE"""),42.99)</f>
        <v>42.99</v>
      </c>
      <c r="BD1665" s="2006"/>
      <c r="LL1665" s="2007"/>
      <c r="LM1665" s="2007"/>
      <c r="MX1665" s="2007"/>
      <c r="ND1665" s="2007"/>
    </row>
    <row r="1666">
      <c r="A1666" s="2005">
        <f>IFERROR(__xludf.DUMMYFUNCTION("""COMPUTED_VALUE"""),1144890.0)</f>
        <v>1144890</v>
      </c>
      <c r="B1666" s="2005">
        <f>IFERROR(__xludf.DUMMYFUNCTION("""COMPUTED_VALUE"""),2502020.0)</f>
        <v>2502020</v>
      </c>
      <c r="C1666" s="2005" t="str">
        <f>IFERROR(__xludf.DUMMYFUNCTION("""COMPUTED_VALUE"""),"Webcam")</f>
        <v>Webcam</v>
      </c>
      <c r="D1666" s="2005" t="str">
        <f>IFERROR(__xludf.DUMMYFUNCTION("""COMPUTED_VALUE"""),"LIfeCam Studio for Business  5WH-00002")</f>
        <v>LIfeCam Studio for Business  5WH-00002</v>
      </c>
      <c r="E1666" s="2005" t="str">
        <f>IFERROR(__xludf.DUMMYFUNCTION("""COMPUTED_VALUE"""),"MICROSOFT")</f>
        <v>MICROSOFT</v>
      </c>
      <c r="F1666" s="2005" t="str">
        <f>IFERROR(__xludf.DUMMYFUNCTION("""COMPUTED_VALUE"""),"W")</f>
        <v>W</v>
      </c>
      <c r="G1666" s="2005" t="str">
        <f>IFERROR(__xludf.DUMMYFUNCTION("""COMPUTED_VALUE"""),"NN")</f>
        <v>NN</v>
      </c>
      <c r="H1666">
        <f>IFERROR(__xludf.DUMMYFUNCTION("""COMPUTED_VALUE"""),62.99)</f>
        <v>62.99</v>
      </c>
      <c r="I1666">
        <f>IFERROR(__xludf.DUMMYFUNCTION("""COMPUTED_VALUE"""),62.99)</f>
        <v>62.99</v>
      </c>
      <c r="BD1666" s="2006"/>
      <c r="LL1666" s="2007"/>
      <c r="LM1666" s="2007"/>
      <c r="MX1666" s="2007"/>
      <c r="ND1666" s="2007"/>
    </row>
    <row r="1667">
      <c r="A1667" s="2005">
        <f>IFERROR(__xludf.DUMMYFUNCTION("""COMPUTED_VALUE"""),1144894.0)</f>
        <v>1144894</v>
      </c>
      <c r="B1667" s="2005">
        <f>IFERROR(__xludf.DUMMYFUNCTION("""COMPUTED_VALUE"""),2502040.0)</f>
        <v>2502040</v>
      </c>
      <c r="C1667" s="2005" t="str">
        <f>IFERROR(__xludf.DUMMYFUNCTION("""COMPUTED_VALUE"""),"Clavier")</f>
        <v>Clavier</v>
      </c>
      <c r="D1667" s="2005" t="str">
        <f>IFERROR(__xludf.DUMMYFUNCTION("""COMPUTED_VALUE"""),"Type Cover Surface Go Noir")</f>
        <v>Type Cover Surface Go Noir</v>
      </c>
      <c r="E1667" s="2005" t="str">
        <f>IFERROR(__xludf.DUMMYFUNCTION("""COMPUTED_VALUE"""),"MICROSOFT")</f>
        <v>MICROSOFT</v>
      </c>
      <c r="F1667" s="2005" t="str">
        <f>IFERROR(__xludf.DUMMYFUNCTION("""COMPUTED_VALUE"""),"A")</f>
        <v>A</v>
      </c>
      <c r="G1667" s="2005" t="str">
        <f>IFERROR(__xludf.DUMMYFUNCTION("""COMPUTED_VALUE"""),"AC")</f>
        <v>AC</v>
      </c>
      <c r="H1667">
        <f>IFERROR(__xludf.DUMMYFUNCTION("""COMPUTED_VALUE"""),99.99)</f>
        <v>99.99</v>
      </c>
      <c r="I1667">
        <f>IFERROR(__xludf.DUMMYFUNCTION("""COMPUTED_VALUE"""),99.99)</f>
        <v>99.99</v>
      </c>
      <c r="BD1667" s="2006"/>
      <c r="LL1667" s="2008"/>
      <c r="LM1667" s="2007"/>
      <c r="MX1667" s="2007"/>
      <c r="ND1667" s="2008"/>
    </row>
    <row r="1668">
      <c r="A1668" s="2005">
        <f>IFERROR(__xludf.DUMMYFUNCTION("""COMPUTED_VALUE"""),1144895.0)</f>
        <v>1144895</v>
      </c>
      <c r="B1668" s="2005">
        <f>IFERROR(__xludf.DUMMYFUNCTION("""COMPUTED_VALUE"""),2502040.0)</f>
        <v>2502040</v>
      </c>
      <c r="C1668" s="2005" t="str">
        <f>IFERROR(__xludf.DUMMYFUNCTION("""COMPUTED_VALUE"""),"Clavier")</f>
        <v>Clavier</v>
      </c>
      <c r="D1668" s="2005" t="str">
        <f>IFERROR(__xludf.DUMMYFUNCTION("""COMPUTED_VALUE"""),"Type Cover Surface Go Rouge Coquelic")</f>
        <v>Type Cover Surface Go Rouge Coquelic</v>
      </c>
      <c r="E1668" s="2005" t="str">
        <f>IFERROR(__xludf.DUMMYFUNCTION("""COMPUTED_VALUE"""),"MICROSOFT")</f>
        <v>MICROSOFT</v>
      </c>
      <c r="F1668" s="2005" t="str">
        <f>IFERROR(__xludf.DUMMYFUNCTION("""COMPUTED_VALUE"""),"H")</f>
        <v>H</v>
      </c>
      <c r="G1668" s="2005" t="str">
        <f>IFERROR(__xludf.DUMMYFUNCTION("""COMPUTED_VALUE"""),"NN")</f>
        <v>NN</v>
      </c>
      <c r="H1668" s="2005">
        <f>IFERROR(__xludf.DUMMYFUNCTION("""COMPUTED_VALUE"""),85.95)</f>
        <v>85.95</v>
      </c>
      <c r="I1668" s="2005">
        <f>IFERROR(__xludf.DUMMYFUNCTION("""COMPUTED_VALUE"""),85.95)</f>
        <v>85.95</v>
      </c>
      <c r="BD1668" s="2006"/>
      <c r="LL1668" s="2008"/>
      <c r="LM1668" s="2007"/>
      <c r="MX1668" s="2007"/>
      <c r="ND1668" s="2007"/>
    </row>
    <row r="1669">
      <c r="A1669" s="2005">
        <f>IFERROR(__xludf.DUMMYFUNCTION("""COMPUTED_VALUE"""),1144896.0)</f>
        <v>1144896</v>
      </c>
      <c r="B1669" s="2005">
        <f>IFERROR(__xludf.DUMMYFUNCTION("""COMPUTED_VALUE"""),2502040.0)</f>
        <v>2502040</v>
      </c>
      <c r="C1669" s="2005" t="str">
        <f>IFERROR(__xludf.DUMMYFUNCTION("""COMPUTED_VALUE"""),"Clavier")</f>
        <v>Clavier</v>
      </c>
      <c r="D1669" s="2005" t="str">
        <f>IFERROR(__xludf.DUMMYFUNCTION("""COMPUTED_VALUE"""),"Type Cover Surface Go Bleu Glacier")</f>
        <v>Type Cover Surface Go Bleu Glacier</v>
      </c>
      <c r="E1669" s="2005" t="str">
        <f>IFERROR(__xludf.DUMMYFUNCTION("""COMPUTED_VALUE"""),"MICROSOFT")</f>
        <v>MICROSOFT</v>
      </c>
      <c r="F1669" s="2005" t="str">
        <f>IFERROR(__xludf.DUMMYFUNCTION("""COMPUTED_VALUE"""),"H")</f>
        <v>H</v>
      </c>
      <c r="G1669" s="2005" t="str">
        <f>IFERROR(__xludf.DUMMYFUNCTION("""COMPUTED_VALUE"""),"NN")</f>
        <v>NN</v>
      </c>
      <c r="H1669" s="2005">
        <f>IFERROR(__xludf.DUMMYFUNCTION("""COMPUTED_VALUE"""),85.95)</f>
        <v>85.95</v>
      </c>
      <c r="I1669" s="2005">
        <f>IFERROR(__xludf.DUMMYFUNCTION("""COMPUTED_VALUE"""),85.95)</f>
        <v>85.95</v>
      </c>
      <c r="BD1669" s="2006"/>
      <c r="LL1669" s="2007"/>
      <c r="LM1669" s="2007"/>
      <c r="MX1669" s="2007"/>
      <c r="ND1669" s="2008"/>
    </row>
    <row r="1670">
      <c r="A1670" s="2005">
        <f>IFERROR(__xludf.DUMMYFUNCTION("""COMPUTED_VALUE"""),1144897.0)</f>
        <v>1144897</v>
      </c>
      <c r="B1670" s="2005">
        <f>IFERROR(__xludf.DUMMYFUNCTION("""COMPUTED_VALUE"""),2502040.0)</f>
        <v>2502040</v>
      </c>
      <c r="C1670" s="2005" t="str">
        <f>IFERROR(__xludf.DUMMYFUNCTION("""COMPUTED_VALUE"""),"Clavier")</f>
        <v>Clavier</v>
      </c>
      <c r="D1670" s="2005" t="str">
        <f>IFERROR(__xludf.DUMMYFUNCTION("""COMPUTED_VALUE"""),"Type Cover Surface Go Anthracite")</f>
        <v>Type Cover Surface Go Anthracite</v>
      </c>
      <c r="E1670" s="2005" t="str">
        <f>IFERROR(__xludf.DUMMYFUNCTION("""COMPUTED_VALUE"""),"MICROSOFT")</f>
        <v>MICROSOFT</v>
      </c>
      <c r="F1670" s="2005" t="str">
        <f>IFERROR(__xludf.DUMMYFUNCTION("""COMPUTED_VALUE"""),"H")</f>
        <v>H</v>
      </c>
      <c r="G1670" s="2005" t="str">
        <f>IFERROR(__xludf.DUMMYFUNCTION("""COMPUTED_VALUE"""),"NN")</f>
        <v>NN</v>
      </c>
      <c r="H1670" s="2005">
        <f>IFERROR(__xludf.DUMMYFUNCTION("""COMPUTED_VALUE"""),85.95)</f>
        <v>85.95</v>
      </c>
      <c r="I1670" s="2005">
        <f>IFERROR(__xludf.DUMMYFUNCTION("""COMPUTED_VALUE"""),85.95)</f>
        <v>85.95</v>
      </c>
      <c r="BD1670" s="2006"/>
      <c r="LL1670" s="2007"/>
      <c r="LM1670" s="2007"/>
      <c r="MX1670" s="2007"/>
      <c r="ND1670" s="2008"/>
    </row>
    <row r="1671">
      <c r="A1671" s="2005">
        <f>IFERROR(__xludf.DUMMYFUNCTION("""COMPUTED_VALUE"""),1145071.0)</f>
        <v>1145071</v>
      </c>
      <c r="B1671" s="2005">
        <f>IFERROR(__xludf.DUMMYFUNCTION("""COMPUTED_VALUE"""),2202005.0)</f>
        <v>2202005</v>
      </c>
      <c r="C1671" s="2005" t="str">
        <f>IFERROR(__xludf.DUMMYFUNCTION("""COMPUTED_VALUE"""),"Multi Jet d'enc")</f>
        <v>Multi Jet d'enc</v>
      </c>
      <c r="D1671" s="2005" t="str">
        <f>IFERROR(__xludf.DUMMYFUNCTION("""COMPUTED_VALUE"""),"Envy 6030 éligible Instant Ink")</f>
        <v>Envy 6030 éligible Instant Ink</v>
      </c>
      <c r="E1671" s="2005" t="str">
        <f>IFERROR(__xludf.DUMMYFUNCTION("""COMPUTED_VALUE"""),"HP")</f>
        <v>HP</v>
      </c>
      <c r="F1671" s="2005" t="str">
        <f>IFERROR(__xludf.DUMMYFUNCTION("""COMPUTED_VALUE"""),"B")</f>
        <v>B</v>
      </c>
      <c r="G1671" s="2005" t="str">
        <f>IFERROR(__xludf.DUMMYFUNCTION("""COMPUTED_VALUE"""),"NN")</f>
        <v>NN</v>
      </c>
      <c r="H1671" s="2005">
        <f>IFERROR(__xludf.DUMMYFUNCTION("""COMPUTED_VALUE"""),58.99)</f>
        <v>58.99</v>
      </c>
      <c r="I1671" s="2005">
        <f>IFERROR(__xludf.DUMMYFUNCTION("""COMPUTED_VALUE"""),58.99)</f>
        <v>58.99</v>
      </c>
      <c r="BD1671" s="2006"/>
      <c r="LL1671" s="2007"/>
      <c r="LM1671" s="2007"/>
      <c r="MX1671" s="2007"/>
      <c r="ND1671" s="2008"/>
    </row>
    <row r="1672">
      <c r="A1672" s="2005">
        <f>IFERROR(__xludf.DUMMYFUNCTION("""COMPUTED_VALUE"""),1145112.0)</f>
        <v>1145112</v>
      </c>
      <c r="B1672" s="2005">
        <f>IFERROR(__xludf.DUMMYFUNCTION("""COMPUTED_VALUE"""),2502015.0)</f>
        <v>2502015</v>
      </c>
      <c r="C1672" s="2005" t="str">
        <f>IFERROR(__xludf.DUMMYFUNCTION("""COMPUTED_VALUE"""),"Clavier+Souris")</f>
        <v>Clavier+Souris</v>
      </c>
      <c r="D1672" s="2005" t="str">
        <f>IFERROR(__xludf.DUMMYFUNCTION("""COMPUTED_VALUE"""),"bluetooth Desktop Noir")</f>
        <v>bluetooth Desktop Noir</v>
      </c>
      <c r="E1672" s="2005" t="str">
        <f>IFERROR(__xludf.DUMMYFUNCTION("""COMPUTED_VALUE"""),"MICROSOFT")</f>
        <v>MICROSOFT</v>
      </c>
      <c r="F1672" s="2005" t="str">
        <f>IFERROR(__xludf.DUMMYFUNCTION("""COMPUTED_VALUE"""),"W")</f>
        <v>W</v>
      </c>
      <c r="G1672" s="2005" t="str">
        <f>IFERROR(__xludf.DUMMYFUNCTION("""COMPUTED_VALUE"""),"NN")</f>
        <v>NN</v>
      </c>
      <c r="H1672">
        <f>IFERROR(__xludf.DUMMYFUNCTION("""COMPUTED_VALUE"""),69.9)</f>
        <v>69.9</v>
      </c>
      <c r="I1672">
        <f>IFERROR(__xludf.DUMMYFUNCTION("""COMPUTED_VALUE"""),69.9)</f>
        <v>69.9</v>
      </c>
      <c r="BD1672" s="2006"/>
      <c r="LL1672" s="2007"/>
      <c r="LM1672" s="2007"/>
      <c r="MX1672" s="2007"/>
      <c r="ND1672" s="2008"/>
    </row>
    <row r="1673">
      <c r="A1673" s="2005">
        <f>IFERROR(__xludf.DUMMYFUNCTION("""COMPUTED_VALUE"""),1145362.0)</f>
        <v>1145362</v>
      </c>
      <c r="B1673" s="2005">
        <f>IFERROR(__xludf.DUMMYFUNCTION("""COMPUTED_VALUE"""),2703025.0)</f>
        <v>2703025</v>
      </c>
      <c r="C1673" s="2005" t="str">
        <f>IFERROR(__xludf.DUMMYFUNCTION("""COMPUTED_VALUE"""),"DESTRUCTEUR")</f>
        <v>DESTRUCTEUR</v>
      </c>
      <c r="D1673" s="2005" t="str">
        <f>IFERROR(__xludf.DUMMYFUNCTION("""COMPUTED_VALUE"""),"MICROSHRED LX201 NOIR")</f>
        <v>MICROSHRED LX201 NOIR</v>
      </c>
      <c r="E1673" s="2005" t="str">
        <f>IFERROR(__xludf.DUMMYFUNCTION("""COMPUTED_VALUE"""),"FELLOWES")</f>
        <v>FELLOWES</v>
      </c>
      <c r="F1673" s="2005" t="str">
        <f>IFERROR(__xludf.DUMMYFUNCTION("""COMPUTED_VALUE"""),"H")</f>
        <v>H</v>
      </c>
      <c r="G1673" s="2005" t="str">
        <f>IFERROR(__xludf.DUMMYFUNCTION("""COMPUTED_VALUE"""),"AC")</f>
        <v>AC</v>
      </c>
      <c r="H1673">
        <f>IFERROR(__xludf.DUMMYFUNCTION("""COMPUTED_VALUE"""),376.99)</f>
        <v>376.99</v>
      </c>
      <c r="I1673">
        <f>IFERROR(__xludf.DUMMYFUNCTION("""COMPUTED_VALUE"""),320.99)</f>
        <v>320.99</v>
      </c>
      <c r="BD1673" s="2006"/>
      <c r="LL1673" s="2007"/>
      <c r="LM1673" s="2007"/>
      <c r="MX1673" s="2008"/>
      <c r="ND1673" s="2007"/>
    </row>
    <row r="1674">
      <c r="A1674" s="2005">
        <f>IFERROR(__xludf.DUMMYFUNCTION("""COMPUTED_VALUE"""),1145363.0)</f>
        <v>1145363</v>
      </c>
      <c r="B1674" s="2005">
        <f>IFERROR(__xludf.DUMMYFUNCTION("""COMPUTED_VALUE"""),2703025.0)</f>
        <v>2703025</v>
      </c>
      <c r="C1674" s="2005" t="str">
        <f>IFERROR(__xludf.DUMMYFUNCTION("""COMPUTED_VALUE"""),"DESTRUCTEUR")</f>
        <v>DESTRUCTEUR</v>
      </c>
      <c r="D1674" s="2005" t="str">
        <f>IFERROR(__xludf.DUMMYFUNCTION("""COMPUTED_VALUE"""),"MICROSHRED LX201 BLANC")</f>
        <v>MICROSHRED LX201 BLANC</v>
      </c>
      <c r="E1674" s="2005" t="str">
        <f>IFERROR(__xludf.DUMMYFUNCTION("""COMPUTED_VALUE"""),"FELLOWES")</f>
        <v>FELLOWES</v>
      </c>
      <c r="F1674" s="2005" t="str">
        <f>IFERROR(__xludf.DUMMYFUNCTION("""COMPUTED_VALUE"""),"H")</f>
        <v>H</v>
      </c>
      <c r="G1674" s="2005" t="str">
        <f>IFERROR(__xludf.DUMMYFUNCTION("""COMPUTED_VALUE"""),"AC")</f>
        <v>AC</v>
      </c>
      <c r="H1674">
        <f>IFERROR(__xludf.DUMMYFUNCTION("""COMPUTED_VALUE"""),376.99)</f>
        <v>376.99</v>
      </c>
      <c r="I1674">
        <f>IFERROR(__xludf.DUMMYFUNCTION("""COMPUTED_VALUE"""),315.39)</f>
        <v>315.39</v>
      </c>
      <c r="BD1674" s="2006"/>
      <c r="LL1674" s="2007"/>
      <c r="LM1674" s="2007"/>
      <c r="MX1674" s="2007"/>
      <c r="ND1674" s="2007"/>
    </row>
    <row r="1675">
      <c r="A1675" s="2005">
        <f>IFERROR(__xludf.DUMMYFUNCTION("""COMPUTED_VALUE"""),1145364.0)</f>
        <v>1145364</v>
      </c>
      <c r="B1675" s="2005">
        <f>IFERROR(__xludf.DUMMYFUNCTION("""COMPUTED_VALUE"""),2703025.0)</f>
        <v>2703025</v>
      </c>
      <c r="C1675" s="2005" t="str">
        <f>IFERROR(__xludf.DUMMYFUNCTION("""COMPUTED_VALUE"""),"DESTRUCTEUR")</f>
        <v>DESTRUCTEUR</v>
      </c>
      <c r="D1675" s="2005" t="str">
        <f>IFERROR(__xludf.DUMMYFUNCTION("""COMPUTED_VALUE"""),"MICROSHRED LX211 NOIR")</f>
        <v>MICROSHRED LX211 NOIR</v>
      </c>
      <c r="E1675" s="2005" t="str">
        <f>IFERROR(__xludf.DUMMYFUNCTION("""COMPUTED_VALUE"""),"FELLOWES")</f>
        <v>FELLOWES</v>
      </c>
      <c r="F1675" s="2005" t="str">
        <f>IFERROR(__xludf.DUMMYFUNCTION("""COMPUTED_VALUE"""),"W")</f>
        <v>W</v>
      </c>
      <c r="G1675" s="2005" t="str">
        <f>IFERROR(__xludf.DUMMYFUNCTION("""COMPUTED_VALUE"""),"AC")</f>
        <v>AC</v>
      </c>
      <c r="H1675">
        <f>IFERROR(__xludf.DUMMYFUNCTION("""COMPUTED_VALUE"""),487.99)</f>
        <v>487.99</v>
      </c>
      <c r="I1675">
        <f>IFERROR(__xludf.DUMMYFUNCTION("""COMPUTED_VALUE"""),487.99)</f>
        <v>487.99</v>
      </c>
      <c r="BD1675" s="2006"/>
      <c r="LL1675" s="2007"/>
      <c r="LM1675" s="2007"/>
      <c r="MX1675" s="2007"/>
      <c r="ND1675" s="2007"/>
    </row>
    <row r="1676">
      <c r="A1676" s="2005">
        <f>IFERROR(__xludf.DUMMYFUNCTION("""COMPUTED_VALUE"""),1145365.0)</f>
        <v>1145365</v>
      </c>
      <c r="B1676" s="2005">
        <f>IFERROR(__xludf.DUMMYFUNCTION("""COMPUTED_VALUE"""),2703025.0)</f>
        <v>2703025</v>
      </c>
      <c r="C1676" s="2005" t="str">
        <f>IFERROR(__xludf.DUMMYFUNCTION("""COMPUTED_VALUE"""),"DESTRUCTEUR")</f>
        <v>DESTRUCTEUR</v>
      </c>
      <c r="D1676" s="2005" t="str">
        <f>IFERROR(__xludf.DUMMYFUNCTION("""COMPUTED_VALUE"""),"MICROSHRED LX211 BLANC")</f>
        <v>MICROSHRED LX211 BLANC</v>
      </c>
      <c r="E1676" s="2005" t="str">
        <f>IFERROR(__xludf.DUMMYFUNCTION("""COMPUTED_VALUE"""),"FELLOWES")</f>
        <v>FELLOWES</v>
      </c>
      <c r="F1676" s="2005" t="str">
        <f>IFERROR(__xludf.DUMMYFUNCTION("""COMPUTED_VALUE"""),"W")</f>
        <v>W</v>
      </c>
      <c r="G1676" s="2005" t="str">
        <f>IFERROR(__xludf.DUMMYFUNCTION("""COMPUTED_VALUE"""),"NN")</f>
        <v>NN</v>
      </c>
      <c r="H1676" s="2005">
        <f>IFERROR(__xludf.DUMMYFUNCTION("""COMPUTED_VALUE"""),487.99)</f>
        <v>487.99</v>
      </c>
      <c r="I1676" s="2005">
        <f>IFERROR(__xludf.DUMMYFUNCTION("""COMPUTED_VALUE"""),487.99)</f>
        <v>487.99</v>
      </c>
      <c r="BD1676" s="2006"/>
      <c r="LL1676" s="2007"/>
      <c r="LM1676" s="2007"/>
      <c r="MX1676" s="2008"/>
      <c r="ND1676" s="2007"/>
    </row>
    <row r="1677">
      <c r="A1677" s="2005">
        <f>IFERROR(__xludf.DUMMYFUNCTION("""COMPUTED_VALUE"""),1145366.0)</f>
        <v>1145366</v>
      </c>
      <c r="B1677" s="2005">
        <f>IFERROR(__xludf.DUMMYFUNCTION("""COMPUTED_VALUE"""),2703025.0)</f>
        <v>2703025</v>
      </c>
      <c r="C1677" s="2005" t="str">
        <f>IFERROR(__xludf.DUMMYFUNCTION("""COMPUTED_VALUE"""),"DESTRUCTEUR")</f>
        <v>DESTRUCTEUR</v>
      </c>
      <c r="D1677" s="2005" t="str">
        <f>IFERROR(__xludf.DUMMYFUNCTION("""COMPUTED_VALUE"""),"MICROSHRED LX221 NOIR")</f>
        <v>MICROSHRED LX221 NOIR</v>
      </c>
      <c r="E1677" s="2005" t="str">
        <f>IFERROR(__xludf.DUMMYFUNCTION("""COMPUTED_VALUE"""),"FELLOWES")</f>
        <v>FELLOWES</v>
      </c>
      <c r="F1677" s="2005" t="str">
        <f>IFERROR(__xludf.DUMMYFUNCTION("""COMPUTED_VALUE"""),"H")</f>
        <v>H</v>
      </c>
      <c r="G1677" s="2005" t="str">
        <f>IFERROR(__xludf.DUMMYFUNCTION("""COMPUTED_VALUE"""),"NN")</f>
        <v>NN</v>
      </c>
      <c r="H1677">
        <f>IFERROR(__xludf.DUMMYFUNCTION("""COMPUTED_VALUE"""),604.99)</f>
        <v>604.99</v>
      </c>
      <c r="I1677">
        <f>IFERROR(__xludf.DUMMYFUNCTION("""COMPUTED_VALUE"""),604.99)</f>
        <v>604.99</v>
      </c>
      <c r="BD1677" s="2006"/>
      <c r="LL1677" s="2007"/>
      <c r="LM1677" s="2007"/>
      <c r="MX1677" s="2007"/>
      <c r="ND1677" s="2008"/>
    </row>
    <row r="1678">
      <c r="A1678" s="2005">
        <f>IFERROR(__xludf.DUMMYFUNCTION("""COMPUTED_VALUE"""),1145367.0)</f>
        <v>1145367</v>
      </c>
      <c r="B1678" s="2005">
        <f>IFERROR(__xludf.DUMMYFUNCTION("""COMPUTED_VALUE"""),2703025.0)</f>
        <v>2703025</v>
      </c>
      <c r="C1678" s="2005" t="str">
        <f>IFERROR(__xludf.DUMMYFUNCTION("""COMPUTED_VALUE"""),"DESTRUCTEUR")</f>
        <v>DESTRUCTEUR</v>
      </c>
      <c r="D1678" s="2005" t="str">
        <f>IFERROR(__xludf.DUMMYFUNCTION("""COMPUTED_VALUE"""),"MICROSHRED LX221 BLANC")</f>
        <v>MICROSHRED LX221 BLANC</v>
      </c>
      <c r="E1678" s="2005" t="str">
        <f>IFERROR(__xludf.DUMMYFUNCTION("""COMPUTED_VALUE"""),"FELLOWES")</f>
        <v>FELLOWES</v>
      </c>
      <c r="F1678" s="2005" t="str">
        <f>IFERROR(__xludf.DUMMYFUNCTION("""COMPUTED_VALUE"""),"H")</f>
        <v>H</v>
      </c>
      <c r="G1678" s="2005" t="str">
        <f>IFERROR(__xludf.DUMMYFUNCTION("""COMPUTED_VALUE"""),"NN")</f>
        <v>NN</v>
      </c>
      <c r="H1678" s="2005">
        <f>IFERROR(__xludf.DUMMYFUNCTION("""COMPUTED_VALUE"""),604.99)</f>
        <v>604.99</v>
      </c>
      <c r="I1678" s="2005">
        <f>IFERROR(__xludf.DUMMYFUNCTION("""COMPUTED_VALUE"""),604.99)</f>
        <v>604.99</v>
      </c>
      <c r="BD1678" s="2006"/>
      <c r="LL1678" s="2008"/>
      <c r="LM1678" s="2007"/>
      <c r="MX1678" s="2007"/>
      <c r="ND1678" s="2008"/>
    </row>
    <row r="1679">
      <c r="A1679" s="2005">
        <f>IFERROR(__xludf.DUMMYFUNCTION("""COMPUTED_VALUE"""),1145370.0)</f>
        <v>1145370</v>
      </c>
      <c r="B1679" s="2005">
        <f>IFERROR(__xludf.DUMMYFUNCTION("""COMPUTED_VALUE"""),2202005.0)</f>
        <v>2202005</v>
      </c>
      <c r="C1679" s="2005" t="str">
        <f>IFERROR(__xludf.DUMMYFUNCTION("""COMPUTED_VALUE"""),"Multi Jet d'enc")</f>
        <v>Multi Jet d'enc</v>
      </c>
      <c r="D1679" s="2005" t="str">
        <f>IFERROR(__xludf.DUMMYFUNCTION("""COMPUTED_VALUE"""),"TS 5352 rose")</f>
        <v>TS 5352 rose</v>
      </c>
      <c r="E1679" s="2005" t="str">
        <f>IFERROR(__xludf.DUMMYFUNCTION("""COMPUTED_VALUE"""),"CANON")</f>
        <v>CANON</v>
      </c>
      <c r="F1679" s="2005" t="str">
        <f>IFERROR(__xludf.DUMMYFUNCTION("""COMPUTED_VALUE"""),"H")</f>
        <v>H</v>
      </c>
      <c r="G1679" s="2005" t="str">
        <f>IFERROR(__xludf.DUMMYFUNCTION("""COMPUTED_VALUE"""),"NN")</f>
        <v>NN</v>
      </c>
      <c r="H1679" s="2005">
        <f>IFERROR(__xludf.DUMMYFUNCTION("""COMPUTED_VALUE"""),114.99)</f>
        <v>114.99</v>
      </c>
      <c r="I1679" s="2005">
        <f>IFERROR(__xludf.DUMMYFUNCTION("""COMPUTED_VALUE"""),114.99)</f>
        <v>114.99</v>
      </c>
      <c r="BD1679" s="2006"/>
      <c r="LL1679" s="2007"/>
      <c r="LM1679" s="2007"/>
      <c r="MX1679" s="2007"/>
      <c r="ND1679" s="2008"/>
    </row>
    <row r="1680">
      <c r="A1680" s="2005">
        <f>IFERROR(__xludf.DUMMYFUNCTION("""COMPUTED_VALUE"""),1145422.0)</f>
        <v>1145422</v>
      </c>
      <c r="B1680" s="2005">
        <f>IFERROR(__xludf.DUMMYFUNCTION("""COMPUTED_VALUE"""),2703025.0)</f>
        <v>2703025</v>
      </c>
      <c r="C1680" s="2005" t="str">
        <f>IFERROR(__xludf.DUMMYFUNCTION("""COMPUTED_VALUE"""),"DESTRUCTEUR")</f>
        <v>DESTRUCTEUR</v>
      </c>
      <c r="D1680" s="2005" t="str">
        <f>IFERROR(__xludf.DUMMYFUNCTION("""COMPUTED_VALUE"""),"Automax 600M")</f>
        <v>Automax 600M</v>
      </c>
      <c r="E1680" s="2005" t="str">
        <f>IFERROR(__xludf.DUMMYFUNCTION("""COMPUTED_VALUE"""),"FELLOWES")</f>
        <v>FELLOWES</v>
      </c>
      <c r="F1680" s="2005" t="str">
        <f>IFERROR(__xludf.DUMMYFUNCTION("""COMPUTED_VALUE"""),"H")</f>
        <v>H</v>
      </c>
      <c r="G1680" s="2005" t="str">
        <f>IFERROR(__xludf.DUMMYFUNCTION("""COMPUTED_VALUE"""),"AC")</f>
        <v>AC</v>
      </c>
      <c r="H1680" s="2005">
        <f>IFERROR(__xludf.DUMMYFUNCTION("""COMPUTED_VALUE"""),1599.99)</f>
        <v>1599.99</v>
      </c>
      <c r="I1680" s="2005">
        <f>IFERROR(__xludf.DUMMYFUNCTION("""COMPUTED_VALUE"""),1439.94)</f>
        <v>1439.94</v>
      </c>
      <c r="BD1680" s="2006"/>
      <c r="LL1680" s="2008"/>
      <c r="LM1680" s="2007"/>
      <c r="MX1680" s="2007"/>
      <c r="NB1680" s="2007"/>
      <c r="ND1680" s="2008"/>
    </row>
    <row r="1681">
      <c r="A1681" s="2005">
        <f>IFERROR(__xludf.DUMMYFUNCTION("""COMPUTED_VALUE"""),1145423.0)</f>
        <v>1145423</v>
      </c>
      <c r="B1681" s="2005">
        <f>IFERROR(__xludf.DUMMYFUNCTION("""COMPUTED_VALUE"""),2703025.0)</f>
        <v>2703025</v>
      </c>
      <c r="C1681" s="2005" t="str">
        <f>IFERROR(__xludf.DUMMYFUNCTION("""COMPUTED_VALUE"""),"DESTRUCTEUR")</f>
        <v>DESTRUCTEUR</v>
      </c>
      <c r="D1681" s="2005" t="str">
        <f>IFERROR(__xludf.DUMMYFUNCTION("""COMPUTED_VALUE"""),"Automax 550C")</f>
        <v>Automax 550C</v>
      </c>
      <c r="E1681" s="2005" t="str">
        <f>IFERROR(__xludf.DUMMYFUNCTION("""COMPUTED_VALUE"""),"FELLOWES")</f>
        <v>FELLOWES</v>
      </c>
      <c r="F1681" s="2005" t="str">
        <f>IFERROR(__xludf.DUMMYFUNCTION("""COMPUTED_VALUE"""),"H")</f>
        <v>H</v>
      </c>
      <c r="G1681" s="2005" t="str">
        <f>IFERROR(__xludf.DUMMYFUNCTION("""COMPUTED_VALUE"""),"AC")</f>
        <v>AC</v>
      </c>
      <c r="H1681" s="2005">
        <f>IFERROR(__xludf.DUMMYFUNCTION("""COMPUTED_VALUE"""),1379.99)</f>
        <v>1379.99</v>
      </c>
      <c r="I1681" s="2005">
        <f>IFERROR(__xludf.DUMMYFUNCTION("""COMPUTED_VALUE"""),1199.94)</f>
        <v>1199.94</v>
      </c>
      <c r="BD1681" s="2006"/>
      <c r="LL1681" s="2007"/>
      <c r="LM1681" s="2007"/>
      <c r="MX1681" s="2007"/>
      <c r="ND1681" s="2007"/>
    </row>
    <row r="1682">
      <c r="A1682" s="2005">
        <f>IFERROR(__xludf.DUMMYFUNCTION("""COMPUTED_VALUE"""),1145424.0)</f>
        <v>1145424</v>
      </c>
      <c r="B1682" s="2005">
        <f>IFERROR(__xludf.DUMMYFUNCTION("""COMPUTED_VALUE"""),2703025.0)</f>
        <v>2703025</v>
      </c>
      <c r="C1682" s="2005" t="str">
        <f>IFERROR(__xludf.DUMMYFUNCTION("""COMPUTED_VALUE"""),"DESTRUCTEUR")</f>
        <v>DESTRUCTEUR</v>
      </c>
      <c r="D1682" s="2005" t="str">
        <f>IFERROR(__xludf.DUMMYFUNCTION("""COMPUTED_VALUE"""),"6M")</f>
        <v>6M</v>
      </c>
      <c r="E1682" s="2005" t="str">
        <f>IFERROR(__xludf.DUMMYFUNCTION("""COMPUTED_VALUE"""),"FELLOWES")</f>
        <v>FELLOWES</v>
      </c>
      <c r="F1682" s="2005" t="str">
        <f>IFERROR(__xludf.DUMMYFUNCTION("""COMPUTED_VALUE"""),"H")</f>
        <v>H</v>
      </c>
      <c r="G1682" s="2005" t="str">
        <f>IFERROR(__xludf.DUMMYFUNCTION("""COMPUTED_VALUE"""),"AC")</f>
        <v>AC</v>
      </c>
      <c r="H1682" s="2005">
        <f>IFERROR(__xludf.DUMMYFUNCTION("""COMPUTED_VALUE"""),75.99)</f>
        <v>75.99</v>
      </c>
      <c r="I1682" s="2005">
        <f>IFERROR(__xludf.DUMMYFUNCTION("""COMPUTED_VALUE"""),75.99)</f>
        <v>75.99</v>
      </c>
      <c r="BD1682" s="2006"/>
      <c r="LL1682" s="2007"/>
      <c r="LM1682" s="2007"/>
      <c r="MX1682" s="2007"/>
      <c r="ND1682" s="2007"/>
    </row>
    <row r="1683">
      <c r="A1683" s="2005">
        <f>IFERROR(__xludf.DUMMYFUNCTION("""COMPUTED_VALUE"""),1145425.0)</f>
        <v>1145425</v>
      </c>
      <c r="B1683" s="2005">
        <f>IFERROR(__xludf.DUMMYFUNCTION("""COMPUTED_VALUE"""),2703025.0)</f>
        <v>2703025</v>
      </c>
      <c r="C1683" s="2005" t="str">
        <f>IFERROR(__xludf.DUMMYFUNCTION("""COMPUTED_VALUE"""),"DESTRUCTEUR")</f>
        <v>DESTRUCTEUR</v>
      </c>
      <c r="D1683" s="2005" t="str">
        <f>IFERROR(__xludf.DUMMYFUNCTION("""COMPUTED_VALUE"""),"79Ci")</f>
        <v>79Ci</v>
      </c>
      <c r="E1683" s="2005" t="str">
        <f>IFERROR(__xludf.DUMMYFUNCTION("""COMPUTED_VALUE"""),"FELLOWES")</f>
        <v>FELLOWES</v>
      </c>
      <c r="F1683" s="2005" t="str">
        <f>IFERROR(__xludf.DUMMYFUNCTION("""COMPUTED_VALUE"""),"H")</f>
        <v>H</v>
      </c>
      <c r="G1683" s="2005" t="str">
        <f>IFERROR(__xludf.DUMMYFUNCTION("""COMPUTED_VALUE"""),"NN")</f>
        <v>NN</v>
      </c>
      <c r="H1683" s="2005">
        <f>IFERROR(__xludf.DUMMYFUNCTION("""COMPUTED_VALUE"""),410.19)</f>
        <v>410.19</v>
      </c>
      <c r="I1683" s="2005">
        <f>IFERROR(__xludf.DUMMYFUNCTION("""COMPUTED_VALUE"""),410.19)</f>
        <v>410.19</v>
      </c>
      <c r="BD1683" s="2006"/>
      <c r="LL1683" s="2007"/>
      <c r="LM1683" s="2007"/>
      <c r="MX1683" s="2007"/>
      <c r="ND1683" s="2007"/>
    </row>
    <row r="1684">
      <c r="A1684" s="2005">
        <f>IFERROR(__xludf.DUMMYFUNCTION("""COMPUTED_VALUE"""),1145426.0)</f>
        <v>1145426</v>
      </c>
      <c r="B1684" s="2005">
        <f>IFERROR(__xludf.DUMMYFUNCTION("""COMPUTED_VALUE"""),2703025.0)</f>
        <v>2703025</v>
      </c>
      <c r="C1684" s="2005" t="str">
        <f>IFERROR(__xludf.DUMMYFUNCTION("""COMPUTED_VALUE"""),"DESTRUCTEUR")</f>
        <v>DESTRUCTEUR</v>
      </c>
      <c r="D1684" s="2005" t="str">
        <f>IFERROR(__xludf.DUMMYFUNCTION("""COMPUTED_VALUE"""),"10M")</f>
        <v>10M</v>
      </c>
      <c r="E1684" s="2005" t="str">
        <f>IFERROR(__xludf.DUMMYFUNCTION("""COMPUTED_VALUE"""),"FELLOWES")</f>
        <v>FELLOWES</v>
      </c>
      <c r="F1684" s="2005" t="str">
        <f>IFERROR(__xludf.DUMMYFUNCTION("""COMPUTED_VALUE"""),"H")</f>
        <v>H</v>
      </c>
      <c r="G1684" s="2005" t="str">
        <f>IFERROR(__xludf.DUMMYFUNCTION("""COMPUTED_VALUE"""),"AC")</f>
        <v>AC</v>
      </c>
      <c r="H1684" s="2005">
        <f>IFERROR(__xludf.DUMMYFUNCTION("""COMPUTED_VALUE"""),201.39)</f>
        <v>201.39</v>
      </c>
      <c r="I1684" s="2005">
        <f>IFERROR(__xludf.DUMMYFUNCTION("""COMPUTED_VALUE"""),184.99)</f>
        <v>184.99</v>
      </c>
      <c r="BD1684" s="2006"/>
      <c r="LL1684" s="2008"/>
      <c r="LM1684" s="2007"/>
      <c r="MX1684" s="2007"/>
      <c r="ND1684" s="2007"/>
    </row>
    <row r="1685">
      <c r="A1685" s="2005">
        <f>IFERROR(__xludf.DUMMYFUNCTION("""COMPUTED_VALUE"""),1145427.0)</f>
        <v>1145427</v>
      </c>
      <c r="B1685" s="2005">
        <f>IFERROR(__xludf.DUMMYFUNCTION("""COMPUTED_VALUE"""),2703025.0)</f>
        <v>2703025</v>
      </c>
      <c r="C1685" s="2005" t="str">
        <f>IFERROR(__xludf.DUMMYFUNCTION("""COMPUTED_VALUE"""),"DESTRUCTEUR")</f>
        <v>DESTRUCTEUR</v>
      </c>
      <c r="D1685" s="2005" t="str">
        <f>IFERROR(__xludf.DUMMYFUNCTION("""COMPUTED_VALUE"""),"8Mc")</f>
        <v>8Mc</v>
      </c>
      <c r="E1685" s="2005" t="str">
        <f>IFERROR(__xludf.DUMMYFUNCTION("""COMPUTED_VALUE"""),"FELLOWES")</f>
        <v>FELLOWES</v>
      </c>
      <c r="F1685" s="2005" t="str">
        <f>IFERROR(__xludf.DUMMYFUNCTION("""COMPUTED_VALUE"""),"H")</f>
        <v>H</v>
      </c>
      <c r="G1685" s="2005" t="str">
        <f>IFERROR(__xludf.DUMMYFUNCTION("""COMPUTED_VALUE"""),"NN")</f>
        <v>NN</v>
      </c>
      <c r="H1685" s="2005">
        <f>IFERROR(__xludf.DUMMYFUNCTION("""COMPUTED_VALUE"""),102.99)</f>
        <v>102.99</v>
      </c>
      <c r="I1685" s="2005">
        <f>IFERROR(__xludf.DUMMYFUNCTION("""COMPUTED_VALUE"""),102.99)</f>
        <v>102.99</v>
      </c>
      <c r="BD1685" s="2006"/>
      <c r="LL1685" s="2007"/>
      <c r="LM1685" s="2007"/>
      <c r="MX1685" s="2007"/>
      <c r="ND1685" s="2007"/>
    </row>
    <row r="1686">
      <c r="A1686" s="2005">
        <f>IFERROR(__xludf.DUMMYFUNCTION("""COMPUTED_VALUE"""),1145429.0)</f>
        <v>1145429</v>
      </c>
      <c r="B1686" s="2005">
        <f>IFERROR(__xludf.DUMMYFUNCTION("""COMPUTED_VALUE"""),2403515.0)</f>
        <v>2403515</v>
      </c>
      <c r="C1686" s="2005" t="str">
        <f>IFERROR(__xludf.DUMMYFUNCTION("""COMPUTED_VALUE"""),"Conso")</f>
        <v>Conso</v>
      </c>
      <c r="D1686" s="2005" t="str">
        <f>IFERROR(__xludf.DUMMYFUNCTION("""COMPUTED_VALUE"""),"Huile lubrifiante 355ml pour destructeur")</f>
        <v>Huile lubrifiante 355ml pour destructeur</v>
      </c>
      <c r="E1686" s="2005" t="str">
        <f>IFERROR(__xludf.DUMMYFUNCTION("""COMPUTED_VALUE"""),"FELLOWES")</f>
        <v>FELLOWES</v>
      </c>
      <c r="F1686" s="2005" t="str">
        <f>IFERROR(__xludf.DUMMYFUNCTION("""COMPUTED_VALUE"""),"H")</f>
        <v>H</v>
      </c>
      <c r="G1686" s="2005" t="str">
        <f>IFERROR(__xludf.DUMMYFUNCTION("""COMPUTED_VALUE"""),"AC")</f>
        <v>AC</v>
      </c>
      <c r="H1686">
        <f>IFERROR(__xludf.DUMMYFUNCTION("""COMPUTED_VALUE"""),13.9)</f>
        <v>13.9</v>
      </c>
      <c r="I1686">
        <f>IFERROR(__xludf.DUMMYFUNCTION("""COMPUTED_VALUE"""),13.9)</f>
        <v>13.9</v>
      </c>
      <c r="BD1686" s="2006"/>
      <c r="LL1686" s="2007"/>
      <c r="LM1686" s="2007"/>
      <c r="MX1686" s="2007"/>
      <c r="ND1686" s="2008"/>
    </row>
    <row r="1687">
      <c r="A1687" s="2005">
        <f>IFERROR(__xludf.DUMMYFUNCTION("""COMPUTED_VALUE"""),1145520.0)</f>
        <v>1145520</v>
      </c>
      <c r="B1687" s="2005">
        <f>IFERROR(__xludf.DUMMYFUNCTION("""COMPUTED_VALUE"""),2703015.0)</f>
        <v>2703015</v>
      </c>
      <c r="C1687" s="2005" t="str">
        <f>IFERROR(__xludf.DUMMYFUNCTION("""COMPUTED_VALUE"""),"Plastifieuse")</f>
        <v>Plastifieuse</v>
      </c>
      <c r="D1687" s="2005" t="str">
        <f>IFERROR(__xludf.DUMMYFUNCTION("""COMPUTED_VALUE"""),"LUNAR A3 125 microns")</f>
        <v>LUNAR A3 125 microns</v>
      </c>
      <c r="E1687" s="2005" t="str">
        <f>IFERROR(__xludf.DUMMYFUNCTION("""COMPUTED_VALUE"""),"FELLOWES")</f>
        <v>FELLOWES</v>
      </c>
      <c r="F1687" s="2005" t="str">
        <f>IFERROR(__xludf.DUMMYFUNCTION("""COMPUTED_VALUE"""),"H")</f>
        <v>H</v>
      </c>
      <c r="G1687" s="2005" t="str">
        <f>IFERROR(__xludf.DUMMYFUNCTION("""COMPUTED_VALUE"""),"AC")</f>
        <v>AC</v>
      </c>
      <c r="H1687">
        <f>IFERROR(__xludf.DUMMYFUNCTION("""COMPUTED_VALUE"""),62.98)</f>
        <v>62.98</v>
      </c>
      <c r="I1687" s="2005">
        <f>IFERROR(__xludf.DUMMYFUNCTION("""COMPUTED_VALUE"""),52.99)</f>
        <v>52.99</v>
      </c>
      <c r="BD1687" s="2006"/>
      <c r="LL1687" s="2008"/>
      <c r="LM1687" s="2007"/>
      <c r="MX1687" s="2007"/>
      <c r="ND1687" s="2007"/>
    </row>
    <row r="1688">
      <c r="A1688" s="2005">
        <f>IFERROR(__xludf.DUMMYFUNCTION("""COMPUTED_VALUE"""),1145524.0)</f>
        <v>1145524</v>
      </c>
      <c r="B1688" s="2005">
        <f>IFERROR(__xludf.DUMMYFUNCTION("""COMPUTED_VALUE"""),2703015.0)</f>
        <v>2703015</v>
      </c>
      <c r="C1688" s="2005" t="str">
        <f>IFERROR(__xludf.DUMMYFUNCTION("""COMPUTED_VALUE"""),"Plastifieuse")</f>
        <v>Plastifieuse</v>
      </c>
      <c r="D1688" s="2005" t="str">
        <f>IFERROR(__xludf.DUMMYFUNCTION("""COMPUTED_VALUE"""),"Venus 2 A3 PLASTIFIEUSE")</f>
        <v>Venus 2 A3 PLASTIFIEUSE</v>
      </c>
      <c r="E1688" s="2005" t="str">
        <f>IFERROR(__xludf.DUMMYFUNCTION("""COMPUTED_VALUE"""),"FELLOWES")</f>
        <v>FELLOWES</v>
      </c>
      <c r="F1688" s="2005" t="str">
        <f>IFERROR(__xludf.DUMMYFUNCTION("""COMPUTED_VALUE"""),"H")</f>
        <v>H</v>
      </c>
      <c r="G1688" s="2005" t="str">
        <f>IFERROR(__xludf.DUMMYFUNCTION("""COMPUTED_VALUE"""),"NN")</f>
        <v>NN</v>
      </c>
      <c r="H1688" s="2005">
        <f>IFERROR(__xludf.DUMMYFUNCTION("""COMPUTED_VALUE"""),379.98)</f>
        <v>379.98</v>
      </c>
      <c r="I1688" s="2005">
        <f>IFERROR(__xludf.DUMMYFUNCTION("""COMPUTED_VALUE"""),379.98)</f>
        <v>379.98</v>
      </c>
      <c r="BD1688" s="2006"/>
      <c r="LL1688" s="2007"/>
      <c r="LM1688" s="2007"/>
      <c r="MX1688" s="2007"/>
      <c r="ND1688" s="2007"/>
    </row>
    <row r="1689">
      <c r="A1689" s="2005">
        <f>IFERROR(__xludf.DUMMYFUNCTION("""COMPUTED_VALUE"""),1145526.0)</f>
        <v>1145526</v>
      </c>
      <c r="B1689" s="2005">
        <f>IFERROR(__xludf.DUMMYFUNCTION("""COMPUTED_VALUE"""),2703015.0)</f>
        <v>2703015</v>
      </c>
      <c r="C1689" s="2005" t="str">
        <f>IFERROR(__xludf.DUMMYFUNCTION("""COMPUTED_VALUE"""),"Plastifieuse")</f>
        <v>Plastifieuse</v>
      </c>
      <c r="D1689" s="2005" t="str">
        <f>IFERROR(__xludf.DUMMYFUNCTION("""COMPUTED_VALUE"""),"PIXEL A3")</f>
        <v>PIXEL A3</v>
      </c>
      <c r="E1689" s="2005" t="str">
        <f>IFERROR(__xludf.DUMMYFUNCTION("""COMPUTED_VALUE"""),"FELLOWES")</f>
        <v>FELLOWES</v>
      </c>
      <c r="F1689" s="2005" t="str">
        <f>IFERROR(__xludf.DUMMYFUNCTION("""COMPUTED_VALUE"""),"H")</f>
        <v>H</v>
      </c>
      <c r="G1689" s="2005" t="str">
        <f>IFERROR(__xludf.DUMMYFUNCTION("""COMPUTED_VALUE"""),"AC")</f>
        <v>AC</v>
      </c>
      <c r="H1689">
        <f>IFERROR(__xludf.DUMMYFUNCTION("""COMPUTED_VALUE"""),114.98)</f>
        <v>114.98</v>
      </c>
      <c r="I1689">
        <f>IFERROR(__xludf.DUMMYFUNCTION("""COMPUTED_VALUE"""),110.53)</f>
        <v>110.53</v>
      </c>
      <c r="BD1689" s="2006"/>
      <c r="LL1689" s="2008"/>
      <c r="LM1689" s="2007"/>
      <c r="MX1689" s="2007"/>
      <c r="ND1689" s="2008"/>
    </row>
    <row r="1690">
      <c r="A1690" s="2005">
        <f>IFERROR(__xludf.DUMMYFUNCTION("""COMPUTED_VALUE"""),1145598.0)</f>
        <v>1145598</v>
      </c>
      <c r="B1690" s="2005">
        <f>IFERROR(__xludf.DUMMYFUNCTION("""COMPUTED_VALUE"""),2201010.0)</f>
        <v>2201010</v>
      </c>
      <c r="C1690" s="2005" t="str">
        <f>IFERROR(__xludf.DUMMYFUNCTION("""COMPUTED_VALUE"""),"Mono Jet d'encr")</f>
        <v>Mono Jet d'encr</v>
      </c>
      <c r="D1690" s="2005" t="str">
        <f>IFERROR(__xludf.DUMMYFUNCTION("""COMPUTED_VALUE"""),"TR 150")</f>
        <v>TR 150</v>
      </c>
      <c r="E1690" s="2005" t="str">
        <f>IFERROR(__xludf.DUMMYFUNCTION("""COMPUTED_VALUE"""),"CANON")</f>
        <v>CANON</v>
      </c>
      <c r="F1690" s="2005" t="str">
        <f>IFERROR(__xludf.DUMMYFUNCTION("""COMPUTED_VALUE"""),"H")</f>
        <v>H</v>
      </c>
      <c r="G1690" s="2005" t="str">
        <f>IFERROR(__xludf.DUMMYFUNCTION("""COMPUTED_VALUE"""),"AC")</f>
        <v>AC</v>
      </c>
      <c r="H1690">
        <f>IFERROR(__xludf.DUMMYFUNCTION("""COMPUTED_VALUE"""),279.99)</f>
        <v>279.99</v>
      </c>
      <c r="I1690">
        <f>IFERROR(__xludf.DUMMYFUNCTION("""COMPUTED_VALUE"""),279.99)</f>
        <v>279.99</v>
      </c>
      <c r="BD1690" s="2006"/>
      <c r="LL1690" s="2007"/>
      <c r="LM1690" s="2007"/>
      <c r="MX1690" s="2007"/>
      <c r="ND1690" s="2007"/>
    </row>
    <row r="1691">
      <c r="A1691" s="2005">
        <f>IFERROR(__xludf.DUMMYFUNCTION("""COMPUTED_VALUE"""),1145599.0)</f>
        <v>1145599</v>
      </c>
      <c r="B1691" s="2005">
        <f>IFERROR(__xludf.DUMMYFUNCTION("""COMPUTED_VALUE"""),2201010.0)</f>
        <v>2201010</v>
      </c>
      <c r="C1691" s="2005" t="str">
        <f>IFERROR(__xludf.DUMMYFUNCTION("""COMPUTED_VALUE"""),"Mono Jet d'encr")</f>
        <v>Mono Jet d'encr</v>
      </c>
      <c r="D1691" s="2005" t="str">
        <f>IFERROR(__xludf.DUMMYFUNCTION("""COMPUTED_VALUE"""),"TR 150 + Batterie")</f>
        <v>TR 150 + Batterie</v>
      </c>
      <c r="E1691" s="2005" t="str">
        <f>IFERROR(__xludf.DUMMYFUNCTION("""COMPUTED_VALUE"""),"CANON")</f>
        <v>CANON</v>
      </c>
      <c r="F1691" s="2005" t="str">
        <f>IFERROR(__xludf.DUMMYFUNCTION("""COMPUTED_VALUE"""),"H")</f>
        <v>H</v>
      </c>
      <c r="G1691" s="2005" t="str">
        <f>IFERROR(__xludf.DUMMYFUNCTION("""COMPUTED_VALUE"""),"AC")</f>
        <v>AC</v>
      </c>
      <c r="H1691">
        <f>IFERROR(__xludf.DUMMYFUNCTION("""COMPUTED_VALUE"""),349.99)</f>
        <v>349.99</v>
      </c>
      <c r="I1691">
        <f>IFERROR(__xludf.DUMMYFUNCTION("""COMPUTED_VALUE"""),349.99)</f>
        <v>349.99</v>
      </c>
      <c r="BD1691" s="2006"/>
      <c r="LL1691" s="2007"/>
      <c r="LM1691" s="2007"/>
      <c r="MX1691" s="2007"/>
      <c r="ND1691" s="2008"/>
    </row>
    <row r="1692">
      <c r="A1692" s="2005">
        <f>IFERROR(__xludf.DUMMYFUNCTION("""COMPUTED_VALUE"""),1145664.0)</f>
        <v>1145664</v>
      </c>
      <c r="B1692" s="2005">
        <f>IFERROR(__xludf.DUMMYFUNCTION("""COMPUTED_VALUE"""),2209805.0)</f>
        <v>2209805</v>
      </c>
      <c r="C1692" s="2005" t="str">
        <f>IFERROR(__xludf.DUMMYFUNCTION("""COMPUTED_VALUE"""),"Lot")</f>
        <v>Lot</v>
      </c>
      <c r="D1692" s="2005" t="str">
        <f>IFERROR(__xludf.DUMMYFUNCTION("""COMPUTED_VALUE"""),"TR150 + PGI35 cartouche Noire")</f>
        <v>TR150 + PGI35 cartouche Noire</v>
      </c>
      <c r="E1692" s="2005" t="str">
        <f>IFERROR(__xludf.DUMMYFUNCTION("""COMPUTED_VALUE"""),"CANON")</f>
        <v>CANON</v>
      </c>
      <c r="F1692" s="2005" t="str">
        <f>IFERROR(__xludf.DUMMYFUNCTION("""COMPUTED_VALUE"""),"H")</f>
        <v>H</v>
      </c>
      <c r="G1692" s="2005" t="str">
        <f>IFERROR(__xludf.DUMMYFUNCTION("""COMPUTED_VALUE"""),"AC")</f>
        <v>AC</v>
      </c>
      <c r="H1692" s="2005">
        <f>IFERROR(__xludf.DUMMYFUNCTION("""COMPUTED_VALUE"""),275.52)</f>
        <v>275.52</v>
      </c>
      <c r="I1692" s="2005">
        <f>IFERROR(__xludf.DUMMYFUNCTION("""COMPUTED_VALUE"""),275.52)</f>
        <v>275.52</v>
      </c>
      <c r="BD1692" s="2006"/>
      <c r="LL1692" s="2008"/>
      <c r="LM1692" s="2007"/>
      <c r="MX1692" s="2007"/>
      <c r="ND1692" s="2007"/>
    </row>
    <row r="1693">
      <c r="A1693" s="2005">
        <f>IFERROR(__xludf.DUMMYFUNCTION("""COMPUTED_VALUE"""),1145665.0)</f>
        <v>1145665</v>
      </c>
      <c r="B1693" s="2005">
        <f>IFERROR(__xludf.DUMMYFUNCTION("""COMPUTED_VALUE"""),2209805.0)</f>
        <v>2209805</v>
      </c>
      <c r="C1693" s="2005" t="str">
        <f>IFERROR(__xludf.DUMMYFUNCTION("""COMPUTED_VALUE"""),"Lot")</f>
        <v>Lot</v>
      </c>
      <c r="D1693" s="2005" t="str">
        <f>IFERROR(__xludf.DUMMYFUNCTION("""COMPUTED_VALUE"""),"TR 150 + Batterie +cartouche PGI35 Noire")</f>
        <v>TR 150 + Batterie +cartouche PGI35 Noire</v>
      </c>
      <c r="E1693" s="2005" t="str">
        <f>IFERROR(__xludf.DUMMYFUNCTION("""COMPUTED_VALUE"""),"CANON")</f>
        <v>CANON</v>
      </c>
      <c r="F1693" s="2005" t="str">
        <f>IFERROR(__xludf.DUMMYFUNCTION("""COMPUTED_VALUE"""),"H")</f>
        <v>H</v>
      </c>
      <c r="G1693" s="2005" t="str">
        <f>IFERROR(__xludf.DUMMYFUNCTION("""COMPUTED_VALUE"""),"AC")</f>
        <v>AC</v>
      </c>
      <c r="H1693">
        <f>IFERROR(__xludf.DUMMYFUNCTION("""COMPUTED_VALUE"""),341.99)</f>
        <v>341.99</v>
      </c>
      <c r="I1693">
        <f>IFERROR(__xludf.DUMMYFUNCTION("""COMPUTED_VALUE"""),341.99)</f>
        <v>341.99</v>
      </c>
      <c r="BD1693" s="2006"/>
      <c r="LL1693" s="2007"/>
      <c r="LM1693" s="2007"/>
      <c r="MX1693" s="2007"/>
      <c r="ND1693" s="2007"/>
    </row>
    <row r="1694">
      <c r="A1694" s="2005">
        <f>IFERROR(__xludf.DUMMYFUNCTION("""COMPUTED_VALUE"""),1145673.0)</f>
        <v>1145673</v>
      </c>
      <c r="B1694" s="2005">
        <f>IFERROR(__xludf.DUMMYFUNCTION("""COMPUTED_VALUE"""),2403515.0)</f>
        <v>2403515</v>
      </c>
      <c r="C1694" s="2005" t="str">
        <f>IFERROR(__xludf.DUMMYFUNCTION("""COMPUTED_VALUE"""),"Conso Plastif")</f>
        <v>Conso Plastif</v>
      </c>
      <c r="D1694" s="2005" t="str">
        <f>IFERROR(__xludf.DUMMYFUNCTION("""COMPUTED_VALUE"""),"Pochettes A4 80mic x100")</f>
        <v>Pochettes A4 80mic x100</v>
      </c>
      <c r="E1694" s="2005" t="str">
        <f>IFERROR(__xludf.DUMMYFUNCTION("""COMPUTED_VALUE"""),"FELLOWES")</f>
        <v>FELLOWES</v>
      </c>
      <c r="F1694" s="2005" t="str">
        <f>IFERROR(__xludf.DUMMYFUNCTION("""COMPUTED_VALUE"""),"H")</f>
        <v>H</v>
      </c>
      <c r="G1694" s="2005" t="str">
        <f>IFERROR(__xludf.DUMMYFUNCTION("""COMPUTED_VALUE"""),"NN")</f>
        <v>NN</v>
      </c>
      <c r="H1694">
        <f>IFERROR(__xludf.DUMMYFUNCTION("""COMPUTED_VALUE"""),19.9)</f>
        <v>19.9</v>
      </c>
      <c r="I1694">
        <f>IFERROR(__xludf.DUMMYFUNCTION("""COMPUTED_VALUE"""),19.9)</f>
        <v>19.9</v>
      </c>
      <c r="BD1694" s="2006"/>
      <c r="LL1694" s="2008"/>
      <c r="LM1694" s="2007"/>
      <c r="MX1694" s="2007"/>
      <c r="ND1694" s="2007"/>
    </row>
    <row r="1695">
      <c r="A1695" s="2005">
        <f>IFERROR(__xludf.DUMMYFUNCTION("""COMPUTED_VALUE"""),1145674.0)</f>
        <v>1145674</v>
      </c>
      <c r="B1695" s="2005">
        <f>IFERROR(__xludf.DUMMYFUNCTION("""COMPUTED_VALUE"""),2403515.0)</f>
        <v>2403515</v>
      </c>
      <c r="C1695" s="2005" t="str">
        <f>IFERROR(__xludf.DUMMYFUNCTION("""COMPUTED_VALUE"""),"Conso Plastif")</f>
        <v>Conso Plastif</v>
      </c>
      <c r="D1695" s="2005" t="str">
        <f>IFERROR(__xludf.DUMMYFUNCTION("""COMPUTED_VALUE"""),"Pochettes A4 80 mic x250")</f>
        <v>Pochettes A4 80 mic x250</v>
      </c>
      <c r="E1695" s="2005" t="str">
        <f>IFERROR(__xludf.DUMMYFUNCTION("""COMPUTED_VALUE"""),"FELLOWES")</f>
        <v>FELLOWES</v>
      </c>
      <c r="F1695" s="2005" t="str">
        <f>IFERROR(__xludf.DUMMYFUNCTION("""COMPUTED_VALUE"""),"H")</f>
        <v>H</v>
      </c>
      <c r="G1695" s="2005" t="str">
        <f>IFERROR(__xludf.DUMMYFUNCTION("""COMPUTED_VALUE"""),"NN")</f>
        <v>NN</v>
      </c>
      <c r="H1695" s="2005">
        <f>IFERROR(__xludf.DUMMYFUNCTION("""COMPUTED_VALUE"""),37.9)</f>
        <v>37.9</v>
      </c>
      <c r="I1695" s="2005">
        <f>IFERROR(__xludf.DUMMYFUNCTION("""COMPUTED_VALUE"""),37.9)</f>
        <v>37.9</v>
      </c>
      <c r="BD1695" s="2006"/>
      <c r="LL1695" s="2008"/>
      <c r="LM1695" s="2007"/>
      <c r="MX1695" s="2007"/>
      <c r="ND1695" s="2007"/>
    </row>
    <row r="1696">
      <c r="A1696" s="2005">
        <f>IFERROR(__xludf.DUMMYFUNCTION("""COMPUTED_VALUE"""),1145676.0)</f>
        <v>1145676</v>
      </c>
      <c r="B1696" s="2005">
        <f>IFERROR(__xludf.DUMMYFUNCTION("""COMPUTED_VALUE"""),2403515.0)</f>
        <v>2403515</v>
      </c>
      <c r="C1696" s="2005" t="str">
        <f>IFERROR(__xludf.DUMMYFUNCTION("""COMPUTED_VALUE"""),"Conso Plastif")</f>
        <v>Conso Plastif</v>
      </c>
      <c r="D1696" s="2005" t="str">
        <f>IFERROR(__xludf.DUMMYFUNCTION("""COMPUTED_VALUE"""),"Pochettes A4 125mic x100")</f>
        <v>Pochettes A4 125mic x100</v>
      </c>
      <c r="E1696" s="2005" t="str">
        <f>IFERROR(__xludf.DUMMYFUNCTION("""COMPUTED_VALUE"""),"FELLOWES")</f>
        <v>FELLOWES</v>
      </c>
      <c r="F1696" s="2005" t="str">
        <f>IFERROR(__xludf.DUMMYFUNCTION("""COMPUTED_VALUE"""),"H")</f>
        <v>H</v>
      </c>
      <c r="G1696" s="2005" t="str">
        <f>IFERROR(__xludf.DUMMYFUNCTION("""COMPUTED_VALUE"""),"NN")</f>
        <v>NN</v>
      </c>
      <c r="H1696" s="2005">
        <f>IFERROR(__xludf.DUMMYFUNCTION("""COMPUTED_VALUE"""),24.33)</f>
        <v>24.33</v>
      </c>
      <c r="I1696" s="2005">
        <f>IFERROR(__xludf.DUMMYFUNCTION("""COMPUTED_VALUE"""),24.33)</f>
        <v>24.33</v>
      </c>
      <c r="BD1696" s="2006"/>
      <c r="LL1696" s="2008"/>
      <c r="LM1696" s="2007"/>
      <c r="MX1696" s="2007"/>
      <c r="ND1696" s="2008"/>
    </row>
    <row r="1697">
      <c r="A1697" s="2005">
        <f>IFERROR(__xludf.DUMMYFUNCTION("""COMPUTED_VALUE"""),1145677.0)</f>
        <v>1145677</v>
      </c>
      <c r="B1697" s="2005">
        <f>IFERROR(__xludf.DUMMYFUNCTION("""COMPUTED_VALUE"""),2403515.0)</f>
        <v>2403515</v>
      </c>
      <c r="C1697" s="2005" t="str">
        <f>IFERROR(__xludf.DUMMYFUNCTION("""COMPUTED_VALUE"""),"Conso Plastif")</f>
        <v>Conso Plastif</v>
      </c>
      <c r="D1697" s="2005" t="str">
        <f>IFERROR(__xludf.DUMMYFUNCTION("""COMPUTED_VALUE"""),"Pochettes A4 125mic x250")</f>
        <v>Pochettes A4 125mic x250</v>
      </c>
      <c r="E1697" s="2005" t="str">
        <f>IFERROR(__xludf.DUMMYFUNCTION("""COMPUTED_VALUE"""),"FELLOWES")</f>
        <v>FELLOWES</v>
      </c>
      <c r="F1697" s="2005" t="str">
        <f>IFERROR(__xludf.DUMMYFUNCTION("""COMPUTED_VALUE"""),"H")</f>
        <v>H</v>
      </c>
      <c r="G1697" s="2005" t="str">
        <f>IFERROR(__xludf.DUMMYFUNCTION("""COMPUTED_VALUE"""),"FR")</f>
        <v>FR</v>
      </c>
      <c r="H1697" s="2005">
        <f>IFERROR(__xludf.DUMMYFUNCTION("""COMPUTED_VALUE"""),51.9)</f>
        <v>51.9</v>
      </c>
      <c r="I1697" s="2005">
        <f>IFERROR(__xludf.DUMMYFUNCTION("""COMPUTED_VALUE"""),51.9)</f>
        <v>51.9</v>
      </c>
      <c r="BD1697" s="2006"/>
      <c r="LL1697" s="2008"/>
      <c r="LM1697" s="2007"/>
      <c r="MX1697" s="2007"/>
      <c r="ND1697" s="2008"/>
    </row>
    <row r="1698">
      <c r="A1698" s="2005">
        <f>IFERROR(__xludf.DUMMYFUNCTION("""COMPUTED_VALUE"""),1145715.0)</f>
        <v>1145715</v>
      </c>
      <c r="B1698" s="2005">
        <f>IFERROR(__xludf.DUMMYFUNCTION("""COMPUTED_VALUE"""),2503005.0)</f>
        <v>2503005</v>
      </c>
      <c r="C1698" s="2005" t="str">
        <f>IFERROR(__xludf.DUMMYFUNCTION("""COMPUTED_VALUE"""),"Enceinte")</f>
        <v>Enceinte</v>
      </c>
      <c r="D1698" s="2005" t="str">
        <f>IFERROR(__xludf.DUMMYFUNCTION("""COMPUTED_VALUE"""),"Gaming Quantum Duo")</f>
        <v>Gaming Quantum Duo</v>
      </c>
      <c r="E1698" s="2005" t="str">
        <f>IFERROR(__xludf.DUMMYFUNCTION("""COMPUTED_VALUE"""),"JBL")</f>
        <v>JBL</v>
      </c>
      <c r="F1698" s="2005" t="str">
        <f>IFERROR(__xludf.DUMMYFUNCTION("""COMPUTED_VALUE"""),"H")</f>
        <v>H</v>
      </c>
      <c r="G1698" s="2005" t="str">
        <f>IFERROR(__xludf.DUMMYFUNCTION("""COMPUTED_VALUE"""),"NN")</f>
        <v>NN</v>
      </c>
      <c r="H1698">
        <f>IFERROR(__xludf.DUMMYFUNCTION("""COMPUTED_VALUE"""),119.99)</f>
        <v>119.99</v>
      </c>
      <c r="I1698">
        <f>IFERROR(__xludf.DUMMYFUNCTION("""COMPUTED_VALUE"""),119.99)</f>
        <v>119.99</v>
      </c>
      <c r="BD1698" s="2006"/>
      <c r="LL1698" s="2008"/>
      <c r="LM1698" s="2007"/>
      <c r="MX1698" s="2007"/>
      <c r="ND1698" s="2008"/>
    </row>
    <row r="1699">
      <c r="A1699" s="2005">
        <f>IFERROR(__xludf.DUMMYFUNCTION("""COMPUTED_VALUE"""),1145898.0)</f>
        <v>1145898</v>
      </c>
      <c r="B1699" s="2005">
        <f>IFERROR(__xludf.DUMMYFUNCTION("""COMPUTED_VALUE"""),2703010.0)</f>
        <v>2703010</v>
      </c>
      <c r="C1699" s="2005" t="str">
        <f>IFERROR(__xludf.DUMMYFUNCTION("""COMPUTED_VALUE"""),"Relieuse")</f>
        <v>Relieuse</v>
      </c>
      <c r="D1699" s="2005" t="str">
        <f>IFERROR(__xludf.DUMMYFUNCTION("""COMPUTED_VALUE"""),"Star+ 150")</f>
        <v>Star+ 150</v>
      </c>
      <c r="E1699" s="2005" t="str">
        <f>IFERROR(__xludf.DUMMYFUNCTION("""COMPUTED_VALUE"""),"FELLOWES")</f>
        <v>FELLOWES</v>
      </c>
      <c r="F1699" s="2005" t="str">
        <f>IFERROR(__xludf.DUMMYFUNCTION("""COMPUTED_VALUE"""),"H")</f>
        <v>H</v>
      </c>
      <c r="G1699" s="2005" t="str">
        <f>IFERROR(__xludf.DUMMYFUNCTION("""COMPUTED_VALUE"""),"AC")</f>
        <v>AC</v>
      </c>
      <c r="H1699" s="2005">
        <f>IFERROR(__xludf.DUMMYFUNCTION("""COMPUTED_VALUE"""),102.9)</f>
        <v>102.9</v>
      </c>
      <c r="I1699" s="2005">
        <f>IFERROR(__xludf.DUMMYFUNCTION("""COMPUTED_VALUE"""),102.9)</f>
        <v>102.9</v>
      </c>
      <c r="BD1699" s="2006"/>
      <c r="LL1699" s="2008"/>
      <c r="LM1699" s="2007"/>
      <c r="MX1699" s="2007"/>
      <c r="ND1699" s="2008"/>
    </row>
    <row r="1700">
      <c r="A1700">
        <f>IFERROR(__xludf.DUMMYFUNCTION("""COMPUTED_VALUE"""),1145907.0)</f>
        <v>1145907</v>
      </c>
      <c r="B1700">
        <f>IFERROR(__xludf.DUMMYFUNCTION("""COMPUTED_VALUE"""),2705020.0)</f>
        <v>2705020</v>
      </c>
      <c r="C1700" t="str">
        <f>IFERROR(__xludf.DUMMYFUNCTION("""COMPUTED_VALUE"""),"Syst. position")</f>
        <v>Syst. position</v>
      </c>
      <c r="D1700" t="str">
        <f>IFERROR(__xludf.DUMMYFUNCTION("""COMPUTED_VALUE"""),"Repose-pieds Robuste Métal Professional")</f>
        <v>Repose-pieds Robuste Métal Professional</v>
      </c>
      <c r="E1700" t="str">
        <f>IFERROR(__xludf.DUMMYFUNCTION("""COMPUTED_VALUE"""),"FELLOWES")</f>
        <v>FELLOWES</v>
      </c>
      <c r="F1700" t="str">
        <f>IFERROR(__xludf.DUMMYFUNCTION("""COMPUTED_VALUE"""),"H")</f>
        <v>H</v>
      </c>
      <c r="G1700" t="str">
        <f>IFERROR(__xludf.DUMMYFUNCTION("""COMPUTED_VALUE"""),"AC")</f>
        <v>AC</v>
      </c>
      <c r="H1700">
        <f>IFERROR(__xludf.DUMMYFUNCTION("""COMPUTED_VALUE"""),111.9)</f>
        <v>111.9</v>
      </c>
      <c r="I1700">
        <f>IFERROR(__xludf.DUMMYFUNCTION("""COMPUTED_VALUE"""),93.84)</f>
        <v>93.84</v>
      </c>
      <c r="BD1700" s="2006"/>
      <c r="LL1700" s="2008"/>
      <c r="LM1700" s="2007"/>
      <c r="MX1700" s="2008"/>
      <c r="ND1700" s="2008"/>
    </row>
    <row r="1701">
      <c r="A1701" s="2005">
        <f>IFERROR(__xludf.DUMMYFUNCTION("""COMPUTED_VALUE"""),1145908.0)</f>
        <v>1145908</v>
      </c>
      <c r="B1701" s="2005">
        <f>IFERROR(__xludf.DUMMYFUNCTION("""COMPUTED_VALUE"""),2705020.0)</f>
        <v>2705020</v>
      </c>
      <c r="C1701" s="2005" t="str">
        <f>IFERROR(__xludf.DUMMYFUNCTION("""COMPUTED_VALUE"""),"Syst. position")</f>
        <v>Syst. position</v>
      </c>
      <c r="D1701" s="2005" t="str">
        <f>IFERROR(__xludf.DUMMYFUNCTION("""COMPUTED_VALUE"""),"Repose-pieds réglable Microban")</f>
        <v>Repose-pieds réglable Microban</v>
      </c>
      <c r="E1701" s="2005" t="str">
        <f>IFERROR(__xludf.DUMMYFUNCTION("""COMPUTED_VALUE"""),"FELLOWES")</f>
        <v>FELLOWES</v>
      </c>
      <c r="F1701" s="2005" t="str">
        <f>IFERROR(__xludf.DUMMYFUNCTION("""COMPUTED_VALUE"""),"C")</f>
        <v>C</v>
      </c>
      <c r="G1701" s="2005" t="str">
        <f>IFERROR(__xludf.DUMMYFUNCTION("""COMPUTED_VALUE"""),"AC")</f>
        <v>AC</v>
      </c>
      <c r="H1701" s="2005">
        <f>IFERROR(__xludf.DUMMYFUNCTION("""COMPUTED_VALUE"""),62.9)</f>
        <v>62.9</v>
      </c>
      <c r="I1701">
        <f>IFERROR(__xludf.DUMMYFUNCTION("""COMPUTED_VALUE"""),62.9)</f>
        <v>62.9</v>
      </c>
      <c r="BD1701" s="2006"/>
      <c r="LL1701" s="2008"/>
      <c r="LM1701" s="2007"/>
      <c r="MX1701" s="2008"/>
      <c r="ND1701" s="2008"/>
    </row>
    <row r="1702">
      <c r="A1702" s="2005">
        <f>IFERROR(__xludf.DUMMYFUNCTION("""COMPUTED_VALUE"""),1145909.0)</f>
        <v>1145909</v>
      </c>
      <c r="B1702" s="2005">
        <f>IFERROR(__xludf.DUMMYFUNCTION("""COMPUTED_VALUE"""),2705020.0)</f>
        <v>2705020</v>
      </c>
      <c r="C1702" s="2005" t="str">
        <f>IFERROR(__xludf.DUMMYFUNCTION("""COMPUTED_VALUE"""),"Syst. position")</f>
        <v>Syst. position</v>
      </c>
      <c r="D1702" s="2005" t="str">
        <f>IFERROR(__xludf.DUMMYFUNCTION("""COMPUTED_VALUE"""),"Repose pieds Standard")</f>
        <v>Repose pieds Standard</v>
      </c>
      <c r="E1702" s="2005" t="str">
        <f>IFERROR(__xludf.DUMMYFUNCTION("""COMPUTED_VALUE"""),"FELLOWES")</f>
        <v>FELLOWES</v>
      </c>
      <c r="F1702" s="2005" t="str">
        <f>IFERROR(__xludf.DUMMYFUNCTION("""COMPUTED_VALUE"""),"H")</f>
        <v>H</v>
      </c>
      <c r="G1702" s="2005" t="str">
        <f>IFERROR(__xludf.DUMMYFUNCTION("""COMPUTED_VALUE"""),"AC")</f>
        <v>AC</v>
      </c>
      <c r="H1702" s="2005">
        <f>IFERROR(__xludf.DUMMYFUNCTION("""COMPUTED_VALUE"""),29.9)</f>
        <v>29.9</v>
      </c>
      <c r="I1702" s="2005">
        <f>IFERROR(__xludf.DUMMYFUNCTION("""COMPUTED_VALUE"""),29.9)</f>
        <v>29.9</v>
      </c>
      <c r="BD1702" s="2006"/>
      <c r="LL1702" s="2008"/>
      <c r="LM1702" s="2007"/>
      <c r="MX1702" s="2007"/>
      <c r="ND1702" s="2008"/>
    </row>
    <row r="1703">
      <c r="A1703" s="2005">
        <f>IFERROR(__xludf.DUMMYFUNCTION("""COMPUTED_VALUE"""),1145923.0)</f>
        <v>1145923</v>
      </c>
      <c r="B1703" s="2005">
        <f>IFERROR(__xludf.DUMMYFUNCTION("""COMPUTED_VALUE"""),2403005.0)</f>
        <v>2403005</v>
      </c>
      <c r="C1703" s="2005" t="str">
        <f>IFERROR(__xludf.DUMMYFUNCTION("""COMPUTED_VALUE"""),"Cartouche")</f>
        <v>Cartouche</v>
      </c>
      <c r="D1703" s="2005" t="str">
        <f>IFERROR(__xludf.DUMMYFUNCTION("""COMPUTED_VALUE"""),"305 3 Couleurs")</f>
        <v>305 3 Couleurs</v>
      </c>
      <c r="E1703" s="2005" t="str">
        <f>IFERROR(__xludf.DUMMYFUNCTION("""COMPUTED_VALUE"""),"HP")</f>
        <v>HP</v>
      </c>
      <c r="F1703" s="2005" t="str">
        <f>IFERROR(__xludf.DUMMYFUNCTION("""COMPUTED_VALUE"""),"A")</f>
        <v>A</v>
      </c>
      <c r="G1703" s="2005" t="str">
        <f>IFERROR(__xludf.DUMMYFUNCTION("""COMPUTED_VALUE"""),"AC")</f>
        <v>AC</v>
      </c>
      <c r="H1703">
        <f>IFERROR(__xludf.DUMMYFUNCTION("""COMPUTED_VALUE"""),15.99)</f>
        <v>15.99</v>
      </c>
      <c r="I1703">
        <f>IFERROR(__xludf.DUMMYFUNCTION("""COMPUTED_VALUE"""),15.99)</f>
        <v>15.99</v>
      </c>
      <c r="LM1703" s="2007"/>
    </row>
    <row r="1704">
      <c r="A1704" s="2005">
        <f>IFERROR(__xludf.DUMMYFUNCTION("""COMPUTED_VALUE"""),1145924.0)</f>
        <v>1145924</v>
      </c>
      <c r="B1704" s="2005">
        <f>IFERROR(__xludf.DUMMYFUNCTION("""COMPUTED_VALUE"""),2403005.0)</f>
        <v>2403005</v>
      </c>
      <c r="C1704" s="2005" t="str">
        <f>IFERROR(__xludf.DUMMYFUNCTION("""COMPUTED_VALUE"""),"Cartouche")</f>
        <v>Cartouche</v>
      </c>
      <c r="D1704" s="2005" t="str">
        <f>IFERROR(__xludf.DUMMYFUNCTION("""COMPUTED_VALUE"""),"305 noire")</f>
        <v>305 noire</v>
      </c>
      <c r="E1704" s="2005" t="str">
        <f>IFERROR(__xludf.DUMMYFUNCTION("""COMPUTED_VALUE"""),"HP")</f>
        <v>HP</v>
      </c>
      <c r="F1704" s="2005" t="str">
        <f>IFERROR(__xludf.DUMMYFUNCTION("""COMPUTED_VALUE"""),"A")</f>
        <v>A</v>
      </c>
      <c r="G1704" s="2005" t="str">
        <f>IFERROR(__xludf.DUMMYFUNCTION("""COMPUTED_VALUE"""),"AC")</f>
        <v>AC</v>
      </c>
      <c r="H1704">
        <f>IFERROR(__xludf.DUMMYFUNCTION("""COMPUTED_VALUE"""),15.99)</f>
        <v>15.99</v>
      </c>
      <c r="I1704">
        <f>IFERROR(__xludf.DUMMYFUNCTION("""COMPUTED_VALUE"""),15.99)</f>
        <v>15.99</v>
      </c>
      <c r="LM1704" s="2007"/>
    </row>
    <row r="1705">
      <c r="A1705" s="2005">
        <f>IFERROR(__xludf.DUMMYFUNCTION("""COMPUTED_VALUE"""),1145925.0)</f>
        <v>1145925</v>
      </c>
      <c r="B1705" s="2005">
        <f>IFERROR(__xludf.DUMMYFUNCTION("""COMPUTED_VALUE"""),2403005.0)</f>
        <v>2403005</v>
      </c>
      <c r="C1705" s="2005" t="str">
        <f>IFERROR(__xludf.DUMMYFUNCTION("""COMPUTED_VALUE"""),"Cartouche")</f>
        <v>Cartouche</v>
      </c>
      <c r="D1705" s="2005" t="str">
        <f>IFERROR(__xludf.DUMMYFUNCTION("""COMPUTED_VALUE"""),"305 XL 3 couleurs")</f>
        <v>305 XL 3 couleurs</v>
      </c>
      <c r="E1705" s="2005" t="str">
        <f>IFERROR(__xludf.DUMMYFUNCTION("""COMPUTED_VALUE"""),"HP")</f>
        <v>HP</v>
      </c>
      <c r="F1705" s="2005" t="str">
        <f>IFERROR(__xludf.DUMMYFUNCTION("""COMPUTED_VALUE"""),"A")</f>
        <v>A</v>
      </c>
      <c r="G1705" s="2005" t="str">
        <f>IFERROR(__xludf.DUMMYFUNCTION("""COMPUTED_VALUE"""),"AC")</f>
        <v>AC</v>
      </c>
      <c r="H1705">
        <f>IFERROR(__xludf.DUMMYFUNCTION("""COMPUTED_VALUE"""),32.99)</f>
        <v>32.99</v>
      </c>
      <c r="I1705">
        <f>IFERROR(__xludf.DUMMYFUNCTION("""COMPUTED_VALUE"""),32.99)</f>
        <v>32.99</v>
      </c>
      <c r="LM1705" s="2007"/>
    </row>
    <row r="1706">
      <c r="A1706" s="2005">
        <f>IFERROR(__xludf.DUMMYFUNCTION("""COMPUTED_VALUE"""),1145926.0)</f>
        <v>1145926</v>
      </c>
      <c r="B1706" s="2005">
        <f>IFERROR(__xludf.DUMMYFUNCTION("""COMPUTED_VALUE"""),2403005.0)</f>
        <v>2403005</v>
      </c>
      <c r="C1706" s="2005" t="str">
        <f>IFERROR(__xludf.DUMMYFUNCTION("""COMPUTED_VALUE"""),"Cartouche")</f>
        <v>Cartouche</v>
      </c>
      <c r="D1706" s="2005" t="str">
        <f>IFERROR(__xludf.DUMMYFUNCTION("""COMPUTED_VALUE"""),"305 XL noire")</f>
        <v>305 XL noire</v>
      </c>
      <c r="E1706" s="2005" t="str">
        <f>IFERROR(__xludf.DUMMYFUNCTION("""COMPUTED_VALUE"""),"HP")</f>
        <v>HP</v>
      </c>
      <c r="F1706" s="2005" t="str">
        <f>IFERROR(__xludf.DUMMYFUNCTION("""COMPUTED_VALUE"""),"A")</f>
        <v>A</v>
      </c>
      <c r="G1706" s="2005" t="str">
        <f>IFERROR(__xludf.DUMMYFUNCTION("""COMPUTED_VALUE"""),"AC")</f>
        <v>AC</v>
      </c>
      <c r="H1706">
        <f>IFERROR(__xludf.DUMMYFUNCTION("""COMPUTED_VALUE"""),32.99)</f>
        <v>32.99</v>
      </c>
      <c r="I1706">
        <f>IFERROR(__xludf.DUMMYFUNCTION("""COMPUTED_VALUE"""),32.99)</f>
        <v>32.99</v>
      </c>
      <c r="BD1706" s="2006"/>
      <c r="LM1706" s="2007"/>
      <c r="MX1706" s="2007"/>
      <c r="ND1706" s="2007"/>
    </row>
    <row r="1707">
      <c r="A1707" s="2005">
        <f>IFERROR(__xludf.DUMMYFUNCTION("""COMPUTED_VALUE"""),1145928.0)</f>
        <v>1145928</v>
      </c>
      <c r="B1707" s="2005">
        <f>IFERROR(__xludf.DUMMYFUNCTION("""COMPUTED_VALUE"""),2403005.0)</f>
        <v>2403005</v>
      </c>
      <c r="C1707" s="2005" t="str">
        <f>IFERROR(__xludf.DUMMYFUNCTION("""COMPUTED_VALUE"""),"Cartouche")</f>
        <v>Cartouche</v>
      </c>
      <c r="D1707" s="2005" t="str">
        <f>IFERROR(__xludf.DUMMYFUNCTION("""COMPUTED_VALUE"""),"N 307 XL noire")</f>
        <v>N 307 XL noire</v>
      </c>
      <c r="E1707" s="2005" t="str">
        <f>IFERROR(__xludf.DUMMYFUNCTION("""COMPUTED_VALUE"""),"HP")</f>
        <v>HP</v>
      </c>
      <c r="F1707" s="2005" t="str">
        <f>IFERROR(__xludf.DUMMYFUNCTION("""COMPUTED_VALUE"""),"D")</f>
        <v>D</v>
      </c>
      <c r="G1707" s="2005" t="str">
        <f>IFERROR(__xludf.DUMMYFUNCTION("""COMPUTED_VALUE"""),"FI")</f>
        <v>FI</v>
      </c>
      <c r="H1707" s="2005">
        <f>IFERROR(__xludf.DUMMYFUNCTION("""COMPUTED_VALUE"""),38.99)</f>
        <v>38.99</v>
      </c>
      <c r="I1707" s="2005">
        <f>IFERROR(__xludf.DUMMYFUNCTION("""COMPUTED_VALUE"""),38.99)</f>
        <v>38.99</v>
      </c>
      <c r="BD1707" s="2006"/>
      <c r="LL1707" s="2007"/>
      <c r="LM1707" s="2007"/>
      <c r="MX1707" s="2007"/>
      <c r="ND1707" s="2007"/>
    </row>
    <row r="1708">
      <c r="A1708" s="2005">
        <f>IFERROR(__xludf.DUMMYFUNCTION("""COMPUTED_VALUE"""),1145937.0)</f>
        <v>1145937</v>
      </c>
      <c r="B1708" s="2005">
        <f>IFERROR(__xludf.DUMMYFUNCTION("""COMPUTED_VALUE"""),2705020.0)</f>
        <v>2705020</v>
      </c>
      <c r="C1708" s="2005" t="str">
        <f>IFERROR(__xludf.DUMMYFUNCTION("""COMPUTED_VALUE"""),"Ecran")</f>
        <v>Ecran</v>
      </c>
      <c r="D1708" s="2005" t="str">
        <f>IFERROR(__xludf.DUMMYFUNCTION("""COMPUTED_VALUE"""),"Support Double Horizontal sur pied")</f>
        <v>Support Double Horizontal sur pied</v>
      </c>
      <c r="E1708" s="2005" t="str">
        <f>IFERROR(__xludf.DUMMYFUNCTION("""COMPUTED_VALUE"""),"FELLOWES")</f>
        <v>FELLOWES</v>
      </c>
      <c r="F1708" s="2005" t="str">
        <f>IFERROR(__xludf.DUMMYFUNCTION("""COMPUTED_VALUE"""),"H")</f>
        <v>H</v>
      </c>
      <c r="G1708" s="2005" t="str">
        <f>IFERROR(__xludf.DUMMYFUNCTION("""COMPUTED_VALUE"""),"AC")</f>
        <v>AC</v>
      </c>
      <c r="H1708" s="2005">
        <f>IFERROR(__xludf.DUMMYFUNCTION("""COMPUTED_VALUE"""),65.99)</f>
        <v>65.99</v>
      </c>
      <c r="I1708" s="2005">
        <f>IFERROR(__xludf.DUMMYFUNCTION("""COMPUTED_VALUE"""),65.99)</f>
        <v>65.99</v>
      </c>
      <c r="BD1708" s="2006"/>
      <c r="LL1708" s="2008"/>
      <c r="LM1708" s="2007"/>
      <c r="MX1708" s="2007"/>
      <c r="ND1708" s="2008"/>
    </row>
    <row r="1709">
      <c r="A1709" s="2005">
        <f>IFERROR(__xludf.DUMMYFUNCTION("""COMPUTED_VALUE"""),1145957.0)</f>
        <v>1145957</v>
      </c>
      <c r="B1709" s="2005">
        <f>IFERROR(__xludf.DUMMYFUNCTION("""COMPUTED_VALUE"""),2705020.0)</f>
        <v>2705020</v>
      </c>
      <c r="C1709" s="2005" t="str">
        <f>IFERROR(__xludf.DUMMYFUNCTION("""COMPUTED_VALUE"""),"Ecran")</f>
        <v>Ecran</v>
      </c>
      <c r="D1709" s="2005" t="str">
        <f>IFERROR(__xludf.DUMMYFUNCTION("""COMPUTED_VALUE"""),"Support Double Vertical sur pied")</f>
        <v>Support Double Vertical sur pied</v>
      </c>
      <c r="E1709" s="2005" t="str">
        <f>IFERROR(__xludf.DUMMYFUNCTION("""COMPUTED_VALUE"""),"FELLOWES")</f>
        <v>FELLOWES</v>
      </c>
      <c r="F1709" s="2005" t="str">
        <f>IFERROR(__xludf.DUMMYFUNCTION("""COMPUTED_VALUE"""),"H")</f>
        <v>H</v>
      </c>
      <c r="G1709" s="2005" t="str">
        <f>IFERROR(__xludf.DUMMYFUNCTION("""COMPUTED_VALUE"""),"AC")</f>
        <v>AC</v>
      </c>
      <c r="H1709" s="2005">
        <f>IFERROR(__xludf.DUMMYFUNCTION("""COMPUTED_VALUE"""),82.9)</f>
        <v>82.9</v>
      </c>
      <c r="I1709" s="2005">
        <f>IFERROR(__xludf.DUMMYFUNCTION("""COMPUTED_VALUE"""),59.22)</f>
        <v>59.22</v>
      </c>
      <c r="BD1709" s="2006"/>
      <c r="LL1709" s="2007"/>
      <c r="LM1709" s="2007"/>
      <c r="MX1709" s="2007"/>
      <c r="ND1709" s="2008"/>
    </row>
    <row r="1710">
      <c r="A1710" s="2005">
        <f>IFERROR(__xludf.DUMMYFUNCTION("""COMPUTED_VALUE"""),1145964.0)</f>
        <v>1145964</v>
      </c>
      <c r="B1710" s="2005">
        <f>IFERROR(__xludf.DUMMYFUNCTION("""COMPUTED_VALUE"""),2705020.0)</f>
        <v>2705020</v>
      </c>
      <c r="C1710" s="2005" t="str">
        <f>IFERROR(__xludf.DUMMYFUNCTION("""COMPUTED_VALUE"""),"Ecran")</f>
        <v>Ecran</v>
      </c>
      <c r="D1710" s="2005" t="str">
        <f>IFERROR(__xludf.DUMMYFUNCTION("""COMPUTED_VALUE"""),"Support Reflex simple")</f>
        <v>Support Reflex simple</v>
      </c>
      <c r="E1710" s="2005" t="str">
        <f>IFERROR(__xludf.DUMMYFUNCTION("""COMPUTED_VALUE"""),"FELLOWES")</f>
        <v>FELLOWES</v>
      </c>
      <c r="F1710" s="2005" t="str">
        <f>IFERROR(__xludf.DUMMYFUNCTION("""COMPUTED_VALUE"""),"H")</f>
        <v>H</v>
      </c>
      <c r="G1710" s="2005" t="str">
        <f>IFERROR(__xludf.DUMMYFUNCTION("""COMPUTED_VALUE"""),"AC")</f>
        <v>AC</v>
      </c>
      <c r="H1710" s="2005">
        <f>IFERROR(__xludf.DUMMYFUNCTION("""COMPUTED_VALUE"""),61.9)</f>
        <v>61.9</v>
      </c>
      <c r="I1710" s="2005">
        <f>IFERROR(__xludf.DUMMYFUNCTION("""COMPUTED_VALUE"""),47.94)</f>
        <v>47.94</v>
      </c>
      <c r="LL1710" s="2007"/>
      <c r="LM1710" s="2007"/>
    </row>
    <row r="1711">
      <c r="A1711" s="2005">
        <f>IFERROR(__xludf.DUMMYFUNCTION("""COMPUTED_VALUE"""),1145965.0)</f>
        <v>1145965</v>
      </c>
      <c r="B1711" s="2005">
        <f>IFERROR(__xludf.DUMMYFUNCTION("""COMPUTED_VALUE"""),2705020.0)</f>
        <v>2705020</v>
      </c>
      <c r="C1711" s="2005" t="str">
        <f>IFERROR(__xludf.DUMMYFUNCTION("""COMPUTED_VALUE"""),"Ecran")</f>
        <v>Ecran</v>
      </c>
      <c r="D1711" s="2005" t="str">
        <f>IFERROR(__xludf.DUMMYFUNCTION("""COMPUTED_VALUE"""),"Support Reflex double")</f>
        <v>Support Reflex double</v>
      </c>
      <c r="E1711" s="2005" t="str">
        <f>IFERROR(__xludf.DUMMYFUNCTION("""COMPUTED_VALUE"""),"FELLOWES")</f>
        <v>FELLOWES</v>
      </c>
      <c r="F1711" s="2005" t="str">
        <f>IFERROR(__xludf.DUMMYFUNCTION("""COMPUTED_VALUE"""),"H")</f>
        <v>H</v>
      </c>
      <c r="G1711" s="2005" t="str">
        <f>IFERROR(__xludf.DUMMYFUNCTION("""COMPUTED_VALUE"""),"AC")</f>
        <v>AC</v>
      </c>
      <c r="H1711" s="2005">
        <f>IFERROR(__xludf.DUMMYFUNCTION("""COMPUTED_VALUE"""),86.9)</f>
        <v>86.9</v>
      </c>
      <c r="I1711" s="2005">
        <f>IFERROR(__xludf.DUMMYFUNCTION("""COMPUTED_VALUE"""),86.9)</f>
        <v>86.9</v>
      </c>
      <c r="LL1711" s="2007"/>
      <c r="LM1711" s="2007"/>
    </row>
    <row r="1712">
      <c r="A1712" s="2005">
        <f>IFERROR(__xludf.DUMMYFUNCTION("""COMPUTED_VALUE"""),1145966.0)</f>
        <v>1145966</v>
      </c>
      <c r="B1712" s="2005">
        <f>IFERROR(__xludf.DUMMYFUNCTION("""COMPUTED_VALUE"""),2705020.0)</f>
        <v>2705020</v>
      </c>
      <c r="C1712" s="2005" t="str">
        <f>IFERROR(__xludf.DUMMYFUNCTION("""COMPUTED_VALUE"""),"Ecran")</f>
        <v>Ecran</v>
      </c>
      <c r="D1712" s="2005" t="str">
        <f>IFERROR(__xludf.DUMMYFUNCTION("""COMPUTED_VALUE"""),"Support Moniteur Designer Suites")</f>
        <v>Support Moniteur Designer Suites</v>
      </c>
      <c r="E1712" s="2005" t="str">
        <f>IFERROR(__xludf.DUMMYFUNCTION("""COMPUTED_VALUE"""),"FELLOWES")</f>
        <v>FELLOWES</v>
      </c>
      <c r="F1712" s="2005" t="str">
        <f>IFERROR(__xludf.DUMMYFUNCTION("""COMPUTED_VALUE"""),"H")</f>
        <v>H</v>
      </c>
      <c r="G1712" s="2005" t="str">
        <f>IFERROR(__xludf.DUMMYFUNCTION("""COMPUTED_VALUE"""),"AC")</f>
        <v>AC</v>
      </c>
      <c r="H1712" s="2005">
        <f>IFERROR(__xludf.DUMMYFUNCTION("""COMPUTED_VALUE"""),43.9)</f>
        <v>43.9</v>
      </c>
      <c r="I1712" s="2005">
        <f>IFERROR(__xludf.DUMMYFUNCTION("""COMPUTED_VALUE"""),34.99)</f>
        <v>34.99</v>
      </c>
      <c r="BD1712" s="2006"/>
      <c r="LL1712" s="2008"/>
      <c r="LM1712" s="2007"/>
      <c r="MX1712" s="2007"/>
      <c r="ND1712" s="2008"/>
    </row>
    <row r="1713">
      <c r="A1713" s="2005">
        <f>IFERROR(__xludf.DUMMYFUNCTION("""COMPUTED_VALUE"""),1145967.0)</f>
        <v>1145967</v>
      </c>
      <c r="B1713" s="2005">
        <f>IFERROR(__xludf.DUMMYFUNCTION("""COMPUTED_VALUE"""),2705020.0)</f>
        <v>2705020</v>
      </c>
      <c r="C1713" s="2005" t="str">
        <f>IFERROR(__xludf.DUMMYFUNCTION("""COMPUTED_VALUE"""),"Ecran")</f>
        <v>Ecran</v>
      </c>
      <c r="D1713" s="2005" t="str">
        <f>IFERROR(__xludf.DUMMYFUNCTION("""COMPUTED_VALUE"""),"Support Simple sur pied")</f>
        <v>Support Simple sur pied</v>
      </c>
      <c r="E1713" s="2005" t="str">
        <f>IFERROR(__xludf.DUMMYFUNCTION("""COMPUTED_VALUE"""),"FELLOWES")</f>
        <v>FELLOWES</v>
      </c>
      <c r="F1713" s="2005" t="str">
        <f>IFERROR(__xludf.DUMMYFUNCTION("""COMPUTED_VALUE"""),"H")</f>
        <v>H</v>
      </c>
      <c r="G1713" s="2005" t="str">
        <f>IFERROR(__xludf.DUMMYFUNCTION("""COMPUTED_VALUE"""),"AC")</f>
        <v>AC</v>
      </c>
      <c r="H1713" s="2005">
        <f>IFERROR(__xludf.DUMMYFUNCTION("""COMPUTED_VALUE"""),56.9)</f>
        <v>56.9</v>
      </c>
      <c r="I1713" s="2005">
        <f>IFERROR(__xludf.DUMMYFUNCTION("""COMPUTED_VALUE"""),41.94)</f>
        <v>41.94</v>
      </c>
      <c r="BD1713" s="2006"/>
      <c r="LL1713" s="2007"/>
      <c r="LM1713" s="2007"/>
      <c r="MX1713" s="2007"/>
      <c r="ND1713" s="2008"/>
    </row>
    <row r="1714">
      <c r="A1714" s="2005">
        <f>IFERROR(__xludf.DUMMYFUNCTION("""COMPUTED_VALUE"""),1146010.0)</f>
        <v>1146010</v>
      </c>
      <c r="B1714" s="2005">
        <f>IFERROR(__xludf.DUMMYFUNCTION("""COMPUTED_VALUE"""),2403005.0)</f>
        <v>2403005</v>
      </c>
      <c r="C1714" s="2005" t="str">
        <f>IFERROR(__xludf.DUMMYFUNCTION("""COMPUTED_VALUE"""),"Cartouche")</f>
        <v>Cartouche</v>
      </c>
      <c r="D1714" s="2005" t="str">
        <f>IFERROR(__xludf.DUMMYFUNCTION("""COMPUTED_VALUE"""),"Ecotank Bouteille 103 Noir")</f>
        <v>Ecotank Bouteille 103 Noir</v>
      </c>
      <c r="E1714" s="2005" t="str">
        <f>IFERROR(__xludf.DUMMYFUNCTION("""COMPUTED_VALUE"""),"EPSON")</f>
        <v>EPSON</v>
      </c>
      <c r="F1714" s="2005" t="str">
        <f>IFERROR(__xludf.DUMMYFUNCTION("""COMPUTED_VALUE"""),"H")</f>
        <v>H</v>
      </c>
      <c r="G1714" s="2005" t="str">
        <f>IFERROR(__xludf.DUMMYFUNCTION("""COMPUTED_VALUE"""),"AC")</f>
        <v>AC</v>
      </c>
      <c r="H1714" s="2005">
        <f>IFERROR(__xludf.DUMMYFUNCTION("""COMPUTED_VALUE"""),9.99)</f>
        <v>9.99</v>
      </c>
      <c r="I1714" s="2005">
        <f>IFERROR(__xludf.DUMMYFUNCTION("""COMPUTED_VALUE"""),9.99)</f>
        <v>9.99</v>
      </c>
      <c r="BD1714" s="2006"/>
      <c r="LL1714" s="2008"/>
      <c r="LM1714" s="2007"/>
      <c r="MX1714" s="2007"/>
      <c r="ND1714" s="2008"/>
    </row>
    <row r="1715">
      <c r="A1715" s="2005">
        <f>IFERROR(__xludf.DUMMYFUNCTION("""COMPUTED_VALUE"""),1146081.0)</f>
        <v>1146081</v>
      </c>
      <c r="B1715" s="2005">
        <f>IFERROR(__xludf.DUMMYFUNCTION("""COMPUTED_VALUE"""),2403005.0)</f>
        <v>2403005</v>
      </c>
      <c r="C1715" s="2005" t="str">
        <f>IFERROR(__xludf.DUMMYFUNCTION("""COMPUTED_VALUE"""),"Cartouche")</f>
        <v>Cartouche</v>
      </c>
      <c r="D1715" s="2005" t="str">
        <f>IFERROR(__xludf.DUMMYFUNCTION("""COMPUTED_VALUE"""),"Ecotank Bouteille 103 Cyan")</f>
        <v>Ecotank Bouteille 103 Cyan</v>
      </c>
      <c r="E1715" s="2005" t="str">
        <f>IFERROR(__xludf.DUMMYFUNCTION("""COMPUTED_VALUE"""),"EPSON")</f>
        <v>EPSON</v>
      </c>
      <c r="F1715" s="2005" t="str">
        <f>IFERROR(__xludf.DUMMYFUNCTION("""COMPUTED_VALUE"""),"H")</f>
        <v>H</v>
      </c>
      <c r="G1715" s="2005" t="str">
        <f>IFERROR(__xludf.DUMMYFUNCTION("""COMPUTED_VALUE"""),"AC")</f>
        <v>AC</v>
      </c>
      <c r="H1715">
        <f>IFERROR(__xludf.DUMMYFUNCTION("""COMPUTED_VALUE"""),9.99)</f>
        <v>9.99</v>
      </c>
      <c r="I1715">
        <f>IFERROR(__xludf.DUMMYFUNCTION("""COMPUTED_VALUE"""),9.99)</f>
        <v>9.99</v>
      </c>
      <c r="BD1715" s="2006"/>
      <c r="LL1715" s="2007"/>
      <c r="LM1715" s="2007"/>
      <c r="MX1715" s="2007"/>
      <c r="ND1715" s="2008"/>
    </row>
    <row r="1716">
      <c r="A1716" s="2005">
        <f>IFERROR(__xludf.DUMMYFUNCTION("""COMPUTED_VALUE"""),1146082.0)</f>
        <v>1146082</v>
      </c>
      <c r="B1716" s="2005">
        <f>IFERROR(__xludf.DUMMYFUNCTION("""COMPUTED_VALUE"""),2403005.0)</f>
        <v>2403005</v>
      </c>
      <c r="C1716" s="2005" t="str">
        <f>IFERROR(__xludf.DUMMYFUNCTION("""COMPUTED_VALUE"""),"Cartouche")</f>
        <v>Cartouche</v>
      </c>
      <c r="D1716" s="2005" t="str">
        <f>IFERROR(__xludf.DUMMYFUNCTION("""COMPUTED_VALUE"""),"Ecotank Bouteille 103 Magenta")</f>
        <v>Ecotank Bouteille 103 Magenta</v>
      </c>
      <c r="E1716" s="2005" t="str">
        <f>IFERROR(__xludf.DUMMYFUNCTION("""COMPUTED_VALUE"""),"EPSON")</f>
        <v>EPSON</v>
      </c>
      <c r="F1716" s="2005" t="str">
        <f>IFERROR(__xludf.DUMMYFUNCTION("""COMPUTED_VALUE"""),"H")</f>
        <v>H</v>
      </c>
      <c r="G1716" s="2005" t="str">
        <f>IFERROR(__xludf.DUMMYFUNCTION("""COMPUTED_VALUE"""),"AC")</f>
        <v>AC</v>
      </c>
      <c r="H1716" s="2005">
        <f>IFERROR(__xludf.DUMMYFUNCTION("""COMPUTED_VALUE"""),9.99)</f>
        <v>9.99</v>
      </c>
      <c r="I1716" s="2005">
        <f>IFERROR(__xludf.DUMMYFUNCTION("""COMPUTED_VALUE"""),9.99)</f>
        <v>9.99</v>
      </c>
      <c r="BD1716" s="2006"/>
      <c r="LL1716" s="2007"/>
      <c r="LM1716" s="2007"/>
      <c r="MX1716" s="2007"/>
      <c r="ND1716" s="2008"/>
    </row>
    <row r="1717">
      <c r="A1717" s="2005">
        <f>IFERROR(__xludf.DUMMYFUNCTION("""COMPUTED_VALUE"""),1146083.0)</f>
        <v>1146083</v>
      </c>
      <c r="B1717" s="2005">
        <f>IFERROR(__xludf.DUMMYFUNCTION("""COMPUTED_VALUE"""),2403005.0)</f>
        <v>2403005</v>
      </c>
      <c r="C1717" s="2005" t="str">
        <f>IFERROR(__xludf.DUMMYFUNCTION("""COMPUTED_VALUE"""),"Cartouche")</f>
        <v>Cartouche</v>
      </c>
      <c r="D1717" s="2005" t="str">
        <f>IFERROR(__xludf.DUMMYFUNCTION("""COMPUTED_VALUE"""),"Ecotank Bouteille 103 Jaune")</f>
        <v>Ecotank Bouteille 103 Jaune</v>
      </c>
      <c r="E1717" s="2005" t="str">
        <f>IFERROR(__xludf.DUMMYFUNCTION("""COMPUTED_VALUE"""),"EPSON")</f>
        <v>EPSON</v>
      </c>
      <c r="F1717" s="2005" t="str">
        <f>IFERROR(__xludf.DUMMYFUNCTION("""COMPUTED_VALUE"""),"H")</f>
        <v>H</v>
      </c>
      <c r="G1717" s="2005" t="str">
        <f>IFERROR(__xludf.DUMMYFUNCTION("""COMPUTED_VALUE"""),"AC")</f>
        <v>AC</v>
      </c>
      <c r="H1717" s="2005">
        <f>IFERROR(__xludf.DUMMYFUNCTION("""COMPUTED_VALUE"""),9.99)</f>
        <v>9.99</v>
      </c>
      <c r="I1717" s="2005">
        <f>IFERROR(__xludf.DUMMYFUNCTION("""COMPUTED_VALUE"""),9.99)</f>
        <v>9.99</v>
      </c>
      <c r="BD1717" s="2006"/>
      <c r="LL1717" s="2007"/>
      <c r="LM1717" s="2007"/>
      <c r="MX1717" s="2007"/>
      <c r="ND1717" s="2008"/>
    </row>
    <row r="1718">
      <c r="A1718" s="2005">
        <f>IFERROR(__xludf.DUMMYFUNCTION("""COMPUTED_VALUE"""),1146085.0)</f>
        <v>1146085</v>
      </c>
      <c r="B1718" s="2005">
        <f>IFERROR(__xludf.DUMMYFUNCTION("""COMPUTED_VALUE"""),2202010.0)</f>
        <v>2202010</v>
      </c>
      <c r="C1718" s="2005" t="str">
        <f>IFERROR(__xludf.DUMMYFUNCTION("""COMPUTED_VALUE"""),"Multi Jet d'enc")</f>
        <v>Multi Jet d'enc</v>
      </c>
      <c r="D1718" s="2005" t="str">
        <f>IFERROR(__xludf.DUMMYFUNCTION("""COMPUTED_VALUE"""),"EcoTank ET-5800")</f>
        <v>EcoTank ET-5800</v>
      </c>
      <c r="E1718" s="2005" t="str">
        <f>IFERROR(__xludf.DUMMYFUNCTION("""COMPUTED_VALUE"""),"EPSON")</f>
        <v>EPSON</v>
      </c>
      <c r="F1718" s="2005" t="str">
        <f>IFERROR(__xludf.DUMMYFUNCTION("""COMPUTED_VALUE"""),"H")</f>
        <v>H</v>
      </c>
      <c r="G1718" s="2005" t="str">
        <f>IFERROR(__xludf.DUMMYFUNCTION("""COMPUTED_VALUE"""),"AC")</f>
        <v>AC</v>
      </c>
      <c r="H1718" s="2005">
        <f>IFERROR(__xludf.DUMMYFUNCTION("""COMPUTED_VALUE"""),899.99)</f>
        <v>899.99</v>
      </c>
      <c r="I1718" s="2005">
        <f>IFERROR(__xludf.DUMMYFUNCTION("""COMPUTED_VALUE"""),899.99)</f>
        <v>899.99</v>
      </c>
      <c r="LL1718" s="2007"/>
      <c r="LM1718" s="2007"/>
    </row>
    <row r="1719">
      <c r="A1719" s="2005">
        <f>IFERROR(__xludf.DUMMYFUNCTION("""COMPUTED_VALUE"""),1146086.0)</f>
        <v>1146086</v>
      </c>
      <c r="B1719" s="2005">
        <f>IFERROR(__xludf.DUMMYFUNCTION("""COMPUTED_VALUE"""),2202010.0)</f>
        <v>2202010</v>
      </c>
      <c r="C1719" s="2005" t="str">
        <f>IFERROR(__xludf.DUMMYFUNCTION("""COMPUTED_VALUE"""),"Multi Jet d'enc")</f>
        <v>Multi Jet d'enc</v>
      </c>
      <c r="D1719" s="2005" t="str">
        <f>IFERROR(__xludf.DUMMYFUNCTION("""COMPUTED_VALUE"""),"EcoTank ET-5850")</f>
        <v>EcoTank ET-5850</v>
      </c>
      <c r="E1719" s="2005" t="str">
        <f>IFERROR(__xludf.DUMMYFUNCTION("""COMPUTED_VALUE"""),"EPSON")</f>
        <v>EPSON</v>
      </c>
      <c r="F1719" s="2005" t="str">
        <f>IFERROR(__xludf.DUMMYFUNCTION("""COMPUTED_VALUE"""),"E")</f>
        <v>E</v>
      </c>
      <c r="G1719" s="2005" t="str">
        <f>IFERROR(__xludf.DUMMYFUNCTION("""COMPUTED_VALUE"""),"NN")</f>
        <v>NN</v>
      </c>
      <c r="H1719">
        <f>IFERROR(__xludf.DUMMYFUNCTION("""COMPUTED_VALUE"""),819.99)</f>
        <v>819.99</v>
      </c>
      <c r="I1719">
        <f>IFERROR(__xludf.DUMMYFUNCTION("""COMPUTED_VALUE"""),819.99)</f>
        <v>819.99</v>
      </c>
      <c r="LL1719" s="2008"/>
      <c r="LM1719" s="2007"/>
    </row>
    <row r="1720">
      <c r="A1720" s="2005">
        <f>IFERROR(__xludf.DUMMYFUNCTION("""COMPUTED_VALUE"""),1146357.0)</f>
        <v>1146357</v>
      </c>
      <c r="B1720" s="2005">
        <f>IFERROR(__xludf.DUMMYFUNCTION("""COMPUTED_VALUE"""),2201020.0)</f>
        <v>2201020</v>
      </c>
      <c r="C1720" s="2005" t="str">
        <f>IFERROR(__xludf.DUMMYFUNCTION("""COMPUTED_VALUE"""),"Mono Laser")</f>
        <v>Mono Laser</v>
      </c>
      <c r="D1720" s="2005" t="str">
        <f>IFERROR(__xludf.DUMMYFUNCTION("""COMPUTED_VALUE"""),"Neverstop 1001nw")</f>
        <v>Neverstop 1001nw</v>
      </c>
      <c r="E1720" s="2005" t="str">
        <f>IFERROR(__xludf.DUMMYFUNCTION("""COMPUTED_VALUE"""),"HP")</f>
        <v>HP</v>
      </c>
      <c r="F1720" s="2005" t="str">
        <f>IFERROR(__xludf.DUMMYFUNCTION("""COMPUTED_VALUE"""),"E")</f>
        <v>E</v>
      </c>
      <c r="G1720" s="2005" t="str">
        <f>IFERROR(__xludf.DUMMYFUNCTION("""COMPUTED_VALUE"""),"NN")</f>
        <v>NN</v>
      </c>
      <c r="H1720">
        <f>IFERROR(__xludf.DUMMYFUNCTION("""COMPUTED_VALUE"""),329.99)</f>
        <v>329.99</v>
      </c>
      <c r="I1720">
        <f>IFERROR(__xludf.DUMMYFUNCTION("""COMPUTED_VALUE"""),329.99)</f>
        <v>329.99</v>
      </c>
      <c r="BD1720" s="2006"/>
      <c r="LL1720" s="2008"/>
      <c r="LM1720" s="2007"/>
      <c r="MX1720" s="2008"/>
      <c r="ND1720" s="2008"/>
    </row>
    <row r="1721">
      <c r="A1721" s="2005">
        <f>IFERROR(__xludf.DUMMYFUNCTION("""COMPUTED_VALUE"""),1146358.0)</f>
        <v>1146358</v>
      </c>
      <c r="B1721" s="2005">
        <f>IFERROR(__xludf.DUMMYFUNCTION("""COMPUTED_VALUE"""),2202008.0)</f>
        <v>2202008</v>
      </c>
      <c r="C1721" s="2005" t="str">
        <f>IFERROR(__xludf.DUMMYFUNCTION("""COMPUTED_VALUE"""),"Multi Laser")</f>
        <v>Multi Laser</v>
      </c>
      <c r="D1721" s="2005" t="str">
        <f>IFERROR(__xludf.DUMMYFUNCTION("""COMPUTED_VALUE"""),"Neverstop 1202nw")</f>
        <v>Neverstop 1202nw</v>
      </c>
      <c r="E1721" s="2005" t="str">
        <f>IFERROR(__xludf.DUMMYFUNCTION("""COMPUTED_VALUE"""),"HP")</f>
        <v>HP</v>
      </c>
      <c r="F1721" s="2005" t="str">
        <f>IFERROR(__xludf.DUMMYFUNCTION("""COMPUTED_VALUE"""),"D")</f>
        <v>D</v>
      </c>
      <c r="G1721" s="2005" t="str">
        <f>IFERROR(__xludf.DUMMYFUNCTION("""COMPUTED_VALUE"""),"NN")</f>
        <v>NN</v>
      </c>
      <c r="H1721" s="2005">
        <f>IFERROR(__xludf.DUMMYFUNCTION("""COMPUTED_VALUE"""),379.99)</f>
        <v>379.99</v>
      </c>
      <c r="I1721" s="2005">
        <f>IFERROR(__xludf.DUMMYFUNCTION("""COMPUTED_VALUE"""),379.99)</f>
        <v>379.99</v>
      </c>
      <c r="BD1721" s="2006"/>
      <c r="LL1721" s="2007"/>
      <c r="LM1721" s="2007"/>
      <c r="MX1721" s="2007"/>
      <c r="ND1721" s="2008"/>
    </row>
    <row r="1722">
      <c r="A1722" s="2005">
        <f>IFERROR(__xludf.DUMMYFUNCTION("""COMPUTED_VALUE"""),1146594.0)</f>
        <v>1146594</v>
      </c>
      <c r="B1722" s="2005">
        <f>IFERROR(__xludf.DUMMYFUNCTION("""COMPUTED_VALUE"""),2201010.0)</f>
        <v>2201010</v>
      </c>
      <c r="C1722" s="2005" t="str">
        <f>IFERROR(__xludf.DUMMYFUNCTION("""COMPUTED_VALUE"""),"Mono Jet d'encr")</f>
        <v>Mono Jet d'encr</v>
      </c>
      <c r="D1722" s="2005" t="str">
        <f>IFERROR(__xludf.DUMMYFUNCTION("""COMPUTED_VALUE"""),"WF-110W")</f>
        <v>WF-110W</v>
      </c>
      <c r="E1722" s="2005" t="str">
        <f>IFERROR(__xludf.DUMMYFUNCTION("""COMPUTED_VALUE"""),"EPSON")</f>
        <v>EPSON</v>
      </c>
      <c r="F1722" s="2005" t="str">
        <f>IFERROR(__xludf.DUMMYFUNCTION("""COMPUTED_VALUE"""),"C")</f>
        <v>C</v>
      </c>
      <c r="G1722" s="2005" t="str">
        <f>IFERROR(__xludf.DUMMYFUNCTION("""COMPUTED_VALUE"""),"AC")</f>
        <v>AC</v>
      </c>
      <c r="H1722">
        <f>IFERROR(__xludf.DUMMYFUNCTION("""COMPUTED_VALUE"""),279.99)</f>
        <v>279.99</v>
      </c>
      <c r="I1722">
        <f>IFERROR(__xludf.DUMMYFUNCTION("""COMPUTED_VALUE"""),279.99)</f>
        <v>279.99</v>
      </c>
      <c r="BD1722" s="2006"/>
      <c r="LL1722" s="2007"/>
      <c r="LM1722" s="2007"/>
      <c r="MX1722" s="2007"/>
      <c r="ND1722" s="2008"/>
    </row>
    <row r="1723">
      <c r="A1723" s="2005">
        <f>IFERROR(__xludf.DUMMYFUNCTION("""COMPUTED_VALUE"""),1146595.0)</f>
        <v>1146595</v>
      </c>
      <c r="B1723" s="2005">
        <f>IFERROR(__xludf.DUMMYFUNCTION("""COMPUTED_VALUE"""),2202005.0)</f>
        <v>2202005</v>
      </c>
      <c r="C1723" s="2005" t="str">
        <f>IFERROR(__xludf.DUMMYFUNCTION("""COMPUTED_VALUE"""),"Multi Jet d'enc")</f>
        <v>Multi Jet d'enc</v>
      </c>
      <c r="D1723" s="2005" t="str">
        <f>IFERROR(__xludf.DUMMYFUNCTION("""COMPUTED_VALUE"""),"OfficeJet Pro 6950 éligible Instant Ink")</f>
        <v>OfficeJet Pro 6950 éligible Instant Ink</v>
      </c>
      <c r="E1723" s="2005" t="str">
        <f>IFERROR(__xludf.DUMMYFUNCTION("""COMPUTED_VALUE"""),"HP")</f>
        <v>HP</v>
      </c>
      <c r="F1723" s="2005" t="str">
        <f>IFERROR(__xludf.DUMMYFUNCTION("""COMPUTED_VALUE"""),"B")</f>
        <v>B</v>
      </c>
      <c r="G1723" s="2005" t="str">
        <f>IFERROR(__xludf.DUMMYFUNCTION("""COMPUTED_VALUE"""),"NN")</f>
        <v>NN</v>
      </c>
      <c r="H1723" s="2005">
        <f>IFERROR(__xludf.DUMMYFUNCTION("""COMPUTED_VALUE"""),149.99)</f>
        <v>149.99</v>
      </c>
      <c r="I1723" s="2005">
        <f>IFERROR(__xludf.DUMMYFUNCTION("""COMPUTED_VALUE"""),149.99)</f>
        <v>149.99</v>
      </c>
      <c r="BD1723" s="2006"/>
      <c r="LL1723" s="2007"/>
      <c r="LM1723" s="2007"/>
      <c r="MX1723" s="2007"/>
      <c r="ND1723" s="2008"/>
    </row>
    <row r="1724">
      <c r="A1724" s="2005">
        <f>IFERROR(__xludf.DUMMYFUNCTION("""COMPUTED_VALUE"""),1146824.0)</f>
        <v>1146824</v>
      </c>
      <c r="B1724" s="2005">
        <f>IFERROR(__xludf.DUMMYFUNCTION("""COMPUTED_VALUE"""),1103005.0)</f>
        <v>1103005</v>
      </c>
      <c r="C1724" s="2005" t="str">
        <f>IFERROR(__xludf.DUMMYFUNCTION("""COMPUTED_VALUE"""),"Pack")</f>
        <v>Pack</v>
      </c>
      <c r="D1724" s="2005" t="str">
        <f>IFERROR(__xludf.DUMMYFUNCTION("""COMPUTED_VALUE"""),"CL390 Grey")</f>
        <v>CL390 Grey</v>
      </c>
      <c r="E1724" s="2005" t="str">
        <f>IFERROR(__xludf.DUMMYFUNCTION("""COMPUTED_VALUE"""),"GIGASET")</f>
        <v>GIGASET</v>
      </c>
      <c r="F1724" s="2005" t="str">
        <f>IFERROR(__xludf.DUMMYFUNCTION("""COMPUTED_VALUE"""),"H")</f>
        <v>H</v>
      </c>
      <c r="G1724" s="2005" t="str">
        <f>IFERROR(__xludf.DUMMYFUNCTION("""COMPUTED_VALUE"""),"NN")</f>
        <v>NN</v>
      </c>
      <c r="H1724">
        <f>IFERROR(__xludf.DUMMYFUNCTION("""COMPUTED_VALUE"""),45.99)</f>
        <v>45.99</v>
      </c>
      <c r="I1724">
        <f>IFERROR(__xludf.DUMMYFUNCTION("""COMPUTED_VALUE"""),45.99)</f>
        <v>45.99</v>
      </c>
      <c r="BD1724" s="2006"/>
      <c r="LL1724" s="2007"/>
      <c r="LM1724" s="2007"/>
      <c r="MX1724" s="2007"/>
      <c r="ND1724" s="2008"/>
    </row>
    <row r="1725">
      <c r="A1725" s="2005">
        <f>IFERROR(__xludf.DUMMYFUNCTION("""COMPUTED_VALUE"""),1146825.0)</f>
        <v>1146825</v>
      </c>
      <c r="B1725" s="2005">
        <f>IFERROR(__xludf.DUMMYFUNCTION("""COMPUTED_VALUE"""),1103005.0)</f>
        <v>1103005</v>
      </c>
      <c r="C1725" s="2005" t="str">
        <f>IFERROR(__xludf.DUMMYFUNCTION("""COMPUTED_VALUE"""),"Pack")</f>
        <v>Pack</v>
      </c>
      <c r="D1725" s="2005" t="str">
        <f>IFERROR(__xludf.DUMMYFUNCTION("""COMPUTED_VALUE"""),"CL390 Blanc")</f>
        <v>CL390 Blanc</v>
      </c>
      <c r="E1725" s="2005" t="str">
        <f>IFERROR(__xludf.DUMMYFUNCTION("""COMPUTED_VALUE"""),"GIGASET")</f>
        <v>GIGASET</v>
      </c>
      <c r="F1725" s="2005" t="str">
        <f>IFERROR(__xludf.DUMMYFUNCTION("""COMPUTED_VALUE"""),"A")</f>
        <v>A</v>
      </c>
      <c r="G1725" s="2005" t="str">
        <f>IFERROR(__xludf.DUMMYFUNCTION("""COMPUTED_VALUE"""),"NN")</f>
        <v>NN</v>
      </c>
      <c r="H1725">
        <f>IFERROR(__xludf.DUMMYFUNCTION("""COMPUTED_VALUE"""),45.99)</f>
        <v>45.99</v>
      </c>
      <c r="I1725">
        <f>IFERROR(__xludf.DUMMYFUNCTION("""COMPUTED_VALUE"""),45.99)</f>
        <v>45.99</v>
      </c>
      <c r="BD1725" s="2006"/>
      <c r="LL1725" s="2007"/>
      <c r="LM1725" s="2007"/>
      <c r="MX1725" s="2007"/>
      <c r="ND1725" s="2008"/>
    </row>
    <row r="1726">
      <c r="A1726" s="2005">
        <f>IFERROR(__xludf.DUMMYFUNCTION("""COMPUTED_VALUE"""),1146826.0)</f>
        <v>1146826</v>
      </c>
      <c r="B1726" s="2005">
        <f>IFERROR(__xludf.DUMMYFUNCTION("""COMPUTED_VALUE"""),1103005.0)</f>
        <v>1103005</v>
      </c>
      <c r="C1726" s="2005" t="str">
        <f>IFERROR(__xludf.DUMMYFUNCTION("""COMPUTED_VALUE"""),"Pack")</f>
        <v>Pack</v>
      </c>
      <c r="D1726" s="2005" t="str">
        <f>IFERROR(__xludf.DUMMYFUNCTION("""COMPUTED_VALUE"""),"CL390 Duo Grey")</f>
        <v>CL390 Duo Grey</v>
      </c>
      <c r="E1726" s="2005" t="str">
        <f>IFERROR(__xludf.DUMMYFUNCTION("""COMPUTED_VALUE"""),"GIGASET")</f>
        <v>GIGASET</v>
      </c>
      <c r="F1726" s="2005" t="str">
        <f>IFERROR(__xludf.DUMMYFUNCTION("""COMPUTED_VALUE"""),"H")</f>
        <v>H</v>
      </c>
      <c r="G1726" s="2005" t="str">
        <f>IFERROR(__xludf.DUMMYFUNCTION("""COMPUTED_VALUE"""),"NN")</f>
        <v>NN</v>
      </c>
      <c r="H1726" s="2005">
        <f>IFERROR(__xludf.DUMMYFUNCTION("""COMPUTED_VALUE"""),69.99)</f>
        <v>69.99</v>
      </c>
      <c r="I1726" s="2005">
        <f>IFERROR(__xludf.DUMMYFUNCTION("""COMPUTED_VALUE"""),69.99)</f>
        <v>69.99</v>
      </c>
      <c r="BD1726" s="2006"/>
      <c r="LL1726" s="2008"/>
      <c r="LM1726" s="2007"/>
      <c r="MX1726" s="2007"/>
      <c r="ND1726" s="2008"/>
    </row>
    <row r="1727">
      <c r="A1727" s="2005">
        <f>IFERROR(__xludf.DUMMYFUNCTION("""COMPUTED_VALUE"""),1146880.0)</f>
        <v>1146880</v>
      </c>
      <c r="B1727" s="2005">
        <f>IFERROR(__xludf.DUMMYFUNCTION("""COMPUTED_VALUE"""),2403010.0)</f>
        <v>2403010</v>
      </c>
      <c r="C1727" s="2005" t="str">
        <f>IFERROR(__xludf.DUMMYFUNCTION("""COMPUTED_VALUE"""),"Toner")</f>
        <v>Toner</v>
      </c>
      <c r="D1727" s="2005" t="str">
        <f>IFERROR(__xludf.DUMMYFUNCTION("""COMPUTED_VALUE"""),"207A Noir")</f>
        <v>207A Noir</v>
      </c>
      <c r="E1727" s="2005" t="str">
        <f>IFERROR(__xludf.DUMMYFUNCTION("""COMPUTED_VALUE"""),"HP")</f>
        <v>HP</v>
      </c>
      <c r="F1727" s="2005" t="str">
        <f>IFERROR(__xludf.DUMMYFUNCTION("""COMPUTED_VALUE"""),"A")</f>
        <v>A</v>
      </c>
      <c r="G1727" s="2005" t="str">
        <f>IFERROR(__xludf.DUMMYFUNCTION("""COMPUTED_VALUE"""),"AC")</f>
        <v>AC</v>
      </c>
      <c r="H1727">
        <f>IFERROR(__xludf.DUMMYFUNCTION("""COMPUTED_VALUE"""),83.99)</f>
        <v>83.99</v>
      </c>
      <c r="I1727">
        <f>IFERROR(__xludf.DUMMYFUNCTION("""COMPUTED_VALUE"""),83.99)</f>
        <v>83.99</v>
      </c>
      <c r="BD1727" s="2006"/>
      <c r="LL1727" s="2007"/>
      <c r="LM1727" s="2007"/>
      <c r="MX1727" s="2007"/>
      <c r="ND1727" s="2008"/>
    </row>
    <row r="1728">
      <c r="A1728" s="2005">
        <f>IFERROR(__xludf.DUMMYFUNCTION("""COMPUTED_VALUE"""),1146911.0)</f>
        <v>1146911</v>
      </c>
      <c r="B1728" s="2005">
        <f>IFERROR(__xludf.DUMMYFUNCTION("""COMPUTED_VALUE"""),2403010.0)</f>
        <v>2403010</v>
      </c>
      <c r="C1728" s="2005" t="str">
        <f>IFERROR(__xludf.DUMMYFUNCTION("""COMPUTED_VALUE"""),"Toner")</f>
        <v>Toner</v>
      </c>
      <c r="D1728" s="2005" t="str">
        <f>IFERROR(__xludf.DUMMYFUNCTION("""COMPUTED_VALUE"""),"207X Noir")</f>
        <v>207X Noir</v>
      </c>
      <c r="E1728" s="2005" t="str">
        <f>IFERROR(__xludf.DUMMYFUNCTION("""COMPUTED_VALUE"""),"HP")</f>
        <v>HP</v>
      </c>
      <c r="F1728" s="2005" t="str">
        <f>IFERROR(__xludf.DUMMYFUNCTION("""COMPUTED_VALUE"""),"B")</f>
        <v>B</v>
      </c>
      <c r="G1728" s="2005" t="str">
        <f>IFERROR(__xludf.DUMMYFUNCTION("""COMPUTED_VALUE"""),"AC")</f>
        <v>AC</v>
      </c>
      <c r="H1728" s="2005">
        <f>IFERROR(__xludf.DUMMYFUNCTION("""COMPUTED_VALUE"""),127.99)</f>
        <v>127.99</v>
      </c>
      <c r="I1728" s="2005">
        <f>IFERROR(__xludf.DUMMYFUNCTION("""COMPUTED_VALUE"""),127.99)</f>
        <v>127.99</v>
      </c>
      <c r="BD1728" s="2006"/>
      <c r="LL1728" s="2008"/>
      <c r="LM1728" s="2007"/>
      <c r="MX1728" s="2007"/>
      <c r="ND1728" s="2008"/>
    </row>
    <row r="1729">
      <c r="A1729" s="2005">
        <f>IFERROR(__xludf.DUMMYFUNCTION("""COMPUTED_VALUE"""),1146912.0)</f>
        <v>1146912</v>
      </c>
      <c r="B1729" s="2005">
        <f>IFERROR(__xludf.DUMMYFUNCTION("""COMPUTED_VALUE"""),2403010.0)</f>
        <v>2403010</v>
      </c>
      <c r="C1729" s="2005" t="str">
        <f>IFERROR(__xludf.DUMMYFUNCTION("""COMPUTED_VALUE"""),"Toner")</f>
        <v>Toner</v>
      </c>
      <c r="D1729" s="2005" t="str">
        <f>IFERROR(__xludf.DUMMYFUNCTION("""COMPUTED_VALUE"""),"207A Cyan")</f>
        <v>207A Cyan</v>
      </c>
      <c r="E1729" s="2005" t="str">
        <f>IFERROR(__xludf.DUMMYFUNCTION("""COMPUTED_VALUE"""),"HP")</f>
        <v>HP</v>
      </c>
      <c r="F1729" s="2005" t="str">
        <f>IFERROR(__xludf.DUMMYFUNCTION("""COMPUTED_VALUE"""),"B")</f>
        <v>B</v>
      </c>
      <c r="G1729" s="2005" t="str">
        <f>IFERROR(__xludf.DUMMYFUNCTION("""COMPUTED_VALUE"""),"AC")</f>
        <v>AC</v>
      </c>
      <c r="H1729" s="2005">
        <f>IFERROR(__xludf.DUMMYFUNCTION("""COMPUTED_VALUE"""),99.99)</f>
        <v>99.99</v>
      </c>
      <c r="I1729" s="2005">
        <f>IFERROR(__xludf.DUMMYFUNCTION("""COMPUTED_VALUE"""),99.99)</f>
        <v>99.99</v>
      </c>
      <c r="BD1729" s="2006"/>
      <c r="LL1729" s="2007"/>
      <c r="LM1729" s="2007"/>
      <c r="MX1729" s="2007"/>
      <c r="ND1729" s="2008"/>
    </row>
    <row r="1730">
      <c r="A1730" s="2005">
        <f>IFERROR(__xludf.DUMMYFUNCTION("""COMPUTED_VALUE"""),1146913.0)</f>
        <v>1146913</v>
      </c>
      <c r="B1730" s="2005">
        <f>IFERROR(__xludf.DUMMYFUNCTION("""COMPUTED_VALUE"""),2403010.0)</f>
        <v>2403010</v>
      </c>
      <c r="C1730" s="2005" t="str">
        <f>IFERROR(__xludf.DUMMYFUNCTION("""COMPUTED_VALUE"""),"Toner")</f>
        <v>Toner</v>
      </c>
      <c r="D1730" s="2005" t="str">
        <f>IFERROR(__xludf.DUMMYFUNCTION("""COMPUTED_VALUE"""),"207X Cyan")</f>
        <v>207X Cyan</v>
      </c>
      <c r="E1730" s="2005" t="str">
        <f>IFERROR(__xludf.DUMMYFUNCTION("""COMPUTED_VALUE"""),"HP")</f>
        <v>HP</v>
      </c>
      <c r="F1730" s="2005" t="str">
        <f>IFERROR(__xludf.DUMMYFUNCTION("""COMPUTED_VALUE"""),"C")</f>
        <v>C</v>
      </c>
      <c r="G1730" s="2005" t="str">
        <f>IFERROR(__xludf.DUMMYFUNCTION("""COMPUTED_VALUE"""),"AC")</f>
        <v>AC</v>
      </c>
      <c r="H1730" s="2005">
        <f>IFERROR(__xludf.DUMMYFUNCTION("""COMPUTED_VALUE"""),134.99)</f>
        <v>134.99</v>
      </c>
      <c r="I1730" s="2005">
        <f>IFERROR(__xludf.DUMMYFUNCTION("""COMPUTED_VALUE"""),134.99)</f>
        <v>134.99</v>
      </c>
      <c r="BD1730" s="2006"/>
      <c r="LL1730" s="2008"/>
      <c r="LM1730" s="2007"/>
      <c r="MX1730" s="2007"/>
      <c r="ND1730" s="2008"/>
    </row>
    <row r="1731">
      <c r="A1731" s="2005">
        <f>IFERROR(__xludf.DUMMYFUNCTION("""COMPUTED_VALUE"""),1146914.0)</f>
        <v>1146914</v>
      </c>
      <c r="B1731" s="2005">
        <f>IFERROR(__xludf.DUMMYFUNCTION("""COMPUTED_VALUE"""),2403010.0)</f>
        <v>2403010</v>
      </c>
      <c r="C1731" s="2005" t="str">
        <f>IFERROR(__xludf.DUMMYFUNCTION("""COMPUTED_VALUE"""),"Toner")</f>
        <v>Toner</v>
      </c>
      <c r="D1731" s="2005" t="str">
        <f>IFERROR(__xludf.DUMMYFUNCTION("""COMPUTED_VALUE"""),"207A Jaune")</f>
        <v>207A Jaune</v>
      </c>
      <c r="E1731" s="2005" t="str">
        <f>IFERROR(__xludf.DUMMYFUNCTION("""COMPUTED_VALUE"""),"HP")</f>
        <v>HP</v>
      </c>
      <c r="F1731" s="2005" t="str">
        <f>IFERROR(__xludf.DUMMYFUNCTION("""COMPUTED_VALUE"""),"B")</f>
        <v>B</v>
      </c>
      <c r="G1731" s="2005" t="str">
        <f>IFERROR(__xludf.DUMMYFUNCTION("""COMPUTED_VALUE"""),"AC")</f>
        <v>AC</v>
      </c>
      <c r="H1731" s="2005">
        <f>IFERROR(__xludf.DUMMYFUNCTION("""COMPUTED_VALUE"""),99.99)</f>
        <v>99.99</v>
      </c>
      <c r="I1731" s="2005">
        <f>IFERROR(__xludf.DUMMYFUNCTION("""COMPUTED_VALUE"""),99.99)</f>
        <v>99.99</v>
      </c>
      <c r="BD1731" s="2006"/>
      <c r="LL1731" s="2008"/>
      <c r="LM1731" s="2007"/>
      <c r="MX1731" s="2007"/>
      <c r="ND1731" s="2008"/>
    </row>
    <row r="1732">
      <c r="A1732" s="2005">
        <f>IFERROR(__xludf.DUMMYFUNCTION("""COMPUTED_VALUE"""),1146915.0)</f>
        <v>1146915</v>
      </c>
      <c r="B1732" s="2005">
        <f>IFERROR(__xludf.DUMMYFUNCTION("""COMPUTED_VALUE"""),2403010.0)</f>
        <v>2403010</v>
      </c>
      <c r="C1732" s="2005" t="str">
        <f>IFERROR(__xludf.DUMMYFUNCTION("""COMPUTED_VALUE"""),"Toner")</f>
        <v>Toner</v>
      </c>
      <c r="D1732" s="2005" t="str">
        <f>IFERROR(__xludf.DUMMYFUNCTION("""COMPUTED_VALUE"""),"207X Jaune")</f>
        <v>207X Jaune</v>
      </c>
      <c r="E1732" s="2005" t="str">
        <f>IFERROR(__xludf.DUMMYFUNCTION("""COMPUTED_VALUE"""),"HP")</f>
        <v>HP</v>
      </c>
      <c r="F1732" s="2005" t="str">
        <f>IFERROR(__xludf.DUMMYFUNCTION("""COMPUTED_VALUE"""),"C")</f>
        <v>C</v>
      </c>
      <c r="G1732" s="2005" t="str">
        <f>IFERROR(__xludf.DUMMYFUNCTION("""COMPUTED_VALUE"""),"AC")</f>
        <v>AC</v>
      </c>
      <c r="H1732" s="2005">
        <f>IFERROR(__xludf.DUMMYFUNCTION("""COMPUTED_VALUE"""),134.99)</f>
        <v>134.99</v>
      </c>
      <c r="I1732">
        <f>IFERROR(__xludf.DUMMYFUNCTION("""COMPUTED_VALUE"""),134.99)</f>
        <v>134.99</v>
      </c>
      <c r="BD1732" s="2006"/>
      <c r="LL1732" s="2008"/>
      <c r="LM1732" s="2007"/>
      <c r="MX1732" s="2007"/>
      <c r="ND1732" s="2008"/>
    </row>
    <row r="1733">
      <c r="A1733" s="2005">
        <f>IFERROR(__xludf.DUMMYFUNCTION("""COMPUTED_VALUE"""),1146916.0)</f>
        <v>1146916</v>
      </c>
      <c r="B1733" s="2005">
        <f>IFERROR(__xludf.DUMMYFUNCTION("""COMPUTED_VALUE"""),2403010.0)</f>
        <v>2403010</v>
      </c>
      <c r="C1733" s="2005" t="str">
        <f>IFERROR(__xludf.DUMMYFUNCTION("""COMPUTED_VALUE"""),"Toner")</f>
        <v>Toner</v>
      </c>
      <c r="D1733" s="2005" t="str">
        <f>IFERROR(__xludf.DUMMYFUNCTION("""COMPUTED_VALUE"""),"207A Magenta")</f>
        <v>207A Magenta</v>
      </c>
      <c r="E1733" s="2005" t="str">
        <f>IFERROR(__xludf.DUMMYFUNCTION("""COMPUTED_VALUE"""),"HP")</f>
        <v>HP</v>
      </c>
      <c r="F1733" s="2005" t="str">
        <f>IFERROR(__xludf.DUMMYFUNCTION("""COMPUTED_VALUE"""),"B")</f>
        <v>B</v>
      </c>
      <c r="G1733" s="2005" t="str">
        <f>IFERROR(__xludf.DUMMYFUNCTION("""COMPUTED_VALUE"""),"AC")</f>
        <v>AC</v>
      </c>
      <c r="H1733" s="2005">
        <f>IFERROR(__xludf.DUMMYFUNCTION("""COMPUTED_VALUE"""),99.99)</f>
        <v>99.99</v>
      </c>
      <c r="I1733" s="2005">
        <f>IFERROR(__xludf.DUMMYFUNCTION("""COMPUTED_VALUE"""),99.99)</f>
        <v>99.99</v>
      </c>
      <c r="BD1733" s="2006"/>
      <c r="LL1733" s="2008"/>
      <c r="LM1733" s="2007"/>
      <c r="MX1733" s="2007"/>
      <c r="ND1733" s="2008"/>
    </row>
    <row r="1734">
      <c r="A1734" s="2005">
        <f>IFERROR(__xludf.DUMMYFUNCTION("""COMPUTED_VALUE"""),1146917.0)</f>
        <v>1146917</v>
      </c>
      <c r="B1734" s="2005">
        <f>IFERROR(__xludf.DUMMYFUNCTION("""COMPUTED_VALUE"""),2403010.0)</f>
        <v>2403010</v>
      </c>
      <c r="C1734" s="2005" t="str">
        <f>IFERROR(__xludf.DUMMYFUNCTION("""COMPUTED_VALUE"""),"Toner")</f>
        <v>Toner</v>
      </c>
      <c r="D1734" s="2005" t="str">
        <f>IFERROR(__xludf.DUMMYFUNCTION("""COMPUTED_VALUE"""),"207X Magenta")</f>
        <v>207X Magenta</v>
      </c>
      <c r="E1734" s="2005" t="str">
        <f>IFERROR(__xludf.DUMMYFUNCTION("""COMPUTED_VALUE"""),"HP")</f>
        <v>HP</v>
      </c>
      <c r="F1734" s="2005" t="str">
        <f>IFERROR(__xludf.DUMMYFUNCTION("""COMPUTED_VALUE"""),"C")</f>
        <v>C</v>
      </c>
      <c r="G1734" s="2005" t="str">
        <f>IFERROR(__xludf.DUMMYFUNCTION("""COMPUTED_VALUE"""),"FF")</f>
        <v>FF</v>
      </c>
      <c r="H1734">
        <f>IFERROR(__xludf.DUMMYFUNCTION("""COMPUTED_VALUE"""),134.99)</f>
        <v>134.99</v>
      </c>
      <c r="I1734">
        <f>IFERROR(__xludf.DUMMYFUNCTION("""COMPUTED_VALUE"""),134.99)</f>
        <v>134.99</v>
      </c>
      <c r="BD1734" s="2006"/>
      <c r="LL1734" s="2007"/>
      <c r="LM1734" s="2007"/>
      <c r="MX1734" s="2007"/>
      <c r="ND1734" s="2007"/>
    </row>
    <row r="1735">
      <c r="A1735" s="2005">
        <f>IFERROR(__xludf.DUMMYFUNCTION("""COMPUTED_VALUE"""),1146961.0)</f>
        <v>1146961</v>
      </c>
      <c r="B1735" s="2005">
        <f>IFERROR(__xludf.DUMMYFUNCTION("""COMPUTED_VALUE"""),1103010.0)</f>
        <v>1103010</v>
      </c>
      <c r="C1735" s="2005" t="str">
        <f>IFERROR(__xludf.DUMMYFUNCTION("""COMPUTED_VALUE"""),"Tél.")</f>
        <v>Tél.</v>
      </c>
      <c r="D1735" s="2005" t="str">
        <f>IFERROR(__xludf.DUMMYFUNCTION("""COMPUTED_VALUE"""),"A605 Noir")</f>
        <v>A605 Noir</v>
      </c>
      <c r="E1735" s="2005" t="str">
        <f>IFERROR(__xludf.DUMMYFUNCTION("""COMPUTED_VALUE"""),"GIGASET")</f>
        <v>GIGASET</v>
      </c>
      <c r="F1735" s="2005" t="str">
        <f>IFERROR(__xludf.DUMMYFUNCTION("""COMPUTED_VALUE"""),"B")</f>
        <v>B</v>
      </c>
      <c r="G1735" s="2005" t="str">
        <f>IFERROR(__xludf.DUMMYFUNCTION("""COMPUTED_VALUE"""),"AC")</f>
        <v>AC</v>
      </c>
      <c r="H1735" s="2005">
        <f>IFERROR(__xludf.DUMMYFUNCTION("""COMPUTED_VALUE"""),34.99)</f>
        <v>34.99</v>
      </c>
      <c r="I1735" s="2005">
        <f>IFERROR(__xludf.DUMMYFUNCTION("""COMPUTED_VALUE"""),34.99)</f>
        <v>34.99</v>
      </c>
      <c r="BD1735" s="2006"/>
      <c r="LL1735" s="2007"/>
      <c r="LM1735" s="2007"/>
      <c r="MX1735" s="2007"/>
      <c r="ND1735" s="2008"/>
    </row>
    <row r="1736">
      <c r="A1736" s="2005">
        <f>IFERROR(__xludf.DUMMYFUNCTION("""COMPUTED_VALUE"""),1146962.0)</f>
        <v>1146962</v>
      </c>
      <c r="B1736" s="2005">
        <f>IFERROR(__xludf.DUMMYFUNCTION("""COMPUTED_VALUE"""),1103010.0)</f>
        <v>1103010</v>
      </c>
      <c r="C1736" s="2005" t="str">
        <f>IFERROR(__xludf.DUMMYFUNCTION("""COMPUTED_VALUE"""),"Pack")</f>
        <v>Pack</v>
      </c>
      <c r="D1736" s="2005" t="str">
        <f>IFERROR(__xludf.DUMMYFUNCTION("""COMPUTED_VALUE"""),"A605 Duo Noir")</f>
        <v>A605 Duo Noir</v>
      </c>
      <c r="E1736" s="2005" t="str">
        <f>IFERROR(__xludf.DUMMYFUNCTION("""COMPUTED_VALUE"""),"GIGASET")</f>
        <v>GIGASET</v>
      </c>
      <c r="F1736" s="2005" t="str">
        <f>IFERROR(__xludf.DUMMYFUNCTION("""COMPUTED_VALUE"""),"B")</f>
        <v>B</v>
      </c>
      <c r="G1736" s="2005" t="str">
        <f>IFERROR(__xludf.DUMMYFUNCTION("""COMPUTED_VALUE"""),"AC")</f>
        <v>AC</v>
      </c>
      <c r="H1736">
        <f>IFERROR(__xludf.DUMMYFUNCTION("""COMPUTED_VALUE"""),55.99)</f>
        <v>55.99</v>
      </c>
      <c r="I1736">
        <f>IFERROR(__xludf.DUMMYFUNCTION("""COMPUTED_VALUE"""),55.99)</f>
        <v>55.99</v>
      </c>
      <c r="BD1736" s="2006"/>
      <c r="LL1736" s="2007"/>
      <c r="LM1736" s="2007"/>
      <c r="MX1736" s="2007"/>
      <c r="ND1736" s="2007"/>
    </row>
    <row r="1737">
      <c r="A1737" s="2005">
        <f>IFERROR(__xludf.DUMMYFUNCTION("""COMPUTED_VALUE"""),1146963.0)</f>
        <v>1146963</v>
      </c>
      <c r="B1737" s="2005">
        <f>IFERROR(__xludf.DUMMYFUNCTION("""COMPUTED_VALUE"""),1103010.0)</f>
        <v>1103010</v>
      </c>
      <c r="C1737" s="2005" t="str">
        <f>IFERROR(__xludf.DUMMYFUNCTION("""COMPUTED_VALUE"""),"Pack")</f>
        <v>Pack</v>
      </c>
      <c r="D1737" s="2005" t="str">
        <f>IFERROR(__xludf.DUMMYFUNCTION("""COMPUTED_VALUE"""),"A605 Trio Noir")</f>
        <v>A605 Trio Noir</v>
      </c>
      <c r="E1737" s="2005" t="str">
        <f>IFERROR(__xludf.DUMMYFUNCTION("""COMPUTED_VALUE"""),"GIGASET")</f>
        <v>GIGASET</v>
      </c>
      <c r="F1737" s="2005" t="str">
        <f>IFERROR(__xludf.DUMMYFUNCTION("""COMPUTED_VALUE"""),"C")</f>
        <v>C</v>
      </c>
      <c r="G1737" s="2005" t="str">
        <f>IFERROR(__xludf.DUMMYFUNCTION("""COMPUTED_VALUE"""),"AC")</f>
        <v>AC</v>
      </c>
      <c r="H1737" s="2005">
        <f>IFERROR(__xludf.DUMMYFUNCTION("""COMPUTED_VALUE"""),75.99)</f>
        <v>75.99</v>
      </c>
      <c r="I1737" s="2005">
        <f>IFERROR(__xludf.DUMMYFUNCTION("""COMPUTED_VALUE"""),75.99)</f>
        <v>75.99</v>
      </c>
      <c r="BD1737" s="2006"/>
      <c r="LL1737" s="2007"/>
      <c r="LM1737" s="2007"/>
      <c r="MX1737" s="2007"/>
      <c r="ND1737" s="2007"/>
    </row>
    <row r="1738">
      <c r="A1738" s="2005">
        <f>IFERROR(__xludf.DUMMYFUNCTION("""COMPUTED_VALUE"""),1146964.0)</f>
        <v>1146964</v>
      </c>
      <c r="B1738" s="2005">
        <f>IFERROR(__xludf.DUMMYFUNCTION("""COMPUTED_VALUE"""),1103010.0)</f>
        <v>1103010</v>
      </c>
      <c r="C1738" s="2005" t="str">
        <f>IFERROR(__xludf.DUMMYFUNCTION("""COMPUTED_VALUE"""),"Tél.")</f>
        <v>Tél.</v>
      </c>
      <c r="D1738" s="2005" t="str">
        <f>IFERROR(__xludf.DUMMYFUNCTION("""COMPUTED_VALUE"""),"A605A Noir")</f>
        <v>A605A Noir</v>
      </c>
      <c r="E1738" s="2005" t="str">
        <f>IFERROR(__xludf.DUMMYFUNCTION("""COMPUTED_VALUE"""),"GIGASET")</f>
        <v>GIGASET</v>
      </c>
      <c r="F1738" s="2005" t="str">
        <f>IFERROR(__xludf.DUMMYFUNCTION("""COMPUTED_VALUE"""),"B")</f>
        <v>B</v>
      </c>
      <c r="G1738" s="2005" t="str">
        <f>IFERROR(__xludf.DUMMYFUNCTION("""COMPUTED_VALUE"""),"AC")</f>
        <v>AC</v>
      </c>
      <c r="H1738" s="2005">
        <f>IFERROR(__xludf.DUMMYFUNCTION("""COMPUTED_VALUE"""),45.99)</f>
        <v>45.99</v>
      </c>
      <c r="I1738" s="2005">
        <f>IFERROR(__xludf.DUMMYFUNCTION("""COMPUTED_VALUE"""),45.99)</f>
        <v>45.99</v>
      </c>
      <c r="BD1738" s="2006"/>
      <c r="LL1738" s="2007"/>
      <c r="LM1738" s="2007"/>
      <c r="MX1738" s="2007"/>
      <c r="ND1738" s="2007"/>
    </row>
    <row r="1739">
      <c r="A1739" s="2005">
        <f>IFERROR(__xludf.DUMMYFUNCTION("""COMPUTED_VALUE"""),1146965.0)</f>
        <v>1146965</v>
      </c>
      <c r="B1739" s="2005">
        <f>IFERROR(__xludf.DUMMYFUNCTION("""COMPUTED_VALUE"""),1103010.0)</f>
        <v>1103010</v>
      </c>
      <c r="C1739" s="2005" t="str">
        <f>IFERROR(__xludf.DUMMYFUNCTION("""COMPUTED_VALUE"""),"Tél.")</f>
        <v>Tél.</v>
      </c>
      <c r="D1739" s="2005" t="str">
        <f>IFERROR(__xludf.DUMMYFUNCTION("""COMPUTED_VALUE"""),"A605A Duo Noir")</f>
        <v>A605A Duo Noir</v>
      </c>
      <c r="E1739" s="2005" t="str">
        <f>IFERROR(__xludf.DUMMYFUNCTION("""COMPUTED_VALUE"""),"GIGASET")</f>
        <v>GIGASET</v>
      </c>
      <c r="F1739" s="2005" t="str">
        <f>IFERROR(__xludf.DUMMYFUNCTION("""COMPUTED_VALUE"""),"B")</f>
        <v>B</v>
      </c>
      <c r="G1739" s="2005" t="str">
        <f>IFERROR(__xludf.DUMMYFUNCTION("""COMPUTED_VALUE"""),"AC")</f>
        <v>AC</v>
      </c>
      <c r="H1739" s="2005">
        <f>IFERROR(__xludf.DUMMYFUNCTION("""COMPUTED_VALUE"""),65.99)</f>
        <v>65.99</v>
      </c>
      <c r="I1739" s="2005">
        <f>IFERROR(__xludf.DUMMYFUNCTION("""COMPUTED_VALUE"""),65.99)</f>
        <v>65.99</v>
      </c>
      <c r="BD1739" s="2006"/>
      <c r="LL1739" s="2007"/>
      <c r="LM1739" s="2007"/>
      <c r="MX1739" s="2007"/>
      <c r="ND1739" s="2007"/>
    </row>
    <row r="1740">
      <c r="A1740" s="2005">
        <f>IFERROR(__xludf.DUMMYFUNCTION("""COMPUTED_VALUE"""),1146967.0)</f>
        <v>1146967</v>
      </c>
      <c r="B1740" s="2005">
        <f>IFERROR(__xludf.DUMMYFUNCTION("""COMPUTED_VALUE"""),1103010.0)</f>
        <v>1103010</v>
      </c>
      <c r="C1740" s="2005" t="str">
        <f>IFERROR(__xludf.DUMMYFUNCTION("""COMPUTED_VALUE"""),"Pack")</f>
        <v>Pack</v>
      </c>
      <c r="D1740" s="2005" t="str">
        <f>IFERROR(__xludf.DUMMYFUNCTION("""COMPUTED_VALUE"""),"A605A Trio Noir")</f>
        <v>A605A Trio Noir</v>
      </c>
      <c r="E1740" s="2005" t="str">
        <f>IFERROR(__xludf.DUMMYFUNCTION("""COMPUTED_VALUE"""),"GIGASET")</f>
        <v>GIGASET</v>
      </c>
      <c r="F1740" s="2005" t="str">
        <f>IFERROR(__xludf.DUMMYFUNCTION("""COMPUTED_VALUE"""),"C")</f>
        <v>C</v>
      </c>
      <c r="G1740" s="2005" t="str">
        <f>IFERROR(__xludf.DUMMYFUNCTION("""COMPUTED_VALUE"""),"AC")</f>
        <v>AC</v>
      </c>
      <c r="H1740" s="2005">
        <f>IFERROR(__xludf.DUMMYFUNCTION("""COMPUTED_VALUE"""),85.99)</f>
        <v>85.99</v>
      </c>
      <c r="I1740" s="2005">
        <f>IFERROR(__xludf.DUMMYFUNCTION("""COMPUTED_VALUE"""),85.99)</f>
        <v>85.99</v>
      </c>
      <c r="BD1740" s="2006"/>
      <c r="LL1740" s="2007"/>
      <c r="LM1740" s="2007"/>
      <c r="MX1740" s="2007"/>
      <c r="ND1740" s="2007"/>
    </row>
    <row r="1741">
      <c r="A1741" s="2005">
        <f>IFERROR(__xludf.DUMMYFUNCTION("""COMPUTED_VALUE"""),1146968.0)</f>
        <v>1146968</v>
      </c>
      <c r="B1741" s="2005">
        <f>IFERROR(__xludf.DUMMYFUNCTION("""COMPUTED_VALUE"""),1103010.0)</f>
        <v>1103010</v>
      </c>
      <c r="C1741" s="2005" t="str">
        <f>IFERROR(__xludf.DUMMYFUNCTION("""COMPUTED_VALUE"""),"Pack")</f>
        <v>Pack</v>
      </c>
      <c r="D1741" s="2005" t="str">
        <f>IFERROR(__xludf.DUMMYFUNCTION("""COMPUTED_VALUE"""),"A605A Quattro Noir")</f>
        <v>A605A Quattro Noir</v>
      </c>
      <c r="E1741" s="2005" t="str">
        <f>IFERROR(__xludf.DUMMYFUNCTION("""COMPUTED_VALUE"""),"GIGASET")</f>
        <v>GIGASET</v>
      </c>
      <c r="F1741" s="2005" t="str">
        <f>IFERROR(__xludf.DUMMYFUNCTION("""COMPUTED_VALUE"""),"C")</f>
        <v>C</v>
      </c>
      <c r="G1741" s="2005" t="str">
        <f>IFERROR(__xludf.DUMMYFUNCTION("""COMPUTED_VALUE"""),"AC")</f>
        <v>AC</v>
      </c>
      <c r="H1741" s="2005">
        <f>IFERROR(__xludf.DUMMYFUNCTION("""COMPUTED_VALUE"""),99.99)</f>
        <v>99.99</v>
      </c>
      <c r="I1741" s="2005">
        <f>IFERROR(__xludf.DUMMYFUNCTION("""COMPUTED_VALUE"""),99.99)</f>
        <v>99.99</v>
      </c>
      <c r="BD1741" s="2006"/>
      <c r="LL1741" s="2007"/>
      <c r="LM1741" s="2007"/>
      <c r="MX1741" s="2007"/>
      <c r="ND1741" s="2007"/>
    </row>
    <row r="1742">
      <c r="A1742" s="2005">
        <f>IFERROR(__xludf.DUMMYFUNCTION("""COMPUTED_VALUE"""),1147364.0)</f>
        <v>1147364</v>
      </c>
      <c r="B1742" s="2005">
        <f>IFERROR(__xludf.DUMMYFUNCTION("""COMPUTED_VALUE"""),2503010.0)</f>
        <v>2503010</v>
      </c>
      <c r="C1742" s="2005" t="str">
        <f>IFERROR(__xludf.DUMMYFUNCTION("""COMPUTED_VALUE"""),"Casque")</f>
        <v>Casque</v>
      </c>
      <c r="D1742" s="2005" t="str">
        <f>IFERROR(__xludf.DUMMYFUNCTION("""COMPUTED_VALUE"""),"Sennheiser PC 7 USB")</f>
        <v>Sennheiser PC 7 USB</v>
      </c>
      <c r="E1742" s="2005" t="str">
        <f>IFERROR(__xludf.DUMMYFUNCTION("""COMPUTED_VALUE"""),"EPOS")</f>
        <v>EPOS</v>
      </c>
      <c r="F1742" s="2005" t="str">
        <f>IFERROR(__xludf.DUMMYFUNCTION("""COMPUTED_VALUE"""),"B")</f>
        <v>B</v>
      </c>
      <c r="G1742" s="2005" t="str">
        <f>IFERROR(__xludf.DUMMYFUNCTION("""COMPUTED_VALUE"""),"NN")</f>
        <v>NN</v>
      </c>
      <c r="H1742" s="2005">
        <f>IFERROR(__xludf.DUMMYFUNCTION("""COMPUTED_VALUE"""),20.99)</f>
        <v>20.99</v>
      </c>
      <c r="I1742" s="2005">
        <f>IFERROR(__xludf.DUMMYFUNCTION("""COMPUTED_VALUE"""),20.99)</f>
        <v>20.99</v>
      </c>
      <c r="BD1742" s="2006"/>
      <c r="LL1742" s="2007"/>
      <c r="LM1742" s="2007"/>
      <c r="MX1742" s="2007"/>
      <c r="ND1742" s="2007"/>
    </row>
    <row r="1743">
      <c r="A1743" s="2005">
        <f>IFERROR(__xludf.DUMMYFUNCTION("""COMPUTED_VALUE"""),1147365.0)</f>
        <v>1147365</v>
      </c>
      <c r="B1743" s="2005">
        <f>IFERROR(__xludf.DUMMYFUNCTION("""COMPUTED_VALUE"""),2403010.0)</f>
        <v>2403010</v>
      </c>
      <c r="C1743" s="2005" t="str">
        <f>IFERROR(__xludf.DUMMYFUNCTION("""COMPUTED_VALUE"""),"Toner")</f>
        <v>Toner</v>
      </c>
      <c r="D1743" s="2005" t="str">
        <f>IFERROR(__xludf.DUMMYFUNCTION("""COMPUTED_VALUE"""),"94A Noir")</f>
        <v>94A Noir</v>
      </c>
      <c r="E1743" s="2005" t="str">
        <f>IFERROR(__xludf.DUMMYFUNCTION("""COMPUTED_VALUE"""),"HP")</f>
        <v>HP</v>
      </c>
      <c r="F1743" s="2005" t="str">
        <f>IFERROR(__xludf.DUMMYFUNCTION("""COMPUTED_VALUE"""),"H")</f>
        <v>H</v>
      </c>
      <c r="G1743" s="2005" t="str">
        <f>IFERROR(__xludf.DUMMYFUNCTION("""COMPUTED_VALUE"""),"AC")</f>
        <v>AC</v>
      </c>
      <c r="H1743" s="2005">
        <f>IFERROR(__xludf.DUMMYFUNCTION("""COMPUTED_VALUE"""),64.99)</f>
        <v>64.99</v>
      </c>
      <c r="I1743" s="2005">
        <f>IFERROR(__xludf.DUMMYFUNCTION("""COMPUTED_VALUE"""),64.99)</f>
        <v>64.99</v>
      </c>
      <c r="BD1743" s="2006"/>
      <c r="LL1743" s="2008"/>
      <c r="LM1743" s="2007"/>
      <c r="MX1743" s="2008"/>
      <c r="ND1743" s="2008"/>
    </row>
    <row r="1744">
      <c r="A1744" s="2005">
        <f>IFERROR(__xludf.DUMMYFUNCTION("""COMPUTED_VALUE"""),1147366.0)</f>
        <v>1147366</v>
      </c>
      <c r="B1744" s="2005">
        <f>IFERROR(__xludf.DUMMYFUNCTION("""COMPUTED_VALUE"""),2403010.0)</f>
        <v>2403010</v>
      </c>
      <c r="C1744" s="2005" t="str">
        <f>IFERROR(__xludf.DUMMYFUNCTION("""COMPUTED_VALUE"""),"Toner")</f>
        <v>Toner</v>
      </c>
      <c r="D1744" s="2005" t="str">
        <f>IFERROR(__xludf.DUMMYFUNCTION("""COMPUTED_VALUE"""),"94X Noir")</f>
        <v>94X Noir</v>
      </c>
      <c r="E1744" s="2005" t="str">
        <f>IFERROR(__xludf.DUMMYFUNCTION("""COMPUTED_VALUE"""),"HP")</f>
        <v>HP</v>
      </c>
      <c r="F1744" s="2005" t="str">
        <f>IFERROR(__xludf.DUMMYFUNCTION("""COMPUTED_VALUE"""),"H")</f>
        <v>H</v>
      </c>
      <c r="G1744" s="2005" t="str">
        <f>IFERROR(__xludf.DUMMYFUNCTION("""COMPUTED_VALUE"""),"AC")</f>
        <v>AC</v>
      </c>
      <c r="H1744" s="2005">
        <f>IFERROR(__xludf.DUMMYFUNCTION("""COMPUTED_VALUE"""),116.99)</f>
        <v>116.99</v>
      </c>
      <c r="I1744" s="2005">
        <f>IFERROR(__xludf.DUMMYFUNCTION("""COMPUTED_VALUE"""),116.99)</f>
        <v>116.99</v>
      </c>
      <c r="BD1744" s="2006"/>
      <c r="LL1744" s="2007"/>
      <c r="LM1744" s="2007"/>
      <c r="MX1744" s="2007"/>
      <c r="ND1744" s="2008"/>
    </row>
    <row r="1745">
      <c r="A1745" s="2005">
        <f>IFERROR(__xludf.DUMMYFUNCTION("""COMPUTED_VALUE"""),1147367.0)</f>
        <v>1147367</v>
      </c>
      <c r="B1745" s="2005">
        <f>IFERROR(__xludf.DUMMYFUNCTION("""COMPUTED_VALUE"""),2403010.0)</f>
        <v>2403010</v>
      </c>
      <c r="C1745" s="2005" t="str">
        <f>IFERROR(__xludf.DUMMYFUNCTION("""COMPUTED_VALUE"""),"Tambour")</f>
        <v>Tambour</v>
      </c>
      <c r="D1745" s="2005" t="str">
        <f>IFERROR(__xludf.DUMMYFUNCTION("""COMPUTED_VALUE"""),"32A pour  M148dw")</f>
        <v>32A pour  M148dw</v>
      </c>
      <c r="E1745" s="2005" t="str">
        <f>IFERROR(__xludf.DUMMYFUNCTION("""COMPUTED_VALUE"""),"HP")</f>
        <v>HP</v>
      </c>
      <c r="F1745" s="2005" t="str">
        <f>IFERROR(__xludf.DUMMYFUNCTION("""COMPUTED_VALUE"""),"H")</f>
        <v>H</v>
      </c>
      <c r="G1745" s="2005" t="str">
        <f>IFERROR(__xludf.DUMMYFUNCTION("""COMPUTED_VALUE"""),"AC")</f>
        <v>AC</v>
      </c>
      <c r="H1745" s="2005">
        <f>IFERROR(__xludf.DUMMYFUNCTION("""COMPUTED_VALUE"""),125.99)</f>
        <v>125.99</v>
      </c>
      <c r="I1745" s="2005">
        <f>IFERROR(__xludf.DUMMYFUNCTION("""COMPUTED_VALUE"""),125.99)</f>
        <v>125.99</v>
      </c>
      <c r="BD1745" s="2006"/>
      <c r="LL1745" s="2007"/>
      <c r="LM1745" s="2007"/>
      <c r="MX1745" s="2007"/>
      <c r="ND1745" s="2008"/>
    </row>
    <row r="1746">
      <c r="A1746" s="2005">
        <f>IFERROR(__xludf.DUMMYFUNCTION("""COMPUTED_VALUE"""),1147888.0)</f>
        <v>1147888</v>
      </c>
      <c r="B1746" s="2005">
        <f>IFERROR(__xludf.DUMMYFUNCTION("""COMPUTED_VALUE"""),2502010.0)</f>
        <v>2502010</v>
      </c>
      <c r="C1746" s="2005" t="str">
        <f>IFERROR(__xludf.DUMMYFUNCTION("""COMPUTED_VALUE"""),"Souris")</f>
        <v>Souris</v>
      </c>
      <c r="D1746" s="2005" t="str">
        <f>IFERROR(__xludf.DUMMYFUNCTION("""COMPUTED_VALUE"""),"Wireless 200")</f>
        <v>Wireless 200</v>
      </c>
      <c r="E1746" s="2005" t="str">
        <f>IFERROR(__xludf.DUMMYFUNCTION("""COMPUTED_VALUE"""),"HP")</f>
        <v>HP</v>
      </c>
      <c r="F1746" s="2005" t="str">
        <f>IFERROR(__xludf.DUMMYFUNCTION("""COMPUTED_VALUE"""),"B")</f>
        <v>B</v>
      </c>
      <c r="G1746" s="2005" t="str">
        <f>IFERROR(__xludf.DUMMYFUNCTION("""COMPUTED_VALUE"""),"AC")</f>
        <v>AC</v>
      </c>
      <c r="H1746" s="2005">
        <f>IFERROR(__xludf.DUMMYFUNCTION("""COMPUTED_VALUE"""),23.01)</f>
        <v>23.01</v>
      </c>
      <c r="I1746" s="2005">
        <f>IFERROR(__xludf.DUMMYFUNCTION("""COMPUTED_VALUE"""),23.01)</f>
        <v>23.01</v>
      </c>
      <c r="BD1746" s="2006"/>
      <c r="LL1746" s="2007"/>
      <c r="LM1746" s="2007"/>
      <c r="MX1746" s="2007"/>
      <c r="ND1746" s="2007"/>
    </row>
    <row r="1747">
      <c r="A1747" s="2005">
        <f>IFERROR(__xludf.DUMMYFUNCTION("""COMPUTED_VALUE"""),1147980.0)</f>
        <v>1147980</v>
      </c>
      <c r="B1747" s="2005">
        <f>IFERROR(__xludf.DUMMYFUNCTION("""COMPUTED_VALUE"""),2502020.0)</f>
        <v>2502020</v>
      </c>
      <c r="C1747" s="2005" t="str">
        <f>IFERROR(__xludf.DUMMYFUNCTION("""COMPUTED_VALUE"""),"Webcam")</f>
        <v>Webcam</v>
      </c>
      <c r="D1747" s="2005" t="str">
        <f>IFERROR(__xludf.DUMMYFUNCTION("""COMPUTED_VALUE"""),"PW 3100 Full Hd Autofocus 1080P")</f>
        <v>PW 3100 Full Hd Autofocus 1080P</v>
      </c>
      <c r="E1747" s="2005" t="str">
        <f>IFERROR(__xludf.DUMMYFUNCTION("""COMPUTED_VALUE"""),"AVERMEDIA")</f>
        <v>AVERMEDIA</v>
      </c>
      <c r="F1747" s="2005" t="str">
        <f>IFERROR(__xludf.DUMMYFUNCTION("""COMPUTED_VALUE"""),"C")</f>
        <v>C</v>
      </c>
      <c r="G1747" s="2005" t="str">
        <f>IFERROR(__xludf.DUMMYFUNCTION("""COMPUTED_VALUE"""),"NN")</f>
        <v>NN</v>
      </c>
      <c r="H1747">
        <f>IFERROR(__xludf.DUMMYFUNCTION("""COMPUTED_VALUE"""),48.99)</f>
        <v>48.99</v>
      </c>
      <c r="I1747">
        <f>IFERROR(__xludf.DUMMYFUNCTION("""COMPUTED_VALUE"""),48.99)</f>
        <v>48.99</v>
      </c>
      <c r="BD1747" s="2006"/>
      <c r="LL1747" s="2007"/>
      <c r="LM1747" s="2007"/>
      <c r="MX1747" s="2007"/>
      <c r="ND1747" s="2008"/>
    </row>
    <row r="1748">
      <c r="A1748" s="2005">
        <f>IFERROR(__xludf.DUMMYFUNCTION("""COMPUTED_VALUE"""),1147990.0)</f>
        <v>1147990</v>
      </c>
      <c r="B1748" s="2005">
        <f>IFERROR(__xludf.DUMMYFUNCTION("""COMPUTED_VALUE"""),2202005.0)</f>
        <v>2202005</v>
      </c>
      <c r="C1748" s="2005" t="str">
        <f>IFERROR(__xludf.DUMMYFUNCTION("""COMPUTED_VALUE"""),"Multi Jet d'enc")</f>
        <v>Multi Jet d'enc</v>
      </c>
      <c r="D1748" s="2005" t="str">
        <f>IFERROR(__xludf.DUMMYFUNCTION("""COMPUTED_VALUE"""),"Deskjet 2710 éligible Instant Ink")</f>
        <v>Deskjet 2710 éligible Instant Ink</v>
      </c>
      <c r="E1748" s="2005" t="str">
        <f>IFERROR(__xludf.DUMMYFUNCTION("""COMPUTED_VALUE"""),"HP")</f>
        <v>HP</v>
      </c>
      <c r="F1748" s="2005" t="str">
        <f>IFERROR(__xludf.DUMMYFUNCTION("""COMPUTED_VALUE"""),"B")</f>
        <v>B</v>
      </c>
      <c r="G1748" s="2005" t="str">
        <f>IFERROR(__xludf.DUMMYFUNCTION("""COMPUTED_VALUE"""),"NN")</f>
        <v>NN</v>
      </c>
      <c r="H1748">
        <f>IFERROR(__xludf.DUMMYFUNCTION("""COMPUTED_VALUE"""),29.99)</f>
        <v>29.99</v>
      </c>
      <c r="I1748">
        <f>IFERROR(__xludf.DUMMYFUNCTION("""COMPUTED_VALUE"""),29.99)</f>
        <v>29.99</v>
      </c>
      <c r="BD1748" s="2006"/>
      <c r="LL1748" s="2008"/>
      <c r="LM1748" s="2007"/>
      <c r="MX1748" s="2008"/>
      <c r="ND1748" s="2008"/>
    </row>
    <row r="1749">
      <c r="A1749" s="2005">
        <f>IFERROR(__xludf.DUMMYFUNCTION("""COMPUTED_VALUE"""),1148031.0)</f>
        <v>1148031</v>
      </c>
      <c r="B1749" s="2005">
        <f>IFERROR(__xludf.DUMMYFUNCTION("""COMPUTED_VALUE"""),2707005.0)</f>
        <v>2707005</v>
      </c>
      <c r="C1749" s="2005" t="str">
        <f>IFERROR(__xludf.DUMMYFUNCTION("""COMPUTED_VALUE"""),"Traducteur")</f>
        <v>Traducteur</v>
      </c>
      <c r="D1749" s="2005" t="str">
        <f>IFERROR(__xludf.DUMMYFUNCTION("""COMPUTED_VALUE"""),"Interpretor  II")</f>
        <v>Interpretor  II</v>
      </c>
      <c r="E1749" s="2005" t="str">
        <f>IFERROR(__xludf.DUMMYFUNCTION("""COMPUTED_VALUE"""),"LEXIBOOK")</f>
        <v>LEXIBOOK</v>
      </c>
      <c r="F1749" s="2005" t="str">
        <f>IFERROR(__xludf.DUMMYFUNCTION("""COMPUTED_VALUE"""),"E")</f>
        <v>E</v>
      </c>
      <c r="G1749" s="2005" t="str">
        <f>IFERROR(__xludf.DUMMYFUNCTION("""COMPUTED_VALUE"""),"AC")</f>
        <v>AC</v>
      </c>
      <c r="H1749" s="2005">
        <f>IFERROR(__xludf.DUMMYFUNCTION("""COMPUTED_VALUE"""),179.99)</f>
        <v>179.99</v>
      </c>
      <c r="I1749" s="2005">
        <f>IFERROR(__xludf.DUMMYFUNCTION("""COMPUTED_VALUE"""),179.99)</f>
        <v>179.99</v>
      </c>
      <c r="BD1749" s="2006"/>
      <c r="LL1749" s="2008"/>
      <c r="LM1749" s="2007"/>
      <c r="MX1749" s="2007"/>
      <c r="ND1749" s="2008"/>
    </row>
    <row r="1750">
      <c r="A1750" s="2005">
        <f>IFERROR(__xludf.DUMMYFUNCTION("""COMPUTED_VALUE"""),1148048.0)</f>
        <v>1148048</v>
      </c>
      <c r="B1750" s="2005">
        <f>IFERROR(__xludf.DUMMYFUNCTION("""COMPUTED_VALUE"""),2502020.0)</f>
        <v>2502020</v>
      </c>
      <c r="C1750" s="2005" t="str">
        <f>IFERROR(__xludf.DUMMYFUNCTION("""COMPUTED_VALUE"""),"Webcam")</f>
        <v>Webcam</v>
      </c>
      <c r="D1750" s="2005" t="str">
        <f>IFERROR(__xludf.DUMMYFUNCTION("""COMPUTED_VALUE"""),"WHD20UF")</f>
        <v>WHD20UF</v>
      </c>
      <c r="E1750" s="2005" t="str">
        <f>IFERROR(__xludf.DUMMYFUNCTION("""COMPUTED_VALUE"""),"URBAN FACTORY")</f>
        <v>URBAN FACTORY</v>
      </c>
      <c r="F1750" s="2005" t="str">
        <f>IFERROR(__xludf.DUMMYFUNCTION("""COMPUTED_VALUE"""),"A")</f>
        <v>A</v>
      </c>
      <c r="G1750" s="2005" t="str">
        <f>IFERROR(__xludf.DUMMYFUNCTION("""COMPUTED_VALUE"""),"NN")</f>
        <v>NN</v>
      </c>
      <c r="H1750" s="2005">
        <f>IFERROR(__xludf.DUMMYFUNCTION("""COMPUTED_VALUE"""),29.99)</f>
        <v>29.99</v>
      </c>
      <c r="I1750" s="2005">
        <f>IFERROR(__xludf.DUMMYFUNCTION("""COMPUTED_VALUE"""),29.99)</f>
        <v>29.99</v>
      </c>
      <c r="BD1750" s="2006"/>
      <c r="LL1750" s="2007"/>
      <c r="LM1750" s="2007"/>
      <c r="MX1750" s="2007"/>
      <c r="ND1750" s="2007"/>
    </row>
    <row r="1751">
      <c r="A1751" s="2005">
        <f>IFERROR(__xludf.DUMMYFUNCTION("""COMPUTED_VALUE"""),1148228.0)</f>
        <v>1148228</v>
      </c>
      <c r="B1751" s="2005">
        <f>IFERROR(__xludf.DUMMYFUNCTION("""COMPUTED_VALUE"""),2502010.0)</f>
        <v>2502010</v>
      </c>
      <c r="C1751" s="2005" t="str">
        <f>IFERROR(__xludf.DUMMYFUNCTION("""COMPUTED_VALUE"""),"Souris")</f>
        <v>Souris</v>
      </c>
      <c r="D1751" s="2005" t="str">
        <f>IFERROR(__xludf.DUMMYFUNCTION("""COMPUTED_VALUE"""),"MX Master 3 pour MAC")</f>
        <v>MX Master 3 pour MAC</v>
      </c>
      <c r="E1751" s="2005" t="str">
        <f>IFERROR(__xludf.DUMMYFUNCTION("""COMPUTED_VALUE"""),"LOGITECH")</f>
        <v>LOGITECH</v>
      </c>
      <c r="F1751" s="2005" t="str">
        <f>IFERROR(__xludf.DUMMYFUNCTION("""COMPUTED_VALUE"""),"D")</f>
        <v>D</v>
      </c>
      <c r="G1751" s="2005" t="str">
        <f>IFERROR(__xludf.DUMMYFUNCTION("""COMPUTED_VALUE"""),"NN")</f>
        <v>NN</v>
      </c>
      <c r="H1751">
        <f>IFERROR(__xludf.DUMMYFUNCTION("""COMPUTED_VALUE"""),129.99)</f>
        <v>129.99</v>
      </c>
      <c r="I1751">
        <f>IFERROR(__xludf.DUMMYFUNCTION("""COMPUTED_VALUE"""),129.99)</f>
        <v>129.99</v>
      </c>
      <c r="BD1751" s="2006"/>
      <c r="LL1751" s="2007"/>
      <c r="LM1751" s="2007"/>
      <c r="MX1751" s="2008"/>
      <c r="ND1751" s="2008"/>
    </row>
    <row r="1752">
      <c r="A1752" s="2005">
        <f>IFERROR(__xludf.DUMMYFUNCTION("""COMPUTED_VALUE"""),1148315.0)</f>
        <v>1148315</v>
      </c>
      <c r="B1752" s="2005">
        <f>IFERROR(__xludf.DUMMYFUNCTION("""COMPUTED_VALUE"""),2502015.0)</f>
        <v>2502015</v>
      </c>
      <c r="C1752" s="2005" t="str">
        <f>IFERROR(__xludf.DUMMYFUNCTION("""COMPUTED_VALUE"""),"Clavier")</f>
        <v>Clavier</v>
      </c>
      <c r="D1752" s="2005" t="str">
        <f>IFERROR(__xludf.DUMMYFUNCTION("""COMPUTED_VALUE"""),"MX KEYS pour MAC space gray")</f>
        <v>MX KEYS pour MAC space gray</v>
      </c>
      <c r="E1752" s="2005" t="str">
        <f>IFERROR(__xludf.DUMMYFUNCTION("""COMPUTED_VALUE"""),"LOGITECH")</f>
        <v>LOGITECH</v>
      </c>
      <c r="F1752" s="2005" t="str">
        <f>IFERROR(__xludf.DUMMYFUNCTION("""COMPUTED_VALUE"""),"D")</f>
        <v>D</v>
      </c>
      <c r="G1752" s="2005" t="str">
        <f>IFERROR(__xludf.DUMMYFUNCTION("""COMPUTED_VALUE"""),"AC")</f>
        <v>AC</v>
      </c>
      <c r="H1752">
        <f>IFERROR(__xludf.DUMMYFUNCTION("""COMPUTED_VALUE"""),129.99)</f>
        <v>129.99</v>
      </c>
      <c r="I1752">
        <f>IFERROR(__xludf.DUMMYFUNCTION("""COMPUTED_VALUE"""),129.99)</f>
        <v>129.99</v>
      </c>
      <c r="LM1752" s="2007"/>
    </row>
    <row r="1753">
      <c r="A1753" s="2005">
        <f>IFERROR(__xludf.DUMMYFUNCTION("""COMPUTED_VALUE"""),1148316.0)</f>
        <v>1148316</v>
      </c>
      <c r="B1753" s="2005">
        <f>IFERROR(__xludf.DUMMYFUNCTION("""COMPUTED_VALUE"""),2502015.0)</f>
        <v>2502015</v>
      </c>
      <c r="C1753" s="2005" t="str">
        <f>IFERROR(__xludf.DUMMYFUNCTION("""COMPUTED_VALUE"""),"Clavier")</f>
        <v>Clavier</v>
      </c>
      <c r="D1753" s="2005" t="str">
        <f>IFERROR(__xludf.DUMMYFUNCTION("""COMPUTED_VALUE"""),"K380 Bluetooth Blanc")</f>
        <v>K380 Bluetooth Blanc</v>
      </c>
      <c r="E1753" s="2005" t="str">
        <f>IFERROR(__xludf.DUMMYFUNCTION("""COMPUTED_VALUE"""),"LOGITECH")</f>
        <v>LOGITECH</v>
      </c>
      <c r="F1753" s="2005" t="str">
        <f>IFERROR(__xludf.DUMMYFUNCTION("""COMPUTED_VALUE"""),"C")</f>
        <v>C</v>
      </c>
      <c r="G1753" s="2005" t="str">
        <f>IFERROR(__xludf.DUMMYFUNCTION("""COMPUTED_VALUE"""),"FI")</f>
        <v>FI</v>
      </c>
      <c r="H1753" s="2005">
        <f>IFERROR(__xludf.DUMMYFUNCTION("""COMPUTED_VALUE"""),54.99)</f>
        <v>54.99</v>
      </c>
      <c r="I1753" s="2005">
        <f>IFERROR(__xludf.DUMMYFUNCTION("""COMPUTED_VALUE"""),54.99)</f>
        <v>54.99</v>
      </c>
      <c r="LM1753" s="2007"/>
    </row>
    <row r="1754">
      <c r="A1754" s="2005">
        <f>IFERROR(__xludf.DUMMYFUNCTION("""COMPUTED_VALUE"""),1148362.0)</f>
        <v>1148362</v>
      </c>
      <c r="B1754" s="2005">
        <f>IFERROR(__xludf.DUMMYFUNCTION("""COMPUTED_VALUE"""),2503010.0)</f>
        <v>2503010</v>
      </c>
      <c r="C1754" s="2005" t="str">
        <f>IFERROR(__xludf.DUMMYFUNCTION("""COMPUTED_VALUE"""),"Casque micro")</f>
        <v>Casque micro</v>
      </c>
      <c r="D1754" s="2005" t="str">
        <f>IFERROR(__xludf.DUMMYFUNCTION("""COMPUTED_VALUE"""),"Arceau réglable Micro pivotant")</f>
        <v>Arceau réglable Micro pivotant</v>
      </c>
      <c r="E1754" s="2005" t="str">
        <f>IFERROR(__xludf.DUMMYFUNCTION("""COMPUTED_VALUE"""),"WE")</f>
        <v>WE</v>
      </c>
      <c r="F1754" s="2005" t="str">
        <f>IFERROR(__xludf.DUMMYFUNCTION("""COMPUTED_VALUE"""),"C")</f>
        <v>C</v>
      </c>
      <c r="G1754" s="2005" t="str">
        <f>IFERROR(__xludf.DUMMYFUNCTION("""COMPUTED_VALUE"""),"NN")</f>
        <v>NN</v>
      </c>
      <c r="H1754" s="2005">
        <f>IFERROR(__xludf.DUMMYFUNCTION("""COMPUTED_VALUE"""),7.99)</f>
        <v>7.99</v>
      </c>
      <c r="I1754" s="2005">
        <f>IFERROR(__xludf.DUMMYFUNCTION("""COMPUTED_VALUE"""),7.99)</f>
        <v>7.99</v>
      </c>
      <c r="LM1754" s="2007"/>
    </row>
    <row r="1755">
      <c r="A1755" s="2005">
        <f>IFERROR(__xludf.DUMMYFUNCTION("""COMPUTED_VALUE"""),1149082.0)</f>
        <v>1149082</v>
      </c>
      <c r="B1755" s="2005">
        <f>IFERROR(__xludf.DUMMYFUNCTION("""COMPUTED_VALUE"""),2403010.0)</f>
        <v>2403010</v>
      </c>
      <c r="C1755" s="2005" t="str">
        <f>IFERROR(__xludf.DUMMYFUNCTION("""COMPUTED_VALUE"""),"Toner")</f>
        <v>Toner</v>
      </c>
      <c r="D1755" s="2005" t="str">
        <f>IFERROR(__xludf.DUMMYFUNCTION("""COMPUTED_VALUE"""),"143A Noir Neverstop x2")</f>
        <v>143A Noir Neverstop x2</v>
      </c>
      <c r="E1755" s="2005" t="str">
        <f>IFERROR(__xludf.DUMMYFUNCTION("""COMPUTED_VALUE"""),"HP")</f>
        <v>HP</v>
      </c>
      <c r="F1755" s="2005" t="str">
        <f>IFERROR(__xludf.DUMMYFUNCTION("""COMPUTED_VALUE"""),"B")</f>
        <v>B</v>
      </c>
      <c r="G1755" s="2005" t="str">
        <f>IFERROR(__xludf.DUMMYFUNCTION("""COMPUTED_VALUE"""),"FF")</f>
        <v>FF</v>
      </c>
      <c r="H1755">
        <f>IFERROR(__xludf.DUMMYFUNCTION("""COMPUTED_VALUE"""),46.99)</f>
        <v>46.99</v>
      </c>
      <c r="I1755">
        <f>IFERROR(__xludf.DUMMYFUNCTION("""COMPUTED_VALUE"""),46.99)</f>
        <v>46.99</v>
      </c>
      <c r="LM1755" s="2007"/>
    </row>
    <row r="1756">
      <c r="A1756" s="2005">
        <f>IFERROR(__xludf.DUMMYFUNCTION("""COMPUTED_VALUE"""),1149083.0)</f>
        <v>1149083</v>
      </c>
      <c r="B1756" s="2005">
        <f>IFERROR(__xludf.DUMMYFUNCTION("""COMPUTED_VALUE"""),2403010.0)</f>
        <v>2403010</v>
      </c>
      <c r="C1756" s="2005" t="str">
        <f>IFERROR(__xludf.DUMMYFUNCTION("""COMPUTED_VALUE"""),"Toner")</f>
        <v>Toner</v>
      </c>
      <c r="D1756" s="2005" t="str">
        <f>IFERROR(__xludf.DUMMYFUNCTION("""COMPUTED_VALUE"""),"144A Neverstop")</f>
        <v>144A Neverstop</v>
      </c>
      <c r="E1756" s="2005" t="str">
        <f>IFERROR(__xludf.DUMMYFUNCTION("""COMPUTED_VALUE"""),"HP")</f>
        <v>HP</v>
      </c>
      <c r="F1756" s="2005" t="str">
        <f>IFERROR(__xludf.DUMMYFUNCTION("""COMPUTED_VALUE"""),"H")</f>
        <v>H</v>
      </c>
      <c r="G1756" s="2005" t="str">
        <f>IFERROR(__xludf.DUMMYFUNCTION("""COMPUTED_VALUE"""),"AC")</f>
        <v>AC</v>
      </c>
      <c r="H1756">
        <f>IFERROR(__xludf.DUMMYFUNCTION("""COMPUTED_VALUE"""),121.99)</f>
        <v>121.99</v>
      </c>
      <c r="I1756">
        <f>IFERROR(__xludf.DUMMYFUNCTION("""COMPUTED_VALUE"""),121.99)</f>
        <v>121.99</v>
      </c>
      <c r="LM1756" s="2007"/>
    </row>
    <row r="1757">
      <c r="A1757" s="2005">
        <f>IFERROR(__xludf.DUMMYFUNCTION("""COMPUTED_VALUE"""),1149420.0)</f>
        <v>1149420</v>
      </c>
      <c r="B1757" s="2005">
        <f>IFERROR(__xludf.DUMMYFUNCTION("""COMPUTED_VALUE"""),1103015.0)</f>
        <v>1103015</v>
      </c>
      <c r="C1757" s="2005" t="str">
        <f>IFERROR(__xludf.DUMMYFUNCTION("""COMPUTED_VALUE"""),"Tél.")</f>
        <v>Tél.</v>
      </c>
      <c r="D1757" s="2005" t="str">
        <f>IFERROR(__xludf.DUMMYFUNCTION("""COMPUTED_VALUE"""),"Combiné supplémentaire R650H Pro Gris")</f>
        <v>Combiné supplémentaire R650H Pro Gris</v>
      </c>
      <c r="E1757" s="2005" t="str">
        <f>IFERROR(__xludf.DUMMYFUNCTION("""COMPUTED_VALUE"""),"GIGASET")</f>
        <v>GIGASET</v>
      </c>
      <c r="F1757" s="2005" t="str">
        <f>IFERROR(__xludf.DUMMYFUNCTION("""COMPUTED_VALUE"""),"H")</f>
        <v>H</v>
      </c>
      <c r="G1757" s="2005" t="str">
        <f>IFERROR(__xludf.DUMMYFUNCTION("""COMPUTED_VALUE"""),"NN")</f>
        <v>NN</v>
      </c>
      <c r="H1757" s="2005">
        <f>IFERROR(__xludf.DUMMYFUNCTION("""COMPUTED_VALUE"""),154.99)</f>
        <v>154.99</v>
      </c>
      <c r="I1757" s="2005">
        <f>IFERROR(__xludf.DUMMYFUNCTION("""COMPUTED_VALUE"""),154.99)</f>
        <v>154.99</v>
      </c>
      <c r="LM1757" s="2007"/>
    </row>
    <row r="1758">
      <c r="A1758" s="2005">
        <f>IFERROR(__xludf.DUMMYFUNCTION("""COMPUTED_VALUE"""),1149425.0)</f>
        <v>1149425</v>
      </c>
      <c r="B1758" s="2005">
        <f>IFERROR(__xludf.DUMMYFUNCTION("""COMPUTED_VALUE"""),2502010.0)</f>
        <v>2502010</v>
      </c>
      <c r="C1758" s="2005" t="str">
        <f>IFERROR(__xludf.DUMMYFUNCTION("""COMPUTED_VALUE"""),"Souris")</f>
        <v>Souris</v>
      </c>
      <c r="D1758" s="2005" t="str">
        <f>IFERROR(__xludf.DUMMYFUNCTION("""COMPUTED_VALUE"""),"Ambidextre M190 Mid Grey")</f>
        <v>Ambidextre M190 Mid Grey</v>
      </c>
      <c r="E1758" s="2005" t="str">
        <f>IFERROR(__xludf.DUMMYFUNCTION("""COMPUTED_VALUE"""),"LOGITECH")</f>
        <v>LOGITECH</v>
      </c>
      <c r="F1758" s="2005" t="str">
        <f>IFERROR(__xludf.DUMMYFUNCTION("""COMPUTED_VALUE"""),"W")</f>
        <v>W</v>
      </c>
      <c r="G1758" s="2005" t="str">
        <f>IFERROR(__xludf.DUMMYFUNCTION("""COMPUTED_VALUE"""),"NN")</f>
        <v>NN</v>
      </c>
      <c r="H1758">
        <f>IFERROR(__xludf.DUMMYFUNCTION("""COMPUTED_VALUE"""),14.99)</f>
        <v>14.99</v>
      </c>
      <c r="I1758">
        <f>IFERROR(__xludf.DUMMYFUNCTION("""COMPUTED_VALUE"""),14.99)</f>
        <v>14.99</v>
      </c>
      <c r="LM1758" s="2007"/>
    </row>
    <row r="1759">
      <c r="A1759" s="2005">
        <f>IFERROR(__xludf.DUMMYFUNCTION("""COMPUTED_VALUE"""),1150901.0)</f>
        <v>1150901</v>
      </c>
      <c r="B1759" s="2005">
        <f>IFERROR(__xludf.DUMMYFUNCTION("""COMPUTED_VALUE"""),2202005.0)</f>
        <v>2202005</v>
      </c>
      <c r="C1759" s="2005" t="str">
        <f>IFERROR(__xludf.DUMMYFUNCTION("""COMPUTED_VALUE"""),"Multi Jet d'enc")</f>
        <v>Multi Jet d'enc</v>
      </c>
      <c r="D1759" s="2005" t="str">
        <f>IFERROR(__xludf.DUMMYFUNCTION("""COMPUTED_VALUE"""),"WF-2850DWF")</f>
        <v>WF-2850DWF</v>
      </c>
      <c r="E1759" s="2005" t="str">
        <f>IFERROR(__xludf.DUMMYFUNCTION("""COMPUTED_VALUE"""),"EPSON")</f>
        <v>EPSON</v>
      </c>
      <c r="F1759" s="2005" t="str">
        <f>IFERROR(__xludf.DUMMYFUNCTION("""COMPUTED_VALUE"""),"H")</f>
        <v>H</v>
      </c>
      <c r="G1759" s="2005" t="str">
        <f>IFERROR(__xludf.DUMMYFUNCTION("""COMPUTED_VALUE"""),"NN")</f>
        <v>NN</v>
      </c>
      <c r="H1759" s="2005">
        <f>IFERROR(__xludf.DUMMYFUNCTION("""COMPUTED_VALUE"""),71.99)</f>
        <v>71.99</v>
      </c>
      <c r="I1759" s="2005">
        <f>IFERROR(__xludf.DUMMYFUNCTION("""COMPUTED_VALUE"""),71.99)</f>
        <v>71.99</v>
      </c>
      <c r="LM1759" s="2007"/>
    </row>
    <row r="1760">
      <c r="A1760" s="2005">
        <f>IFERROR(__xludf.DUMMYFUNCTION("""COMPUTED_VALUE"""),1150983.0)</f>
        <v>1150983</v>
      </c>
      <c r="B1760" s="2005">
        <f>IFERROR(__xludf.DUMMYFUNCTION("""COMPUTED_VALUE"""),2502010.0)</f>
        <v>2502010</v>
      </c>
      <c r="C1760" s="2005" t="str">
        <f>IFERROR(__xludf.DUMMYFUNCTION("""COMPUTED_VALUE"""),"Patins souris")</f>
        <v>Patins souris</v>
      </c>
      <c r="D1760" s="2005" t="str">
        <f>IFERROR(__xludf.DUMMYFUNCTION("""COMPUTED_VALUE"""),"Patins céramique pour souris")</f>
        <v>Patins céramique pour souris</v>
      </c>
      <c r="E1760" s="2005" t="str">
        <f>IFERROR(__xludf.DUMMYFUNCTION("""COMPUTED_VALUE"""),"LEXIP")</f>
        <v>LEXIP</v>
      </c>
      <c r="F1760" s="2005" t="str">
        <f>IFERROR(__xludf.DUMMYFUNCTION("""COMPUTED_VALUE"""),"H")</f>
        <v>H</v>
      </c>
      <c r="G1760" s="2005" t="str">
        <f>IFERROR(__xludf.DUMMYFUNCTION("""COMPUTED_VALUE"""),"NN")</f>
        <v>NN</v>
      </c>
      <c r="H1760" s="2005">
        <f>IFERROR(__xludf.DUMMYFUNCTION("""COMPUTED_VALUE"""),5.99)</f>
        <v>5.99</v>
      </c>
      <c r="I1760" s="2005">
        <f>IFERROR(__xludf.DUMMYFUNCTION("""COMPUTED_VALUE"""),5.99)</f>
        <v>5.99</v>
      </c>
      <c r="BD1760" s="2006"/>
      <c r="LL1760" s="2007"/>
      <c r="LM1760" s="2007"/>
      <c r="MX1760" s="2007"/>
      <c r="ND1760" s="2008"/>
    </row>
    <row r="1761">
      <c r="A1761" s="2005">
        <f>IFERROR(__xludf.DUMMYFUNCTION("""COMPUTED_VALUE"""),1151075.0)</f>
        <v>1151075</v>
      </c>
      <c r="B1761" s="2005">
        <f>IFERROR(__xludf.DUMMYFUNCTION("""COMPUTED_VALUE"""),2202010.0)</f>
        <v>2202010</v>
      </c>
      <c r="C1761" s="2005" t="str">
        <f>IFERROR(__xludf.DUMMYFUNCTION("""COMPUTED_VALUE"""),"Multi Jet d'enc")</f>
        <v>Multi Jet d'enc</v>
      </c>
      <c r="D1761" s="2005" t="str">
        <f>IFERROR(__xludf.DUMMYFUNCTION("""COMPUTED_VALUE"""),"EcoTank L3111")</f>
        <v>EcoTank L3111</v>
      </c>
      <c r="E1761" s="2005" t="str">
        <f>IFERROR(__xludf.DUMMYFUNCTION("""COMPUTED_VALUE"""),"EPSON")</f>
        <v>EPSON</v>
      </c>
      <c r="F1761" s="2005" t="str">
        <f>IFERROR(__xludf.DUMMYFUNCTION("""COMPUTED_VALUE"""),"B")</f>
        <v>B</v>
      </c>
      <c r="G1761" s="2005" t="str">
        <f>IFERROR(__xludf.DUMMYFUNCTION("""COMPUTED_VALUE"""),"NN")</f>
        <v>NN</v>
      </c>
      <c r="H1761">
        <f>IFERROR(__xludf.DUMMYFUNCTION("""COMPUTED_VALUE"""),129.99)</f>
        <v>129.99</v>
      </c>
      <c r="I1761">
        <f>IFERROR(__xludf.DUMMYFUNCTION("""COMPUTED_VALUE"""),129.99)</f>
        <v>129.99</v>
      </c>
      <c r="BD1761" s="2006"/>
      <c r="LL1761" s="2008"/>
      <c r="LM1761" s="2007"/>
      <c r="MX1761" s="2007"/>
      <c r="ND1761" s="2008"/>
    </row>
    <row r="1762">
      <c r="A1762" s="2005">
        <f>IFERROR(__xludf.DUMMYFUNCTION("""COMPUTED_VALUE"""),1151159.0)</f>
        <v>1151159</v>
      </c>
      <c r="B1762" s="2005">
        <f>IFERROR(__xludf.DUMMYFUNCTION("""COMPUTED_VALUE"""),2202005.0)</f>
        <v>2202005</v>
      </c>
      <c r="C1762" s="2005" t="str">
        <f>IFERROR(__xludf.DUMMYFUNCTION("""COMPUTED_VALUE"""),"Multi Jet d'enc")</f>
        <v>Multi Jet d'enc</v>
      </c>
      <c r="D1762" s="2005" t="str">
        <f>IFERROR(__xludf.DUMMYFUNCTION("""COMPUTED_VALUE"""),"Envy 6230 éligible Instant Ink")</f>
        <v>Envy 6230 éligible Instant Ink</v>
      </c>
      <c r="E1762" s="2005" t="str">
        <f>IFERROR(__xludf.DUMMYFUNCTION("""COMPUTED_VALUE"""),"HP")</f>
        <v>HP</v>
      </c>
      <c r="F1762" s="2005" t="str">
        <f>IFERROR(__xludf.DUMMYFUNCTION("""COMPUTED_VALUE"""),"B")</f>
        <v>B</v>
      </c>
      <c r="G1762" s="2005" t="str">
        <f>IFERROR(__xludf.DUMMYFUNCTION("""COMPUTED_VALUE"""),"NN")</f>
        <v>NN</v>
      </c>
      <c r="H1762" s="2005">
        <f>IFERROR(__xludf.DUMMYFUNCTION("""COMPUTED_VALUE"""),79.99)</f>
        <v>79.99</v>
      </c>
      <c r="I1762" s="2005">
        <f>IFERROR(__xludf.DUMMYFUNCTION("""COMPUTED_VALUE"""),79.99)</f>
        <v>79.99</v>
      </c>
      <c r="BD1762" s="2006"/>
      <c r="LL1762" s="2007"/>
      <c r="LM1762" s="2007"/>
      <c r="MX1762" s="2007"/>
      <c r="ND1762" s="2008"/>
    </row>
    <row r="1763">
      <c r="A1763" s="2005">
        <f>IFERROR(__xludf.DUMMYFUNCTION("""COMPUTED_VALUE"""),1151193.0)</f>
        <v>1151193</v>
      </c>
      <c r="B1763" s="2005">
        <f>IFERROR(__xludf.DUMMYFUNCTION("""COMPUTED_VALUE"""),2202010.0)</f>
        <v>2202010</v>
      </c>
      <c r="C1763" s="2005" t="str">
        <f>IFERROR(__xludf.DUMMYFUNCTION("""COMPUTED_VALUE"""),"Multi Jet d'enc")</f>
        <v>Multi Jet d'enc</v>
      </c>
      <c r="D1763" s="2005" t="str">
        <f>IFERROR(__xludf.DUMMYFUNCTION("""COMPUTED_VALUE"""),"EcoTank ET-15000")</f>
        <v>EcoTank ET-15000</v>
      </c>
      <c r="E1763" s="2005" t="str">
        <f>IFERROR(__xludf.DUMMYFUNCTION("""COMPUTED_VALUE"""),"EPSON")</f>
        <v>EPSON</v>
      </c>
      <c r="F1763" s="2005" t="str">
        <f>IFERROR(__xludf.DUMMYFUNCTION("""COMPUTED_VALUE"""),"B")</f>
        <v>B</v>
      </c>
      <c r="G1763" s="2005" t="str">
        <f>IFERROR(__xludf.DUMMYFUNCTION("""COMPUTED_VALUE"""),"AC")</f>
        <v>AC</v>
      </c>
      <c r="H1763">
        <f>IFERROR(__xludf.DUMMYFUNCTION("""COMPUTED_VALUE"""),649.99)</f>
        <v>649.99</v>
      </c>
      <c r="I1763" s="2005">
        <f>IFERROR(__xludf.DUMMYFUNCTION("""COMPUTED_VALUE"""),629.99)</f>
        <v>629.99</v>
      </c>
      <c r="BD1763" s="2006"/>
      <c r="LL1763" s="2007"/>
      <c r="LM1763" s="2007"/>
      <c r="MX1763" s="2007"/>
      <c r="ND1763" s="2008"/>
    </row>
    <row r="1764">
      <c r="A1764" s="2005">
        <f>IFERROR(__xludf.DUMMYFUNCTION("""COMPUTED_VALUE"""),1151194.0)</f>
        <v>1151194</v>
      </c>
      <c r="B1764" s="2005">
        <f>IFERROR(__xludf.DUMMYFUNCTION("""COMPUTED_VALUE"""),2202010.0)</f>
        <v>2202010</v>
      </c>
      <c r="C1764" s="2005" t="str">
        <f>IFERROR(__xludf.DUMMYFUNCTION("""COMPUTED_VALUE"""),"Multi Jet d'enc")</f>
        <v>Multi Jet d'enc</v>
      </c>
      <c r="D1764" s="2005" t="str">
        <f>IFERROR(__xludf.DUMMYFUNCTION("""COMPUTED_VALUE"""),"EcoTank ET-16600")</f>
        <v>EcoTank ET-16600</v>
      </c>
      <c r="E1764" s="2005" t="str">
        <f>IFERROR(__xludf.DUMMYFUNCTION("""COMPUTED_VALUE"""),"EPSON")</f>
        <v>EPSON</v>
      </c>
      <c r="F1764" s="2005" t="str">
        <f>IFERROR(__xludf.DUMMYFUNCTION("""COMPUTED_VALUE"""),"H")</f>
        <v>H</v>
      </c>
      <c r="G1764" s="2005" t="str">
        <f>IFERROR(__xludf.DUMMYFUNCTION("""COMPUTED_VALUE"""),"AC")</f>
        <v>AC</v>
      </c>
      <c r="H1764">
        <f>IFERROR(__xludf.DUMMYFUNCTION("""COMPUTED_VALUE"""),1049.99)</f>
        <v>1049.99</v>
      </c>
      <c r="I1764" s="2005">
        <f>IFERROR(__xludf.DUMMYFUNCTION("""COMPUTED_VALUE"""),1049.99)</f>
        <v>1049.99</v>
      </c>
      <c r="BD1764" s="2006"/>
      <c r="LL1764" s="2007"/>
      <c r="LM1764" s="2007"/>
      <c r="MX1764" s="2007"/>
      <c r="ND1764" s="2008"/>
    </row>
    <row r="1765">
      <c r="A1765" s="2005">
        <f>IFERROR(__xludf.DUMMYFUNCTION("""COMPUTED_VALUE"""),1151195.0)</f>
        <v>1151195</v>
      </c>
      <c r="B1765" s="2005">
        <f>IFERROR(__xludf.DUMMYFUNCTION("""COMPUTED_VALUE"""),2201010.0)</f>
        <v>2201010</v>
      </c>
      <c r="C1765" s="2005" t="str">
        <f>IFERROR(__xludf.DUMMYFUNCTION("""COMPUTED_VALUE"""),"Mono Jet d'encr")</f>
        <v>Mono Jet d'encr</v>
      </c>
      <c r="D1765" s="2005" t="str">
        <f>IFERROR(__xludf.DUMMYFUNCTION("""COMPUTED_VALUE"""),"SureColor SC-P700  A3+")</f>
        <v>SureColor SC-P700  A3+</v>
      </c>
      <c r="E1765" s="2005" t="str">
        <f>IFERROR(__xludf.DUMMYFUNCTION("""COMPUTED_VALUE"""),"EPSON")</f>
        <v>EPSON</v>
      </c>
      <c r="F1765" s="2005" t="str">
        <f>IFERROR(__xludf.DUMMYFUNCTION("""COMPUTED_VALUE"""),"H")</f>
        <v>H</v>
      </c>
      <c r="G1765" s="2005" t="str">
        <f>IFERROR(__xludf.DUMMYFUNCTION("""COMPUTED_VALUE"""),"NN")</f>
        <v>NN</v>
      </c>
      <c r="H1765">
        <f>IFERROR(__xludf.DUMMYFUNCTION("""COMPUTED_VALUE"""),749.99)</f>
        <v>749.99</v>
      </c>
      <c r="I1765" s="2005">
        <f>IFERROR(__xludf.DUMMYFUNCTION("""COMPUTED_VALUE"""),749.99)</f>
        <v>749.99</v>
      </c>
      <c r="BD1765" s="2006"/>
      <c r="LL1765" s="2007"/>
      <c r="LM1765" s="2007"/>
      <c r="MX1765" s="2007"/>
      <c r="ND1765" s="2008"/>
    </row>
    <row r="1766">
      <c r="A1766" s="2005">
        <f>IFERROR(__xludf.DUMMYFUNCTION("""COMPUTED_VALUE"""),1151221.0)</f>
        <v>1151221</v>
      </c>
      <c r="B1766" s="2005">
        <f>IFERROR(__xludf.DUMMYFUNCTION("""COMPUTED_VALUE"""),2502020.0)</f>
        <v>2502020</v>
      </c>
      <c r="C1766" s="2005" t="str">
        <f>IFERROR(__xludf.DUMMYFUNCTION("""COMPUTED_VALUE"""),"Webcam")</f>
        <v>Webcam</v>
      </c>
      <c r="D1766" s="2005" t="str">
        <f>IFERROR(__xludf.DUMMYFUNCTION("""COMPUTED_VALUE"""),"Spotlight Pro Webcam")</f>
        <v>Spotlight Pro Webcam</v>
      </c>
      <c r="E1766" s="2005" t="str">
        <f>IFERROR(__xludf.DUMMYFUNCTION("""COMPUTED_VALUE"""),"TRUST")</f>
        <v>TRUST</v>
      </c>
      <c r="F1766" s="2005" t="str">
        <f>IFERROR(__xludf.DUMMYFUNCTION("""COMPUTED_VALUE"""),"W")</f>
        <v>W</v>
      </c>
      <c r="G1766" s="2005" t="str">
        <f>IFERROR(__xludf.DUMMYFUNCTION("""COMPUTED_VALUE"""),"NN")</f>
        <v>NN</v>
      </c>
      <c r="H1766" s="2005">
        <f>IFERROR(__xludf.DUMMYFUNCTION("""COMPUTED_VALUE"""),18.99)</f>
        <v>18.99</v>
      </c>
      <c r="I1766" s="2005">
        <f>IFERROR(__xludf.DUMMYFUNCTION("""COMPUTED_VALUE"""),18.99)</f>
        <v>18.99</v>
      </c>
      <c r="BD1766" s="2006"/>
      <c r="LL1766" s="2007"/>
      <c r="LM1766" s="2007"/>
      <c r="MX1766" s="2007"/>
      <c r="ND1766" s="2008"/>
    </row>
    <row r="1767">
      <c r="A1767" s="2005">
        <f>IFERROR(__xludf.DUMMYFUNCTION("""COMPUTED_VALUE"""),1151239.0)</f>
        <v>1151239</v>
      </c>
      <c r="B1767" s="2005">
        <f>IFERROR(__xludf.DUMMYFUNCTION("""COMPUTED_VALUE"""),1103010.0)</f>
        <v>1103010</v>
      </c>
      <c r="C1767" s="2005" t="str">
        <f>IFERROR(__xludf.DUMMYFUNCTION("""COMPUTED_VALUE"""),"Tél.Rép.")</f>
        <v>Tél.Rép.</v>
      </c>
      <c r="D1767" s="2005" t="str">
        <f>IFERROR(__xludf.DUMMYFUNCTION("""COMPUTED_VALUE"""),"F890 Voice Noir")</f>
        <v>F890 Voice Noir</v>
      </c>
      <c r="E1767" s="2005" t="str">
        <f>IFERROR(__xludf.DUMMYFUNCTION("""COMPUTED_VALUE"""),"ALCATEL")</f>
        <v>ALCATEL</v>
      </c>
      <c r="F1767" s="2005" t="str">
        <f>IFERROR(__xludf.DUMMYFUNCTION("""COMPUTED_VALUE"""),"C")</f>
        <v>C</v>
      </c>
      <c r="G1767" s="2005" t="str">
        <f>IFERROR(__xludf.DUMMYFUNCTION("""COMPUTED_VALUE"""),"AC")</f>
        <v>AC</v>
      </c>
      <c r="H1767" s="2005">
        <f>IFERROR(__xludf.DUMMYFUNCTION("""COMPUTED_VALUE"""),49.99)</f>
        <v>49.99</v>
      </c>
      <c r="I1767" s="2005">
        <f>IFERROR(__xludf.DUMMYFUNCTION("""COMPUTED_VALUE"""),49.99)</f>
        <v>49.99</v>
      </c>
      <c r="LL1767" s="2007"/>
      <c r="LM1767" s="2007"/>
    </row>
    <row r="1768">
      <c r="A1768" s="2005">
        <f>IFERROR(__xludf.DUMMYFUNCTION("""COMPUTED_VALUE"""),1151240.0)</f>
        <v>1151240</v>
      </c>
      <c r="B1768" s="2005">
        <f>IFERROR(__xludf.DUMMYFUNCTION("""COMPUTED_VALUE"""),1103010.0)</f>
        <v>1103010</v>
      </c>
      <c r="C1768" s="2005" t="str">
        <f>IFERROR(__xludf.DUMMYFUNCTION("""COMPUTED_VALUE"""),"Pack")</f>
        <v>Pack</v>
      </c>
      <c r="D1768" s="2005" t="str">
        <f>IFERROR(__xludf.DUMMYFUNCTION("""COMPUTED_VALUE"""),"F890 Voice Duo Noir")</f>
        <v>F890 Voice Duo Noir</v>
      </c>
      <c r="E1768" s="2005" t="str">
        <f>IFERROR(__xludf.DUMMYFUNCTION("""COMPUTED_VALUE"""),"ALCATEL")</f>
        <v>ALCATEL</v>
      </c>
      <c r="F1768" s="2005" t="str">
        <f>IFERROR(__xludf.DUMMYFUNCTION("""COMPUTED_VALUE"""),"B")</f>
        <v>B</v>
      </c>
      <c r="G1768" s="2005" t="str">
        <f>IFERROR(__xludf.DUMMYFUNCTION("""COMPUTED_VALUE"""),"AC")</f>
        <v>AC</v>
      </c>
      <c r="H1768">
        <f>IFERROR(__xludf.DUMMYFUNCTION("""COMPUTED_VALUE"""),79.99)</f>
        <v>79.99</v>
      </c>
      <c r="I1768">
        <f>IFERROR(__xludf.DUMMYFUNCTION("""COMPUTED_VALUE"""),79.99)</f>
        <v>79.99</v>
      </c>
      <c r="LL1768" s="2007"/>
      <c r="LM1768" s="2007"/>
    </row>
    <row r="1769">
      <c r="A1769" s="2005">
        <f>IFERROR(__xludf.DUMMYFUNCTION("""COMPUTED_VALUE"""),1151374.0)</f>
        <v>1151374</v>
      </c>
      <c r="B1769" s="2005">
        <f>IFERROR(__xludf.DUMMYFUNCTION("""COMPUTED_VALUE"""),2202005.0)</f>
        <v>2202005</v>
      </c>
      <c r="C1769" s="2005" t="str">
        <f>IFERROR(__xludf.DUMMYFUNCTION("""COMPUTED_VALUE"""),"Multi Jet d'enc")</f>
        <v>Multi Jet d'enc</v>
      </c>
      <c r="D1769" s="2005" t="str">
        <f>IFERROR(__xludf.DUMMYFUNCTION("""COMPUTED_VALUE"""),"XP 970")</f>
        <v>XP 970</v>
      </c>
      <c r="E1769" s="2005" t="str">
        <f>IFERROR(__xludf.DUMMYFUNCTION("""COMPUTED_VALUE"""),"EPSON")</f>
        <v>EPSON</v>
      </c>
      <c r="F1769" s="2005" t="str">
        <f>IFERROR(__xludf.DUMMYFUNCTION("""COMPUTED_VALUE"""),"H")</f>
        <v>H</v>
      </c>
      <c r="G1769" s="2005" t="str">
        <f>IFERROR(__xludf.DUMMYFUNCTION("""COMPUTED_VALUE"""),"AC")</f>
        <v>AC</v>
      </c>
      <c r="H1769">
        <f>IFERROR(__xludf.DUMMYFUNCTION("""COMPUTED_VALUE"""),299.99)</f>
        <v>299.99</v>
      </c>
      <c r="I1769" s="2005">
        <f>IFERROR(__xludf.DUMMYFUNCTION("""COMPUTED_VALUE"""),272.99)</f>
        <v>272.99</v>
      </c>
      <c r="LM1769" s="2007"/>
    </row>
    <row r="1770">
      <c r="A1770" s="2005">
        <f>IFERROR(__xludf.DUMMYFUNCTION("""COMPUTED_VALUE"""),1151798.0)</f>
        <v>1151798</v>
      </c>
      <c r="B1770" s="2005">
        <f>IFERROR(__xludf.DUMMYFUNCTION("""COMPUTED_VALUE"""),2202005.0)</f>
        <v>2202005</v>
      </c>
      <c r="C1770" s="2005" t="str">
        <f>IFERROR(__xludf.DUMMYFUNCTION("""COMPUTED_VALUE"""),"Multi Jet d'enc")</f>
        <v>Multi Jet d'enc</v>
      </c>
      <c r="D1770" s="2005" t="str">
        <f>IFERROR(__xludf.DUMMYFUNCTION("""COMPUTED_VALUE"""),"Deskjet 3762 éligible Instant Ink")</f>
        <v>Deskjet 3762 éligible Instant Ink</v>
      </c>
      <c r="E1770" s="2005" t="str">
        <f>IFERROR(__xludf.DUMMYFUNCTION("""COMPUTED_VALUE"""),"HP")</f>
        <v>HP</v>
      </c>
      <c r="F1770" s="2005" t="str">
        <f>IFERROR(__xludf.DUMMYFUNCTION("""COMPUTED_VALUE"""),"B")</f>
        <v>B</v>
      </c>
      <c r="G1770" s="2005" t="str">
        <f>IFERROR(__xludf.DUMMYFUNCTION("""COMPUTED_VALUE"""),"NN")</f>
        <v>NN</v>
      </c>
      <c r="H1770">
        <f>IFERROR(__xludf.DUMMYFUNCTION("""COMPUTED_VALUE"""),89.99)</f>
        <v>89.99</v>
      </c>
      <c r="I1770">
        <f>IFERROR(__xludf.DUMMYFUNCTION("""COMPUTED_VALUE"""),89.99)</f>
        <v>89.99</v>
      </c>
      <c r="LM1770" s="2007"/>
    </row>
    <row r="1771">
      <c r="A1771" s="2005">
        <f>IFERROR(__xludf.DUMMYFUNCTION("""COMPUTED_VALUE"""),1151959.0)</f>
        <v>1151959</v>
      </c>
      <c r="B1771" s="2005">
        <f>IFERROR(__xludf.DUMMYFUNCTION("""COMPUTED_VALUE"""),2503010.0)</f>
        <v>2503010</v>
      </c>
      <c r="C1771" s="2005" t="str">
        <f>IFERROR(__xludf.DUMMYFUNCTION("""COMPUTED_VALUE"""),"Casque")</f>
        <v>Casque</v>
      </c>
      <c r="D1771" s="2005" t="str">
        <f>IFERROR(__xludf.DUMMYFUNCTION("""COMPUTED_VALUE"""),"COMO Headset PC")</f>
        <v>COMO Headset PC</v>
      </c>
      <c r="E1771" s="2005" t="str">
        <f>IFERROR(__xludf.DUMMYFUNCTION("""COMPUTED_VALUE"""),"TRUST")</f>
        <v>TRUST</v>
      </c>
      <c r="F1771" s="2005" t="str">
        <f>IFERROR(__xludf.DUMMYFUNCTION("""COMPUTED_VALUE"""),"C")</f>
        <v>C</v>
      </c>
      <c r="G1771" s="2005" t="str">
        <f>IFERROR(__xludf.DUMMYFUNCTION("""COMPUTED_VALUE"""),"NN")</f>
        <v>NN</v>
      </c>
      <c r="H1771">
        <f>IFERROR(__xludf.DUMMYFUNCTION("""COMPUTED_VALUE"""),30.99)</f>
        <v>30.99</v>
      </c>
      <c r="I1771">
        <f>IFERROR(__xludf.DUMMYFUNCTION("""COMPUTED_VALUE"""),30.99)</f>
        <v>30.99</v>
      </c>
      <c r="LM1771" s="2007"/>
    </row>
    <row r="1772">
      <c r="A1772" s="2005">
        <f>IFERROR(__xludf.DUMMYFUNCTION("""COMPUTED_VALUE"""),1152671.0)</f>
        <v>1152671</v>
      </c>
      <c r="B1772" s="2005">
        <f>IFERROR(__xludf.DUMMYFUNCTION("""COMPUTED_VALUE"""),2502010.0)</f>
        <v>2502010</v>
      </c>
      <c r="C1772" s="2005" t="str">
        <f>IFERROR(__xludf.DUMMYFUNCTION("""COMPUTED_VALUE"""),"Souris")</f>
        <v>Souris</v>
      </c>
      <c r="D1772" s="2005" t="str">
        <f>IFERROR(__xludf.DUMMYFUNCTION("""COMPUTED_VALUE"""),"MX ANYWHERE 3 Graphite ergonomique")</f>
        <v>MX ANYWHERE 3 Graphite ergonomique</v>
      </c>
      <c r="E1772" s="2005" t="str">
        <f>IFERROR(__xludf.DUMMYFUNCTION("""COMPUTED_VALUE"""),"LOGITECH")</f>
        <v>LOGITECH</v>
      </c>
      <c r="F1772" s="2005" t="str">
        <f>IFERROR(__xludf.DUMMYFUNCTION("""COMPUTED_VALUE"""),"W")</f>
        <v>W</v>
      </c>
      <c r="G1772" s="2005" t="str">
        <f>IFERROR(__xludf.DUMMYFUNCTION("""COMPUTED_VALUE"""),"FF")</f>
        <v>FF</v>
      </c>
      <c r="H1772" s="2005">
        <f>IFERROR(__xludf.DUMMYFUNCTION("""COMPUTED_VALUE"""),99.99)</f>
        <v>99.99</v>
      </c>
      <c r="I1772" s="2005">
        <f>IFERROR(__xludf.DUMMYFUNCTION("""COMPUTED_VALUE"""),99.99)</f>
        <v>99.99</v>
      </c>
      <c r="LM1772" s="2007"/>
    </row>
    <row r="1773">
      <c r="A1773" s="2005">
        <f>IFERROR(__xludf.DUMMYFUNCTION("""COMPUTED_VALUE"""),1152672.0)</f>
        <v>1152672</v>
      </c>
      <c r="B1773" s="2005">
        <f>IFERROR(__xludf.DUMMYFUNCTION("""COMPUTED_VALUE"""),2502010.0)</f>
        <v>2502010</v>
      </c>
      <c r="C1773" s="2005" t="str">
        <f>IFERROR(__xludf.DUMMYFUNCTION("""COMPUTED_VALUE"""),"Souris")</f>
        <v>Souris</v>
      </c>
      <c r="D1773" s="2005" t="str">
        <f>IFERROR(__xludf.DUMMYFUNCTION("""COMPUTED_VALUE"""),"MX ANYWHERE 3 Gris pale ergonomique")</f>
        <v>MX ANYWHERE 3 Gris pale ergonomique</v>
      </c>
      <c r="E1773" s="2005" t="str">
        <f>IFERROR(__xludf.DUMMYFUNCTION("""COMPUTED_VALUE"""),"LOGITECH")</f>
        <v>LOGITECH</v>
      </c>
      <c r="F1773" s="2005" t="str">
        <f>IFERROR(__xludf.DUMMYFUNCTION("""COMPUTED_VALUE"""),"W")</f>
        <v>W</v>
      </c>
      <c r="G1773" s="2005" t="str">
        <f>IFERROR(__xludf.DUMMYFUNCTION("""COMPUTED_VALUE"""),"FR")</f>
        <v>FR</v>
      </c>
      <c r="H1773" s="2005">
        <f>IFERROR(__xludf.DUMMYFUNCTION("""COMPUTED_VALUE"""),99.99)</f>
        <v>99.99</v>
      </c>
      <c r="I1773" s="2005">
        <f>IFERROR(__xludf.DUMMYFUNCTION("""COMPUTED_VALUE"""),99.0)</f>
        <v>99</v>
      </c>
      <c r="LM1773" s="2007"/>
    </row>
    <row r="1774">
      <c r="A1774" s="2005">
        <f>IFERROR(__xludf.DUMMYFUNCTION("""COMPUTED_VALUE"""),1152674.0)</f>
        <v>1152674</v>
      </c>
      <c r="B1774" s="2005">
        <f>IFERROR(__xludf.DUMMYFUNCTION("""COMPUTED_VALUE"""),2502010.0)</f>
        <v>2502010</v>
      </c>
      <c r="C1774" s="2005" t="str">
        <f>IFERROR(__xludf.DUMMYFUNCTION("""COMPUTED_VALUE"""),"Souris")</f>
        <v>Souris</v>
      </c>
      <c r="D1774" s="2005" t="str">
        <f>IFERROR(__xludf.DUMMYFUNCTION("""COMPUTED_VALUE"""),"MX ANYWHERE 3 Rose ergonomique")</f>
        <v>MX ANYWHERE 3 Rose ergonomique</v>
      </c>
      <c r="E1774" s="2005" t="str">
        <f>IFERROR(__xludf.DUMMYFUNCTION("""COMPUTED_VALUE"""),"LOGITECH")</f>
        <v>LOGITECH</v>
      </c>
      <c r="F1774" s="2005" t="str">
        <f>IFERROR(__xludf.DUMMYFUNCTION("""COMPUTED_VALUE"""),"W")</f>
        <v>W</v>
      </c>
      <c r="G1774" s="2005" t="str">
        <f>IFERROR(__xludf.DUMMYFUNCTION("""COMPUTED_VALUE"""),"NN")</f>
        <v>NN</v>
      </c>
      <c r="H1774" s="2005">
        <f>IFERROR(__xludf.DUMMYFUNCTION("""COMPUTED_VALUE"""),69.99)</f>
        <v>69.99</v>
      </c>
      <c r="I1774" s="2005">
        <f>IFERROR(__xludf.DUMMYFUNCTION("""COMPUTED_VALUE"""),69.99)</f>
        <v>69.99</v>
      </c>
      <c r="LM1774" s="2007"/>
    </row>
    <row r="1775">
      <c r="A1775" s="2005">
        <f>IFERROR(__xludf.DUMMYFUNCTION("""COMPUTED_VALUE"""),1152675.0)</f>
        <v>1152675</v>
      </c>
      <c r="B1775" s="2005">
        <f>IFERROR(__xludf.DUMMYFUNCTION("""COMPUTED_VALUE"""),2503005.0)</f>
        <v>2503005</v>
      </c>
      <c r="C1775" s="2005" t="str">
        <f>IFERROR(__xludf.DUMMYFUNCTION("""COMPUTED_VALUE"""),"Enceinte")</f>
        <v>Enceinte</v>
      </c>
      <c r="D1775" s="2005" t="str">
        <f>IFERROR(__xludf.DUMMYFUNCTION("""COMPUTED_VALUE"""),"Z407  bluetooth Graphite")</f>
        <v>Z407  bluetooth Graphite</v>
      </c>
      <c r="E1775" s="2005" t="str">
        <f>IFERROR(__xludf.DUMMYFUNCTION("""COMPUTED_VALUE"""),"LOGITECH")</f>
        <v>LOGITECH</v>
      </c>
      <c r="F1775" s="2005" t="str">
        <f>IFERROR(__xludf.DUMMYFUNCTION("""COMPUTED_VALUE"""),"B")</f>
        <v>B</v>
      </c>
      <c r="G1775" s="2005" t="str">
        <f>IFERROR(__xludf.DUMMYFUNCTION("""COMPUTED_VALUE"""),"FR")</f>
        <v>FR</v>
      </c>
      <c r="H1775" s="2005">
        <f>IFERROR(__xludf.DUMMYFUNCTION("""COMPUTED_VALUE"""),130.33)</f>
        <v>130.33</v>
      </c>
      <c r="I1775" s="2005">
        <f>IFERROR(__xludf.DUMMYFUNCTION("""COMPUTED_VALUE"""),97.99)</f>
        <v>97.99</v>
      </c>
      <c r="LM1775" s="2007"/>
    </row>
    <row r="1776">
      <c r="A1776" s="2005">
        <f>IFERROR(__xludf.DUMMYFUNCTION("""COMPUTED_VALUE"""),1152677.0)</f>
        <v>1152677</v>
      </c>
      <c r="B1776" s="2005">
        <f>IFERROR(__xludf.DUMMYFUNCTION("""COMPUTED_VALUE"""),2502010.0)</f>
        <v>2502010</v>
      </c>
      <c r="C1776" s="2005" t="str">
        <f>IFERROR(__xludf.DUMMYFUNCTION("""COMPUTED_VALUE"""),"Souris")</f>
        <v>Souris</v>
      </c>
      <c r="D1776" s="2005" t="str">
        <f>IFERROR(__xludf.DUMMYFUNCTION("""COMPUTED_VALUE"""),"MX ANYWHERE 3 Pale Grey pour Mac")</f>
        <v>MX ANYWHERE 3 Pale Grey pour Mac</v>
      </c>
      <c r="E1776" s="2005" t="str">
        <f>IFERROR(__xludf.DUMMYFUNCTION("""COMPUTED_VALUE"""),"LOGITECH")</f>
        <v>LOGITECH</v>
      </c>
      <c r="F1776" s="2005" t="str">
        <f>IFERROR(__xludf.DUMMYFUNCTION("""COMPUTED_VALUE"""),"E")</f>
        <v>E</v>
      </c>
      <c r="G1776" s="2005" t="str">
        <f>IFERROR(__xludf.DUMMYFUNCTION("""COMPUTED_VALUE"""),"AC")</f>
        <v>AC</v>
      </c>
      <c r="H1776" s="2005">
        <f>IFERROR(__xludf.DUMMYFUNCTION("""COMPUTED_VALUE"""),99.99)</f>
        <v>99.99</v>
      </c>
      <c r="I1776" s="2005">
        <f>IFERROR(__xludf.DUMMYFUNCTION("""COMPUTED_VALUE"""),99.99)</f>
        <v>99.99</v>
      </c>
      <c r="LM1776" s="2007"/>
    </row>
    <row r="1777">
      <c r="A1777" s="2005">
        <f>IFERROR(__xludf.DUMMYFUNCTION("""COMPUTED_VALUE"""),1152744.0)</f>
        <v>1152744</v>
      </c>
      <c r="B1777" s="2005">
        <f>IFERROR(__xludf.DUMMYFUNCTION("""COMPUTED_VALUE"""),2207005.0)</f>
        <v>2207005</v>
      </c>
      <c r="C1777" s="2005" t="str">
        <f>IFERROR(__xludf.DUMMYFUNCTION("""COMPUTED_VALUE"""),"Imprimante")</f>
        <v>Imprimante</v>
      </c>
      <c r="D1777" s="2005" t="str">
        <f>IFERROR(__xludf.DUMMYFUNCTION("""COMPUTED_VALUE"""),"Da Vinci Nano Blanche")</f>
        <v>Da Vinci Nano Blanche</v>
      </c>
      <c r="E1777" s="2005" t="str">
        <f>IFERROR(__xludf.DUMMYFUNCTION("""COMPUTED_VALUE"""),"XYZ PRINTING")</f>
        <v>XYZ PRINTING</v>
      </c>
      <c r="F1777" s="2005" t="str">
        <f>IFERROR(__xludf.DUMMYFUNCTION("""COMPUTED_VALUE"""),"W")</f>
        <v>W</v>
      </c>
      <c r="G1777" s="2005" t="str">
        <f>IFERROR(__xludf.DUMMYFUNCTION("""COMPUTED_VALUE"""),"NN")</f>
        <v>NN</v>
      </c>
      <c r="H1777">
        <f>IFERROR(__xludf.DUMMYFUNCTION("""COMPUTED_VALUE"""),259.0)</f>
        <v>259</v>
      </c>
      <c r="I1777">
        <f>IFERROR(__xludf.DUMMYFUNCTION("""COMPUTED_VALUE"""),259.0)</f>
        <v>259</v>
      </c>
      <c r="BD1777" s="2006"/>
      <c r="LL1777" s="2007"/>
      <c r="LM1777" s="2008"/>
      <c r="MX1777" s="2007"/>
      <c r="ND1777" s="2008"/>
    </row>
    <row r="1778">
      <c r="A1778" s="2005">
        <f>IFERROR(__xludf.DUMMYFUNCTION("""COMPUTED_VALUE"""),1152885.0)</f>
        <v>1152885</v>
      </c>
      <c r="B1778" s="2005">
        <f>IFERROR(__xludf.DUMMYFUNCTION("""COMPUTED_VALUE"""),2202005.0)</f>
        <v>2202005</v>
      </c>
      <c r="C1778" s="2005" t="str">
        <f>IFERROR(__xludf.DUMMYFUNCTION("""COMPUTED_VALUE"""),"Multi Jet d'enc")</f>
        <v>Multi Jet d'enc</v>
      </c>
      <c r="D1778" s="2005" t="str">
        <f>IFERROR(__xludf.DUMMYFUNCTION("""COMPUTED_VALUE"""),"TS 3350 noire")</f>
        <v>TS 3350 noire</v>
      </c>
      <c r="E1778" s="2005" t="str">
        <f>IFERROR(__xludf.DUMMYFUNCTION("""COMPUTED_VALUE"""),"CANON")</f>
        <v>CANON</v>
      </c>
      <c r="F1778" s="2005" t="str">
        <f>IFERROR(__xludf.DUMMYFUNCTION("""COMPUTED_VALUE"""),"W")</f>
        <v>W</v>
      </c>
      <c r="G1778" s="2005" t="str">
        <f>IFERROR(__xludf.DUMMYFUNCTION("""COMPUTED_VALUE"""),"NN")</f>
        <v>NN</v>
      </c>
      <c r="H1778">
        <f>IFERROR(__xludf.DUMMYFUNCTION("""COMPUTED_VALUE"""),64.99)</f>
        <v>64.99</v>
      </c>
      <c r="I1778">
        <f>IFERROR(__xludf.DUMMYFUNCTION("""COMPUTED_VALUE"""),64.99)</f>
        <v>64.99</v>
      </c>
      <c r="BD1778" s="2006"/>
      <c r="LL1778" s="2008"/>
      <c r="LM1778" s="2008"/>
      <c r="MX1778" s="2007"/>
      <c r="ND1778" s="2008"/>
    </row>
    <row r="1779">
      <c r="A1779" s="2005">
        <f>IFERROR(__xludf.DUMMYFUNCTION("""COMPUTED_VALUE"""),1153005.0)</f>
        <v>1153005</v>
      </c>
      <c r="B1779" s="2005">
        <f>IFERROR(__xludf.DUMMYFUNCTION("""COMPUTED_VALUE"""),2202005.0)</f>
        <v>2202005</v>
      </c>
      <c r="C1779" s="2005" t="str">
        <f>IFERROR(__xludf.DUMMYFUNCTION("""COMPUTED_VALUE"""),"Multi Jet d'enc")</f>
        <v>Multi Jet d'enc</v>
      </c>
      <c r="D1779" s="2005" t="str">
        <f>IFERROR(__xludf.DUMMYFUNCTION("""COMPUTED_VALUE"""),"WorkForce WF-4830DTWF")</f>
        <v>WorkForce WF-4830DTWF</v>
      </c>
      <c r="E1779" s="2005" t="str">
        <f>IFERROR(__xludf.DUMMYFUNCTION("""COMPUTED_VALUE"""),"EPSON")</f>
        <v>EPSON</v>
      </c>
      <c r="F1779" s="2005" t="str">
        <f>IFERROR(__xludf.DUMMYFUNCTION("""COMPUTED_VALUE"""),"H")</f>
        <v>H</v>
      </c>
      <c r="G1779" s="2005" t="str">
        <f>IFERROR(__xludf.DUMMYFUNCTION("""COMPUTED_VALUE"""),"AC")</f>
        <v>AC</v>
      </c>
      <c r="H1779" s="2005">
        <f>IFERROR(__xludf.DUMMYFUNCTION("""COMPUTED_VALUE"""),219.99)</f>
        <v>219.99</v>
      </c>
      <c r="I1779" s="2005">
        <f>IFERROR(__xludf.DUMMYFUNCTION("""COMPUTED_VALUE"""),209.99)</f>
        <v>209.99</v>
      </c>
      <c r="BD1779" s="2006"/>
      <c r="LL1779" s="2008"/>
      <c r="LM1779" s="2008"/>
      <c r="MX1779" s="2007"/>
      <c r="ND1779" s="2008"/>
    </row>
    <row r="1780">
      <c r="A1780" s="2005">
        <f>IFERROR(__xludf.DUMMYFUNCTION("""COMPUTED_VALUE"""),1153006.0)</f>
        <v>1153006</v>
      </c>
      <c r="B1780" s="2005">
        <f>IFERROR(__xludf.DUMMYFUNCTION("""COMPUTED_VALUE"""),2202005.0)</f>
        <v>2202005</v>
      </c>
      <c r="C1780" s="2005" t="str">
        <f>IFERROR(__xludf.DUMMYFUNCTION("""COMPUTED_VALUE"""),"Multi Jet d'enc")</f>
        <v>Multi Jet d'enc</v>
      </c>
      <c r="D1780" s="2005" t="str">
        <f>IFERROR(__xludf.DUMMYFUNCTION("""COMPUTED_VALUE"""),"WorkForce WF-7835DTWF")</f>
        <v>WorkForce WF-7835DTWF</v>
      </c>
      <c r="E1780" s="2005" t="str">
        <f>IFERROR(__xludf.DUMMYFUNCTION("""COMPUTED_VALUE"""),"EPSON")</f>
        <v>EPSON</v>
      </c>
      <c r="F1780" s="2005" t="str">
        <f>IFERROR(__xludf.DUMMYFUNCTION("""COMPUTED_VALUE"""),"A")</f>
        <v>A</v>
      </c>
      <c r="G1780" s="2005" t="str">
        <f>IFERROR(__xludf.DUMMYFUNCTION("""COMPUTED_VALUE"""),"AC")</f>
        <v>AC</v>
      </c>
      <c r="H1780" s="2005">
        <f>IFERROR(__xludf.DUMMYFUNCTION("""COMPUTED_VALUE"""),279.99)</f>
        <v>279.99</v>
      </c>
      <c r="I1780" s="2005">
        <f>IFERROR(__xludf.DUMMYFUNCTION("""COMPUTED_VALUE"""),279.99)</f>
        <v>279.99</v>
      </c>
      <c r="BD1780" s="2006"/>
      <c r="LL1780" s="2008"/>
      <c r="LM1780" s="2008"/>
      <c r="MX1780" s="2007"/>
      <c r="ND1780" s="2008"/>
    </row>
    <row r="1781">
      <c r="A1781" s="2005">
        <f>IFERROR(__xludf.DUMMYFUNCTION("""COMPUTED_VALUE"""),1153007.0)</f>
        <v>1153007</v>
      </c>
      <c r="B1781" s="2005">
        <f>IFERROR(__xludf.DUMMYFUNCTION("""COMPUTED_VALUE"""),2202005.0)</f>
        <v>2202005</v>
      </c>
      <c r="C1781" s="2005" t="str">
        <f>IFERROR(__xludf.DUMMYFUNCTION("""COMPUTED_VALUE"""),"Multi Jet d'enc")</f>
        <v>Multi Jet d'enc</v>
      </c>
      <c r="D1781" s="2005" t="str">
        <f>IFERROR(__xludf.DUMMYFUNCTION("""COMPUTED_VALUE"""),"WorkForce WF-7840DTWF")</f>
        <v>WorkForce WF-7840DTWF</v>
      </c>
      <c r="E1781" s="2005" t="str">
        <f>IFERROR(__xludf.DUMMYFUNCTION("""COMPUTED_VALUE"""),"EPSON")</f>
        <v>EPSON</v>
      </c>
      <c r="F1781" s="2005" t="str">
        <f>IFERROR(__xludf.DUMMYFUNCTION("""COMPUTED_VALUE"""),"H")</f>
        <v>H</v>
      </c>
      <c r="G1781" s="2005" t="str">
        <f>IFERROR(__xludf.DUMMYFUNCTION("""COMPUTED_VALUE"""),"AC")</f>
        <v>AC</v>
      </c>
      <c r="H1781">
        <f>IFERROR(__xludf.DUMMYFUNCTION("""COMPUTED_VALUE"""),329.99)</f>
        <v>329.99</v>
      </c>
      <c r="I1781">
        <f>IFERROR(__xludf.DUMMYFUNCTION("""COMPUTED_VALUE"""),279.99)</f>
        <v>279.99</v>
      </c>
      <c r="BD1781" s="2006"/>
      <c r="LL1781" s="2008"/>
      <c r="LM1781" s="2008"/>
      <c r="MX1781" s="2007"/>
      <c r="ND1781" s="2008"/>
    </row>
    <row r="1782">
      <c r="A1782" s="2005">
        <f>IFERROR(__xludf.DUMMYFUNCTION("""COMPUTED_VALUE"""),1153009.0)</f>
        <v>1153009</v>
      </c>
      <c r="B1782" s="2005">
        <f>IFERROR(__xludf.DUMMYFUNCTION("""COMPUTED_VALUE"""),2202005.0)</f>
        <v>2202005</v>
      </c>
      <c r="C1782" s="2005" t="str">
        <f>IFERROR(__xludf.DUMMYFUNCTION("""COMPUTED_VALUE"""),"Multi Jet d'enc")</f>
        <v>Multi Jet d'enc</v>
      </c>
      <c r="D1782" s="2005" t="str">
        <f>IFERROR(__xludf.DUMMYFUNCTION("""COMPUTED_VALUE"""),"WorkForce WF-3825DWF")</f>
        <v>WorkForce WF-3825DWF</v>
      </c>
      <c r="E1782" s="2005" t="str">
        <f>IFERROR(__xludf.DUMMYFUNCTION("""COMPUTED_VALUE"""),"EPSON")</f>
        <v>EPSON</v>
      </c>
      <c r="F1782" s="2005" t="str">
        <f>IFERROR(__xludf.DUMMYFUNCTION("""COMPUTED_VALUE"""),"D")</f>
        <v>D</v>
      </c>
      <c r="G1782" s="2005" t="str">
        <f>IFERROR(__xludf.DUMMYFUNCTION("""COMPUTED_VALUE"""),"AC")</f>
        <v>AC</v>
      </c>
      <c r="H1782" s="2005">
        <f>IFERROR(__xludf.DUMMYFUNCTION("""COMPUTED_VALUE"""),159.99)</f>
        <v>159.99</v>
      </c>
      <c r="I1782" s="2005">
        <f>IFERROR(__xludf.DUMMYFUNCTION("""COMPUTED_VALUE"""),159.99)</f>
        <v>159.99</v>
      </c>
      <c r="BD1782" s="2006"/>
      <c r="LL1782" s="2008"/>
      <c r="LM1782" s="2008"/>
      <c r="MX1782" s="2007"/>
      <c r="ND1782" s="2008"/>
    </row>
    <row r="1783">
      <c r="A1783" s="2005">
        <f>IFERROR(__xludf.DUMMYFUNCTION("""COMPUTED_VALUE"""),1153180.0)</f>
        <v>1153180</v>
      </c>
      <c r="B1783" s="2005">
        <f>IFERROR(__xludf.DUMMYFUNCTION("""COMPUTED_VALUE"""),2502040.0)</f>
        <v>2502040</v>
      </c>
      <c r="C1783" s="2005" t="str">
        <f>IFERROR(__xludf.DUMMYFUNCTION("""COMPUTED_VALUE"""),"Pack")</f>
        <v>Pack</v>
      </c>
      <c r="D1783" s="2005" t="str">
        <f>IFERROR(__xludf.DUMMYFUNCTION("""COMPUTED_VALUE"""),"Clavier+Stylet Surface Pro X Anthracite")</f>
        <v>Clavier+Stylet Surface Pro X Anthracite</v>
      </c>
      <c r="E1783" s="2005" t="str">
        <f>IFERROR(__xludf.DUMMYFUNCTION("""COMPUTED_VALUE"""),"MICROSOFT")</f>
        <v>MICROSOFT</v>
      </c>
      <c r="F1783" s="2005" t="str">
        <f>IFERROR(__xludf.DUMMYFUNCTION("""COMPUTED_VALUE"""),"H")</f>
        <v>H</v>
      </c>
      <c r="G1783" s="2005" t="str">
        <f>IFERROR(__xludf.DUMMYFUNCTION("""COMPUTED_VALUE"""),"NN")</f>
        <v>NN</v>
      </c>
      <c r="H1783" s="2005">
        <f>IFERROR(__xludf.DUMMYFUNCTION("""COMPUTED_VALUE"""),179.99)</f>
        <v>179.99</v>
      </c>
      <c r="I1783" s="2005">
        <f>IFERROR(__xludf.DUMMYFUNCTION("""COMPUTED_VALUE"""),179.99)</f>
        <v>179.99</v>
      </c>
      <c r="BD1783" s="2006"/>
      <c r="LL1783" s="2007"/>
      <c r="LM1783" s="2008"/>
      <c r="MX1783" s="2007"/>
      <c r="ND1783" s="2007"/>
    </row>
    <row r="1784">
      <c r="A1784" s="2005">
        <f>IFERROR(__xludf.DUMMYFUNCTION("""COMPUTED_VALUE"""),1153211.0)</f>
        <v>1153211</v>
      </c>
      <c r="B1784" s="2005">
        <f>IFERROR(__xludf.DUMMYFUNCTION("""COMPUTED_VALUE"""),2502040.0)</f>
        <v>2502040</v>
      </c>
      <c r="C1784" s="2005" t="str">
        <f>IFERROR(__xludf.DUMMYFUNCTION("""COMPUTED_VALUE"""),"Pack")</f>
        <v>Pack</v>
      </c>
      <c r="D1784" s="2005" t="str">
        <f>IFERROR(__xludf.DUMMYFUNCTION("""COMPUTED_VALUE"""),"Clavier+Stylet Surface Pro X Bleu Glacie")</f>
        <v>Clavier+Stylet Surface Pro X Bleu Glacie</v>
      </c>
      <c r="E1784" s="2005" t="str">
        <f>IFERROR(__xludf.DUMMYFUNCTION("""COMPUTED_VALUE"""),"MICROSOFT")</f>
        <v>MICROSOFT</v>
      </c>
      <c r="F1784" s="2005" t="str">
        <f>IFERROR(__xludf.DUMMYFUNCTION("""COMPUTED_VALUE"""),"H")</f>
        <v>H</v>
      </c>
      <c r="G1784" s="2005" t="str">
        <f>IFERROR(__xludf.DUMMYFUNCTION("""COMPUTED_VALUE"""),"NN")</f>
        <v>NN</v>
      </c>
      <c r="H1784" s="2005">
        <f>IFERROR(__xludf.DUMMYFUNCTION("""COMPUTED_VALUE"""),179.99)</f>
        <v>179.99</v>
      </c>
      <c r="I1784" s="2005">
        <f>IFERROR(__xludf.DUMMYFUNCTION("""COMPUTED_VALUE"""),179.99)</f>
        <v>179.99</v>
      </c>
      <c r="LM1784" s="2008"/>
    </row>
    <row r="1785">
      <c r="A1785" s="2005">
        <f>IFERROR(__xludf.DUMMYFUNCTION("""COMPUTED_VALUE"""),1153212.0)</f>
        <v>1153212</v>
      </c>
      <c r="B1785" s="2005">
        <f>IFERROR(__xludf.DUMMYFUNCTION("""COMPUTED_VALUE"""),2502040.0)</f>
        <v>2502040</v>
      </c>
      <c r="C1785" s="2005" t="str">
        <f>IFERROR(__xludf.DUMMYFUNCTION("""COMPUTED_VALUE"""),"Pack")</f>
        <v>Pack</v>
      </c>
      <c r="D1785" s="2005" t="str">
        <f>IFERROR(__xludf.DUMMYFUNCTION("""COMPUTED_VALUE"""),"Clavier+Stylet Surface Pro X Rouge Coque")</f>
        <v>Clavier+Stylet Surface Pro X Rouge Coque</v>
      </c>
      <c r="E1785" s="2005" t="str">
        <f>IFERROR(__xludf.DUMMYFUNCTION("""COMPUTED_VALUE"""),"MICROSOFT")</f>
        <v>MICROSOFT</v>
      </c>
      <c r="F1785" s="2005" t="str">
        <f>IFERROR(__xludf.DUMMYFUNCTION("""COMPUTED_VALUE"""),"H")</f>
        <v>H</v>
      </c>
      <c r="G1785" s="2005" t="str">
        <f>IFERROR(__xludf.DUMMYFUNCTION("""COMPUTED_VALUE"""),"NN")</f>
        <v>NN</v>
      </c>
      <c r="H1785" s="2005">
        <f>IFERROR(__xludf.DUMMYFUNCTION("""COMPUTED_VALUE"""),179.99)</f>
        <v>179.99</v>
      </c>
      <c r="I1785" s="2005">
        <f>IFERROR(__xludf.DUMMYFUNCTION("""COMPUTED_VALUE"""),179.99)</f>
        <v>179.99</v>
      </c>
      <c r="LM1785" s="2008"/>
    </row>
    <row r="1786">
      <c r="A1786" s="2005">
        <f>IFERROR(__xludf.DUMMYFUNCTION("""COMPUTED_VALUE"""),1153213.0)</f>
        <v>1153213</v>
      </c>
      <c r="B1786" s="2005">
        <f>IFERROR(__xludf.DUMMYFUNCTION("""COMPUTED_VALUE"""),2502040.0)</f>
        <v>2502040</v>
      </c>
      <c r="C1786" s="2005" t="str">
        <f>IFERROR(__xludf.DUMMYFUNCTION("""COMPUTED_VALUE"""),"Pack")</f>
        <v>Pack</v>
      </c>
      <c r="D1786" s="2005" t="str">
        <f>IFERROR(__xludf.DUMMYFUNCTION("""COMPUTED_VALUE"""),"Clavier+Stylet Surface Pro X Noir")</f>
        <v>Clavier+Stylet Surface Pro X Noir</v>
      </c>
      <c r="E1786" s="2005" t="str">
        <f>IFERROR(__xludf.DUMMYFUNCTION("""COMPUTED_VALUE"""),"MICROSOFT")</f>
        <v>MICROSOFT</v>
      </c>
      <c r="F1786" s="2005" t="str">
        <f>IFERROR(__xludf.DUMMYFUNCTION("""COMPUTED_VALUE"""),"H")</f>
        <v>H</v>
      </c>
      <c r="G1786" s="2005" t="str">
        <f>IFERROR(__xludf.DUMMYFUNCTION("""COMPUTED_VALUE"""),"NN")</f>
        <v>NN</v>
      </c>
      <c r="H1786" s="2005">
        <f>IFERROR(__xludf.DUMMYFUNCTION("""COMPUTED_VALUE"""),179.99)</f>
        <v>179.99</v>
      </c>
      <c r="I1786" s="2005">
        <f>IFERROR(__xludf.DUMMYFUNCTION("""COMPUTED_VALUE"""),179.99)</f>
        <v>179.99</v>
      </c>
      <c r="LM1786" s="2008"/>
    </row>
    <row r="1787">
      <c r="A1787" s="2005">
        <f>IFERROR(__xludf.DUMMYFUNCTION("""COMPUTED_VALUE"""),1153342.0)</f>
        <v>1153342</v>
      </c>
      <c r="B1787" s="2005">
        <f>IFERROR(__xludf.DUMMYFUNCTION("""COMPUTED_VALUE"""),2502024.0)</f>
        <v>2502024</v>
      </c>
      <c r="D1787" s="2005" t="str">
        <f>IFERROR(__xludf.DUMMYFUNCTION("""COMPUTED_VALUE"""),"Stylet mini pour Tablette/Smartphone")</f>
        <v>Stylet mini pour Tablette/Smartphone</v>
      </c>
      <c r="E1787" s="2005" t="str">
        <f>IFERROR(__xludf.DUMMYFUNCTION("""COMPUTED_VALUE"""),"HAMA")</f>
        <v>HAMA</v>
      </c>
      <c r="F1787" s="2005" t="str">
        <f>IFERROR(__xludf.DUMMYFUNCTION("""COMPUTED_VALUE"""),"A")</f>
        <v>A</v>
      </c>
      <c r="G1787" s="2005" t="str">
        <f>IFERROR(__xludf.DUMMYFUNCTION("""COMPUTED_VALUE"""),"FF")</f>
        <v>FF</v>
      </c>
      <c r="H1787">
        <f>IFERROR(__xludf.DUMMYFUNCTION("""COMPUTED_VALUE"""),9.99)</f>
        <v>9.99</v>
      </c>
      <c r="I1787">
        <f>IFERROR(__xludf.DUMMYFUNCTION("""COMPUTED_VALUE"""),9.99)</f>
        <v>9.99</v>
      </c>
      <c r="LM1787" s="2008"/>
    </row>
    <row r="1788">
      <c r="A1788" s="2005">
        <f>IFERROR(__xludf.DUMMYFUNCTION("""COMPUTED_VALUE"""),1153798.0)</f>
        <v>1153798</v>
      </c>
      <c r="B1788" s="2005">
        <f>IFERROR(__xludf.DUMMYFUNCTION("""COMPUTED_VALUE"""),2502012.0)</f>
        <v>2502012</v>
      </c>
      <c r="C1788" s="2005" t="str">
        <f>IFERROR(__xludf.DUMMYFUNCTION("""COMPUTED_VALUE"""),"Tablette Graph")</f>
        <v>Tablette Graph</v>
      </c>
      <c r="D1788" s="2005" t="str">
        <f>IFERROR(__xludf.DUMMYFUNCTION("""COMPUTED_VALUE"""),"Wacom One + Hub usb-c Belkin")</f>
        <v>Wacom One + Hub usb-c Belkin</v>
      </c>
      <c r="E1788" s="2005" t="str">
        <f>IFERROR(__xludf.DUMMYFUNCTION("""COMPUTED_VALUE"""),"WACOM")</f>
        <v>WACOM</v>
      </c>
      <c r="F1788" s="2005" t="str">
        <f>IFERROR(__xludf.DUMMYFUNCTION("""COMPUTED_VALUE"""),"E")</f>
        <v>E</v>
      </c>
      <c r="G1788" s="2005" t="str">
        <f>IFERROR(__xludf.DUMMYFUNCTION("""COMPUTED_VALUE"""),"NN")</f>
        <v>NN</v>
      </c>
      <c r="H1788" s="2005">
        <f>IFERROR(__xludf.DUMMYFUNCTION("""COMPUTED_VALUE"""),323.99)</f>
        <v>323.99</v>
      </c>
      <c r="I1788" s="2005">
        <f>IFERROR(__xludf.DUMMYFUNCTION("""COMPUTED_VALUE"""),323.99)</f>
        <v>323.99</v>
      </c>
      <c r="LM1788" s="2008"/>
    </row>
    <row r="1789">
      <c r="A1789" s="2005">
        <f>IFERROR(__xludf.DUMMYFUNCTION("""COMPUTED_VALUE"""),1153944.0)</f>
        <v>1153944</v>
      </c>
      <c r="B1789" s="2005">
        <f>IFERROR(__xludf.DUMMYFUNCTION("""COMPUTED_VALUE"""),2403515.0)</f>
        <v>2403515</v>
      </c>
      <c r="C1789" s="2005" t="str">
        <f>IFERROR(__xludf.DUMMYFUNCTION("""COMPUTED_VALUE"""),"POCHETTE")</f>
        <v>POCHETTE</v>
      </c>
      <c r="D1789" s="2005" t="str">
        <f>IFERROR(__xludf.DUMMYFUNCTION("""COMPUTED_VALUE"""),"plastification A3 80 mic x100")</f>
        <v>plastification A3 80 mic x100</v>
      </c>
      <c r="E1789" s="2005" t="str">
        <f>IFERROR(__xludf.DUMMYFUNCTION("""COMPUTED_VALUE"""),"FELLOWES")</f>
        <v>FELLOWES</v>
      </c>
      <c r="F1789" s="2005" t="str">
        <f>IFERROR(__xludf.DUMMYFUNCTION("""COMPUTED_VALUE"""),"H")</f>
        <v>H</v>
      </c>
      <c r="G1789" s="2005" t="str">
        <f>IFERROR(__xludf.DUMMYFUNCTION("""COMPUTED_VALUE"""),"AC")</f>
        <v>AC</v>
      </c>
      <c r="H1789" s="2005">
        <f>IFERROR(__xludf.DUMMYFUNCTION("""COMPUTED_VALUE"""),35.9)</f>
        <v>35.9</v>
      </c>
      <c r="I1789" s="2005">
        <f>IFERROR(__xludf.DUMMYFUNCTION("""COMPUTED_VALUE"""),35.9)</f>
        <v>35.9</v>
      </c>
      <c r="LM1789" s="2008"/>
    </row>
    <row r="1790">
      <c r="A1790" s="2005">
        <f>IFERROR(__xludf.DUMMYFUNCTION("""COMPUTED_VALUE"""),1153945.0)</f>
        <v>1153945</v>
      </c>
      <c r="B1790" s="2005">
        <f>IFERROR(__xludf.DUMMYFUNCTION("""COMPUTED_VALUE"""),2403515.0)</f>
        <v>2403515</v>
      </c>
      <c r="C1790" s="2005" t="str">
        <f>IFERROR(__xludf.DUMMYFUNCTION("""COMPUTED_VALUE"""),"ACC.")</f>
        <v>ACC.</v>
      </c>
      <c r="D1790" s="2005" t="str">
        <f>IFERROR(__xludf.DUMMYFUNCTION("""COMPUTED_VALUE"""),"Poch A4 125 Micr")</f>
        <v>Poch A4 125 Micr</v>
      </c>
      <c r="E1790" s="2005" t="str">
        <f>IFERROR(__xludf.DUMMYFUNCTION("""COMPUTED_VALUE"""),"FELLOWES")</f>
        <v>FELLOWES</v>
      </c>
      <c r="F1790" s="2005" t="str">
        <f>IFERROR(__xludf.DUMMYFUNCTION("""COMPUTED_VALUE"""),"H")</f>
        <v>H</v>
      </c>
      <c r="G1790" s="2005" t="str">
        <f>IFERROR(__xludf.DUMMYFUNCTION("""COMPUTED_VALUE"""),"NN")</f>
        <v>NN</v>
      </c>
      <c r="H1790" s="2005">
        <f>IFERROR(__xludf.DUMMYFUNCTION("""COMPUTED_VALUE"""),12.9)</f>
        <v>12.9</v>
      </c>
      <c r="I1790" s="2005">
        <f>IFERROR(__xludf.DUMMYFUNCTION("""COMPUTED_VALUE"""),12.9)</f>
        <v>12.9</v>
      </c>
      <c r="LM1790" s="2008"/>
    </row>
    <row r="1791">
      <c r="A1791" s="2005">
        <f>IFERROR(__xludf.DUMMYFUNCTION("""COMPUTED_VALUE"""),1154063.0)</f>
        <v>1154063</v>
      </c>
      <c r="B1791" s="2005">
        <f>IFERROR(__xludf.DUMMYFUNCTION("""COMPUTED_VALUE"""),2503010.0)</f>
        <v>2503010</v>
      </c>
      <c r="C1791" s="2005" t="str">
        <f>IFERROR(__xludf.DUMMYFUNCTION("""COMPUTED_VALUE"""),"Haut Parleur")</f>
        <v>Haut Parleur</v>
      </c>
      <c r="D1791" s="2005" t="str">
        <f>IFERROR(__xludf.DUMMYFUNCTION("""COMPUTED_VALUE"""),"Speak 410")</f>
        <v>Speak 410</v>
      </c>
      <c r="E1791" s="2005" t="str">
        <f>IFERROR(__xludf.DUMMYFUNCTION("""COMPUTED_VALUE"""),"JABRA")</f>
        <v>JABRA</v>
      </c>
      <c r="F1791" s="2005" t="str">
        <f>IFERROR(__xludf.DUMMYFUNCTION("""COMPUTED_VALUE"""),"H")</f>
        <v>H</v>
      </c>
      <c r="G1791" s="2005" t="str">
        <f>IFERROR(__xludf.DUMMYFUNCTION("""COMPUTED_VALUE"""),"NN")</f>
        <v>NN</v>
      </c>
      <c r="H1791">
        <f>IFERROR(__xludf.DUMMYFUNCTION("""COMPUTED_VALUE"""),120.0)</f>
        <v>120</v>
      </c>
      <c r="I1791">
        <f>IFERROR(__xludf.DUMMYFUNCTION("""COMPUTED_VALUE"""),120.0)</f>
        <v>120</v>
      </c>
      <c r="LM1791" s="2008"/>
    </row>
    <row r="1792">
      <c r="A1792" s="2005">
        <f>IFERROR(__xludf.DUMMYFUNCTION("""COMPUTED_VALUE"""),1154070.0)</f>
        <v>1154070</v>
      </c>
      <c r="B1792" s="2005">
        <f>IFERROR(__xludf.DUMMYFUNCTION("""COMPUTED_VALUE"""),2502020.0)</f>
        <v>2502020</v>
      </c>
      <c r="C1792" s="2005" t="str">
        <f>IFERROR(__xludf.DUMMYFUNCTION("""COMPUTED_VALUE"""),"Webcam")</f>
        <v>Webcam</v>
      </c>
      <c r="D1792" s="2005" t="str">
        <f>IFERROR(__xludf.DUMMYFUNCTION("""COMPUTED_VALUE"""),"WHD30UF")</f>
        <v>WHD30UF</v>
      </c>
      <c r="E1792" s="2005" t="str">
        <f>IFERROR(__xludf.DUMMYFUNCTION("""COMPUTED_VALUE"""),"URBAN FACTORY")</f>
        <v>URBAN FACTORY</v>
      </c>
      <c r="F1792" s="2005" t="str">
        <f>IFERROR(__xludf.DUMMYFUNCTION("""COMPUTED_VALUE"""),"H")</f>
        <v>H</v>
      </c>
      <c r="G1792" s="2005" t="str">
        <f>IFERROR(__xludf.DUMMYFUNCTION("""COMPUTED_VALUE"""),"NN")</f>
        <v>NN</v>
      </c>
      <c r="H1792" s="2005">
        <f>IFERROR(__xludf.DUMMYFUNCTION("""COMPUTED_VALUE"""),54.99)</f>
        <v>54.99</v>
      </c>
      <c r="I1792" s="2005">
        <f>IFERROR(__xludf.DUMMYFUNCTION("""COMPUTED_VALUE"""),54.99)</f>
        <v>54.99</v>
      </c>
      <c r="LM1792" s="2008"/>
    </row>
    <row r="1793">
      <c r="A1793" s="2005">
        <f>IFERROR(__xludf.DUMMYFUNCTION("""COMPUTED_VALUE"""),1154250.0)</f>
        <v>1154250</v>
      </c>
      <c r="B1793" s="2005">
        <f>IFERROR(__xludf.DUMMYFUNCTION("""COMPUTED_VALUE"""),1103010.0)</f>
        <v>1103010</v>
      </c>
      <c r="C1793" s="2005" t="str">
        <f>IFERROR(__xludf.DUMMYFUNCTION("""COMPUTED_VALUE"""),"Tél.")</f>
        <v>Tél.</v>
      </c>
      <c r="D1793" s="2005" t="str">
        <f>IFERROR(__xludf.DUMMYFUNCTION("""COMPUTED_VALUE"""),"CL770 Solo Noir")</f>
        <v>CL770 Solo Noir</v>
      </c>
      <c r="E1793" s="2005" t="str">
        <f>IFERROR(__xludf.DUMMYFUNCTION("""COMPUTED_VALUE"""),"GIGASET")</f>
        <v>GIGASET</v>
      </c>
      <c r="F1793" s="2005" t="str">
        <f>IFERROR(__xludf.DUMMYFUNCTION("""COMPUTED_VALUE"""),"A")</f>
        <v>A</v>
      </c>
      <c r="G1793" s="2005" t="str">
        <f>IFERROR(__xludf.DUMMYFUNCTION("""COMPUTED_VALUE"""),"AC")</f>
        <v>AC</v>
      </c>
      <c r="H1793" s="2005">
        <f>IFERROR(__xludf.DUMMYFUNCTION("""COMPUTED_VALUE"""),69.99)</f>
        <v>69.99</v>
      </c>
      <c r="I1793" s="2005">
        <f>IFERROR(__xludf.DUMMYFUNCTION("""COMPUTED_VALUE"""),69.99)</f>
        <v>69.99</v>
      </c>
      <c r="LM1793" s="2008"/>
    </row>
    <row r="1794">
      <c r="A1794" s="2005">
        <f>IFERROR(__xludf.DUMMYFUNCTION("""COMPUTED_VALUE"""),1154291.0)</f>
        <v>1154291</v>
      </c>
      <c r="B1794" s="2005">
        <f>IFERROR(__xludf.DUMMYFUNCTION("""COMPUTED_VALUE"""),1103010.0)</f>
        <v>1103010</v>
      </c>
      <c r="C1794" s="2005" t="str">
        <f>IFERROR(__xludf.DUMMYFUNCTION("""COMPUTED_VALUE"""),"Pack")</f>
        <v>Pack</v>
      </c>
      <c r="D1794" s="2005" t="str">
        <f>IFERROR(__xludf.DUMMYFUNCTION("""COMPUTED_VALUE"""),"CL770 Duo Noir")</f>
        <v>CL770 Duo Noir</v>
      </c>
      <c r="E1794" s="2005" t="str">
        <f>IFERROR(__xludf.DUMMYFUNCTION("""COMPUTED_VALUE"""),"GIGASET")</f>
        <v>GIGASET</v>
      </c>
      <c r="F1794" s="2005" t="str">
        <f>IFERROR(__xludf.DUMMYFUNCTION("""COMPUTED_VALUE"""),"A")</f>
        <v>A</v>
      </c>
      <c r="G1794" s="2005" t="str">
        <f>IFERROR(__xludf.DUMMYFUNCTION("""COMPUTED_VALUE"""),"AC")</f>
        <v>AC</v>
      </c>
      <c r="H1794" s="2005">
        <f>IFERROR(__xludf.DUMMYFUNCTION("""COMPUTED_VALUE"""),104.99)</f>
        <v>104.99</v>
      </c>
      <c r="I1794" s="2005">
        <f>IFERROR(__xludf.DUMMYFUNCTION("""COMPUTED_VALUE"""),104.99)</f>
        <v>104.99</v>
      </c>
      <c r="LM1794" s="2008"/>
    </row>
    <row r="1795">
      <c r="A1795" s="2005">
        <f>IFERROR(__xludf.DUMMYFUNCTION("""COMPUTED_VALUE"""),1154292.0)</f>
        <v>1154292</v>
      </c>
      <c r="B1795" s="2005">
        <f>IFERROR(__xludf.DUMMYFUNCTION("""COMPUTED_VALUE"""),1103010.0)</f>
        <v>1103010</v>
      </c>
      <c r="C1795" s="2005" t="str">
        <f>IFERROR(__xludf.DUMMYFUNCTION("""COMPUTED_VALUE"""),"Tél.")</f>
        <v>Tél.</v>
      </c>
      <c r="D1795" s="2005" t="str">
        <f>IFERROR(__xludf.DUMMYFUNCTION("""COMPUTED_VALUE"""),"CL770A Solo Noir")</f>
        <v>CL770A Solo Noir</v>
      </c>
      <c r="E1795" s="2005" t="str">
        <f>IFERROR(__xludf.DUMMYFUNCTION("""COMPUTED_VALUE"""),"GIGASET")</f>
        <v>GIGASET</v>
      </c>
      <c r="F1795" s="2005" t="str">
        <f>IFERROR(__xludf.DUMMYFUNCTION("""COMPUTED_VALUE"""),"A")</f>
        <v>A</v>
      </c>
      <c r="G1795" s="2005" t="str">
        <f>IFERROR(__xludf.DUMMYFUNCTION("""COMPUTED_VALUE"""),"AC")</f>
        <v>AC</v>
      </c>
      <c r="H1795" s="2005">
        <f>IFERROR(__xludf.DUMMYFUNCTION("""COMPUTED_VALUE"""),89.99)</f>
        <v>89.99</v>
      </c>
      <c r="I1795" s="2005">
        <f>IFERROR(__xludf.DUMMYFUNCTION("""COMPUTED_VALUE"""),89.99)</f>
        <v>89.99</v>
      </c>
      <c r="LM1795" s="2008"/>
    </row>
    <row r="1796">
      <c r="A1796" s="2005">
        <f>IFERROR(__xludf.DUMMYFUNCTION("""COMPUTED_VALUE"""),1154293.0)</f>
        <v>1154293</v>
      </c>
      <c r="B1796" s="2005">
        <f>IFERROR(__xludf.DUMMYFUNCTION("""COMPUTED_VALUE"""),1103010.0)</f>
        <v>1103010</v>
      </c>
      <c r="C1796" s="2005" t="str">
        <f>IFERROR(__xludf.DUMMYFUNCTION("""COMPUTED_VALUE"""),"Pack")</f>
        <v>Pack</v>
      </c>
      <c r="D1796" s="2005" t="str">
        <f>IFERROR(__xludf.DUMMYFUNCTION("""COMPUTED_VALUE"""),"CL770A Duo Noir")</f>
        <v>CL770A Duo Noir</v>
      </c>
      <c r="E1796" s="2005" t="str">
        <f>IFERROR(__xludf.DUMMYFUNCTION("""COMPUTED_VALUE"""),"GIGASET")</f>
        <v>GIGASET</v>
      </c>
      <c r="F1796" s="2005" t="str">
        <f>IFERROR(__xludf.DUMMYFUNCTION("""COMPUTED_VALUE"""),"A")</f>
        <v>A</v>
      </c>
      <c r="G1796" s="2005" t="str">
        <f>IFERROR(__xludf.DUMMYFUNCTION("""COMPUTED_VALUE"""),"AC")</f>
        <v>AC</v>
      </c>
      <c r="H1796" s="2005">
        <f>IFERROR(__xludf.DUMMYFUNCTION("""COMPUTED_VALUE"""),124.99)</f>
        <v>124.99</v>
      </c>
      <c r="I1796" s="2005">
        <f>IFERROR(__xludf.DUMMYFUNCTION("""COMPUTED_VALUE"""),124.99)</f>
        <v>124.99</v>
      </c>
      <c r="LM1796" s="2008"/>
    </row>
    <row r="1797">
      <c r="A1797" s="2005">
        <f>IFERROR(__xludf.DUMMYFUNCTION("""COMPUTED_VALUE"""),1154294.0)</f>
        <v>1154294</v>
      </c>
      <c r="B1797" s="2005">
        <f>IFERROR(__xludf.DUMMYFUNCTION("""COMPUTED_VALUE"""),1103010.0)</f>
        <v>1103010</v>
      </c>
      <c r="C1797" s="2005" t="str">
        <f>IFERROR(__xludf.DUMMYFUNCTION("""COMPUTED_VALUE"""),"Pack")</f>
        <v>Pack</v>
      </c>
      <c r="D1797" s="2005" t="str">
        <f>IFERROR(__xludf.DUMMYFUNCTION("""COMPUTED_VALUE"""),"CL770A Trio Noir")</f>
        <v>CL770A Trio Noir</v>
      </c>
      <c r="E1797" s="2005" t="str">
        <f>IFERROR(__xludf.DUMMYFUNCTION("""COMPUTED_VALUE"""),"GIGASET")</f>
        <v>GIGASET</v>
      </c>
      <c r="F1797" s="2005" t="str">
        <f>IFERROR(__xludf.DUMMYFUNCTION("""COMPUTED_VALUE"""),"C")</f>
        <v>C</v>
      </c>
      <c r="G1797" s="2005" t="str">
        <f>IFERROR(__xludf.DUMMYFUNCTION("""COMPUTED_VALUE"""),"AC")</f>
        <v>AC</v>
      </c>
      <c r="H1797" s="2005">
        <f>IFERROR(__xludf.DUMMYFUNCTION("""COMPUTED_VALUE"""),149.99)</f>
        <v>149.99</v>
      </c>
      <c r="I1797" s="2005">
        <f>IFERROR(__xludf.DUMMYFUNCTION("""COMPUTED_VALUE"""),149.99)</f>
        <v>149.99</v>
      </c>
      <c r="LM1797" s="2008"/>
    </row>
    <row r="1798">
      <c r="A1798" s="2005">
        <f>IFERROR(__xludf.DUMMYFUNCTION("""COMPUTED_VALUE"""),1154717.0)</f>
        <v>1154717</v>
      </c>
      <c r="B1798" s="2005">
        <f>IFERROR(__xludf.DUMMYFUNCTION("""COMPUTED_VALUE"""),2703025.0)</f>
        <v>2703025</v>
      </c>
      <c r="C1798" s="2005" t="str">
        <f>IFERROR(__xludf.DUMMYFUNCTION("""COMPUTED_VALUE"""),"DESTRUCTEUR")</f>
        <v>DESTRUCTEUR</v>
      </c>
      <c r="D1798" s="2005" t="str">
        <f>IFERROR(__xludf.DUMMYFUNCTION("""COMPUTED_VALUE"""),"Home X12CD")</f>
        <v>Home X12CD</v>
      </c>
      <c r="E1798" s="2005" t="str">
        <f>IFERROR(__xludf.DUMMYFUNCTION("""COMPUTED_VALUE"""),"HAMA")</f>
        <v>HAMA</v>
      </c>
      <c r="F1798" s="2005" t="str">
        <f>IFERROR(__xludf.DUMMYFUNCTION("""COMPUTED_VALUE"""),"H")</f>
        <v>H</v>
      </c>
      <c r="G1798" s="2005" t="str">
        <f>IFERROR(__xludf.DUMMYFUNCTION("""COMPUTED_VALUE"""),"NN")</f>
        <v>NN</v>
      </c>
      <c r="H1798" s="2005">
        <f>IFERROR(__xludf.DUMMYFUNCTION("""COMPUTED_VALUE"""),79.99)</f>
        <v>79.99</v>
      </c>
      <c r="I1798" s="2005">
        <f>IFERROR(__xludf.DUMMYFUNCTION("""COMPUTED_VALUE"""),79.99)</f>
        <v>79.99</v>
      </c>
      <c r="LM1798" s="2008"/>
    </row>
    <row r="1799">
      <c r="A1799" s="2005">
        <f>IFERROR(__xludf.DUMMYFUNCTION("""COMPUTED_VALUE"""),1154719.0)</f>
        <v>1154719</v>
      </c>
      <c r="B1799" s="2005">
        <f>IFERROR(__xludf.DUMMYFUNCTION("""COMPUTED_VALUE"""),2203005.0)</f>
        <v>2203005</v>
      </c>
      <c r="C1799" s="2005" t="str">
        <f>IFERROR(__xludf.DUMMYFUNCTION("""COMPUTED_VALUE"""),"Scanner")</f>
        <v>Scanner</v>
      </c>
      <c r="D1799" s="2005" t="str">
        <f>IFERROR(__xludf.DUMMYFUNCTION("""COMPUTED_VALUE"""),"WorkForce ES-50")</f>
        <v>WorkForce ES-50</v>
      </c>
      <c r="E1799" s="2005" t="str">
        <f>IFERROR(__xludf.DUMMYFUNCTION("""COMPUTED_VALUE"""),"EPSON")</f>
        <v>EPSON</v>
      </c>
      <c r="F1799" s="2005" t="str">
        <f>IFERROR(__xludf.DUMMYFUNCTION("""COMPUTED_VALUE"""),"H")</f>
        <v>H</v>
      </c>
      <c r="G1799" s="2005" t="str">
        <f>IFERROR(__xludf.DUMMYFUNCTION("""COMPUTED_VALUE"""),"AC")</f>
        <v>AC</v>
      </c>
      <c r="H1799" s="2005">
        <f>IFERROR(__xludf.DUMMYFUNCTION("""COMPUTED_VALUE"""),149.99)</f>
        <v>149.99</v>
      </c>
      <c r="I1799" s="2005">
        <f>IFERROR(__xludf.DUMMYFUNCTION("""COMPUTED_VALUE"""),149.99)</f>
        <v>149.99</v>
      </c>
      <c r="LM1799" s="2008"/>
    </row>
    <row r="1800">
      <c r="A1800" s="2005">
        <f>IFERROR(__xludf.DUMMYFUNCTION("""COMPUTED_VALUE"""),1154808.0)</f>
        <v>1154808</v>
      </c>
      <c r="B1800" s="2005">
        <f>IFERROR(__xludf.DUMMYFUNCTION("""COMPUTED_VALUE"""),2203005.0)</f>
        <v>2203005</v>
      </c>
      <c r="C1800" s="2005" t="str">
        <f>IFERROR(__xludf.DUMMYFUNCTION("""COMPUTED_VALUE"""),"Scanner")</f>
        <v>Scanner</v>
      </c>
      <c r="D1800" s="2005" t="str">
        <f>IFERROR(__xludf.DUMMYFUNCTION("""COMPUTED_VALUE"""),"ADS-1200")</f>
        <v>ADS-1200</v>
      </c>
      <c r="E1800" s="2005" t="str">
        <f>IFERROR(__xludf.DUMMYFUNCTION("""COMPUTED_VALUE"""),"BROTHER")</f>
        <v>BROTHER</v>
      </c>
      <c r="F1800" s="2005" t="str">
        <f>IFERROR(__xludf.DUMMYFUNCTION("""COMPUTED_VALUE"""),"W")</f>
        <v>W</v>
      </c>
      <c r="G1800" s="2005" t="str">
        <f>IFERROR(__xludf.DUMMYFUNCTION("""COMPUTED_VALUE"""),"AC")</f>
        <v>AC</v>
      </c>
      <c r="H1800" s="2005">
        <f>IFERROR(__xludf.DUMMYFUNCTION("""COMPUTED_VALUE"""),290.23)</f>
        <v>290.23</v>
      </c>
      <c r="I1800" s="2005">
        <f>IFERROR(__xludf.DUMMYFUNCTION("""COMPUTED_VALUE"""),239.95)</f>
        <v>239.95</v>
      </c>
      <c r="BD1800" s="2006"/>
      <c r="LL1800" s="2008"/>
      <c r="LM1800" s="2008"/>
      <c r="MX1800" s="2007"/>
      <c r="ND1800" s="2007"/>
    </row>
    <row r="1801">
      <c r="A1801" s="2005">
        <f>IFERROR(__xludf.DUMMYFUNCTION("""COMPUTED_VALUE"""),1155008.0)</f>
        <v>1155008</v>
      </c>
      <c r="B1801" s="2005">
        <f>IFERROR(__xludf.DUMMYFUNCTION("""COMPUTED_VALUE"""),2502015.0)</f>
        <v>2502015</v>
      </c>
      <c r="C1801" s="2005" t="str">
        <f>IFERROR(__xludf.DUMMYFUNCTION("""COMPUTED_VALUE"""),"Clavier+Souris")</f>
        <v>Clavier+Souris</v>
      </c>
      <c r="D1801" s="2005" t="str">
        <f>IFERROR(__xludf.DUMMYFUNCTION("""COMPUTED_VALUE"""),"MK295 Silent Wireless Combo")</f>
        <v>MK295 Silent Wireless Combo</v>
      </c>
      <c r="E1801" s="2005" t="str">
        <f>IFERROR(__xludf.DUMMYFUNCTION("""COMPUTED_VALUE"""),"LOGITECH")</f>
        <v>LOGITECH</v>
      </c>
      <c r="F1801" s="2005" t="str">
        <f>IFERROR(__xludf.DUMMYFUNCTION("""COMPUTED_VALUE"""),"W")</f>
        <v>W</v>
      </c>
      <c r="G1801" s="2005" t="str">
        <f>IFERROR(__xludf.DUMMYFUNCTION("""COMPUTED_VALUE"""),"AC")</f>
        <v>AC</v>
      </c>
      <c r="H1801" s="2005">
        <f>IFERROR(__xludf.DUMMYFUNCTION("""COMPUTED_VALUE"""),49.99)</f>
        <v>49.99</v>
      </c>
      <c r="I1801" s="2005">
        <f>IFERROR(__xludf.DUMMYFUNCTION("""COMPUTED_VALUE"""),38.8)</f>
        <v>38.8</v>
      </c>
      <c r="BD1801" s="2006"/>
      <c r="LL1801" s="2007"/>
      <c r="LM1801" s="2008"/>
      <c r="MX1801" s="2007"/>
      <c r="ND1801" s="2007"/>
    </row>
    <row r="1802">
      <c r="A1802" s="2005">
        <f>IFERROR(__xludf.DUMMYFUNCTION("""COMPUTED_VALUE"""),1155009.0)</f>
        <v>1155009</v>
      </c>
      <c r="B1802" s="2005">
        <f>IFERROR(__xludf.DUMMYFUNCTION("""COMPUTED_VALUE"""),2502015.0)</f>
        <v>2502015</v>
      </c>
      <c r="C1802" s="2005" t="str">
        <f>IFERROR(__xludf.DUMMYFUNCTION("""COMPUTED_VALUE"""),"Clavier+Souris")</f>
        <v>Clavier+Souris</v>
      </c>
      <c r="D1802" s="2005" t="str">
        <f>IFERROR(__xludf.DUMMYFUNCTION("""COMPUTED_VALUE"""),"MK295 Silent Wireless Combo White")</f>
        <v>MK295 Silent Wireless Combo White</v>
      </c>
      <c r="E1802" s="2005" t="str">
        <f>IFERROR(__xludf.DUMMYFUNCTION("""COMPUTED_VALUE"""),"LOGITECH")</f>
        <v>LOGITECH</v>
      </c>
      <c r="F1802" s="2005" t="str">
        <f>IFERROR(__xludf.DUMMYFUNCTION("""COMPUTED_VALUE"""),"W")</f>
        <v>W</v>
      </c>
      <c r="G1802" s="2005" t="str">
        <f>IFERROR(__xludf.DUMMYFUNCTION("""COMPUTED_VALUE"""),"AC")</f>
        <v>AC</v>
      </c>
      <c r="H1802">
        <f>IFERROR(__xludf.DUMMYFUNCTION("""COMPUTED_VALUE"""),49.99)</f>
        <v>49.99</v>
      </c>
      <c r="I1802">
        <f>IFERROR(__xludf.DUMMYFUNCTION("""COMPUTED_VALUE"""),47.95)</f>
        <v>47.95</v>
      </c>
      <c r="BD1802" s="2006"/>
      <c r="LL1802" s="2007"/>
      <c r="LM1802" s="2008"/>
      <c r="MX1802" s="2007"/>
      <c r="ND1802" s="2008"/>
    </row>
    <row r="1803">
      <c r="A1803" s="2005">
        <f>IFERROR(__xludf.DUMMYFUNCTION("""COMPUTED_VALUE"""),1155041.0)</f>
        <v>1155041</v>
      </c>
      <c r="B1803" s="2005">
        <f>IFERROR(__xludf.DUMMYFUNCTION("""COMPUTED_VALUE"""),2502010.0)</f>
        <v>2502010</v>
      </c>
      <c r="C1803" s="2005" t="str">
        <f>IFERROR(__xludf.DUMMYFUNCTION("""COMPUTED_VALUE"""),"Souris")</f>
        <v>Souris</v>
      </c>
      <c r="D1803" s="2005" t="str">
        <f>IFERROR(__xludf.DUMMYFUNCTION("""COMPUTED_VALUE"""),"M500s Advanced Corded Mouse")</f>
        <v>M500s Advanced Corded Mouse</v>
      </c>
      <c r="E1803" s="2005" t="str">
        <f>IFERROR(__xludf.DUMMYFUNCTION("""COMPUTED_VALUE"""),"LOGITECH")</f>
        <v>LOGITECH</v>
      </c>
      <c r="F1803" s="2005" t="str">
        <f>IFERROR(__xludf.DUMMYFUNCTION("""COMPUTED_VALUE"""),"D")</f>
        <v>D</v>
      </c>
      <c r="G1803" s="2005" t="str">
        <f>IFERROR(__xludf.DUMMYFUNCTION("""COMPUTED_VALUE"""),"AC")</f>
        <v>AC</v>
      </c>
      <c r="H1803" s="2005">
        <f>IFERROR(__xludf.DUMMYFUNCTION("""COMPUTED_VALUE"""),44.99)</f>
        <v>44.99</v>
      </c>
      <c r="I1803" s="2005">
        <f>IFERROR(__xludf.DUMMYFUNCTION("""COMPUTED_VALUE"""),44.99)</f>
        <v>44.99</v>
      </c>
      <c r="BD1803" s="2006"/>
      <c r="LL1803" s="2008"/>
      <c r="LM1803" s="2008"/>
      <c r="MX1803" s="2007"/>
      <c r="ND1803" s="2008"/>
    </row>
    <row r="1804">
      <c r="A1804" s="2005">
        <f>IFERROR(__xludf.DUMMYFUNCTION("""COMPUTED_VALUE"""),1155222.0)</f>
        <v>1155222</v>
      </c>
      <c r="B1804" s="2005">
        <f>IFERROR(__xludf.DUMMYFUNCTION("""COMPUTED_VALUE"""),2403005.0)</f>
        <v>2403005</v>
      </c>
      <c r="C1804" s="2005" t="str">
        <f>IFERROR(__xludf.DUMMYFUNCTION("""COMPUTED_VALUE"""),"Cartouche")</f>
        <v>Cartouche</v>
      </c>
      <c r="D1804" s="2005" t="str">
        <f>IFERROR(__xludf.DUMMYFUNCTION("""COMPUTED_VALUE"""),"Box multipack Etoile de mer")</f>
        <v>Box multipack Etoile de mer</v>
      </c>
      <c r="E1804" s="2005" t="str">
        <f>IFERROR(__xludf.DUMMYFUNCTION("""COMPUTED_VALUE"""),"EPSON")</f>
        <v>EPSON</v>
      </c>
      <c r="F1804" s="2005" t="str">
        <f>IFERROR(__xludf.DUMMYFUNCTION("""COMPUTED_VALUE"""),"H")</f>
        <v>H</v>
      </c>
      <c r="G1804" s="2005" t="str">
        <f>IFERROR(__xludf.DUMMYFUNCTION("""COMPUTED_VALUE"""),"FR")</f>
        <v>FR</v>
      </c>
      <c r="H1804" s="2005">
        <f>IFERROR(__xludf.DUMMYFUNCTION("""COMPUTED_VALUE"""),952.99)</f>
        <v>952.99</v>
      </c>
      <c r="I1804" s="2005">
        <f>IFERROR(__xludf.DUMMYFUNCTION("""COMPUTED_VALUE"""),952.99)</f>
        <v>952.99</v>
      </c>
      <c r="BD1804" s="2006"/>
      <c r="LL1804" s="2007"/>
      <c r="LM1804" s="2008"/>
      <c r="MX1804" s="2007"/>
      <c r="ND1804" s="2008"/>
    </row>
    <row r="1805">
      <c r="A1805" s="2005">
        <f>IFERROR(__xludf.DUMMYFUNCTION("""COMPUTED_VALUE"""),1155240.0)</f>
        <v>1155240</v>
      </c>
      <c r="B1805" s="2005">
        <f>IFERROR(__xludf.DUMMYFUNCTION("""COMPUTED_VALUE"""),2502020.0)</f>
        <v>2502020</v>
      </c>
      <c r="C1805" s="2005" t="str">
        <f>IFERROR(__xludf.DUMMYFUNCTION("""COMPUTED_VALUE"""),"Webcam")</f>
        <v>Webcam</v>
      </c>
      <c r="D1805" s="2005" t="str">
        <f>IFERROR(__xludf.DUMMYFUNCTION("""COMPUTED_VALUE"""),"C505 HD")</f>
        <v>C505 HD</v>
      </c>
      <c r="E1805" s="2005" t="str">
        <f>IFERROR(__xludf.DUMMYFUNCTION("""COMPUTED_VALUE"""),"LOGITECH")</f>
        <v>LOGITECH</v>
      </c>
      <c r="F1805" s="2005" t="str">
        <f>IFERROR(__xludf.DUMMYFUNCTION("""COMPUTED_VALUE"""),"H")</f>
        <v>H</v>
      </c>
      <c r="G1805" s="2005" t="str">
        <f>IFERROR(__xludf.DUMMYFUNCTION("""COMPUTED_VALUE"""),"FR")</f>
        <v>FR</v>
      </c>
      <c r="H1805" s="2005">
        <f>IFERROR(__xludf.DUMMYFUNCTION("""COMPUTED_VALUE"""),64.99)</f>
        <v>64.99</v>
      </c>
      <c r="I1805" s="2005">
        <f>IFERROR(__xludf.DUMMYFUNCTION("""COMPUTED_VALUE"""),64.99)</f>
        <v>64.99</v>
      </c>
      <c r="BD1805" s="2006"/>
      <c r="LL1805" s="2007"/>
      <c r="LM1805" s="2008"/>
      <c r="MX1805" s="2007"/>
      <c r="ND1805" s="2007"/>
    </row>
    <row r="1806">
      <c r="A1806" s="2005">
        <f>IFERROR(__xludf.DUMMYFUNCTION("""COMPUTED_VALUE"""),1155551.0)</f>
        <v>1155551</v>
      </c>
      <c r="B1806" s="2005">
        <f>IFERROR(__xludf.DUMMYFUNCTION("""COMPUTED_VALUE"""),2202005.0)</f>
        <v>2202005</v>
      </c>
      <c r="C1806" s="2005" t="str">
        <f>IFERROR(__xludf.DUMMYFUNCTION("""COMPUTED_VALUE"""),"Multi Jet d'enc")</f>
        <v>Multi Jet d'enc</v>
      </c>
      <c r="D1806" s="2005" t="str">
        <f>IFERROR(__xludf.DUMMYFUNCTION("""COMPUTED_VALUE"""),"Deskjet Plus 4110")</f>
        <v>Deskjet Plus 4110</v>
      </c>
      <c r="E1806" s="2005" t="str">
        <f>IFERROR(__xludf.DUMMYFUNCTION("""COMPUTED_VALUE"""),"HP")</f>
        <v>HP</v>
      </c>
      <c r="F1806" s="2005" t="str">
        <f>IFERROR(__xludf.DUMMYFUNCTION("""COMPUTED_VALUE"""),"B")</f>
        <v>B</v>
      </c>
      <c r="G1806" s="2005" t="str">
        <f>IFERROR(__xludf.DUMMYFUNCTION("""COMPUTED_VALUE"""),"NN")</f>
        <v>NN</v>
      </c>
      <c r="H1806" s="2005">
        <f>IFERROR(__xludf.DUMMYFUNCTION("""COMPUTED_VALUE"""),50.99)</f>
        <v>50.99</v>
      </c>
      <c r="I1806" s="2005">
        <f>IFERROR(__xludf.DUMMYFUNCTION("""COMPUTED_VALUE"""),50.99)</f>
        <v>50.99</v>
      </c>
      <c r="BD1806" s="2006"/>
      <c r="LL1806" s="2007"/>
      <c r="LM1806" s="2008"/>
      <c r="MX1806" s="2007"/>
      <c r="ND1806" s="2008"/>
    </row>
    <row r="1807">
      <c r="A1807" s="2005">
        <f>IFERROR(__xludf.DUMMYFUNCTION("""COMPUTED_VALUE"""),1155558.0)</f>
        <v>1155558</v>
      </c>
      <c r="B1807" s="2005">
        <f>IFERROR(__xludf.DUMMYFUNCTION("""COMPUTED_VALUE"""),2502040.0)</f>
        <v>2502040</v>
      </c>
      <c r="C1807" s="2005" t="str">
        <f>IFERROR(__xludf.DUMMYFUNCTION("""COMPUTED_VALUE"""),"Dock")</f>
        <v>Dock</v>
      </c>
      <c r="D1807" s="2005" t="str">
        <f>IFERROR(__xludf.DUMMYFUNCTION("""COMPUTED_VALUE"""),"Station Surface Dock 2")</f>
        <v>Station Surface Dock 2</v>
      </c>
      <c r="E1807" s="2005" t="str">
        <f>IFERROR(__xludf.DUMMYFUNCTION("""COMPUTED_VALUE"""),"MICROSOFT")</f>
        <v>MICROSOFT</v>
      </c>
      <c r="F1807" s="2005" t="str">
        <f>IFERROR(__xludf.DUMMYFUNCTION("""COMPUTED_VALUE"""),"W")</f>
        <v>W</v>
      </c>
      <c r="G1807" s="2005" t="str">
        <f>IFERROR(__xludf.DUMMYFUNCTION("""COMPUTED_VALUE"""),"NN")</f>
        <v>NN</v>
      </c>
      <c r="H1807" s="2005">
        <f>IFERROR(__xludf.DUMMYFUNCTION("""COMPUTED_VALUE"""),299.99)</f>
        <v>299.99</v>
      </c>
      <c r="I1807" s="2005">
        <f>IFERROR(__xludf.DUMMYFUNCTION("""COMPUTED_VALUE"""),299.99)</f>
        <v>299.99</v>
      </c>
      <c r="BD1807" s="2006"/>
      <c r="LL1807" s="2007"/>
      <c r="LM1807" s="2008"/>
      <c r="MX1807" s="2007"/>
      <c r="ND1807" s="2008"/>
    </row>
    <row r="1808">
      <c r="A1808">
        <f>IFERROR(__xludf.DUMMYFUNCTION("""COMPUTED_VALUE"""),1155559.0)</f>
        <v>1155559</v>
      </c>
      <c r="B1808">
        <f>IFERROR(__xludf.DUMMYFUNCTION("""COMPUTED_VALUE"""),2502040.0)</f>
        <v>2502040</v>
      </c>
      <c r="C1808" t="str">
        <f>IFERROR(__xludf.DUMMYFUNCTION("""COMPUTED_VALUE"""),"Alim")</f>
        <v>Alim</v>
      </c>
      <c r="D1808" t="str">
        <f>IFERROR(__xludf.DUMMYFUNCTION("""COMPUTED_VALUE"""),"Surface Book")</f>
        <v>Surface Book</v>
      </c>
      <c r="E1808" t="str">
        <f>IFERROR(__xludf.DUMMYFUNCTION("""COMPUTED_VALUE"""),"MICROSOFT")</f>
        <v>MICROSOFT</v>
      </c>
      <c r="F1808" t="str">
        <f>IFERROR(__xludf.DUMMYFUNCTION("""COMPUTED_VALUE"""),"E")</f>
        <v>E</v>
      </c>
      <c r="G1808" t="str">
        <f>IFERROR(__xludf.DUMMYFUNCTION("""COMPUTED_VALUE"""),"NN")</f>
        <v>NN</v>
      </c>
      <c r="H1808">
        <f>IFERROR(__xludf.DUMMYFUNCTION("""COMPUTED_VALUE"""),83.91)</f>
        <v>83.91</v>
      </c>
      <c r="I1808">
        <f>IFERROR(__xludf.DUMMYFUNCTION("""COMPUTED_VALUE"""),83.91)</f>
        <v>83.91</v>
      </c>
      <c r="BD1808" s="2006"/>
      <c r="LL1808" s="2007"/>
      <c r="LM1808" s="2008"/>
      <c r="MX1808" s="2007"/>
      <c r="ND1808" s="2008"/>
    </row>
    <row r="1809">
      <c r="A1809" s="2005">
        <f>IFERROR(__xludf.DUMMYFUNCTION("""COMPUTED_VALUE"""),1155560.0)</f>
        <v>1155560</v>
      </c>
      <c r="B1809" s="2005">
        <f>IFERROR(__xludf.DUMMYFUNCTION("""COMPUTED_VALUE"""),2502040.0)</f>
        <v>2502040</v>
      </c>
      <c r="C1809" s="2005" t="str">
        <f>IFERROR(__xludf.DUMMYFUNCTION("""COMPUTED_VALUE"""),"Clavier")</f>
        <v>Clavier</v>
      </c>
      <c r="D1809" s="2005" t="str">
        <f>IFERROR(__xludf.DUMMYFUNCTION("""COMPUTED_VALUE"""),"Type Cover Surface Pro Anthracite")</f>
        <v>Type Cover Surface Pro Anthracite</v>
      </c>
      <c r="E1809" s="2005" t="str">
        <f>IFERROR(__xludf.DUMMYFUNCTION("""COMPUTED_VALUE"""),"MICROSOFT")</f>
        <v>MICROSOFT</v>
      </c>
      <c r="F1809" s="2005" t="str">
        <f>IFERROR(__xludf.DUMMYFUNCTION("""COMPUTED_VALUE"""),"H")</f>
        <v>H</v>
      </c>
      <c r="G1809" s="2005" t="str">
        <f>IFERROR(__xludf.DUMMYFUNCTION("""COMPUTED_VALUE"""),"NN")</f>
        <v>NN</v>
      </c>
      <c r="H1809" s="2005">
        <f>IFERROR(__xludf.DUMMYFUNCTION("""COMPUTED_VALUE"""),108.99)</f>
        <v>108.99</v>
      </c>
      <c r="I1809" s="2005">
        <f>IFERROR(__xludf.DUMMYFUNCTION("""COMPUTED_VALUE"""),108.99)</f>
        <v>108.99</v>
      </c>
      <c r="BD1809" s="2006"/>
      <c r="LL1809" s="2008"/>
      <c r="LM1809" s="2008"/>
      <c r="MX1809" s="2007"/>
      <c r="ND1809" s="2008"/>
    </row>
    <row r="1810">
      <c r="A1810" s="2005">
        <f>IFERROR(__xludf.DUMMYFUNCTION("""COMPUTED_VALUE"""),1155581.0)</f>
        <v>1155581</v>
      </c>
      <c r="B1810" s="2005">
        <f>IFERROR(__xludf.DUMMYFUNCTION("""COMPUTED_VALUE"""),2502040.0)</f>
        <v>2502040</v>
      </c>
      <c r="C1810" s="2005" t="str">
        <f>IFERROR(__xludf.DUMMYFUNCTION("""COMPUTED_VALUE"""),"Souris")</f>
        <v>Souris</v>
      </c>
      <c r="D1810" s="2005" t="str">
        <f>IFERROR(__xludf.DUMMYFUNCTION("""COMPUTED_VALUE"""),"Surface Mobile Mouse Bluetooth Rouge Coq")</f>
        <v>Surface Mobile Mouse Bluetooth Rouge Coq</v>
      </c>
      <c r="E1810" s="2005" t="str">
        <f>IFERROR(__xludf.DUMMYFUNCTION("""COMPUTED_VALUE"""),"MICROSOFT")</f>
        <v>MICROSOFT</v>
      </c>
      <c r="F1810" s="2005" t="str">
        <f>IFERROR(__xludf.DUMMYFUNCTION("""COMPUTED_VALUE"""),"E")</f>
        <v>E</v>
      </c>
      <c r="G1810" s="2005" t="str">
        <f>IFERROR(__xludf.DUMMYFUNCTION("""COMPUTED_VALUE"""),"NN")</f>
        <v>NN</v>
      </c>
      <c r="H1810">
        <f>IFERROR(__xludf.DUMMYFUNCTION("""COMPUTED_VALUE"""),39.91)</f>
        <v>39.91</v>
      </c>
      <c r="I1810">
        <f>IFERROR(__xludf.DUMMYFUNCTION("""COMPUTED_VALUE"""),39.91)</f>
        <v>39.91</v>
      </c>
      <c r="BD1810" s="2006"/>
      <c r="LL1810" s="2008"/>
      <c r="LM1810" s="2008"/>
      <c r="MX1810" s="2007"/>
      <c r="ND1810" s="2008"/>
    </row>
    <row r="1811">
      <c r="A1811" s="2005">
        <f>IFERROR(__xludf.DUMMYFUNCTION("""COMPUTED_VALUE"""),1155583.0)</f>
        <v>1155583</v>
      </c>
      <c r="B1811" s="2005">
        <f>IFERROR(__xludf.DUMMYFUNCTION("""COMPUTED_VALUE"""),2502015.0)</f>
        <v>2502015</v>
      </c>
      <c r="C1811" s="2005" t="str">
        <f>IFERROR(__xludf.DUMMYFUNCTION("""COMPUTED_VALUE"""),"Clavier")</f>
        <v>Clavier</v>
      </c>
      <c r="D1811" s="2005" t="str">
        <f>IFERROR(__xludf.DUMMYFUNCTION("""COMPUTED_VALUE"""),"Bluetooth Keyboard Noir")</f>
        <v>Bluetooth Keyboard Noir</v>
      </c>
      <c r="E1811" s="2005" t="str">
        <f>IFERROR(__xludf.DUMMYFUNCTION("""COMPUTED_VALUE"""),"MICROSOFT")</f>
        <v>MICROSOFT</v>
      </c>
      <c r="F1811" s="2005" t="str">
        <f>IFERROR(__xludf.DUMMYFUNCTION("""COMPUTED_VALUE"""),"H")</f>
        <v>H</v>
      </c>
      <c r="G1811" s="2005" t="str">
        <f>IFERROR(__xludf.DUMMYFUNCTION("""COMPUTED_VALUE"""),"NN")</f>
        <v>NN</v>
      </c>
      <c r="H1811" s="2005">
        <f>IFERROR(__xludf.DUMMYFUNCTION("""COMPUTED_VALUE"""),51.91)</f>
        <v>51.91</v>
      </c>
      <c r="I1811" s="2005">
        <f>IFERROR(__xludf.DUMMYFUNCTION("""COMPUTED_VALUE"""),51.91)</f>
        <v>51.91</v>
      </c>
      <c r="BD1811" s="2006"/>
      <c r="LL1811" s="2007"/>
      <c r="LM1811" s="2008"/>
      <c r="MX1811" s="2007"/>
      <c r="ND1811" s="2008"/>
    </row>
    <row r="1812">
      <c r="A1812" s="2005">
        <f>IFERROR(__xludf.DUMMYFUNCTION("""COMPUTED_VALUE"""),1155596.0)</f>
        <v>1155596</v>
      </c>
      <c r="B1812" s="2005">
        <f>IFERROR(__xludf.DUMMYFUNCTION("""COMPUTED_VALUE"""),2502010.0)</f>
        <v>2502010</v>
      </c>
      <c r="C1812" s="2005" t="str">
        <f>IFERROR(__xludf.DUMMYFUNCTION("""COMPUTED_VALUE"""),"Souris")</f>
        <v>Souris</v>
      </c>
      <c r="D1812" s="2005" t="str">
        <f>IFERROR(__xludf.DUMMYFUNCTION("""COMPUTED_VALUE"""),"Bluetooth ergonomique Noire")</f>
        <v>Bluetooth ergonomique Noire</v>
      </c>
      <c r="E1812" s="2005" t="str">
        <f>IFERROR(__xludf.DUMMYFUNCTION("""COMPUTED_VALUE"""),"MICROSOFT")</f>
        <v>MICROSOFT</v>
      </c>
      <c r="F1812" s="2005" t="str">
        <f>IFERROR(__xludf.DUMMYFUNCTION("""COMPUTED_VALUE"""),"W")</f>
        <v>W</v>
      </c>
      <c r="G1812" s="2005" t="str">
        <f>IFERROR(__xludf.DUMMYFUNCTION("""COMPUTED_VALUE"""),"NN")</f>
        <v>NN</v>
      </c>
      <c r="H1812" s="2005">
        <f>IFERROR(__xludf.DUMMYFUNCTION("""COMPUTED_VALUE"""),59.91)</f>
        <v>59.91</v>
      </c>
      <c r="I1812" s="2005">
        <f>IFERROR(__xludf.DUMMYFUNCTION("""COMPUTED_VALUE"""),59.91)</f>
        <v>59.91</v>
      </c>
      <c r="BD1812" s="2006"/>
      <c r="LL1812" s="2007"/>
      <c r="LM1812" s="2008"/>
      <c r="MX1812" s="2007"/>
      <c r="ND1812" s="2008"/>
    </row>
    <row r="1813">
      <c r="A1813" s="2005">
        <f>IFERROR(__xludf.DUMMYFUNCTION("""COMPUTED_VALUE"""),1155598.0)</f>
        <v>1155598</v>
      </c>
      <c r="B1813" s="2005">
        <f>IFERROR(__xludf.DUMMYFUNCTION("""COMPUTED_VALUE"""),2502010.0)</f>
        <v>2502010</v>
      </c>
      <c r="C1813" s="2005" t="str">
        <f>IFERROR(__xludf.DUMMYFUNCTION("""COMPUTED_VALUE"""),"Souris")</f>
        <v>Souris</v>
      </c>
      <c r="D1813" s="2005" t="str">
        <f>IFERROR(__xludf.DUMMYFUNCTION("""COMPUTED_VALUE"""),"Bluetooth ergonomique Peche")</f>
        <v>Bluetooth ergonomique Peche</v>
      </c>
      <c r="E1813" s="2005" t="str">
        <f>IFERROR(__xludf.DUMMYFUNCTION("""COMPUTED_VALUE"""),"MICROSOFT")</f>
        <v>MICROSOFT</v>
      </c>
      <c r="F1813" s="2005" t="str">
        <f>IFERROR(__xludf.DUMMYFUNCTION("""COMPUTED_VALUE"""),"H")</f>
        <v>H</v>
      </c>
      <c r="G1813" s="2005" t="str">
        <f>IFERROR(__xludf.DUMMYFUNCTION("""COMPUTED_VALUE"""),"NN")</f>
        <v>NN</v>
      </c>
      <c r="H1813" s="2005">
        <f>IFERROR(__xludf.DUMMYFUNCTION("""COMPUTED_VALUE"""),38.99)</f>
        <v>38.99</v>
      </c>
      <c r="I1813" s="2005">
        <f>IFERROR(__xludf.DUMMYFUNCTION("""COMPUTED_VALUE"""),38.99)</f>
        <v>38.99</v>
      </c>
      <c r="BD1813" s="2006"/>
      <c r="LL1813" s="2007"/>
      <c r="LM1813" s="2008"/>
      <c r="MX1813" s="2007"/>
      <c r="NB1813" s="2007"/>
      <c r="ND1813" s="2008"/>
    </row>
    <row r="1814">
      <c r="A1814" s="2005">
        <f>IFERROR(__xludf.DUMMYFUNCTION("""COMPUTED_VALUE"""),1155667.0)</f>
        <v>1155667</v>
      </c>
      <c r="B1814" s="2005">
        <f>IFERROR(__xludf.DUMMYFUNCTION("""COMPUTED_VALUE"""),2202005.0)</f>
        <v>2202005</v>
      </c>
      <c r="C1814" s="2005" t="str">
        <f>IFERROR(__xludf.DUMMYFUNCTION("""COMPUTED_VALUE"""),"Multi Jet d'enc")</f>
        <v>Multi Jet d'enc</v>
      </c>
      <c r="D1814" s="2005" t="str">
        <f>IFERROR(__xludf.DUMMYFUNCTION("""COMPUTED_VALUE"""),"TS 7450")</f>
        <v>TS 7450</v>
      </c>
      <c r="E1814" s="2005" t="str">
        <f>IFERROR(__xludf.DUMMYFUNCTION("""COMPUTED_VALUE"""),"CANON")</f>
        <v>CANON</v>
      </c>
      <c r="F1814" s="2005" t="str">
        <f>IFERROR(__xludf.DUMMYFUNCTION("""COMPUTED_VALUE"""),"H")</f>
        <v>H</v>
      </c>
      <c r="G1814" s="2005" t="str">
        <f>IFERROR(__xludf.DUMMYFUNCTION("""COMPUTED_VALUE"""),"NN")</f>
        <v>NN</v>
      </c>
      <c r="H1814">
        <f>IFERROR(__xludf.DUMMYFUNCTION("""COMPUTED_VALUE"""),129.99)</f>
        <v>129.99</v>
      </c>
      <c r="I1814">
        <f>IFERROR(__xludf.DUMMYFUNCTION("""COMPUTED_VALUE"""),129.99)</f>
        <v>129.99</v>
      </c>
      <c r="BD1814" s="2006"/>
      <c r="LL1814" s="2008"/>
      <c r="LM1814" s="2008"/>
      <c r="MX1814" s="2007"/>
      <c r="ND1814" s="2008"/>
    </row>
    <row r="1815">
      <c r="A1815" s="2005">
        <f>IFERROR(__xludf.DUMMYFUNCTION("""COMPUTED_VALUE"""),1155668.0)</f>
        <v>1155668</v>
      </c>
      <c r="B1815" s="2005">
        <f>IFERROR(__xludf.DUMMYFUNCTION("""COMPUTED_VALUE"""),2202005.0)</f>
        <v>2202005</v>
      </c>
      <c r="C1815" s="2005" t="str">
        <f>IFERROR(__xludf.DUMMYFUNCTION("""COMPUTED_VALUE"""),"Multi Jet d'enc")</f>
        <v>Multi Jet d'enc</v>
      </c>
      <c r="D1815" s="2005" t="str">
        <f>IFERROR(__xludf.DUMMYFUNCTION("""COMPUTED_VALUE"""),"TS 7451")</f>
        <v>TS 7451</v>
      </c>
      <c r="E1815" s="2005" t="str">
        <f>IFERROR(__xludf.DUMMYFUNCTION("""COMPUTED_VALUE"""),"CANON")</f>
        <v>CANON</v>
      </c>
      <c r="F1815" s="2005" t="str">
        <f>IFERROR(__xludf.DUMMYFUNCTION("""COMPUTED_VALUE"""),"H")</f>
        <v>H</v>
      </c>
      <c r="G1815" s="2005" t="str">
        <f>IFERROR(__xludf.DUMMYFUNCTION("""COMPUTED_VALUE"""),"NN")</f>
        <v>NN</v>
      </c>
      <c r="H1815" s="2005">
        <f>IFERROR(__xludf.DUMMYFUNCTION("""COMPUTED_VALUE"""),129.99)</f>
        <v>129.99</v>
      </c>
      <c r="I1815" s="2005">
        <f>IFERROR(__xludf.DUMMYFUNCTION("""COMPUTED_VALUE"""),129.99)</f>
        <v>129.99</v>
      </c>
      <c r="BD1815" s="2006"/>
      <c r="LL1815" s="2007"/>
      <c r="LM1815" s="2008"/>
      <c r="MX1815" s="2007"/>
      <c r="ND1815" s="2008"/>
    </row>
    <row r="1816">
      <c r="A1816" s="2005">
        <f>IFERROR(__xludf.DUMMYFUNCTION("""COMPUTED_VALUE"""),1155669.0)</f>
        <v>1155669</v>
      </c>
      <c r="B1816" s="2005">
        <f>IFERROR(__xludf.DUMMYFUNCTION("""COMPUTED_VALUE"""),2209805.0)</f>
        <v>2209805</v>
      </c>
      <c r="C1816" s="2005" t="str">
        <f>IFERROR(__xludf.DUMMYFUNCTION("""COMPUTED_VALUE"""),"Lot")</f>
        <v>Lot</v>
      </c>
      <c r="D1816" s="2005" t="str">
        <f>IFERROR(__xludf.DUMMYFUNCTION("""COMPUTED_VALUE"""),"TS 7450 + cartouche PG 560")</f>
        <v>TS 7450 + cartouche PG 560</v>
      </c>
      <c r="E1816" s="2005" t="str">
        <f>IFERROR(__xludf.DUMMYFUNCTION("""COMPUTED_VALUE"""),"CANON")</f>
        <v>CANON</v>
      </c>
      <c r="F1816" s="2005" t="str">
        <f>IFERROR(__xludf.DUMMYFUNCTION("""COMPUTED_VALUE"""),"H")</f>
        <v>H</v>
      </c>
      <c r="G1816" s="2005" t="str">
        <f>IFERROR(__xludf.DUMMYFUNCTION("""COMPUTED_VALUE"""),"NN")</f>
        <v>NN</v>
      </c>
      <c r="H1816" s="2005">
        <f>IFERROR(__xludf.DUMMYFUNCTION("""COMPUTED_VALUE"""),144.91)</f>
        <v>144.91</v>
      </c>
      <c r="I1816" s="2005">
        <f>IFERROR(__xludf.DUMMYFUNCTION("""COMPUTED_VALUE"""),144.91)</f>
        <v>144.91</v>
      </c>
      <c r="BD1816" s="2006"/>
      <c r="LL1816" s="2008"/>
      <c r="LM1816" s="2008"/>
      <c r="MX1816" s="2007"/>
      <c r="ND1816" s="2008"/>
    </row>
    <row r="1817">
      <c r="A1817" s="2005">
        <f>IFERROR(__xludf.DUMMYFUNCTION("""COMPUTED_VALUE"""),1155670.0)</f>
        <v>1155670</v>
      </c>
      <c r="B1817" s="2005">
        <f>IFERROR(__xludf.DUMMYFUNCTION("""COMPUTED_VALUE"""),2209805.0)</f>
        <v>2209805</v>
      </c>
      <c r="C1817" s="2005" t="str">
        <f>IFERROR(__xludf.DUMMYFUNCTION("""COMPUTED_VALUE"""),"Lot")</f>
        <v>Lot</v>
      </c>
      <c r="D1817" s="2005" t="str">
        <f>IFERROR(__xludf.DUMMYFUNCTION("""COMPUTED_VALUE"""),"TS 7451+ cartouche PG 560")</f>
        <v>TS 7451+ cartouche PG 560</v>
      </c>
      <c r="E1817" s="2005" t="str">
        <f>IFERROR(__xludf.DUMMYFUNCTION("""COMPUTED_VALUE"""),"CANON")</f>
        <v>CANON</v>
      </c>
      <c r="F1817" s="2005" t="str">
        <f>IFERROR(__xludf.DUMMYFUNCTION("""COMPUTED_VALUE"""),"H")</f>
        <v>H</v>
      </c>
      <c r="G1817" s="2005" t="str">
        <f>IFERROR(__xludf.DUMMYFUNCTION("""COMPUTED_VALUE"""),"NN")</f>
        <v>NN</v>
      </c>
      <c r="H1817" s="2005">
        <f>IFERROR(__xludf.DUMMYFUNCTION("""COMPUTED_VALUE"""),144.91)</f>
        <v>144.91</v>
      </c>
      <c r="I1817" s="2005">
        <f>IFERROR(__xludf.DUMMYFUNCTION("""COMPUTED_VALUE"""),144.91)</f>
        <v>144.91</v>
      </c>
      <c r="BD1817" s="2006"/>
      <c r="LL1817" s="2007"/>
      <c r="LM1817" s="2008"/>
      <c r="MX1817" s="2007"/>
      <c r="ND1817" s="2008"/>
    </row>
    <row r="1818">
      <c r="A1818" s="2005">
        <f>IFERROR(__xludf.DUMMYFUNCTION("""COMPUTED_VALUE"""),1155835.0)</f>
        <v>1155835</v>
      </c>
      <c r="B1818" s="2005">
        <f>IFERROR(__xludf.DUMMYFUNCTION("""COMPUTED_VALUE"""),2503010.0)</f>
        <v>2503010</v>
      </c>
      <c r="C1818" s="2005" t="str">
        <f>IFERROR(__xludf.DUMMYFUNCTION("""COMPUTED_VALUE"""),"Casque")</f>
        <v>Casque</v>
      </c>
      <c r="D1818" s="2005" t="str">
        <f>IFERROR(__xludf.DUMMYFUNCTION("""COMPUTED_VALUE"""),"Sennheiser PC 8 USB")</f>
        <v>Sennheiser PC 8 USB</v>
      </c>
      <c r="E1818" s="2005" t="str">
        <f>IFERROR(__xludf.DUMMYFUNCTION("""COMPUTED_VALUE"""),"EPOS")</f>
        <v>EPOS</v>
      </c>
      <c r="F1818" s="2005" t="str">
        <f>IFERROR(__xludf.DUMMYFUNCTION("""COMPUTED_VALUE"""),"H")</f>
        <v>H</v>
      </c>
      <c r="G1818" s="2005" t="str">
        <f>IFERROR(__xludf.DUMMYFUNCTION("""COMPUTED_VALUE"""),"NN")</f>
        <v>NN</v>
      </c>
      <c r="H1818" s="2005">
        <f>IFERROR(__xludf.DUMMYFUNCTION("""COMPUTED_VALUE"""),34.99)</f>
        <v>34.99</v>
      </c>
      <c r="I1818" s="2005">
        <f>IFERROR(__xludf.DUMMYFUNCTION("""COMPUTED_VALUE"""),34.99)</f>
        <v>34.99</v>
      </c>
      <c r="BD1818" s="2006"/>
      <c r="LL1818" s="2008"/>
      <c r="LM1818" s="2008"/>
      <c r="MX1818" s="2007"/>
      <c r="ND1818" s="2008"/>
    </row>
    <row r="1819">
      <c r="A1819" s="2005">
        <f>IFERROR(__xludf.DUMMYFUNCTION("""COMPUTED_VALUE"""),1155882.0)</f>
        <v>1155882</v>
      </c>
      <c r="B1819" s="2005">
        <f>IFERROR(__xludf.DUMMYFUNCTION("""COMPUTED_VALUE"""),2503010.0)</f>
        <v>2503010</v>
      </c>
      <c r="C1819" s="2005" t="str">
        <f>IFERROR(__xludf.DUMMYFUNCTION("""COMPUTED_VALUE"""),"Haut Parleur")</f>
        <v>Haut Parleur</v>
      </c>
      <c r="D1819" s="2005" t="str">
        <f>IFERROR(__xludf.DUMMYFUNCTION("""COMPUTED_VALUE"""),"SoundCore PowerConf")</f>
        <v>SoundCore PowerConf</v>
      </c>
      <c r="E1819" s="2005" t="str">
        <f>IFERROR(__xludf.DUMMYFUNCTION("""COMPUTED_VALUE"""),"ANKER")</f>
        <v>ANKER</v>
      </c>
      <c r="F1819" s="2005" t="str">
        <f>IFERROR(__xludf.DUMMYFUNCTION("""COMPUTED_VALUE"""),"C")</f>
        <v>C</v>
      </c>
      <c r="G1819" s="2005" t="str">
        <f>IFERROR(__xludf.DUMMYFUNCTION("""COMPUTED_VALUE"""),"NN")</f>
        <v>NN</v>
      </c>
      <c r="H1819" s="2005">
        <f>IFERROR(__xludf.DUMMYFUNCTION("""COMPUTED_VALUE"""),85.99)</f>
        <v>85.99</v>
      </c>
      <c r="I1819" s="2005">
        <f>IFERROR(__xludf.DUMMYFUNCTION("""COMPUTED_VALUE"""),85.99)</f>
        <v>85.99</v>
      </c>
      <c r="BD1819" s="2006"/>
      <c r="LL1819" s="2008"/>
      <c r="LM1819" s="2008"/>
      <c r="MX1819" s="2007"/>
      <c r="ND1819" s="2008"/>
    </row>
    <row r="1820">
      <c r="A1820" s="2005">
        <f>IFERROR(__xludf.DUMMYFUNCTION("""COMPUTED_VALUE"""),1155886.0)</f>
        <v>1155886</v>
      </c>
      <c r="B1820" s="2005">
        <f>IFERROR(__xludf.DUMMYFUNCTION("""COMPUTED_VALUE"""),2503010.0)</f>
        <v>2503010</v>
      </c>
      <c r="C1820" s="2005" t="str">
        <f>IFERROR(__xludf.DUMMYFUNCTION("""COMPUTED_VALUE"""),"Casque")</f>
        <v>Casque</v>
      </c>
      <c r="D1820" s="2005" t="str">
        <f>IFERROR(__xludf.DUMMYFUNCTION("""COMPUTED_VALUE"""),"Reno Headset for PC and laptop")</f>
        <v>Reno Headset for PC and laptop</v>
      </c>
      <c r="E1820" s="2005" t="str">
        <f>IFERROR(__xludf.DUMMYFUNCTION("""COMPUTED_VALUE"""),"TRUST")</f>
        <v>TRUST</v>
      </c>
      <c r="F1820" s="2005" t="str">
        <f>IFERROR(__xludf.DUMMYFUNCTION("""COMPUTED_VALUE"""),"B")</f>
        <v>B</v>
      </c>
      <c r="G1820" s="2005" t="str">
        <f>IFERROR(__xludf.DUMMYFUNCTION("""COMPUTED_VALUE"""),"NN")</f>
        <v>NN</v>
      </c>
      <c r="H1820" s="2005">
        <f>IFERROR(__xludf.DUMMYFUNCTION("""COMPUTED_VALUE"""),17.99)</f>
        <v>17.99</v>
      </c>
      <c r="I1820" s="2005">
        <f>IFERROR(__xludf.DUMMYFUNCTION("""COMPUTED_VALUE"""),17.99)</f>
        <v>17.99</v>
      </c>
      <c r="BD1820" s="2006"/>
      <c r="LL1820" s="2008"/>
      <c r="LM1820" s="2008"/>
      <c r="MX1820" s="2007"/>
      <c r="ND1820" s="2008"/>
    </row>
    <row r="1821">
      <c r="A1821" s="2005">
        <f>IFERROR(__xludf.DUMMYFUNCTION("""COMPUTED_VALUE"""),1156374.0)</f>
        <v>1156374</v>
      </c>
      <c r="B1821" s="2005">
        <f>IFERROR(__xludf.DUMMYFUNCTION("""COMPUTED_VALUE"""),2503010.0)</f>
        <v>2503010</v>
      </c>
      <c r="C1821" s="2005" t="str">
        <f>IFERROR(__xludf.DUMMYFUNCTION("""COMPUTED_VALUE"""),"Casque")</f>
        <v>Casque</v>
      </c>
      <c r="D1821" s="2005" t="str">
        <f>IFERROR(__xludf.DUMMYFUNCTION("""COMPUTED_VALUE"""),"OPENCOMM - Slate Grey")</f>
        <v>OPENCOMM - Slate Grey</v>
      </c>
      <c r="E1821" s="2005" t="str">
        <f>IFERROR(__xludf.DUMMYFUNCTION("""COMPUTED_VALUE"""),"SHOKZ")</f>
        <v>SHOKZ</v>
      </c>
      <c r="F1821" s="2005" t="str">
        <f>IFERROR(__xludf.DUMMYFUNCTION("""COMPUTED_VALUE"""),"H")</f>
        <v>H</v>
      </c>
      <c r="G1821" s="2005" t="str">
        <f>IFERROR(__xludf.DUMMYFUNCTION("""COMPUTED_VALUE"""),"NN")</f>
        <v>NN</v>
      </c>
      <c r="H1821" s="2005">
        <f>IFERROR(__xludf.DUMMYFUNCTION("""COMPUTED_VALUE"""),169.99)</f>
        <v>169.99</v>
      </c>
      <c r="I1821" s="2005">
        <f>IFERROR(__xludf.DUMMYFUNCTION("""COMPUTED_VALUE"""),169.99)</f>
        <v>169.99</v>
      </c>
      <c r="BD1821" s="2006"/>
      <c r="LL1821" s="2008"/>
      <c r="LM1821" s="2008"/>
      <c r="MX1821" s="2007"/>
      <c r="ND1821" s="2008"/>
    </row>
    <row r="1822">
      <c r="A1822" s="2005">
        <f>IFERROR(__xludf.DUMMYFUNCTION("""COMPUTED_VALUE"""),1156500.0)</f>
        <v>1156500</v>
      </c>
      <c r="B1822" s="2005">
        <f>IFERROR(__xludf.DUMMYFUNCTION("""COMPUTED_VALUE"""),2503010.0)</f>
        <v>2503010</v>
      </c>
      <c r="C1822" s="2005" t="str">
        <f>IFERROR(__xludf.DUMMYFUNCTION("""COMPUTED_VALUE"""),"Casque micro")</f>
        <v>Casque micro</v>
      </c>
      <c r="D1822" s="2005" t="str">
        <f>IFERROR(__xludf.DUMMYFUNCTION("""COMPUTED_VALUE"""),"Filaire micro pivotant")</f>
        <v>Filaire micro pivotant</v>
      </c>
      <c r="E1822" s="2005" t="str">
        <f>IFERROR(__xludf.DUMMYFUNCTION("""COMPUTED_VALUE"""),"HEDEN")</f>
        <v>HEDEN</v>
      </c>
      <c r="F1822" s="2005" t="str">
        <f>IFERROR(__xludf.DUMMYFUNCTION("""COMPUTED_VALUE"""),"H")</f>
        <v>H</v>
      </c>
      <c r="G1822" s="2005" t="str">
        <f>IFERROR(__xludf.DUMMYFUNCTION("""COMPUTED_VALUE"""),"NN")</f>
        <v>NN</v>
      </c>
      <c r="H1822" s="2005">
        <f>IFERROR(__xludf.DUMMYFUNCTION("""COMPUTED_VALUE"""),7.99)</f>
        <v>7.99</v>
      </c>
      <c r="I1822" s="2005">
        <f>IFERROR(__xludf.DUMMYFUNCTION("""COMPUTED_VALUE"""),7.99)</f>
        <v>7.99</v>
      </c>
      <c r="LM1822" s="2008"/>
    </row>
    <row r="1823">
      <c r="A1823" s="2005">
        <f>IFERROR(__xludf.DUMMYFUNCTION("""COMPUTED_VALUE"""),1156513.0)</f>
        <v>1156513</v>
      </c>
      <c r="B1823" s="2005">
        <f>IFERROR(__xludf.DUMMYFUNCTION("""COMPUTED_VALUE"""),2502015.0)</f>
        <v>2502015</v>
      </c>
      <c r="C1823" s="2005" t="str">
        <f>IFERROR(__xludf.DUMMYFUNCTION("""COMPUTED_VALUE"""),"Lot")</f>
        <v>Lot</v>
      </c>
      <c r="D1823" s="2005" t="str">
        <f>IFERROR(__xludf.DUMMYFUNCTION("""COMPUTED_VALUE"""),"EXCLUSIV' TRAVEL 2  souris + tapis")</f>
        <v>EXCLUSIV' TRAVEL 2  souris + tapis</v>
      </c>
      <c r="E1823" s="2005" t="str">
        <f>IFERROR(__xludf.DUMMYFUNCTION("""COMPUTED_VALUE"""),"TNB")</f>
        <v>TNB</v>
      </c>
      <c r="F1823" s="2005" t="str">
        <f>IFERROR(__xludf.DUMMYFUNCTION("""COMPUTED_VALUE"""),"H")</f>
        <v>H</v>
      </c>
      <c r="G1823" s="2005" t="str">
        <f>IFERROR(__xludf.DUMMYFUNCTION("""COMPUTED_VALUE"""),"NN")</f>
        <v>NN</v>
      </c>
      <c r="H1823">
        <f>IFERROR(__xludf.DUMMYFUNCTION("""COMPUTED_VALUE"""),19.9)</f>
        <v>19.9</v>
      </c>
      <c r="I1823">
        <f>IFERROR(__xludf.DUMMYFUNCTION("""COMPUTED_VALUE"""),19.9)</f>
        <v>19.9</v>
      </c>
      <c r="LM1823" s="2008"/>
    </row>
    <row r="1824">
      <c r="A1824">
        <f>IFERROR(__xludf.DUMMYFUNCTION("""COMPUTED_VALUE"""),1156516.0)</f>
        <v>1156516</v>
      </c>
      <c r="B1824">
        <f>IFERROR(__xludf.DUMMYFUNCTION("""COMPUTED_VALUE"""),2502010.0)</f>
        <v>2502010</v>
      </c>
      <c r="C1824" t="str">
        <f>IFERROR(__xludf.DUMMYFUNCTION("""COMPUTED_VALUE"""),"Souris")</f>
        <v>Souris</v>
      </c>
      <c r="D1824" t="str">
        <f>IFERROR(__xludf.DUMMYFUNCTION("""COMPUTED_VALUE"""),"EXCLUSIV' STARS")</f>
        <v>EXCLUSIV' STARS</v>
      </c>
      <c r="E1824" t="str">
        <f>IFERROR(__xludf.DUMMYFUNCTION("""COMPUTED_VALUE"""),"TNB")</f>
        <v>TNB</v>
      </c>
      <c r="F1824" t="str">
        <f>IFERROR(__xludf.DUMMYFUNCTION("""COMPUTED_VALUE"""),"H")</f>
        <v>H</v>
      </c>
      <c r="G1824" t="str">
        <f>IFERROR(__xludf.DUMMYFUNCTION("""COMPUTED_VALUE"""),"NN")</f>
        <v>NN</v>
      </c>
      <c r="H1824">
        <f>IFERROR(__xludf.DUMMYFUNCTION("""COMPUTED_VALUE"""),14.9)</f>
        <v>14.9</v>
      </c>
      <c r="I1824">
        <f>IFERROR(__xludf.DUMMYFUNCTION("""COMPUTED_VALUE"""),14.9)</f>
        <v>14.9</v>
      </c>
      <c r="LM1824" s="2008"/>
    </row>
    <row r="1825">
      <c r="A1825" s="2005">
        <f>IFERROR(__xludf.DUMMYFUNCTION("""COMPUTED_VALUE"""),1156518.0)</f>
        <v>1156518</v>
      </c>
      <c r="B1825" s="2005">
        <f>IFERROR(__xludf.DUMMYFUNCTION("""COMPUTED_VALUE"""),2502010.0)</f>
        <v>2502010</v>
      </c>
      <c r="C1825" s="2005" t="str">
        <f>IFERROR(__xludf.DUMMYFUNCTION("""COMPUTED_VALUE"""),"Souris")</f>
        <v>Souris</v>
      </c>
      <c r="D1825" s="2005" t="str">
        <f>IFERROR(__xludf.DUMMYFUNCTION("""COMPUTED_VALUE"""),"iClick pour Mac")</f>
        <v>iClick pour Mac</v>
      </c>
      <c r="E1825" s="2005" t="str">
        <f>IFERROR(__xludf.DUMMYFUNCTION("""COMPUTED_VALUE"""),"TNB")</f>
        <v>TNB</v>
      </c>
      <c r="F1825" s="2005" t="str">
        <f>IFERROR(__xludf.DUMMYFUNCTION("""COMPUTED_VALUE"""),"H")</f>
        <v>H</v>
      </c>
      <c r="G1825" s="2005" t="str">
        <f>IFERROR(__xludf.DUMMYFUNCTION("""COMPUTED_VALUE"""),"NN")</f>
        <v>NN</v>
      </c>
      <c r="H1825" s="2005">
        <f>IFERROR(__xludf.DUMMYFUNCTION("""COMPUTED_VALUE"""),29.9)</f>
        <v>29.9</v>
      </c>
      <c r="I1825" s="2005">
        <f>IFERROR(__xludf.DUMMYFUNCTION("""COMPUTED_VALUE"""),29.9)</f>
        <v>29.9</v>
      </c>
      <c r="LM1825" s="2008"/>
    </row>
    <row r="1826">
      <c r="A1826" s="2005">
        <f>IFERROR(__xludf.DUMMYFUNCTION("""COMPUTED_VALUE"""),1156573.0)</f>
        <v>1156573</v>
      </c>
      <c r="B1826" s="2005">
        <f>IFERROR(__xludf.DUMMYFUNCTION("""COMPUTED_VALUE"""),2502015.0)</f>
        <v>2502015</v>
      </c>
      <c r="C1826" s="2005" t="str">
        <f>IFERROR(__xludf.DUMMYFUNCTION("""COMPUTED_VALUE"""),"Clavier+Souris")</f>
        <v>Clavier+Souris</v>
      </c>
      <c r="D1826" s="2005" t="str">
        <f>IFERROR(__xludf.DUMMYFUNCTION("""COMPUTED_VALUE"""),"CLASSY")</f>
        <v>CLASSY</v>
      </c>
      <c r="E1826" s="2005" t="str">
        <f>IFERROR(__xludf.DUMMYFUNCTION("""COMPUTED_VALUE"""),"TNB")</f>
        <v>TNB</v>
      </c>
      <c r="F1826" s="2005" t="str">
        <f>IFERROR(__xludf.DUMMYFUNCTION("""COMPUTED_VALUE"""),"W")</f>
        <v>W</v>
      </c>
      <c r="G1826" s="2005" t="str">
        <f>IFERROR(__xludf.DUMMYFUNCTION("""COMPUTED_VALUE"""),"AC")</f>
        <v>AC</v>
      </c>
      <c r="H1826" s="2005">
        <f>IFERROR(__xludf.DUMMYFUNCTION("""COMPUTED_VALUE"""),24.9)</f>
        <v>24.9</v>
      </c>
      <c r="I1826" s="2005">
        <f>IFERROR(__xludf.DUMMYFUNCTION("""COMPUTED_VALUE"""),17.45)</f>
        <v>17.45</v>
      </c>
      <c r="LM1826" s="2008"/>
    </row>
    <row r="1827">
      <c r="A1827" s="2005">
        <f>IFERROR(__xludf.DUMMYFUNCTION("""COMPUTED_VALUE"""),1156574.0)</f>
        <v>1156574</v>
      </c>
      <c r="B1827" s="2005">
        <f>IFERROR(__xludf.DUMMYFUNCTION("""COMPUTED_VALUE"""),2502020.0)</f>
        <v>2502020</v>
      </c>
      <c r="C1827" s="2005" t="str">
        <f>IFERROR(__xludf.DUMMYFUNCTION("""COMPUTED_VALUE"""),"Webcam")</f>
        <v>Webcam</v>
      </c>
      <c r="D1827" s="2005" t="str">
        <f>IFERROR(__xludf.DUMMYFUNCTION("""COMPUTED_VALUE"""),"INFLUENCE")</f>
        <v>INFLUENCE</v>
      </c>
      <c r="E1827" s="2005" t="str">
        <f>IFERROR(__xludf.DUMMYFUNCTION("""COMPUTED_VALUE"""),"TNB")</f>
        <v>TNB</v>
      </c>
      <c r="F1827" s="2005" t="str">
        <f>IFERROR(__xludf.DUMMYFUNCTION("""COMPUTED_VALUE"""),"H")</f>
        <v>H</v>
      </c>
      <c r="G1827" s="2005" t="str">
        <f>IFERROR(__xludf.DUMMYFUNCTION("""COMPUTED_VALUE"""),"NN")</f>
        <v>NN</v>
      </c>
      <c r="H1827" s="2005">
        <f>IFERROR(__xludf.DUMMYFUNCTION("""COMPUTED_VALUE"""),29.99)</f>
        <v>29.99</v>
      </c>
      <c r="I1827" s="2005">
        <f>IFERROR(__xludf.DUMMYFUNCTION("""COMPUTED_VALUE"""),29.99)</f>
        <v>29.99</v>
      </c>
      <c r="LM1827" s="2008"/>
    </row>
    <row r="1828">
      <c r="A1828" s="2005">
        <f>IFERROR(__xludf.DUMMYFUNCTION("""COMPUTED_VALUE"""),1156631.0)</f>
        <v>1156631</v>
      </c>
      <c r="B1828" s="2005">
        <f>IFERROR(__xludf.DUMMYFUNCTION("""COMPUTED_VALUE"""),2201010.0)</f>
        <v>2201010</v>
      </c>
      <c r="C1828" s="2005" t="str">
        <f>IFERROR(__xludf.DUMMYFUNCTION("""COMPUTED_VALUE"""),"Mono Jet d'encr")</f>
        <v>Mono Jet d'encr</v>
      </c>
      <c r="D1828" s="2005" t="str">
        <f>IFERROR(__xludf.DUMMYFUNCTION("""COMPUTED_VALUE"""),"ImagePROGRAF PRO-300")</f>
        <v>ImagePROGRAF PRO-300</v>
      </c>
      <c r="E1828" s="2005" t="str">
        <f>IFERROR(__xludf.DUMMYFUNCTION("""COMPUTED_VALUE"""),"CANON")</f>
        <v>CANON</v>
      </c>
      <c r="F1828" s="2005" t="str">
        <f>IFERROR(__xludf.DUMMYFUNCTION("""COMPUTED_VALUE"""),"H")</f>
        <v>H</v>
      </c>
      <c r="G1828" s="2005" t="str">
        <f>IFERROR(__xludf.DUMMYFUNCTION("""COMPUTED_VALUE"""),"AC")</f>
        <v>AC</v>
      </c>
      <c r="H1828" s="2005">
        <f>IFERROR(__xludf.DUMMYFUNCTION("""COMPUTED_VALUE"""),849.99)</f>
        <v>849.99</v>
      </c>
      <c r="I1828" s="2005">
        <f>IFERROR(__xludf.DUMMYFUNCTION("""COMPUTED_VALUE"""),849.99)</f>
        <v>849.99</v>
      </c>
      <c r="LM1828" s="2008"/>
    </row>
    <row r="1829">
      <c r="A1829" s="2005">
        <f>IFERROR(__xludf.DUMMYFUNCTION("""COMPUTED_VALUE"""),1156708.0)</f>
        <v>1156708</v>
      </c>
      <c r="B1829" s="2005">
        <f>IFERROR(__xludf.DUMMYFUNCTION("""COMPUTED_VALUE"""),2203005.0)</f>
        <v>2203005</v>
      </c>
      <c r="C1829" s="2005" t="str">
        <f>IFERROR(__xludf.DUMMYFUNCTION("""COMPUTED_VALUE"""),"Scanner")</f>
        <v>Scanner</v>
      </c>
      <c r="D1829" s="2005" t="str">
        <f>IFERROR(__xludf.DUMMYFUNCTION("""COMPUTED_VALUE"""),"FastFoto FF-680W")</f>
        <v>FastFoto FF-680W</v>
      </c>
      <c r="E1829" s="2005" t="str">
        <f>IFERROR(__xludf.DUMMYFUNCTION("""COMPUTED_VALUE"""),"EPSON")</f>
        <v>EPSON</v>
      </c>
      <c r="F1829" s="2005" t="str">
        <f>IFERROR(__xludf.DUMMYFUNCTION("""COMPUTED_VALUE"""),"H")</f>
        <v>H</v>
      </c>
      <c r="G1829" s="2005" t="str">
        <f>IFERROR(__xludf.DUMMYFUNCTION("""COMPUTED_VALUE"""),"NN")</f>
        <v>NN</v>
      </c>
      <c r="H1829" s="2005">
        <f>IFERROR(__xludf.DUMMYFUNCTION("""COMPUTED_VALUE"""),599.99)</f>
        <v>599.99</v>
      </c>
      <c r="I1829" s="2005">
        <f>IFERROR(__xludf.DUMMYFUNCTION("""COMPUTED_VALUE"""),599.99)</f>
        <v>599.99</v>
      </c>
      <c r="LM1829" s="2008"/>
    </row>
    <row r="1830">
      <c r="A1830" s="2005">
        <f>IFERROR(__xludf.DUMMYFUNCTION("""COMPUTED_VALUE"""),1157665.0)</f>
        <v>1157665</v>
      </c>
      <c r="B1830" s="2005">
        <f>IFERROR(__xludf.DUMMYFUNCTION("""COMPUTED_VALUE"""),2502020.0)</f>
        <v>2502020</v>
      </c>
      <c r="C1830" s="2005" t="str">
        <f>IFERROR(__xludf.DUMMYFUNCTION("""COMPUTED_VALUE"""),"Webcam")</f>
        <v>Webcam</v>
      </c>
      <c r="D1830" s="2005" t="str">
        <f>IFERROR(__xludf.DUMMYFUNCTION("""COMPUTED_VALUE"""),"WEBCAM HD 1080")</f>
        <v>WEBCAM HD 1080</v>
      </c>
      <c r="E1830" s="2005" t="str">
        <f>IFERROR(__xludf.DUMMYFUNCTION("""COMPUTED_VALUE"""),"PORT DESIGN")</f>
        <v>PORT DESIGN</v>
      </c>
      <c r="F1830" s="2005" t="str">
        <f>IFERROR(__xludf.DUMMYFUNCTION("""COMPUTED_VALUE"""),"B")</f>
        <v>B</v>
      </c>
      <c r="G1830" s="2005" t="str">
        <f>IFERROR(__xludf.DUMMYFUNCTION("""COMPUTED_VALUE"""),"NN")</f>
        <v>NN</v>
      </c>
      <c r="H1830">
        <f>IFERROR(__xludf.DUMMYFUNCTION("""COMPUTED_VALUE"""),21.99)</f>
        <v>21.99</v>
      </c>
      <c r="I1830">
        <f>IFERROR(__xludf.DUMMYFUNCTION("""COMPUTED_VALUE"""),21.99)</f>
        <v>21.99</v>
      </c>
      <c r="LM1830" s="2008"/>
    </row>
    <row r="1831">
      <c r="A1831" s="2005">
        <f>IFERROR(__xludf.DUMMYFUNCTION("""COMPUTED_VALUE"""),1157687.0)</f>
        <v>1157687</v>
      </c>
      <c r="B1831" s="2005">
        <f>IFERROR(__xludf.DUMMYFUNCTION("""COMPUTED_VALUE"""),2202005.0)</f>
        <v>2202005</v>
      </c>
      <c r="D1831" s="2005" t="str">
        <f>IFERROR(__xludf.DUMMYFUNCTION("""COMPUTED_VALUE"""),"zimm imprimante bar à encre")</f>
        <v>zimm imprimante bar à encre</v>
      </c>
      <c r="E1831" s="2005" t="str">
        <f>IFERROR(__xludf.DUMMYFUNCTION("""COMPUTED_VALUE"""),".")</f>
        <v>.</v>
      </c>
      <c r="F1831" s="2005" t="str">
        <f>IFERROR(__xludf.DUMMYFUNCTION("""COMPUTED_VALUE"""),"H")</f>
        <v>H</v>
      </c>
      <c r="G1831" s="2005" t="str">
        <f>IFERROR(__xludf.DUMMYFUNCTION("""COMPUTED_VALUE"""),"AC")</f>
        <v>AC</v>
      </c>
      <c r="H1831" s="2005">
        <f>IFERROR(__xludf.DUMMYFUNCTION("""COMPUTED_VALUE"""),0.01)</f>
        <v>0.01</v>
      </c>
      <c r="I1831" s="2005">
        <f>IFERROR(__xludf.DUMMYFUNCTION("""COMPUTED_VALUE"""),0.01)</f>
        <v>0.01</v>
      </c>
      <c r="LM1831" s="2008"/>
    </row>
    <row r="1832">
      <c r="A1832" s="2005">
        <f>IFERROR(__xludf.DUMMYFUNCTION("""COMPUTED_VALUE"""),1157688.0)</f>
        <v>1157688</v>
      </c>
      <c r="B1832" s="2005">
        <f>IFERROR(__xludf.DUMMYFUNCTION("""COMPUTED_VALUE"""),2403005.0)</f>
        <v>2403005</v>
      </c>
      <c r="D1832" s="2005" t="str">
        <f>IFERROR(__xludf.DUMMYFUNCTION("""COMPUTED_VALUE"""),"zimm cartouche bar à encre")</f>
        <v>zimm cartouche bar à encre</v>
      </c>
      <c r="E1832" s="2005" t="str">
        <f>IFERROR(__xludf.DUMMYFUNCTION("""COMPUTED_VALUE"""),".")</f>
        <v>.</v>
      </c>
      <c r="F1832" s="2005" t="str">
        <f>IFERROR(__xludf.DUMMYFUNCTION("""COMPUTED_VALUE"""),"H")</f>
        <v>H</v>
      </c>
      <c r="G1832" s="2005" t="str">
        <f>IFERROR(__xludf.DUMMYFUNCTION("""COMPUTED_VALUE"""),"AC")</f>
        <v>AC</v>
      </c>
      <c r="H1832">
        <f>IFERROR(__xludf.DUMMYFUNCTION("""COMPUTED_VALUE"""),0.01)</f>
        <v>0.01</v>
      </c>
      <c r="I1832">
        <f>IFERROR(__xludf.DUMMYFUNCTION("""COMPUTED_VALUE"""),0.01)</f>
        <v>0.01</v>
      </c>
      <c r="BD1832" s="2006"/>
      <c r="LL1832" s="2007"/>
      <c r="LM1832" s="2008"/>
      <c r="MX1832" s="2007"/>
      <c r="ND1832" s="2007"/>
    </row>
    <row r="1833">
      <c r="A1833" s="2005">
        <f>IFERROR(__xludf.DUMMYFUNCTION("""COMPUTED_VALUE"""),1157697.0)</f>
        <v>1157697</v>
      </c>
      <c r="B1833" s="2005">
        <f>IFERROR(__xludf.DUMMYFUNCTION("""COMPUTED_VALUE"""),2403005.0)</f>
        <v>2403005</v>
      </c>
      <c r="C1833" s="2005" t="str">
        <f>IFERROR(__xludf.DUMMYFUNCTION("""COMPUTED_VALUE"""),"Cartouche")</f>
        <v>Cartouche</v>
      </c>
      <c r="D1833" s="2005" t="str">
        <f>IFERROR(__xludf.DUMMYFUNCTION("""COMPUTED_VALUE"""),"Ecotank Bouteille 113 noire 127 ml")</f>
        <v>Ecotank Bouteille 113 noire 127 ml</v>
      </c>
      <c r="E1833" s="2005" t="str">
        <f>IFERROR(__xludf.DUMMYFUNCTION("""COMPUTED_VALUE"""),"EPSON")</f>
        <v>EPSON</v>
      </c>
      <c r="F1833" s="2005" t="str">
        <f>IFERROR(__xludf.DUMMYFUNCTION("""COMPUTED_VALUE"""),"D")</f>
        <v>D</v>
      </c>
      <c r="G1833" s="2005" t="str">
        <f>IFERROR(__xludf.DUMMYFUNCTION("""COMPUTED_VALUE"""),"AC")</f>
        <v>AC</v>
      </c>
      <c r="H1833" s="2005">
        <f>IFERROR(__xludf.DUMMYFUNCTION("""COMPUTED_VALUE"""),19.98)</f>
        <v>19.98</v>
      </c>
      <c r="I1833" s="2005">
        <f>IFERROR(__xludf.DUMMYFUNCTION("""COMPUTED_VALUE"""),19.98)</f>
        <v>19.98</v>
      </c>
      <c r="BD1833" s="2006"/>
      <c r="LL1833" s="2008"/>
      <c r="LM1833" s="2008"/>
      <c r="MX1833" s="2007"/>
      <c r="ND1833" s="2008"/>
    </row>
    <row r="1834">
      <c r="A1834" s="2005">
        <f>IFERROR(__xludf.DUMMYFUNCTION("""COMPUTED_VALUE"""),1157699.0)</f>
        <v>1157699</v>
      </c>
      <c r="B1834" s="2005">
        <f>IFERROR(__xludf.DUMMYFUNCTION("""COMPUTED_VALUE"""),2403005.0)</f>
        <v>2403005</v>
      </c>
      <c r="C1834" s="2005" t="str">
        <f>IFERROR(__xludf.DUMMYFUNCTION("""COMPUTED_VALUE"""),"Cartouche")</f>
        <v>Cartouche</v>
      </c>
      <c r="D1834" s="2005" t="str">
        <f>IFERROR(__xludf.DUMMYFUNCTION("""COMPUTED_VALUE"""),"Ecotank Bouteille 113 Cyan 70 ml")</f>
        <v>Ecotank Bouteille 113 Cyan 70 ml</v>
      </c>
      <c r="E1834" s="2005" t="str">
        <f>IFERROR(__xludf.DUMMYFUNCTION("""COMPUTED_VALUE"""),"EPSON")</f>
        <v>EPSON</v>
      </c>
      <c r="F1834" s="2005" t="str">
        <f>IFERROR(__xludf.DUMMYFUNCTION("""COMPUTED_VALUE"""),"D")</f>
        <v>D</v>
      </c>
      <c r="G1834" s="2005" t="str">
        <f>IFERROR(__xludf.DUMMYFUNCTION("""COMPUTED_VALUE"""),"AC")</f>
        <v>AC</v>
      </c>
      <c r="H1834" s="2005">
        <f>IFERROR(__xludf.DUMMYFUNCTION("""COMPUTED_VALUE"""),15.98)</f>
        <v>15.98</v>
      </c>
      <c r="I1834" s="2005">
        <f>IFERROR(__xludf.DUMMYFUNCTION("""COMPUTED_VALUE"""),15.98)</f>
        <v>15.98</v>
      </c>
      <c r="BD1834" s="2006"/>
      <c r="LL1834" s="2007"/>
      <c r="LM1834" s="2008"/>
      <c r="MX1834" s="2008"/>
      <c r="ND1834" s="2008"/>
    </row>
    <row r="1835">
      <c r="A1835" s="2005">
        <f>IFERROR(__xludf.DUMMYFUNCTION("""COMPUTED_VALUE"""),1157700.0)</f>
        <v>1157700</v>
      </c>
      <c r="B1835" s="2005">
        <f>IFERROR(__xludf.DUMMYFUNCTION("""COMPUTED_VALUE"""),2403005.0)</f>
        <v>2403005</v>
      </c>
      <c r="C1835" s="2005" t="str">
        <f>IFERROR(__xludf.DUMMYFUNCTION("""COMPUTED_VALUE"""),"Cartouche")</f>
        <v>Cartouche</v>
      </c>
      <c r="D1835" s="2005" t="str">
        <f>IFERROR(__xludf.DUMMYFUNCTION("""COMPUTED_VALUE"""),"Ecotank Bouteille 113 Magenta 70 ml")</f>
        <v>Ecotank Bouteille 113 Magenta 70 ml</v>
      </c>
      <c r="E1835" s="2005" t="str">
        <f>IFERROR(__xludf.DUMMYFUNCTION("""COMPUTED_VALUE"""),"EPSON")</f>
        <v>EPSON</v>
      </c>
      <c r="F1835" s="2005" t="str">
        <f>IFERROR(__xludf.DUMMYFUNCTION("""COMPUTED_VALUE"""),"D")</f>
        <v>D</v>
      </c>
      <c r="G1835" s="2005" t="str">
        <f>IFERROR(__xludf.DUMMYFUNCTION("""COMPUTED_VALUE"""),"AC")</f>
        <v>AC</v>
      </c>
      <c r="H1835" s="2005">
        <f>IFERROR(__xludf.DUMMYFUNCTION("""COMPUTED_VALUE"""),15.98)</f>
        <v>15.98</v>
      </c>
      <c r="I1835" s="2005">
        <f>IFERROR(__xludf.DUMMYFUNCTION("""COMPUTED_VALUE"""),15.98)</f>
        <v>15.98</v>
      </c>
      <c r="BD1835" s="2006"/>
      <c r="LL1835" s="2007"/>
      <c r="LM1835" s="2008"/>
      <c r="MX1835" s="2007"/>
      <c r="ND1835" s="2008"/>
    </row>
    <row r="1836">
      <c r="A1836" s="2005">
        <f>IFERROR(__xludf.DUMMYFUNCTION("""COMPUTED_VALUE"""),1157711.0)</f>
        <v>1157711</v>
      </c>
      <c r="B1836" s="2005">
        <f>IFERROR(__xludf.DUMMYFUNCTION("""COMPUTED_VALUE"""),2403005.0)</f>
        <v>2403005</v>
      </c>
      <c r="C1836" s="2005" t="str">
        <f>IFERROR(__xludf.DUMMYFUNCTION("""COMPUTED_VALUE"""),"Cartouche")</f>
        <v>Cartouche</v>
      </c>
      <c r="D1836" s="2005" t="str">
        <f>IFERROR(__xludf.DUMMYFUNCTION("""COMPUTED_VALUE"""),"Ecotank Bouteille 113 Jaune 70 ml")</f>
        <v>Ecotank Bouteille 113 Jaune 70 ml</v>
      </c>
      <c r="E1836" s="2005" t="str">
        <f>IFERROR(__xludf.DUMMYFUNCTION("""COMPUTED_VALUE"""),"EPSON")</f>
        <v>EPSON</v>
      </c>
      <c r="F1836" s="2005" t="str">
        <f>IFERROR(__xludf.DUMMYFUNCTION("""COMPUTED_VALUE"""),"D")</f>
        <v>D</v>
      </c>
      <c r="G1836" s="2005" t="str">
        <f>IFERROR(__xludf.DUMMYFUNCTION("""COMPUTED_VALUE"""),"AC")</f>
        <v>AC</v>
      </c>
      <c r="H1836">
        <f>IFERROR(__xludf.DUMMYFUNCTION("""COMPUTED_VALUE"""),15.98)</f>
        <v>15.98</v>
      </c>
      <c r="I1836">
        <f>IFERROR(__xludf.DUMMYFUNCTION("""COMPUTED_VALUE"""),15.98)</f>
        <v>15.98</v>
      </c>
      <c r="BD1836" s="2006"/>
      <c r="LL1836" s="2007"/>
      <c r="LM1836" s="2008"/>
      <c r="MX1836" s="2007"/>
      <c r="ND1836" s="2008"/>
    </row>
    <row r="1837">
      <c r="A1837" s="2005">
        <f>IFERROR(__xludf.DUMMYFUNCTION("""COMPUTED_VALUE"""),1158176.0)</f>
        <v>1158176</v>
      </c>
      <c r="B1837" s="2005">
        <f>IFERROR(__xludf.DUMMYFUNCTION("""COMPUTED_VALUE"""),2203005.0)</f>
        <v>2203005</v>
      </c>
      <c r="C1837" s="2005" t="str">
        <f>IFERROR(__xludf.DUMMYFUNCTION("""COMPUTED_VALUE"""),"Scanner")</f>
        <v>Scanner</v>
      </c>
      <c r="D1837" s="2005" t="str">
        <f>IFERROR(__xludf.DUMMYFUNCTION("""COMPUTED_VALUE"""),"SP-1120N")</f>
        <v>SP-1120N</v>
      </c>
      <c r="E1837" s="2005" t="str">
        <f>IFERROR(__xludf.DUMMYFUNCTION("""COMPUTED_VALUE"""),"FUJITSU")</f>
        <v>FUJITSU</v>
      </c>
      <c r="F1837" s="2005" t="str">
        <f>IFERROR(__xludf.DUMMYFUNCTION("""COMPUTED_VALUE"""),"W")</f>
        <v>W</v>
      </c>
      <c r="G1837" s="2005" t="str">
        <f>IFERROR(__xludf.DUMMYFUNCTION("""COMPUTED_VALUE"""),"FR")</f>
        <v>FR</v>
      </c>
      <c r="H1837" s="2005">
        <f>IFERROR(__xludf.DUMMYFUNCTION("""COMPUTED_VALUE"""),349.99)</f>
        <v>349.99</v>
      </c>
      <c r="I1837" s="2005">
        <f>IFERROR(__xludf.DUMMYFUNCTION("""COMPUTED_VALUE"""),293.9)</f>
        <v>293.9</v>
      </c>
      <c r="BD1837" s="2006"/>
      <c r="LL1837" s="2007"/>
      <c r="LM1837" s="2008"/>
      <c r="MX1837" s="2007"/>
      <c r="ND1837" s="2008"/>
    </row>
    <row r="1838">
      <c r="A1838" s="2005">
        <f>IFERROR(__xludf.DUMMYFUNCTION("""COMPUTED_VALUE"""),1158178.0)</f>
        <v>1158178</v>
      </c>
      <c r="B1838" s="2005">
        <f>IFERROR(__xludf.DUMMYFUNCTION("""COMPUTED_VALUE"""),2502024.0)</f>
        <v>2502024</v>
      </c>
      <c r="C1838" s="2005" t="str">
        <f>IFERROR(__xludf.DUMMYFUNCTION("""COMPUTED_VALUE"""),"Stylet")</f>
        <v>Stylet</v>
      </c>
      <c r="D1838" s="2005" t="str">
        <f>IFERROR(__xludf.DUMMYFUNCTION("""COMPUTED_VALUE"""),"Active Pen")</f>
        <v>Active Pen</v>
      </c>
      <c r="E1838" s="2005" t="str">
        <f>IFERROR(__xludf.DUMMYFUNCTION("""COMPUTED_VALUE"""),"LENOVO")</f>
        <v>LENOVO</v>
      </c>
      <c r="F1838" s="2005" t="str">
        <f>IFERROR(__xludf.DUMMYFUNCTION("""COMPUTED_VALUE"""),"H")</f>
        <v>H</v>
      </c>
      <c r="G1838" s="2005" t="str">
        <f>IFERROR(__xludf.DUMMYFUNCTION("""COMPUTED_VALUE"""),"NN")</f>
        <v>NN</v>
      </c>
      <c r="H1838" s="2005">
        <f>IFERROR(__xludf.DUMMYFUNCTION("""COMPUTED_VALUE"""),49.99)</f>
        <v>49.99</v>
      </c>
      <c r="I1838" s="2005">
        <f>IFERROR(__xludf.DUMMYFUNCTION("""COMPUTED_VALUE"""),49.99)</f>
        <v>49.99</v>
      </c>
      <c r="BD1838" s="2006"/>
      <c r="LM1838" s="2008"/>
      <c r="MX1838" s="2008"/>
      <c r="ND1838" s="2008"/>
    </row>
    <row r="1839">
      <c r="A1839" s="2005">
        <f>IFERROR(__xludf.DUMMYFUNCTION("""COMPUTED_VALUE"""),1158771.0)</f>
        <v>1158771</v>
      </c>
      <c r="B1839" s="2005">
        <f>IFERROR(__xludf.DUMMYFUNCTION("""COMPUTED_VALUE"""),2202005.0)</f>
        <v>2202005</v>
      </c>
      <c r="C1839" s="2005" t="str">
        <f>IFERROR(__xludf.DUMMYFUNCTION("""COMPUTED_VALUE"""),"Multi Jet d'enc")</f>
        <v>Multi Jet d'enc</v>
      </c>
      <c r="D1839" s="2005" t="str">
        <f>IFERROR(__xludf.DUMMYFUNCTION("""COMPUTED_VALUE"""),"Deskjet 2721e éligible Instant Ink")</f>
        <v>Deskjet 2721e éligible Instant Ink</v>
      </c>
      <c r="E1839" s="2005" t="str">
        <f>IFERROR(__xludf.DUMMYFUNCTION("""COMPUTED_VALUE"""),"HP")</f>
        <v>HP</v>
      </c>
      <c r="F1839" s="2005" t="str">
        <f>IFERROR(__xludf.DUMMYFUNCTION("""COMPUTED_VALUE"""),"A")</f>
        <v>A</v>
      </c>
      <c r="G1839" s="2005" t="str">
        <f>IFERROR(__xludf.DUMMYFUNCTION("""COMPUTED_VALUE"""),"FR")</f>
        <v>FR</v>
      </c>
      <c r="H1839">
        <f>IFERROR(__xludf.DUMMYFUNCTION("""COMPUTED_VALUE"""),59.99)</f>
        <v>59.99</v>
      </c>
      <c r="I1839">
        <f>IFERROR(__xludf.DUMMYFUNCTION("""COMPUTED_VALUE"""),59.99)</f>
        <v>59.99</v>
      </c>
      <c r="BD1839" s="2006"/>
      <c r="LL1839" s="2007"/>
      <c r="LM1839" s="2008"/>
      <c r="MX1839" s="2007"/>
      <c r="ND1839" s="2008"/>
    </row>
    <row r="1840">
      <c r="A1840" s="2005">
        <f>IFERROR(__xludf.DUMMYFUNCTION("""COMPUTED_VALUE"""),1158772.0)</f>
        <v>1158772</v>
      </c>
      <c r="B1840" s="2005">
        <f>IFERROR(__xludf.DUMMYFUNCTION("""COMPUTED_VALUE"""),2202005.0)</f>
        <v>2202005</v>
      </c>
      <c r="C1840" s="2005" t="str">
        <f>IFERROR(__xludf.DUMMYFUNCTION("""COMPUTED_VALUE"""),"Multi Jet d'enc")</f>
        <v>Multi Jet d'enc</v>
      </c>
      <c r="D1840" s="2005" t="str">
        <f>IFERROR(__xludf.DUMMYFUNCTION("""COMPUTED_VALUE"""),"Envy 6032e éligible Instant Ink")</f>
        <v>Envy 6032e éligible Instant Ink</v>
      </c>
      <c r="E1840" s="2005" t="str">
        <f>IFERROR(__xludf.DUMMYFUNCTION("""COMPUTED_VALUE"""),"HP")</f>
        <v>HP</v>
      </c>
      <c r="F1840" s="2005" t="str">
        <f>IFERROR(__xludf.DUMMYFUNCTION("""COMPUTED_VALUE"""),"A")</f>
        <v>A</v>
      </c>
      <c r="G1840" s="2005" t="str">
        <f>IFERROR(__xludf.DUMMYFUNCTION("""COMPUTED_VALUE"""),"AC")</f>
        <v>AC</v>
      </c>
      <c r="H1840" s="2005">
        <f>IFERROR(__xludf.DUMMYFUNCTION("""COMPUTED_VALUE"""),99.99)</f>
        <v>99.99</v>
      </c>
      <c r="I1840" s="2005">
        <f>IFERROR(__xludf.DUMMYFUNCTION("""COMPUTED_VALUE"""),99.99)</f>
        <v>99.99</v>
      </c>
      <c r="BD1840" s="2006"/>
      <c r="LL1840" s="2008"/>
      <c r="LM1840" s="2008"/>
      <c r="MX1840" s="2007"/>
      <c r="ND1840" s="2008"/>
    </row>
    <row r="1841">
      <c r="A1841" s="2005">
        <f>IFERROR(__xludf.DUMMYFUNCTION("""COMPUTED_VALUE"""),1158773.0)</f>
        <v>1158773</v>
      </c>
      <c r="B1841" s="2005">
        <f>IFERROR(__xludf.DUMMYFUNCTION("""COMPUTED_VALUE"""),2202005.0)</f>
        <v>2202005</v>
      </c>
      <c r="C1841" s="2005" t="str">
        <f>IFERROR(__xludf.DUMMYFUNCTION("""COMPUTED_VALUE"""),"Multi Jet d'enc")</f>
        <v>Multi Jet d'enc</v>
      </c>
      <c r="D1841" s="2005" t="str">
        <f>IFERROR(__xludf.DUMMYFUNCTION("""COMPUTED_VALUE"""),"Envy 6432e éligible Instant Ink")</f>
        <v>Envy 6432e éligible Instant Ink</v>
      </c>
      <c r="E1841" s="2005" t="str">
        <f>IFERROR(__xludf.DUMMYFUNCTION("""COMPUTED_VALUE"""),"HP")</f>
        <v>HP</v>
      </c>
      <c r="F1841" s="2005" t="str">
        <f>IFERROR(__xludf.DUMMYFUNCTION("""COMPUTED_VALUE"""),"C")</f>
        <v>C</v>
      </c>
      <c r="G1841" s="2005" t="str">
        <f>IFERROR(__xludf.DUMMYFUNCTION("""COMPUTED_VALUE"""),"AC")</f>
        <v>AC</v>
      </c>
      <c r="H1841" s="2005">
        <f>IFERROR(__xludf.DUMMYFUNCTION("""COMPUTED_VALUE"""),119.99)</f>
        <v>119.99</v>
      </c>
      <c r="I1841" s="2005">
        <f>IFERROR(__xludf.DUMMYFUNCTION("""COMPUTED_VALUE"""),119.99)</f>
        <v>119.99</v>
      </c>
      <c r="BD1841" s="2006"/>
      <c r="LL1841" s="2007"/>
      <c r="LM1841" s="2008"/>
      <c r="MX1841" s="2007"/>
      <c r="ND1841" s="2008"/>
    </row>
    <row r="1842">
      <c r="A1842" s="2005">
        <f>IFERROR(__xludf.DUMMYFUNCTION("""COMPUTED_VALUE"""),1158774.0)</f>
        <v>1158774</v>
      </c>
      <c r="B1842" s="2005">
        <f>IFERROR(__xludf.DUMMYFUNCTION("""COMPUTED_VALUE"""),2202005.0)</f>
        <v>2202005</v>
      </c>
      <c r="C1842" s="2005" t="str">
        <f>IFERROR(__xludf.DUMMYFUNCTION("""COMPUTED_VALUE"""),"Multi Jet d'enc")</f>
        <v>Multi Jet d'enc</v>
      </c>
      <c r="D1842" s="2005" t="str">
        <f>IFERROR(__xludf.DUMMYFUNCTION("""COMPUTED_VALUE"""),"OfficeJet Pro 8024e éligible Instant Ink")</f>
        <v>OfficeJet Pro 8024e éligible Instant Ink</v>
      </c>
      <c r="E1842" s="2005" t="str">
        <f>IFERROR(__xludf.DUMMYFUNCTION("""COMPUTED_VALUE"""),"HP")</f>
        <v>HP</v>
      </c>
      <c r="F1842" s="2005" t="str">
        <f>IFERROR(__xludf.DUMMYFUNCTION("""COMPUTED_VALUE"""),"H")</f>
        <v>H</v>
      </c>
      <c r="G1842" s="2005" t="str">
        <f>IFERROR(__xludf.DUMMYFUNCTION("""COMPUTED_VALUE"""),"AC")</f>
        <v>AC</v>
      </c>
      <c r="H1842" s="2005">
        <f>IFERROR(__xludf.DUMMYFUNCTION("""COMPUTED_VALUE"""),219.99)</f>
        <v>219.99</v>
      </c>
      <c r="I1842" s="2005">
        <f>IFERROR(__xludf.DUMMYFUNCTION("""COMPUTED_VALUE"""),219.99)</f>
        <v>219.99</v>
      </c>
      <c r="BD1842" s="2006"/>
      <c r="LL1842" s="2007"/>
      <c r="LM1842" s="2008"/>
      <c r="MX1842" s="2007"/>
      <c r="ND1842" s="2008"/>
    </row>
    <row r="1843">
      <c r="A1843" s="2005">
        <f>IFERROR(__xludf.DUMMYFUNCTION("""COMPUTED_VALUE"""),1158775.0)</f>
        <v>1158775</v>
      </c>
      <c r="B1843" s="2005">
        <f>IFERROR(__xludf.DUMMYFUNCTION("""COMPUTED_VALUE"""),2202005.0)</f>
        <v>2202005</v>
      </c>
      <c r="C1843" s="2005" t="str">
        <f>IFERROR(__xludf.DUMMYFUNCTION("""COMPUTED_VALUE"""),"Multi Jet d'enc")</f>
        <v>Multi Jet d'enc</v>
      </c>
      <c r="D1843" s="2005" t="str">
        <f>IFERROR(__xludf.DUMMYFUNCTION("""COMPUTED_VALUE"""),"OfficeJet Pro 9014e éligible Instant Ink")</f>
        <v>OfficeJet Pro 9014e éligible Instant Ink</v>
      </c>
      <c r="E1843" s="2005" t="str">
        <f>IFERROR(__xludf.DUMMYFUNCTION("""COMPUTED_VALUE"""),"HP")</f>
        <v>HP</v>
      </c>
      <c r="F1843" s="2005" t="str">
        <f>IFERROR(__xludf.DUMMYFUNCTION("""COMPUTED_VALUE"""),"C")</f>
        <v>C</v>
      </c>
      <c r="G1843" s="2005" t="str">
        <f>IFERROR(__xludf.DUMMYFUNCTION("""COMPUTED_VALUE"""),"AC")</f>
        <v>AC</v>
      </c>
      <c r="H1843">
        <f>IFERROR(__xludf.DUMMYFUNCTION("""COMPUTED_VALUE"""),269.99)</f>
        <v>269.99</v>
      </c>
      <c r="I1843">
        <f>IFERROR(__xludf.DUMMYFUNCTION("""COMPUTED_VALUE"""),269.99)</f>
        <v>269.99</v>
      </c>
      <c r="BD1843" s="2006"/>
      <c r="LL1843" s="2007"/>
      <c r="LM1843" s="2008"/>
      <c r="MX1843" s="2007"/>
      <c r="ND1843" s="2008"/>
    </row>
    <row r="1844">
      <c r="A1844" s="2005">
        <f>IFERROR(__xludf.DUMMYFUNCTION("""COMPUTED_VALUE"""),1158776.0)</f>
        <v>1158776</v>
      </c>
      <c r="B1844" s="2005">
        <f>IFERROR(__xludf.DUMMYFUNCTION("""COMPUTED_VALUE"""),2202005.0)</f>
        <v>2202005</v>
      </c>
      <c r="C1844" s="2005" t="str">
        <f>IFERROR(__xludf.DUMMYFUNCTION("""COMPUTED_VALUE"""),"Multi Jet d'enc")</f>
        <v>Multi Jet d'enc</v>
      </c>
      <c r="D1844" s="2005" t="str">
        <f>IFERROR(__xludf.DUMMYFUNCTION("""COMPUTED_VALUE"""),"OfficeJet Pro 9015e éligible Instant Ink")</f>
        <v>OfficeJet Pro 9015e éligible Instant Ink</v>
      </c>
      <c r="E1844" s="2005" t="str">
        <f>IFERROR(__xludf.DUMMYFUNCTION("""COMPUTED_VALUE"""),"HP")</f>
        <v>HP</v>
      </c>
      <c r="F1844" s="2005" t="str">
        <f>IFERROR(__xludf.DUMMYFUNCTION("""COMPUTED_VALUE"""),"E")</f>
        <v>E</v>
      </c>
      <c r="G1844" s="2005" t="str">
        <f>IFERROR(__xludf.DUMMYFUNCTION("""COMPUTED_VALUE"""),"NN")</f>
        <v>NN</v>
      </c>
      <c r="H1844" s="2005">
        <f>IFERROR(__xludf.DUMMYFUNCTION("""COMPUTED_VALUE"""),219.9)</f>
        <v>219.9</v>
      </c>
      <c r="I1844" s="2005">
        <f>IFERROR(__xludf.DUMMYFUNCTION("""COMPUTED_VALUE"""),219.9)</f>
        <v>219.9</v>
      </c>
      <c r="BD1844" s="2006"/>
      <c r="LL1844" s="2008"/>
      <c r="LM1844" s="2008"/>
      <c r="MX1844" s="2007"/>
      <c r="ND1844" s="2008"/>
    </row>
    <row r="1845">
      <c r="A1845" s="2005">
        <f>IFERROR(__xludf.DUMMYFUNCTION("""COMPUTED_VALUE"""),1158777.0)</f>
        <v>1158777</v>
      </c>
      <c r="B1845" s="2005">
        <f>IFERROR(__xludf.DUMMYFUNCTION("""COMPUTED_VALUE"""),2202005.0)</f>
        <v>2202005</v>
      </c>
      <c r="C1845" s="2005" t="str">
        <f>IFERROR(__xludf.DUMMYFUNCTION("""COMPUTED_VALUE"""),"Multi Jet d'enc")</f>
        <v>Multi Jet d'enc</v>
      </c>
      <c r="D1845" s="2005" t="str">
        <f>IFERROR(__xludf.DUMMYFUNCTION("""COMPUTED_VALUE"""),"OfficeJet Pro 9022e éligible Instant")</f>
        <v>OfficeJet Pro 9022e éligible Instant</v>
      </c>
      <c r="E1845" s="2005" t="str">
        <f>IFERROR(__xludf.DUMMYFUNCTION("""COMPUTED_VALUE"""),"HP")</f>
        <v>HP</v>
      </c>
      <c r="F1845" s="2005" t="str">
        <f>IFERROR(__xludf.DUMMYFUNCTION("""COMPUTED_VALUE"""),"E")</f>
        <v>E</v>
      </c>
      <c r="G1845" s="2005" t="str">
        <f>IFERROR(__xludf.DUMMYFUNCTION("""COMPUTED_VALUE"""),"NN")</f>
        <v>NN</v>
      </c>
      <c r="H1845" s="2005">
        <f>IFERROR(__xludf.DUMMYFUNCTION("""COMPUTED_VALUE"""),389.99)</f>
        <v>389.99</v>
      </c>
      <c r="I1845">
        <f>IFERROR(__xludf.DUMMYFUNCTION("""COMPUTED_VALUE"""),389.99)</f>
        <v>389.99</v>
      </c>
      <c r="BD1845" s="2006"/>
      <c r="LL1845" s="2007"/>
      <c r="LM1845" s="2008"/>
      <c r="MX1845" s="2007"/>
      <c r="ND1845" s="2007"/>
    </row>
    <row r="1846">
      <c r="A1846" s="2005">
        <f>IFERROR(__xludf.DUMMYFUNCTION("""COMPUTED_VALUE"""),1158778.0)</f>
        <v>1158778</v>
      </c>
      <c r="B1846" s="2005">
        <f>IFERROR(__xludf.DUMMYFUNCTION("""COMPUTED_VALUE"""),2202005.0)</f>
        <v>2202005</v>
      </c>
      <c r="C1846" s="2005" t="str">
        <f>IFERROR(__xludf.DUMMYFUNCTION("""COMPUTED_VALUE"""),"Multi Jet d'enc")</f>
        <v>Multi Jet d'enc</v>
      </c>
      <c r="D1846" s="2005" t="str">
        <f>IFERROR(__xludf.DUMMYFUNCTION("""COMPUTED_VALUE"""),"OfficeJet Pro 9025e éligible Instant Ink")</f>
        <v>OfficeJet Pro 9025e éligible Instant Ink</v>
      </c>
      <c r="E1846" s="2005" t="str">
        <f>IFERROR(__xludf.DUMMYFUNCTION("""COMPUTED_VALUE"""),"HP")</f>
        <v>HP</v>
      </c>
      <c r="F1846" s="2005" t="str">
        <f>IFERROR(__xludf.DUMMYFUNCTION("""COMPUTED_VALUE"""),"H")</f>
        <v>H</v>
      </c>
      <c r="G1846" s="2005" t="str">
        <f>IFERROR(__xludf.DUMMYFUNCTION("""COMPUTED_VALUE"""),"NN")</f>
        <v>NN</v>
      </c>
      <c r="H1846" s="2005">
        <f>IFERROR(__xludf.DUMMYFUNCTION("""COMPUTED_VALUE"""),299.9)</f>
        <v>299.9</v>
      </c>
      <c r="I1846" s="2005">
        <f>IFERROR(__xludf.DUMMYFUNCTION("""COMPUTED_VALUE"""),299.9)</f>
        <v>299.9</v>
      </c>
      <c r="BD1846" s="2006"/>
      <c r="LL1846" s="2008"/>
      <c r="LM1846" s="2007"/>
      <c r="MX1846" s="2007"/>
      <c r="ND1846" s="2007"/>
    </row>
    <row r="1847">
      <c r="A1847" s="2005">
        <f>IFERROR(__xludf.DUMMYFUNCTION("""COMPUTED_VALUE"""),1158824.0)</f>
        <v>1158824</v>
      </c>
      <c r="B1847" s="2005">
        <f>IFERROR(__xludf.DUMMYFUNCTION("""COMPUTED_VALUE"""),2403005.0)</f>
        <v>2403005</v>
      </c>
      <c r="C1847" s="2005" t="str">
        <f>IFERROR(__xludf.DUMMYFUNCTION("""COMPUTED_VALUE"""),"Pack")</f>
        <v>Pack</v>
      </c>
      <c r="D1847" s="2005" t="str">
        <f>IFERROR(__xludf.DUMMYFUNCTION("""COMPUTED_VALUE"""),"912 noire + 3 couleurs")</f>
        <v>912 noire + 3 couleurs</v>
      </c>
      <c r="E1847" s="2005" t="str">
        <f>IFERROR(__xludf.DUMMYFUNCTION("""COMPUTED_VALUE"""),"HP")</f>
        <v>HP</v>
      </c>
      <c r="F1847" s="2005" t="str">
        <f>IFERROR(__xludf.DUMMYFUNCTION("""COMPUTED_VALUE"""),"A")</f>
        <v>A</v>
      </c>
      <c r="G1847" s="2005" t="str">
        <f>IFERROR(__xludf.DUMMYFUNCTION("""COMPUTED_VALUE"""),"AC")</f>
        <v>AC</v>
      </c>
      <c r="H1847" s="2005">
        <f>IFERROR(__xludf.DUMMYFUNCTION("""COMPUTED_VALUE"""),55.0)</f>
        <v>55</v>
      </c>
      <c r="I1847" s="2005">
        <f>IFERROR(__xludf.DUMMYFUNCTION("""COMPUTED_VALUE"""),55.0)</f>
        <v>55</v>
      </c>
      <c r="BD1847" s="2006"/>
      <c r="LL1847" s="2007"/>
      <c r="LM1847" s="2008"/>
      <c r="MX1847" s="2007"/>
      <c r="ND1847" s="2007"/>
    </row>
    <row r="1848">
      <c r="A1848" s="2005">
        <f>IFERROR(__xludf.DUMMYFUNCTION("""COMPUTED_VALUE"""),1159214.0)</f>
        <v>1159214</v>
      </c>
      <c r="B1848" s="2005">
        <f>IFERROR(__xludf.DUMMYFUNCTION("""COMPUTED_VALUE"""),2202005.0)</f>
        <v>2202005</v>
      </c>
      <c r="C1848" s="2005" t="str">
        <f>IFERROR(__xludf.DUMMYFUNCTION("""COMPUTED_VALUE"""),"Multi Jet d'enc")</f>
        <v>Multi Jet d'enc</v>
      </c>
      <c r="D1848" s="2005" t="str">
        <f>IFERROR(__xludf.DUMMYFUNCTION("""COMPUTED_VALUE"""),"Envy 6234 éligible Instant Ink")</f>
        <v>Envy 6234 éligible Instant Ink</v>
      </c>
      <c r="E1848" s="2005" t="str">
        <f>IFERROR(__xludf.DUMMYFUNCTION("""COMPUTED_VALUE"""),"HP")</f>
        <v>HP</v>
      </c>
      <c r="F1848" s="2005" t="str">
        <f>IFERROR(__xludf.DUMMYFUNCTION("""COMPUTED_VALUE"""),"E")</f>
        <v>E</v>
      </c>
      <c r="G1848" s="2005" t="str">
        <f>IFERROR(__xludf.DUMMYFUNCTION("""COMPUTED_VALUE"""),"NN")</f>
        <v>NN</v>
      </c>
      <c r="H1848" s="2005">
        <f>IFERROR(__xludf.DUMMYFUNCTION("""COMPUTED_VALUE"""),119.9)</f>
        <v>119.9</v>
      </c>
      <c r="I1848" s="2005">
        <f>IFERROR(__xludf.DUMMYFUNCTION("""COMPUTED_VALUE"""),119.9)</f>
        <v>119.9</v>
      </c>
      <c r="BD1848" s="2006"/>
      <c r="LL1848" s="2008"/>
      <c r="LM1848" s="2008"/>
      <c r="MX1848" s="2007"/>
      <c r="ND1848" s="2008"/>
    </row>
    <row r="1849">
      <c r="A1849" s="2005">
        <f>IFERROR(__xludf.DUMMYFUNCTION("""COMPUTED_VALUE"""),1159276.0)</f>
        <v>1159276</v>
      </c>
      <c r="B1849" s="2005">
        <f>IFERROR(__xludf.DUMMYFUNCTION("""COMPUTED_VALUE"""),2703025.0)</f>
        <v>2703025</v>
      </c>
      <c r="C1849" s="2005" t="str">
        <f>IFERROR(__xludf.DUMMYFUNCTION("""COMPUTED_VALUE"""),"DESTRUCTEUR")</f>
        <v>DESTRUCTEUR</v>
      </c>
      <c r="D1849" s="2005" t="str">
        <f>IFERROR(__xludf.DUMMYFUNCTION("""COMPUTED_VALUE"""),"MICROSHRED LX200 NOIR")</f>
        <v>MICROSHRED LX200 NOIR</v>
      </c>
      <c r="E1849" s="2005" t="str">
        <f>IFERROR(__xludf.DUMMYFUNCTION("""COMPUTED_VALUE"""),"FELLOWES")</f>
        <v>FELLOWES</v>
      </c>
      <c r="F1849" s="2005" t="str">
        <f>IFERROR(__xludf.DUMMYFUNCTION("""COMPUTED_VALUE"""),"H")</f>
        <v>H</v>
      </c>
      <c r="G1849" s="2005" t="str">
        <f>IFERROR(__xludf.DUMMYFUNCTION("""COMPUTED_VALUE"""),"AC")</f>
        <v>AC</v>
      </c>
      <c r="H1849">
        <f>IFERROR(__xludf.DUMMYFUNCTION("""COMPUTED_VALUE"""),339.99)</f>
        <v>339.99</v>
      </c>
      <c r="I1849">
        <f>IFERROR(__xludf.DUMMYFUNCTION("""COMPUTED_VALUE"""),250.54)</f>
        <v>250.54</v>
      </c>
      <c r="BD1849" s="2006"/>
      <c r="LL1849" s="2008"/>
      <c r="LM1849" s="2008"/>
      <c r="MX1849" s="2008"/>
      <c r="ND1849" s="2008"/>
    </row>
    <row r="1850">
      <c r="A1850" s="2005">
        <f>IFERROR(__xludf.DUMMYFUNCTION("""COMPUTED_VALUE"""),1159277.0)</f>
        <v>1159277</v>
      </c>
      <c r="B1850" s="2005">
        <f>IFERROR(__xludf.DUMMYFUNCTION("""COMPUTED_VALUE"""),2703025.0)</f>
        <v>2703025</v>
      </c>
      <c r="C1850" s="2005" t="str">
        <f>IFERROR(__xludf.DUMMYFUNCTION("""COMPUTED_VALUE"""),"DESTRUCTEUR")</f>
        <v>DESTRUCTEUR</v>
      </c>
      <c r="D1850" s="2005" t="str">
        <f>IFERROR(__xludf.DUMMYFUNCTION("""COMPUTED_VALUE"""),"MICROSHRED LX210 NOIR")</f>
        <v>MICROSHRED LX210 NOIR</v>
      </c>
      <c r="E1850" s="2005" t="str">
        <f>IFERROR(__xludf.DUMMYFUNCTION("""COMPUTED_VALUE"""),"FELLOWES")</f>
        <v>FELLOWES</v>
      </c>
      <c r="F1850" s="2005" t="str">
        <f>IFERROR(__xludf.DUMMYFUNCTION("""COMPUTED_VALUE"""),"H")</f>
        <v>H</v>
      </c>
      <c r="G1850" s="2005" t="str">
        <f>IFERROR(__xludf.DUMMYFUNCTION("""COMPUTED_VALUE"""),"AC")</f>
        <v>AC</v>
      </c>
      <c r="H1850" s="2005">
        <f>IFERROR(__xludf.DUMMYFUNCTION("""COMPUTED_VALUE"""),413.99)</f>
        <v>413.99</v>
      </c>
      <c r="I1850" s="2005">
        <f>IFERROR(__xludf.DUMMYFUNCTION("""COMPUTED_VALUE"""),323.94)</f>
        <v>323.94</v>
      </c>
      <c r="BD1850" s="2006"/>
      <c r="LL1850" s="2008"/>
      <c r="LM1850" s="2008"/>
      <c r="MX1850" s="2007"/>
      <c r="ND1850" s="2008"/>
    </row>
    <row r="1851">
      <c r="A1851" s="2005">
        <f>IFERROR(__xludf.DUMMYFUNCTION("""COMPUTED_VALUE"""),1159278.0)</f>
        <v>1159278</v>
      </c>
      <c r="B1851" s="2005">
        <f>IFERROR(__xludf.DUMMYFUNCTION("""COMPUTED_VALUE"""),2703025.0)</f>
        <v>2703025</v>
      </c>
      <c r="C1851" s="2005" t="str">
        <f>IFERROR(__xludf.DUMMYFUNCTION("""COMPUTED_VALUE"""),"DESTRUCTEUR")</f>
        <v>DESTRUCTEUR</v>
      </c>
      <c r="D1851" s="2005" t="str">
        <f>IFERROR(__xludf.DUMMYFUNCTION("""COMPUTED_VALUE"""),"MICROSHRED LX220 NOIR")</f>
        <v>MICROSHRED LX220 NOIR</v>
      </c>
      <c r="E1851" s="2005" t="str">
        <f>IFERROR(__xludf.DUMMYFUNCTION("""COMPUTED_VALUE"""),"FELLOWES")</f>
        <v>FELLOWES</v>
      </c>
      <c r="F1851" s="2005" t="str">
        <f>IFERROR(__xludf.DUMMYFUNCTION("""COMPUTED_VALUE"""),"H")</f>
        <v>H</v>
      </c>
      <c r="G1851" s="2005" t="str">
        <f>IFERROR(__xludf.DUMMYFUNCTION("""COMPUTED_VALUE"""),"AC")</f>
        <v>AC</v>
      </c>
      <c r="H1851" s="2005">
        <f>IFERROR(__xludf.DUMMYFUNCTION("""COMPUTED_VALUE"""),569.99)</f>
        <v>569.99</v>
      </c>
      <c r="I1851">
        <f>IFERROR(__xludf.DUMMYFUNCTION("""COMPUTED_VALUE"""),484.99)</f>
        <v>484.99</v>
      </c>
      <c r="BD1851" s="2006"/>
      <c r="LL1851" s="2007"/>
      <c r="LM1851" s="2008"/>
      <c r="MX1851" s="2007"/>
      <c r="ND1851" s="2007"/>
    </row>
    <row r="1852">
      <c r="A1852" s="2005">
        <f>IFERROR(__xludf.DUMMYFUNCTION("""COMPUTED_VALUE"""),1159280.0)</f>
        <v>1159280</v>
      </c>
      <c r="B1852" s="2005">
        <f>IFERROR(__xludf.DUMMYFUNCTION("""COMPUTED_VALUE"""),2703025.0)</f>
        <v>2703025</v>
      </c>
      <c r="C1852" s="2005" t="str">
        <f>IFERROR(__xludf.DUMMYFUNCTION("""COMPUTED_VALUE"""),"DESTRUCTEUR")</f>
        <v>DESTRUCTEUR</v>
      </c>
      <c r="D1852" s="2005" t="str">
        <f>IFERROR(__xludf.DUMMYFUNCTION("""COMPUTED_VALUE"""),"MICROSHRED LX85 NOIR")</f>
        <v>MICROSHRED LX85 NOIR</v>
      </c>
      <c r="E1852" s="2005" t="str">
        <f>IFERROR(__xludf.DUMMYFUNCTION("""COMPUTED_VALUE"""),"FELLOWES")</f>
        <v>FELLOWES</v>
      </c>
      <c r="F1852" s="2005" t="str">
        <f>IFERROR(__xludf.DUMMYFUNCTION("""COMPUTED_VALUE"""),"H")</f>
        <v>H</v>
      </c>
      <c r="G1852" s="2005" t="str">
        <f>IFERROR(__xludf.DUMMYFUNCTION("""COMPUTED_VALUE"""),"AC")</f>
        <v>AC</v>
      </c>
      <c r="H1852" s="2005">
        <f>IFERROR(__xludf.DUMMYFUNCTION("""COMPUTED_VALUE"""),184.99)</f>
        <v>184.99</v>
      </c>
      <c r="I1852" s="2005">
        <f>IFERROR(__xludf.DUMMYFUNCTION("""COMPUTED_VALUE"""),173.99)</f>
        <v>173.99</v>
      </c>
      <c r="LL1852" s="2008"/>
      <c r="LM1852" s="2008"/>
    </row>
    <row r="1853">
      <c r="A1853">
        <f>IFERROR(__xludf.DUMMYFUNCTION("""COMPUTED_VALUE"""),1159291.0)</f>
        <v>1159291</v>
      </c>
      <c r="B1853">
        <f>IFERROR(__xludf.DUMMYFUNCTION("""COMPUTED_VALUE"""),2703025.0)</f>
        <v>2703025</v>
      </c>
      <c r="C1853" t="str">
        <f>IFERROR(__xludf.DUMMYFUNCTION("""COMPUTED_VALUE"""),"DESTRUCTEUR")</f>
        <v>DESTRUCTEUR</v>
      </c>
      <c r="D1853" t="str">
        <f>IFERROR(__xludf.DUMMYFUNCTION("""COMPUTED_VALUE"""),"MICROSHRED LX65 NOIR")</f>
        <v>MICROSHRED LX65 NOIR</v>
      </c>
      <c r="E1853" t="str">
        <f>IFERROR(__xludf.DUMMYFUNCTION("""COMPUTED_VALUE"""),"FELLOWES")</f>
        <v>FELLOWES</v>
      </c>
      <c r="F1853" t="str">
        <f>IFERROR(__xludf.DUMMYFUNCTION("""COMPUTED_VALUE"""),"H")</f>
        <v>H</v>
      </c>
      <c r="G1853" t="str">
        <f>IFERROR(__xludf.DUMMYFUNCTION("""COMPUTED_VALUE"""),"AC")</f>
        <v>AC</v>
      </c>
      <c r="H1853">
        <f>IFERROR(__xludf.DUMMYFUNCTION("""COMPUTED_VALUE"""),129.99)</f>
        <v>129.99</v>
      </c>
      <c r="I1853">
        <f>IFERROR(__xludf.DUMMYFUNCTION("""COMPUTED_VALUE"""),115.62)</f>
        <v>115.62</v>
      </c>
      <c r="LL1853" s="2008"/>
      <c r="LM1853" s="2008"/>
    </row>
    <row r="1854">
      <c r="A1854" s="2005">
        <f>IFERROR(__xludf.DUMMYFUNCTION("""COMPUTED_VALUE"""),1159292.0)</f>
        <v>1159292</v>
      </c>
      <c r="B1854" s="2005">
        <f>IFERROR(__xludf.DUMMYFUNCTION("""COMPUTED_VALUE"""),2703025.0)</f>
        <v>2703025</v>
      </c>
      <c r="C1854" s="2005" t="str">
        <f>IFERROR(__xludf.DUMMYFUNCTION("""COMPUTED_VALUE"""),"DESTRUCTEUR")</f>
        <v>DESTRUCTEUR</v>
      </c>
      <c r="D1854" s="2005" t="str">
        <f>IFERROR(__xludf.DUMMYFUNCTION("""COMPUTED_VALUE"""),"MICROSHRED LX45 NOIR")</f>
        <v>MICROSHRED LX45 NOIR</v>
      </c>
      <c r="E1854" s="2005" t="str">
        <f>IFERROR(__xludf.DUMMYFUNCTION("""COMPUTED_VALUE"""),"FELLOWES")</f>
        <v>FELLOWES</v>
      </c>
      <c r="F1854" s="2005" t="str">
        <f>IFERROR(__xludf.DUMMYFUNCTION("""COMPUTED_VALUE"""),"H")</f>
        <v>H</v>
      </c>
      <c r="G1854" s="2005" t="str">
        <f>IFERROR(__xludf.DUMMYFUNCTION("""COMPUTED_VALUE"""),"AC")</f>
        <v>AC</v>
      </c>
      <c r="H1854" s="2005">
        <f>IFERROR(__xludf.DUMMYFUNCTION("""COMPUTED_VALUE"""),119.99)</f>
        <v>119.99</v>
      </c>
      <c r="I1854" s="2005">
        <f>IFERROR(__xludf.DUMMYFUNCTION("""COMPUTED_VALUE"""),119.95)</f>
        <v>119.95</v>
      </c>
      <c r="BD1854" s="2006"/>
      <c r="LL1854" s="2007"/>
      <c r="LM1854" s="2007"/>
      <c r="MX1854" s="2007"/>
      <c r="ND1854" s="2007"/>
    </row>
    <row r="1855">
      <c r="A1855" s="2005">
        <f>IFERROR(__xludf.DUMMYFUNCTION("""COMPUTED_VALUE"""),1159322.0)</f>
        <v>1159322</v>
      </c>
      <c r="B1855" s="2005">
        <f>IFERROR(__xludf.DUMMYFUNCTION("""COMPUTED_VALUE"""),2201010.0)</f>
        <v>2201010</v>
      </c>
      <c r="C1855" s="2005" t="str">
        <f>IFERROR(__xludf.DUMMYFUNCTION("""COMPUTED_VALUE"""),"Mono Laser")</f>
        <v>Mono Laser</v>
      </c>
      <c r="D1855" s="2005" t="str">
        <f>IFERROR(__xludf.DUMMYFUNCTION("""COMPUTED_VALUE"""),"PIXMA PRO-200")</f>
        <v>PIXMA PRO-200</v>
      </c>
      <c r="E1855" s="2005" t="str">
        <f>IFERROR(__xludf.DUMMYFUNCTION("""COMPUTED_VALUE"""),"CANON")</f>
        <v>CANON</v>
      </c>
      <c r="F1855" s="2005" t="str">
        <f>IFERROR(__xludf.DUMMYFUNCTION("""COMPUTED_VALUE"""),"H")</f>
        <v>H</v>
      </c>
      <c r="G1855" s="2005" t="str">
        <f>IFERROR(__xludf.DUMMYFUNCTION("""COMPUTED_VALUE"""),"AC")</f>
        <v>AC</v>
      </c>
      <c r="H1855" s="2005">
        <f>IFERROR(__xludf.DUMMYFUNCTION("""COMPUTED_VALUE"""),549.99)</f>
        <v>549.99</v>
      </c>
      <c r="I1855" s="2005">
        <f>IFERROR(__xludf.DUMMYFUNCTION("""COMPUTED_VALUE"""),549.99)</f>
        <v>549.99</v>
      </c>
      <c r="BD1855" s="2006"/>
      <c r="LL1855" s="2007"/>
      <c r="LM1855" s="2007"/>
      <c r="MX1855" s="2007"/>
      <c r="ND1855" s="2008"/>
    </row>
    <row r="1856">
      <c r="A1856" s="2005">
        <f>IFERROR(__xludf.DUMMYFUNCTION("""COMPUTED_VALUE"""),1159366.0)</f>
        <v>1159366</v>
      </c>
      <c r="B1856" s="2005">
        <f>IFERROR(__xludf.DUMMYFUNCTION("""COMPUTED_VALUE"""),2502012.0)</f>
        <v>2502012</v>
      </c>
      <c r="C1856" s="2005" t="str">
        <f>IFERROR(__xludf.DUMMYFUNCTION("""COMPUTED_VALUE"""),"Tablette Graph")</f>
        <v>Tablette Graph</v>
      </c>
      <c r="D1856" s="2005" t="str">
        <f>IFERROR(__xludf.DUMMYFUNCTION("""COMPUTED_VALUE"""),"One by Wacom small")</f>
        <v>One by Wacom small</v>
      </c>
      <c r="E1856" s="2005" t="str">
        <f>IFERROR(__xludf.DUMMYFUNCTION("""COMPUTED_VALUE"""),"WACOM")</f>
        <v>WACOM</v>
      </c>
      <c r="F1856" s="2005" t="str">
        <f>IFERROR(__xludf.DUMMYFUNCTION("""COMPUTED_VALUE"""),"H")</f>
        <v>H</v>
      </c>
      <c r="G1856" s="2005" t="str">
        <f>IFERROR(__xludf.DUMMYFUNCTION("""COMPUTED_VALUE"""),"AC")</f>
        <v>AC</v>
      </c>
      <c r="H1856" s="2005">
        <f>IFERROR(__xludf.DUMMYFUNCTION("""COMPUTED_VALUE"""),49.9)</f>
        <v>49.9</v>
      </c>
      <c r="I1856" s="2005">
        <f>IFERROR(__xludf.DUMMYFUNCTION("""COMPUTED_VALUE"""),49.9)</f>
        <v>49.9</v>
      </c>
      <c r="BD1856" s="2006"/>
      <c r="LL1856" s="2007"/>
      <c r="LM1856" s="2007"/>
      <c r="MX1856" s="2007"/>
      <c r="ND1856" s="2007"/>
    </row>
    <row r="1857">
      <c r="A1857" s="2005">
        <f>IFERROR(__xludf.DUMMYFUNCTION("""COMPUTED_VALUE"""),1159367.0)</f>
        <v>1159367</v>
      </c>
      <c r="B1857" s="2005">
        <f>IFERROR(__xludf.DUMMYFUNCTION("""COMPUTED_VALUE"""),2502024.0)</f>
        <v>2502024</v>
      </c>
      <c r="C1857" s="2005" t="str">
        <f>IFERROR(__xludf.DUMMYFUNCTION("""COMPUTED_VALUE"""),"Stylet")</f>
        <v>Stylet</v>
      </c>
      <c r="D1857" s="2005" t="str">
        <f>IFERROR(__xludf.DUMMYFUNCTION("""COMPUTED_VALUE"""),"BAMBOO INK Plus Noir Stylus")</f>
        <v>BAMBOO INK Plus Noir Stylus</v>
      </c>
      <c r="E1857" s="2005" t="str">
        <f>IFERROR(__xludf.DUMMYFUNCTION("""COMPUTED_VALUE"""),"WACOM")</f>
        <v>WACOM</v>
      </c>
      <c r="F1857" s="2005" t="str">
        <f>IFERROR(__xludf.DUMMYFUNCTION("""COMPUTED_VALUE"""),"H")</f>
        <v>H</v>
      </c>
      <c r="G1857" s="2005" t="str">
        <f>IFERROR(__xludf.DUMMYFUNCTION("""COMPUTED_VALUE"""),"AC")</f>
        <v>AC</v>
      </c>
      <c r="H1857" s="2005">
        <f>IFERROR(__xludf.DUMMYFUNCTION("""COMPUTED_VALUE"""),99.9)</f>
        <v>99.9</v>
      </c>
      <c r="I1857" s="2005">
        <f>IFERROR(__xludf.DUMMYFUNCTION("""COMPUTED_VALUE"""),99.9)</f>
        <v>99.9</v>
      </c>
      <c r="LL1857" s="2007"/>
      <c r="LM1857" s="2007"/>
    </row>
    <row r="1858">
      <c r="A1858" s="2005">
        <f>IFERROR(__xludf.DUMMYFUNCTION("""COMPUTED_VALUE"""),1159368.0)</f>
        <v>1159368</v>
      </c>
      <c r="B1858" s="2005">
        <f>IFERROR(__xludf.DUMMYFUNCTION("""COMPUTED_VALUE"""),2502024.0)</f>
        <v>2502024</v>
      </c>
      <c r="C1858" s="2005" t="str">
        <f>IFERROR(__xludf.DUMMYFUNCTION("""COMPUTED_VALUE"""),"Stylet")</f>
        <v>Stylet</v>
      </c>
      <c r="D1858" s="2005" t="str">
        <f>IFERROR(__xludf.DUMMYFUNCTION("""COMPUTED_VALUE"""),"BAMBOO INK 2nd Gris Stylus")</f>
        <v>BAMBOO INK 2nd Gris Stylus</v>
      </c>
      <c r="E1858" s="2005" t="str">
        <f>IFERROR(__xludf.DUMMYFUNCTION("""COMPUTED_VALUE"""),"WACOM")</f>
        <v>WACOM</v>
      </c>
      <c r="F1858" s="2005" t="str">
        <f>IFERROR(__xludf.DUMMYFUNCTION("""COMPUTED_VALUE"""),"H")</f>
        <v>H</v>
      </c>
      <c r="G1858" s="2005" t="str">
        <f>IFERROR(__xludf.DUMMYFUNCTION("""COMPUTED_VALUE"""),"AC")</f>
        <v>AC</v>
      </c>
      <c r="H1858" s="2005">
        <f>IFERROR(__xludf.DUMMYFUNCTION("""COMPUTED_VALUE"""),59.9)</f>
        <v>59.9</v>
      </c>
      <c r="I1858" s="2005">
        <f>IFERROR(__xludf.DUMMYFUNCTION("""COMPUTED_VALUE"""),59.9)</f>
        <v>59.9</v>
      </c>
      <c r="BD1858" s="2006"/>
      <c r="LL1858" s="2007"/>
      <c r="LM1858" s="2008"/>
      <c r="MX1858" s="2007"/>
      <c r="ND1858" s="2007"/>
    </row>
    <row r="1859">
      <c r="A1859" s="2005">
        <f>IFERROR(__xludf.DUMMYFUNCTION("""COMPUTED_VALUE"""),1159412.0)</f>
        <v>1159412</v>
      </c>
      <c r="B1859" s="2005">
        <f>IFERROR(__xludf.DUMMYFUNCTION("""COMPUTED_VALUE"""),2403005.0)</f>
        <v>2403005</v>
      </c>
      <c r="C1859" s="2005" t="str">
        <f>IFERROR(__xludf.DUMMYFUNCTION("""COMPUTED_VALUE"""),"Cartouche")</f>
        <v>Cartouche</v>
      </c>
      <c r="D1859" s="2005" t="str">
        <f>IFERROR(__xludf.DUMMYFUNCTION("""COMPUTED_VALUE"""),"405 Valise Jaune")</f>
        <v>405 Valise Jaune</v>
      </c>
      <c r="E1859" s="2005" t="str">
        <f>IFERROR(__xludf.DUMMYFUNCTION("""COMPUTED_VALUE"""),"EPSON")</f>
        <v>EPSON</v>
      </c>
      <c r="F1859" s="2005" t="str">
        <f>IFERROR(__xludf.DUMMYFUNCTION("""COMPUTED_VALUE"""),"C")</f>
        <v>C</v>
      </c>
      <c r="G1859" s="2005" t="str">
        <f>IFERROR(__xludf.DUMMYFUNCTION("""COMPUTED_VALUE"""),"NN")</f>
        <v>NN</v>
      </c>
      <c r="H1859">
        <f>IFERROR(__xludf.DUMMYFUNCTION("""COMPUTED_VALUE"""),12.99)</f>
        <v>12.99</v>
      </c>
      <c r="I1859">
        <f>IFERROR(__xludf.DUMMYFUNCTION("""COMPUTED_VALUE"""),12.99)</f>
        <v>12.99</v>
      </c>
      <c r="BD1859" s="2006"/>
      <c r="LL1859" s="2008"/>
      <c r="LM1859" s="2008"/>
      <c r="MX1859" s="2007"/>
      <c r="ND1859" s="2007"/>
    </row>
    <row r="1860">
      <c r="A1860" s="2005">
        <f>IFERROR(__xludf.DUMMYFUNCTION("""COMPUTED_VALUE"""),1159417.0)</f>
        <v>1159417</v>
      </c>
      <c r="B1860" s="2005">
        <f>IFERROR(__xludf.DUMMYFUNCTION("""COMPUTED_VALUE"""),2403005.0)</f>
        <v>2403005</v>
      </c>
      <c r="C1860" s="2005" t="str">
        <f>IFERROR(__xludf.DUMMYFUNCTION("""COMPUTED_VALUE"""),"Cartouche")</f>
        <v>Cartouche</v>
      </c>
      <c r="D1860" s="2005" t="str">
        <f>IFERROR(__xludf.DUMMYFUNCTION("""COMPUTED_VALUE"""),"405 Valise Cyan")</f>
        <v>405 Valise Cyan</v>
      </c>
      <c r="E1860" s="2005" t="str">
        <f>IFERROR(__xludf.DUMMYFUNCTION("""COMPUTED_VALUE"""),"EPSON")</f>
        <v>EPSON</v>
      </c>
      <c r="F1860" s="2005" t="str">
        <f>IFERROR(__xludf.DUMMYFUNCTION("""COMPUTED_VALUE"""),"H")</f>
        <v>H</v>
      </c>
      <c r="G1860" s="2005" t="str">
        <f>IFERROR(__xludf.DUMMYFUNCTION("""COMPUTED_VALUE"""),"AC")</f>
        <v>AC</v>
      </c>
      <c r="H1860" s="2005">
        <f>IFERROR(__xludf.DUMMYFUNCTION("""COMPUTED_VALUE"""),12.99)</f>
        <v>12.99</v>
      </c>
      <c r="I1860" s="2005">
        <f>IFERROR(__xludf.DUMMYFUNCTION("""COMPUTED_VALUE"""),12.99)</f>
        <v>12.99</v>
      </c>
      <c r="BD1860" s="2006"/>
      <c r="LL1860" s="2007"/>
      <c r="LM1860" s="2008"/>
      <c r="MX1860" s="2007"/>
      <c r="ND1860" s="2007"/>
    </row>
    <row r="1861">
      <c r="A1861" s="2005">
        <f>IFERROR(__xludf.DUMMYFUNCTION("""COMPUTED_VALUE"""),1159422.0)</f>
        <v>1159422</v>
      </c>
      <c r="B1861" s="2005">
        <f>IFERROR(__xludf.DUMMYFUNCTION("""COMPUTED_VALUE"""),2403005.0)</f>
        <v>2403005</v>
      </c>
      <c r="C1861" s="2005" t="str">
        <f>IFERROR(__xludf.DUMMYFUNCTION("""COMPUTED_VALUE"""),"Cartouche")</f>
        <v>Cartouche</v>
      </c>
      <c r="D1861" s="2005" t="str">
        <f>IFERROR(__xludf.DUMMYFUNCTION("""COMPUTED_VALUE"""),"405 Valise Magenta")</f>
        <v>405 Valise Magenta</v>
      </c>
      <c r="E1861" s="2005" t="str">
        <f>IFERROR(__xludf.DUMMYFUNCTION("""COMPUTED_VALUE"""),"EPSON")</f>
        <v>EPSON</v>
      </c>
      <c r="F1861" s="2005" t="str">
        <f>IFERROR(__xludf.DUMMYFUNCTION("""COMPUTED_VALUE"""),"C")</f>
        <v>C</v>
      </c>
      <c r="G1861" s="2005" t="str">
        <f>IFERROR(__xludf.DUMMYFUNCTION("""COMPUTED_VALUE"""),"NN")</f>
        <v>NN</v>
      </c>
      <c r="H1861" s="2005">
        <f>IFERROR(__xludf.DUMMYFUNCTION("""COMPUTED_VALUE"""),12.99)</f>
        <v>12.99</v>
      </c>
      <c r="I1861" s="2005">
        <f>IFERROR(__xludf.DUMMYFUNCTION("""COMPUTED_VALUE"""),12.99)</f>
        <v>12.99</v>
      </c>
      <c r="BD1861" s="2006"/>
      <c r="LL1861" s="2007"/>
      <c r="LM1861" s="2008"/>
      <c r="MX1861" s="2007"/>
      <c r="ND1861" s="2007"/>
    </row>
    <row r="1862">
      <c r="A1862" s="2005">
        <f>IFERROR(__xludf.DUMMYFUNCTION("""COMPUTED_VALUE"""),1160291.0)</f>
        <v>1160291</v>
      </c>
      <c r="B1862" s="2005">
        <f>IFERROR(__xludf.DUMMYFUNCTION("""COMPUTED_VALUE"""),2704515.0)</f>
        <v>2704515</v>
      </c>
      <c r="C1862" s="2005" t="str">
        <f>IFERROR(__xludf.DUMMYFUNCTION("""COMPUTED_VALUE"""),"Calc.")</f>
        <v>Calc.</v>
      </c>
      <c r="D1862" s="2005" t="str">
        <f>IFERROR(__xludf.DUMMYFUNCTION("""COMPUTED_VALUE"""),"DF 120EM")</f>
        <v>DF 120EM</v>
      </c>
      <c r="E1862" s="2005" t="str">
        <f>IFERROR(__xludf.DUMMYFUNCTION("""COMPUTED_VALUE"""),"CASIO")</f>
        <v>CASIO</v>
      </c>
      <c r="F1862" s="2005" t="str">
        <f>IFERROR(__xludf.DUMMYFUNCTION("""COMPUTED_VALUE"""),"H")</f>
        <v>H</v>
      </c>
      <c r="G1862" s="2005" t="str">
        <f>IFERROR(__xludf.DUMMYFUNCTION("""COMPUTED_VALUE"""),"FR")</f>
        <v>FR</v>
      </c>
      <c r="H1862" s="2005">
        <f>IFERROR(__xludf.DUMMYFUNCTION("""COMPUTED_VALUE"""),21.99)</f>
        <v>21.99</v>
      </c>
      <c r="I1862" s="2005">
        <f>IFERROR(__xludf.DUMMYFUNCTION("""COMPUTED_VALUE"""),21.99)</f>
        <v>21.99</v>
      </c>
      <c r="BD1862" s="2006"/>
      <c r="LL1862" s="2007"/>
      <c r="LM1862" s="2008"/>
      <c r="MX1862" s="2007"/>
      <c r="ND1862" s="2007"/>
    </row>
    <row r="1863">
      <c r="A1863" s="2005">
        <f>IFERROR(__xludf.DUMMYFUNCTION("""COMPUTED_VALUE"""),1160521.0)</f>
        <v>1160521</v>
      </c>
      <c r="B1863" s="2005">
        <f>IFERROR(__xludf.DUMMYFUNCTION("""COMPUTED_VALUE"""),2403005.0)</f>
        <v>2403005</v>
      </c>
      <c r="C1863" s="2005" t="str">
        <f>IFERROR(__xludf.DUMMYFUNCTION("""COMPUTED_VALUE"""),"Cartouche")</f>
        <v>Cartouche</v>
      </c>
      <c r="D1863" s="2005" t="str">
        <f>IFERROR(__xludf.DUMMYFUNCTION("""COMPUTED_VALUE"""),"405 Valise Noir")</f>
        <v>405 Valise Noir</v>
      </c>
      <c r="E1863" s="2005" t="str">
        <f>IFERROR(__xludf.DUMMYFUNCTION("""COMPUTED_VALUE"""),"EPSON")</f>
        <v>EPSON</v>
      </c>
      <c r="F1863" s="2005" t="str">
        <f>IFERROR(__xludf.DUMMYFUNCTION("""COMPUTED_VALUE"""),"A")</f>
        <v>A</v>
      </c>
      <c r="G1863" s="2005" t="str">
        <f>IFERROR(__xludf.DUMMYFUNCTION("""COMPUTED_VALUE"""),"AC")</f>
        <v>AC</v>
      </c>
      <c r="H1863" s="2005">
        <f>IFERROR(__xludf.DUMMYFUNCTION("""COMPUTED_VALUE"""),23.99)</f>
        <v>23.99</v>
      </c>
      <c r="I1863" s="2005">
        <f>IFERROR(__xludf.DUMMYFUNCTION("""COMPUTED_VALUE"""),23.99)</f>
        <v>23.99</v>
      </c>
      <c r="BD1863" s="2006"/>
      <c r="LL1863" s="2007"/>
      <c r="LM1863" s="2008"/>
      <c r="MX1863" s="2007"/>
      <c r="ND1863" s="2007"/>
    </row>
    <row r="1864">
      <c r="A1864" s="2005">
        <f>IFERROR(__xludf.DUMMYFUNCTION("""COMPUTED_VALUE"""),1160522.0)</f>
        <v>1160522</v>
      </c>
      <c r="B1864" s="2005">
        <f>IFERROR(__xludf.DUMMYFUNCTION("""COMPUTED_VALUE"""),2403005.0)</f>
        <v>2403005</v>
      </c>
      <c r="C1864" s="2005" t="str">
        <f>IFERROR(__xludf.DUMMYFUNCTION("""COMPUTED_VALUE"""),"Cartouche")</f>
        <v>Cartouche</v>
      </c>
      <c r="D1864" s="2005" t="str">
        <f>IFERROR(__xludf.DUMMYFUNCTION("""COMPUTED_VALUE"""),"405 XL Valise Noire")</f>
        <v>405 XL Valise Noire</v>
      </c>
      <c r="E1864" s="2005" t="str">
        <f>IFERROR(__xludf.DUMMYFUNCTION("""COMPUTED_VALUE"""),"EPSON")</f>
        <v>EPSON</v>
      </c>
      <c r="F1864" s="2005" t="str">
        <f>IFERROR(__xludf.DUMMYFUNCTION("""COMPUTED_VALUE"""),"C")</f>
        <v>C</v>
      </c>
      <c r="G1864" s="2005" t="str">
        <f>IFERROR(__xludf.DUMMYFUNCTION("""COMPUTED_VALUE"""),"AC")</f>
        <v>AC</v>
      </c>
      <c r="H1864">
        <f>IFERROR(__xludf.DUMMYFUNCTION("""COMPUTED_VALUE"""),50.99)</f>
        <v>50.99</v>
      </c>
      <c r="I1864">
        <f>IFERROR(__xludf.DUMMYFUNCTION("""COMPUTED_VALUE"""),50.99)</f>
        <v>50.99</v>
      </c>
      <c r="BD1864" s="2006"/>
      <c r="LL1864" s="2007"/>
      <c r="LM1864" s="2008"/>
      <c r="MX1864" s="2007"/>
      <c r="ND1864" s="2007"/>
    </row>
    <row r="1865">
      <c r="A1865" s="2005">
        <f>IFERROR(__xludf.DUMMYFUNCTION("""COMPUTED_VALUE"""),1160523.0)</f>
        <v>1160523</v>
      </c>
      <c r="B1865" s="2005">
        <f>IFERROR(__xludf.DUMMYFUNCTION("""COMPUTED_VALUE"""),2403005.0)</f>
        <v>2403005</v>
      </c>
      <c r="C1865" s="2005" t="str">
        <f>IFERROR(__xludf.DUMMYFUNCTION("""COMPUTED_VALUE"""),"Cartouche")</f>
        <v>Cartouche</v>
      </c>
      <c r="D1865" s="2005" t="str">
        <f>IFERROR(__xludf.DUMMYFUNCTION("""COMPUTED_VALUE"""),"405 XL Valise Cyan")</f>
        <v>405 XL Valise Cyan</v>
      </c>
      <c r="E1865" s="2005" t="str">
        <f>IFERROR(__xludf.DUMMYFUNCTION("""COMPUTED_VALUE"""),"EPSON")</f>
        <v>EPSON</v>
      </c>
      <c r="F1865" s="2005" t="str">
        <f>IFERROR(__xludf.DUMMYFUNCTION("""COMPUTED_VALUE"""),"H")</f>
        <v>H</v>
      </c>
      <c r="G1865" s="2005" t="str">
        <f>IFERROR(__xludf.DUMMYFUNCTION("""COMPUTED_VALUE"""),"NN")</f>
        <v>NN</v>
      </c>
      <c r="H1865">
        <f>IFERROR(__xludf.DUMMYFUNCTION("""COMPUTED_VALUE"""),30.99)</f>
        <v>30.99</v>
      </c>
      <c r="I1865">
        <f>IFERROR(__xludf.DUMMYFUNCTION("""COMPUTED_VALUE"""),30.99)</f>
        <v>30.99</v>
      </c>
      <c r="BD1865" s="2006"/>
      <c r="LL1865" s="2008"/>
      <c r="LM1865" s="2008"/>
      <c r="MX1865" s="2008"/>
      <c r="ND1865" s="2007"/>
    </row>
    <row r="1866">
      <c r="A1866" s="2005">
        <f>IFERROR(__xludf.DUMMYFUNCTION("""COMPUTED_VALUE"""),1160524.0)</f>
        <v>1160524</v>
      </c>
      <c r="B1866" s="2005">
        <f>IFERROR(__xludf.DUMMYFUNCTION("""COMPUTED_VALUE"""),2403005.0)</f>
        <v>2403005</v>
      </c>
      <c r="C1866" s="2005" t="str">
        <f>IFERROR(__xludf.DUMMYFUNCTION("""COMPUTED_VALUE"""),"Cartouche")</f>
        <v>Cartouche</v>
      </c>
      <c r="D1866" s="2005" t="str">
        <f>IFERROR(__xludf.DUMMYFUNCTION("""COMPUTED_VALUE"""),"405 XL Valise Magenta")</f>
        <v>405 XL Valise Magenta</v>
      </c>
      <c r="E1866" s="2005" t="str">
        <f>IFERROR(__xludf.DUMMYFUNCTION("""COMPUTED_VALUE"""),"EPSON")</f>
        <v>EPSON</v>
      </c>
      <c r="F1866" s="2005" t="str">
        <f>IFERROR(__xludf.DUMMYFUNCTION("""COMPUTED_VALUE"""),"H")</f>
        <v>H</v>
      </c>
      <c r="G1866" s="2005" t="str">
        <f>IFERROR(__xludf.DUMMYFUNCTION("""COMPUTED_VALUE"""),"AC")</f>
        <v>AC</v>
      </c>
      <c r="H1866" s="2005">
        <f>IFERROR(__xludf.DUMMYFUNCTION("""COMPUTED_VALUE"""),30.99)</f>
        <v>30.99</v>
      </c>
      <c r="I1866" s="2005">
        <f>IFERROR(__xludf.DUMMYFUNCTION("""COMPUTED_VALUE"""),30.99)</f>
        <v>30.99</v>
      </c>
      <c r="BD1866" s="2006"/>
      <c r="LL1866" s="2007"/>
      <c r="LM1866" s="2008"/>
      <c r="MX1866" s="2007"/>
      <c r="ND1866" s="2007"/>
    </row>
    <row r="1867">
      <c r="A1867" s="2005">
        <f>IFERROR(__xludf.DUMMYFUNCTION("""COMPUTED_VALUE"""),1160525.0)</f>
        <v>1160525</v>
      </c>
      <c r="B1867" s="2005">
        <f>IFERROR(__xludf.DUMMYFUNCTION("""COMPUTED_VALUE"""),2403005.0)</f>
        <v>2403005</v>
      </c>
      <c r="C1867" s="2005" t="str">
        <f>IFERROR(__xludf.DUMMYFUNCTION("""COMPUTED_VALUE"""),"Cartouche")</f>
        <v>Cartouche</v>
      </c>
      <c r="D1867" s="2005" t="str">
        <f>IFERROR(__xludf.DUMMYFUNCTION("""COMPUTED_VALUE"""),"405 XL Valise Jaune")</f>
        <v>405 XL Valise Jaune</v>
      </c>
      <c r="E1867" s="2005" t="str">
        <f>IFERROR(__xludf.DUMMYFUNCTION("""COMPUTED_VALUE"""),"EPSON")</f>
        <v>EPSON</v>
      </c>
      <c r="F1867" s="2005" t="str">
        <f>IFERROR(__xludf.DUMMYFUNCTION("""COMPUTED_VALUE"""),"H")</f>
        <v>H</v>
      </c>
      <c r="G1867" s="2005" t="str">
        <f>IFERROR(__xludf.DUMMYFUNCTION("""COMPUTED_VALUE"""),"NN")</f>
        <v>NN</v>
      </c>
      <c r="H1867" s="2005">
        <f>IFERROR(__xludf.DUMMYFUNCTION("""COMPUTED_VALUE"""),30.99)</f>
        <v>30.99</v>
      </c>
      <c r="I1867" s="2005">
        <f>IFERROR(__xludf.DUMMYFUNCTION("""COMPUTED_VALUE"""),30.99)</f>
        <v>30.99</v>
      </c>
      <c r="BD1867" s="2006"/>
      <c r="LL1867" s="2007"/>
      <c r="LM1867" s="2007"/>
      <c r="MX1867" s="2007"/>
      <c r="ND1867" s="2007"/>
    </row>
    <row r="1868">
      <c r="A1868" s="2005">
        <f>IFERROR(__xludf.DUMMYFUNCTION("""COMPUTED_VALUE"""),1160529.0)</f>
        <v>1160529</v>
      </c>
      <c r="B1868" s="2005">
        <f>IFERROR(__xludf.DUMMYFUNCTION("""COMPUTED_VALUE"""),2403005.0)</f>
        <v>2403005</v>
      </c>
      <c r="C1868" s="2005" t="str">
        <f>IFERROR(__xludf.DUMMYFUNCTION("""COMPUTED_VALUE"""),"Cartouche")</f>
        <v>Cartouche</v>
      </c>
      <c r="D1868" s="2005" t="str">
        <f>IFERROR(__xludf.DUMMYFUNCTION("""COMPUTED_VALUE"""),"Pack 405 Valise 4 couleurs")</f>
        <v>Pack 405 Valise 4 couleurs</v>
      </c>
      <c r="E1868" s="2005" t="str">
        <f>IFERROR(__xludf.DUMMYFUNCTION("""COMPUTED_VALUE"""),"EPSON")</f>
        <v>EPSON</v>
      </c>
      <c r="F1868" s="2005" t="str">
        <f>IFERROR(__xludf.DUMMYFUNCTION("""COMPUTED_VALUE"""),"A")</f>
        <v>A</v>
      </c>
      <c r="G1868" s="2005" t="str">
        <f>IFERROR(__xludf.DUMMYFUNCTION("""COMPUTED_VALUE"""),"AC")</f>
        <v>AC</v>
      </c>
      <c r="H1868" s="2005">
        <f>IFERROR(__xludf.DUMMYFUNCTION("""COMPUTED_VALUE"""),60.0)</f>
        <v>60</v>
      </c>
      <c r="I1868" s="2005">
        <f>IFERROR(__xludf.DUMMYFUNCTION("""COMPUTED_VALUE"""),60.0)</f>
        <v>60</v>
      </c>
      <c r="BD1868" s="2006"/>
      <c r="LL1868" s="2007"/>
      <c r="LM1868" s="2008"/>
      <c r="MX1868" s="2007"/>
      <c r="ND1868" s="2007"/>
    </row>
    <row r="1869">
      <c r="A1869" s="2005">
        <f>IFERROR(__xludf.DUMMYFUNCTION("""COMPUTED_VALUE"""),1160530.0)</f>
        <v>1160530</v>
      </c>
      <c r="B1869" s="2005">
        <f>IFERROR(__xludf.DUMMYFUNCTION("""COMPUTED_VALUE"""),2403005.0)</f>
        <v>2403005</v>
      </c>
      <c r="C1869" s="2005" t="str">
        <f>IFERROR(__xludf.DUMMYFUNCTION("""COMPUTED_VALUE"""),"Cartouche")</f>
        <v>Cartouche</v>
      </c>
      <c r="D1869" s="2005" t="str">
        <f>IFERROR(__xludf.DUMMYFUNCTION("""COMPUTED_VALUE"""),"Pack XL 405 Valise 4 couleurs")</f>
        <v>Pack XL 405 Valise 4 couleurs</v>
      </c>
      <c r="E1869" s="2005" t="str">
        <f>IFERROR(__xludf.DUMMYFUNCTION("""COMPUTED_VALUE"""),"EPSON")</f>
        <v>EPSON</v>
      </c>
      <c r="F1869" s="2005" t="str">
        <f>IFERROR(__xludf.DUMMYFUNCTION("""COMPUTED_VALUE"""),"C")</f>
        <v>C</v>
      </c>
      <c r="G1869" s="2005" t="str">
        <f>IFERROR(__xludf.DUMMYFUNCTION("""COMPUTED_VALUE"""),"AC")</f>
        <v>AC</v>
      </c>
      <c r="H1869" s="2005">
        <f>IFERROR(__xludf.DUMMYFUNCTION("""COMPUTED_VALUE"""),141.0)</f>
        <v>141</v>
      </c>
      <c r="I1869" s="2005">
        <f>IFERROR(__xludf.DUMMYFUNCTION("""COMPUTED_VALUE"""),141.0)</f>
        <v>141</v>
      </c>
      <c r="BD1869" s="2006"/>
      <c r="LL1869" s="2007"/>
      <c r="LM1869" s="2008"/>
      <c r="MX1869" s="2007"/>
      <c r="ND1869" s="2007"/>
    </row>
    <row r="1870">
      <c r="A1870" s="2005">
        <f>IFERROR(__xludf.DUMMYFUNCTION("""COMPUTED_VALUE"""),1160548.0)</f>
        <v>1160548</v>
      </c>
      <c r="B1870" s="2005">
        <f>IFERROR(__xludf.DUMMYFUNCTION("""COMPUTED_VALUE"""),2202008.0)</f>
        <v>2202008</v>
      </c>
      <c r="C1870" s="2005" t="str">
        <f>IFERROR(__xludf.DUMMYFUNCTION("""COMPUTED_VALUE"""),"Multi Laser")</f>
        <v>Multi Laser</v>
      </c>
      <c r="D1870" s="2005" t="str">
        <f>IFERROR(__xludf.DUMMYFUNCTION("""COMPUTED_VALUE"""),"LaserJet Pro M234sdwe éligible Instant I")</f>
        <v>LaserJet Pro M234sdwe éligible Instant I</v>
      </c>
      <c r="E1870" s="2005" t="str">
        <f>IFERROR(__xludf.DUMMYFUNCTION("""COMPUTED_VALUE"""),"HP")</f>
        <v>HP</v>
      </c>
      <c r="F1870" s="2005" t="str">
        <f>IFERROR(__xludf.DUMMYFUNCTION("""COMPUTED_VALUE"""),"C")</f>
        <v>C</v>
      </c>
      <c r="G1870" s="2005" t="str">
        <f>IFERROR(__xludf.DUMMYFUNCTION("""COMPUTED_VALUE"""),"AC")</f>
        <v>AC</v>
      </c>
      <c r="H1870">
        <f>IFERROR(__xludf.DUMMYFUNCTION("""COMPUTED_VALUE"""),249.99)</f>
        <v>249.99</v>
      </c>
      <c r="I1870">
        <f>IFERROR(__xludf.DUMMYFUNCTION("""COMPUTED_VALUE"""),239.99)</f>
        <v>239.99</v>
      </c>
      <c r="BD1870" s="2006"/>
      <c r="LL1870" s="2007"/>
      <c r="LM1870" s="2008"/>
      <c r="MX1870" s="2007"/>
      <c r="ND1870" s="2007"/>
    </row>
    <row r="1871">
      <c r="A1871" s="2005">
        <f>IFERROR(__xludf.DUMMYFUNCTION("""COMPUTED_VALUE"""),1160967.0)</f>
        <v>1160967</v>
      </c>
      <c r="B1871" s="2005">
        <f>IFERROR(__xludf.DUMMYFUNCTION("""COMPUTED_VALUE"""),2502020.0)</f>
        <v>2502020</v>
      </c>
      <c r="C1871" s="2005" t="str">
        <f>IFERROR(__xludf.DUMMYFUNCTION("""COMPUTED_VALUE"""),"Webcam")</f>
        <v>Webcam</v>
      </c>
      <c r="D1871" s="2005" t="str">
        <f>IFERROR(__xludf.DUMMYFUNCTION("""COMPUTED_VALUE"""),"Kiyo Pro")</f>
        <v>Kiyo Pro</v>
      </c>
      <c r="E1871" s="2005" t="str">
        <f>IFERROR(__xludf.DUMMYFUNCTION("""COMPUTED_VALUE"""),"RAZER")</f>
        <v>RAZER</v>
      </c>
      <c r="F1871" s="2005" t="str">
        <f>IFERROR(__xludf.DUMMYFUNCTION("""COMPUTED_VALUE"""),"H")</f>
        <v>H</v>
      </c>
      <c r="G1871" s="2005" t="str">
        <f>IFERROR(__xludf.DUMMYFUNCTION("""COMPUTED_VALUE"""),"NN")</f>
        <v>NN</v>
      </c>
      <c r="H1871">
        <f>IFERROR(__xludf.DUMMYFUNCTION("""COMPUTED_VALUE"""),209.99)</f>
        <v>209.99</v>
      </c>
      <c r="I1871">
        <f>IFERROR(__xludf.DUMMYFUNCTION("""COMPUTED_VALUE"""),209.99)</f>
        <v>209.99</v>
      </c>
      <c r="BD1871" s="2006"/>
      <c r="LL1871" s="2007"/>
      <c r="LM1871" s="2008"/>
      <c r="MX1871" s="2007"/>
      <c r="ND1871" s="2007"/>
    </row>
    <row r="1872">
      <c r="A1872" s="2005">
        <f>IFERROR(__xludf.DUMMYFUNCTION("""COMPUTED_VALUE"""),1160971.0)</f>
        <v>1160971</v>
      </c>
      <c r="B1872" s="2005">
        <f>IFERROR(__xludf.DUMMYFUNCTION("""COMPUTED_VALUE"""),2403005.0)</f>
        <v>2403005</v>
      </c>
      <c r="C1872" s="2005" t="str">
        <f>IFERROR(__xludf.DUMMYFUNCTION("""COMPUTED_VALUE"""),"Pack")</f>
        <v>Pack</v>
      </c>
      <c r="D1872" s="2005" t="str">
        <f>IFERROR(__xludf.DUMMYFUNCTION("""COMPUTED_VALUE"""),"934 noire + 3 couleurs")</f>
        <v>934 noire + 3 couleurs</v>
      </c>
      <c r="E1872" s="2005" t="str">
        <f>IFERROR(__xludf.DUMMYFUNCTION("""COMPUTED_VALUE"""),"HP")</f>
        <v>HP</v>
      </c>
      <c r="F1872" s="2005" t="str">
        <f>IFERROR(__xludf.DUMMYFUNCTION("""COMPUTED_VALUE"""),"H")</f>
        <v>H</v>
      </c>
      <c r="G1872" s="2005" t="str">
        <f>IFERROR(__xludf.DUMMYFUNCTION("""COMPUTED_VALUE"""),"AC")</f>
        <v>AC</v>
      </c>
      <c r="H1872" s="2005">
        <f>IFERROR(__xludf.DUMMYFUNCTION("""COMPUTED_VALUE"""),84.99)</f>
        <v>84.99</v>
      </c>
      <c r="I1872">
        <f>IFERROR(__xludf.DUMMYFUNCTION("""COMPUTED_VALUE"""),84.99)</f>
        <v>84.99</v>
      </c>
      <c r="BD1872" s="2006"/>
      <c r="LL1872" s="2008"/>
      <c r="LM1872" s="2007"/>
      <c r="MX1872" s="2007"/>
      <c r="ND1872" s="2007"/>
    </row>
    <row r="1873">
      <c r="A1873" s="2005">
        <f>IFERROR(__xludf.DUMMYFUNCTION("""COMPUTED_VALUE"""),1160972.0)</f>
        <v>1160972</v>
      </c>
      <c r="B1873" s="2005">
        <f>IFERROR(__xludf.DUMMYFUNCTION("""COMPUTED_VALUE"""),2403005.0)</f>
        <v>2403005</v>
      </c>
      <c r="C1873" s="2005" t="str">
        <f>IFERROR(__xludf.DUMMYFUNCTION("""COMPUTED_VALUE"""),"Pack")</f>
        <v>Pack</v>
      </c>
      <c r="D1873" s="2005" t="str">
        <f>IFERROR(__xludf.DUMMYFUNCTION("""COMPUTED_VALUE"""),"903 noire + 3 couleurs")</f>
        <v>903 noire + 3 couleurs</v>
      </c>
      <c r="E1873" s="2005" t="str">
        <f>IFERROR(__xludf.DUMMYFUNCTION("""COMPUTED_VALUE"""),"HP")</f>
        <v>HP</v>
      </c>
      <c r="F1873" s="2005" t="str">
        <f>IFERROR(__xludf.DUMMYFUNCTION("""COMPUTED_VALUE"""),"A")</f>
        <v>A</v>
      </c>
      <c r="G1873" s="2005" t="str">
        <f>IFERROR(__xludf.DUMMYFUNCTION("""COMPUTED_VALUE"""),"AC")</f>
        <v>AC</v>
      </c>
      <c r="H1873">
        <f>IFERROR(__xludf.DUMMYFUNCTION("""COMPUTED_VALUE"""),63.99)</f>
        <v>63.99</v>
      </c>
      <c r="I1873">
        <f>IFERROR(__xludf.DUMMYFUNCTION("""COMPUTED_VALUE"""),63.99)</f>
        <v>63.99</v>
      </c>
      <c r="BD1873" s="2006"/>
      <c r="LL1873" s="2007"/>
      <c r="LM1873" s="2007"/>
      <c r="MX1873" s="2007"/>
      <c r="ND1873" s="2007"/>
    </row>
    <row r="1874">
      <c r="A1874" s="2005">
        <f>IFERROR(__xludf.DUMMYFUNCTION("""COMPUTED_VALUE"""),1161133.0)</f>
        <v>1161133</v>
      </c>
      <c r="B1874" s="2005">
        <f>IFERROR(__xludf.DUMMYFUNCTION("""COMPUTED_VALUE"""),2502010.0)</f>
        <v>2502010</v>
      </c>
      <c r="C1874" s="2005" t="str">
        <f>IFERROR(__xludf.DUMMYFUNCTION("""COMPUTED_VALUE"""),"Souris")</f>
        <v>Souris</v>
      </c>
      <c r="D1874" s="2005" t="str">
        <f>IFERROR(__xludf.DUMMYFUNCTION("""COMPUTED_VALUE"""),"M575 Ergo Graphite")</f>
        <v>M575 Ergo Graphite</v>
      </c>
      <c r="E1874" s="2005" t="str">
        <f>IFERROR(__xludf.DUMMYFUNCTION("""COMPUTED_VALUE"""),"LOGITECH")</f>
        <v>LOGITECH</v>
      </c>
      <c r="F1874" s="2005" t="str">
        <f>IFERROR(__xludf.DUMMYFUNCTION("""COMPUTED_VALUE"""),"C")</f>
        <v>C</v>
      </c>
      <c r="G1874" s="2005" t="str">
        <f>IFERROR(__xludf.DUMMYFUNCTION("""COMPUTED_VALUE"""),"AC")</f>
        <v>AC</v>
      </c>
      <c r="H1874" s="2005">
        <f>IFERROR(__xludf.DUMMYFUNCTION("""COMPUTED_VALUE"""),38.89)</f>
        <v>38.89</v>
      </c>
      <c r="I1874" s="2005">
        <f>IFERROR(__xludf.DUMMYFUNCTION("""COMPUTED_VALUE"""),38.89)</f>
        <v>38.89</v>
      </c>
      <c r="BD1874" s="2006"/>
      <c r="LL1874" s="2008"/>
      <c r="LM1874" s="2007"/>
      <c r="MX1874" s="2008"/>
      <c r="ND1874" s="2007"/>
    </row>
    <row r="1875">
      <c r="A1875" s="2005">
        <f>IFERROR(__xludf.DUMMYFUNCTION("""COMPUTED_VALUE"""),1161219.0)</f>
        <v>1161219</v>
      </c>
      <c r="B1875" s="2005">
        <f>IFERROR(__xludf.DUMMYFUNCTION("""COMPUTED_VALUE"""),2707005.0)</f>
        <v>2707005</v>
      </c>
      <c r="C1875" s="2005" t="str">
        <f>IFERROR(__xludf.DUMMYFUNCTION("""COMPUTED_VALUE"""),"Papier")</f>
        <v>Papier</v>
      </c>
      <c r="D1875" s="2005" t="str">
        <f>IFERROR(__xludf.DUMMYFUNCTION("""COMPUTED_VALUE"""),"Rocketbook Core Letter A4")</f>
        <v>Rocketbook Core Letter A4</v>
      </c>
      <c r="E1875" s="2005" t="str">
        <f>IFERROR(__xludf.DUMMYFUNCTION("""COMPUTED_VALUE"""),"ROCKETBOOK")</f>
        <v>ROCKETBOOK</v>
      </c>
      <c r="F1875" s="2005" t="str">
        <f>IFERROR(__xludf.DUMMYFUNCTION("""COMPUTED_VALUE"""),"H")</f>
        <v>H</v>
      </c>
      <c r="G1875" s="2005" t="str">
        <f>IFERROR(__xludf.DUMMYFUNCTION("""COMPUTED_VALUE"""),"NN")</f>
        <v>NN</v>
      </c>
      <c r="H1875" s="2005">
        <f>IFERROR(__xludf.DUMMYFUNCTION("""COMPUTED_VALUE"""),29.99)</f>
        <v>29.99</v>
      </c>
      <c r="I1875" s="2005">
        <f>IFERROR(__xludf.DUMMYFUNCTION("""COMPUTED_VALUE"""),29.99)</f>
        <v>29.99</v>
      </c>
      <c r="BD1875" s="2006"/>
      <c r="LL1875" s="2008"/>
      <c r="LM1875" s="2007"/>
      <c r="MX1875" s="2007"/>
      <c r="ND1875" s="2007"/>
    </row>
    <row r="1876">
      <c r="A1876" s="2005">
        <f>IFERROR(__xludf.DUMMYFUNCTION("""COMPUTED_VALUE"""),1161220.0)</f>
        <v>1161220</v>
      </c>
      <c r="B1876" s="2005">
        <f>IFERROR(__xludf.DUMMYFUNCTION("""COMPUTED_VALUE"""),2707005.0)</f>
        <v>2707005</v>
      </c>
      <c r="C1876" s="2005" t="str">
        <f>IFERROR(__xludf.DUMMYFUNCTION("""COMPUTED_VALUE"""),"Papier")</f>
        <v>Papier</v>
      </c>
      <c r="D1876" s="2005" t="str">
        <f>IFERROR(__xludf.DUMMYFUNCTION("""COMPUTED_VALUE"""),"Rocketbook Core Executive A5")</f>
        <v>Rocketbook Core Executive A5</v>
      </c>
      <c r="E1876" s="2005" t="str">
        <f>IFERROR(__xludf.DUMMYFUNCTION("""COMPUTED_VALUE"""),"ROCKETBOOK")</f>
        <v>ROCKETBOOK</v>
      </c>
      <c r="F1876" s="2005" t="str">
        <f>IFERROR(__xludf.DUMMYFUNCTION("""COMPUTED_VALUE"""),"H")</f>
        <v>H</v>
      </c>
      <c r="G1876" s="2005" t="str">
        <f>IFERROR(__xludf.DUMMYFUNCTION("""COMPUTED_VALUE"""),"NN")</f>
        <v>NN</v>
      </c>
      <c r="H1876" s="2005">
        <f>IFERROR(__xludf.DUMMYFUNCTION("""COMPUTED_VALUE"""),37.99)</f>
        <v>37.99</v>
      </c>
      <c r="I1876" s="2005">
        <f>IFERROR(__xludf.DUMMYFUNCTION("""COMPUTED_VALUE"""),37.99)</f>
        <v>37.99</v>
      </c>
      <c r="BD1876" s="2006"/>
      <c r="LL1876" s="2007"/>
      <c r="LM1876" s="2007"/>
      <c r="MX1876" s="2007"/>
      <c r="ND1876" s="2007"/>
    </row>
    <row r="1877">
      <c r="A1877" s="2005">
        <f>IFERROR(__xludf.DUMMYFUNCTION("""COMPUTED_VALUE"""),1161251.0)</f>
        <v>1161251</v>
      </c>
      <c r="B1877" s="2005">
        <f>IFERROR(__xludf.DUMMYFUNCTION("""COMPUTED_VALUE"""),2707005.0)</f>
        <v>2707005</v>
      </c>
      <c r="C1877" s="2005" t="str">
        <f>IFERROR(__xludf.DUMMYFUNCTION("""COMPUTED_VALUE"""),"Papier")</f>
        <v>Papier</v>
      </c>
      <c r="D1877" s="2005" t="str">
        <f>IFERROR(__xludf.DUMMYFUNCTION("""COMPUTED_VALUE"""),"Rocketbook Fusion Letter A4")</f>
        <v>Rocketbook Fusion Letter A4</v>
      </c>
      <c r="E1877" s="2005" t="str">
        <f>IFERROR(__xludf.DUMMYFUNCTION("""COMPUTED_VALUE"""),"ROCKETBOOK")</f>
        <v>ROCKETBOOK</v>
      </c>
      <c r="F1877" s="2005" t="str">
        <f>IFERROR(__xludf.DUMMYFUNCTION("""COMPUTED_VALUE"""),"H")</f>
        <v>H</v>
      </c>
      <c r="G1877" s="2005" t="str">
        <f>IFERROR(__xludf.DUMMYFUNCTION("""COMPUTED_VALUE"""),"NN")</f>
        <v>NN</v>
      </c>
      <c r="H1877" s="2005">
        <f>IFERROR(__xludf.DUMMYFUNCTION("""COMPUTED_VALUE"""),42.99)</f>
        <v>42.99</v>
      </c>
      <c r="I1877" s="2005">
        <f>IFERROR(__xludf.DUMMYFUNCTION("""COMPUTED_VALUE"""),42.99)</f>
        <v>42.99</v>
      </c>
      <c r="BD1877" s="2006"/>
      <c r="LL1877" s="2008"/>
      <c r="LM1877" s="2007"/>
      <c r="MX1877" s="2007"/>
      <c r="ND1877" s="2007"/>
    </row>
    <row r="1878">
      <c r="A1878" s="2005">
        <f>IFERROR(__xludf.DUMMYFUNCTION("""COMPUTED_VALUE"""),1161252.0)</f>
        <v>1161252</v>
      </c>
      <c r="B1878" s="2005">
        <f>IFERROR(__xludf.DUMMYFUNCTION("""COMPUTED_VALUE"""),2707005.0)</f>
        <v>2707005</v>
      </c>
      <c r="C1878" s="2005" t="str">
        <f>IFERROR(__xludf.DUMMYFUNCTION("""COMPUTED_VALUE"""),"Papier")</f>
        <v>Papier</v>
      </c>
      <c r="D1878" s="2005" t="str">
        <f>IFERROR(__xludf.DUMMYFUNCTION("""COMPUTED_VALUE"""),"Rocketbook Fusion Executive A5")</f>
        <v>Rocketbook Fusion Executive A5</v>
      </c>
      <c r="E1878" s="2005" t="str">
        <f>IFERROR(__xludf.DUMMYFUNCTION("""COMPUTED_VALUE"""),"ROCKETBOOK")</f>
        <v>ROCKETBOOK</v>
      </c>
      <c r="F1878" s="2005" t="str">
        <f>IFERROR(__xludf.DUMMYFUNCTION("""COMPUTED_VALUE"""),"H")</f>
        <v>H</v>
      </c>
      <c r="G1878" s="2005" t="str">
        <f>IFERROR(__xludf.DUMMYFUNCTION("""COMPUTED_VALUE"""),"NN")</f>
        <v>NN</v>
      </c>
      <c r="H1878">
        <f>IFERROR(__xludf.DUMMYFUNCTION("""COMPUTED_VALUE"""),29.99)</f>
        <v>29.99</v>
      </c>
      <c r="I1878">
        <f>IFERROR(__xludf.DUMMYFUNCTION("""COMPUTED_VALUE"""),29.99)</f>
        <v>29.99</v>
      </c>
      <c r="BD1878" s="2006"/>
      <c r="LL1878" s="2007"/>
      <c r="LM1878" s="2007"/>
      <c r="MX1878" s="2007"/>
      <c r="ND1878" s="2007"/>
    </row>
    <row r="1879">
      <c r="A1879" s="2005">
        <f>IFERROR(__xludf.DUMMYFUNCTION("""COMPUTED_VALUE"""),1161253.0)</f>
        <v>1161253</v>
      </c>
      <c r="B1879" s="2005">
        <f>IFERROR(__xludf.DUMMYFUNCTION("""COMPUTED_VALUE"""),2707005.0)</f>
        <v>2707005</v>
      </c>
      <c r="C1879" s="2005" t="str">
        <f>IFERROR(__xludf.DUMMYFUNCTION("""COMPUTED_VALUE"""),"Papier")</f>
        <v>Papier</v>
      </c>
      <c r="D1879" s="2005" t="str">
        <f>IFERROR(__xludf.DUMMYFUNCTION("""COMPUTED_VALUE"""),"Rocketbook Core Mini A6")</f>
        <v>Rocketbook Core Mini A6</v>
      </c>
      <c r="E1879" s="2005" t="str">
        <f>IFERROR(__xludf.DUMMYFUNCTION("""COMPUTED_VALUE"""),"ROCKETBOOK")</f>
        <v>ROCKETBOOK</v>
      </c>
      <c r="F1879" s="2005" t="str">
        <f>IFERROR(__xludf.DUMMYFUNCTION("""COMPUTED_VALUE"""),"H")</f>
        <v>H</v>
      </c>
      <c r="G1879" s="2005" t="str">
        <f>IFERROR(__xludf.DUMMYFUNCTION("""COMPUTED_VALUE"""),"NN")</f>
        <v>NN</v>
      </c>
      <c r="H1879" s="2005">
        <f>IFERROR(__xludf.DUMMYFUNCTION("""COMPUTED_VALUE"""),17.99)</f>
        <v>17.99</v>
      </c>
      <c r="I1879" s="2005">
        <f>IFERROR(__xludf.DUMMYFUNCTION("""COMPUTED_VALUE"""),17.99)</f>
        <v>17.99</v>
      </c>
      <c r="BD1879" s="2006"/>
      <c r="LL1879" s="2007"/>
      <c r="LM1879" s="2007"/>
      <c r="MX1879" s="2007"/>
      <c r="ND1879" s="2007"/>
    </row>
    <row r="1880">
      <c r="A1880" s="2005">
        <f>IFERROR(__xludf.DUMMYFUNCTION("""COMPUTED_VALUE"""),1161254.0)</f>
        <v>1161254</v>
      </c>
      <c r="B1880" s="2005">
        <f>IFERROR(__xludf.DUMMYFUNCTION("""COMPUTED_VALUE"""),2707005.0)</f>
        <v>2707005</v>
      </c>
      <c r="C1880" s="2005" t="str">
        <f>IFERROR(__xludf.DUMMYFUNCTION("""COMPUTED_VALUE"""),"Papier")</f>
        <v>Papier</v>
      </c>
      <c r="D1880" s="2005" t="str">
        <f>IFERROR(__xludf.DUMMYFUNCTION("""COMPUTED_VALUE"""),"Rocketbook Flip Executive A5")</f>
        <v>Rocketbook Flip Executive A5</v>
      </c>
      <c r="E1880" s="2005" t="str">
        <f>IFERROR(__xludf.DUMMYFUNCTION("""COMPUTED_VALUE"""),"ROCKETBOOK")</f>
        <v>ROCKETBOOK</v>
      </c>
      <c r="F1880" s="2005" t="str">
        <f>IFERROR(__xludf.DUMMYFUNCTION("""COMPUTED_VALUE"""),"H")</f>
        <v>H</v>
      </c>
      <c r="G1880" s="2005" t="str">
        <f>IFERROR(__xludf.DUMMYFUNCTION("""COMPUTED_VALUE"""),"NN")</f>
        <v>NN</v>
      </c>
      <c r="H1880">
        <f>IFERROR(__xludf.DUMMYFUNCTION("""COMPUTED_VALUE"""),37.99)</f>
        <v>37.99</v>
      </c>
      <c r="I1880">
        <f>IFERROR(__xludf.DUMMYFUNCTION("""COMPUTED_VALUE"""),37.99)</f>
        <v>37.99</v>
      </c>
      <c r="BD1880" s="2006"/>
      <c r="LL1880" s="2007"/>
      <c r="LM1880" s="2007"/>
      <c r="MX1880" s="2007"/>
      <c r="ND1880" s="2007"/>
    </row>
    <row r="1881">
      <c r="A1881" s="2005">
        <f>IFERROR(__xludf.DUMMYFUNCTION("""COMPUTED_VALUE"""),1162281.0)</f>
        <v>1162281</v>
      </c>
      <c r="B1881" s="2005">
        <f>IFERROR(__xludf.DUMMYFUNCTION("""COMPUTED_VALUE"""),2203005.0)</f>
        <v>2203005</v>
      </c>
      <c r="C1881" s="2005" t="str">
        <f>IFERROR(__xludf.DUMMYFUNCTION("""COMPUTED_VALUE"""),"Scanner")</f>
        <v>Scanner</v>
      </c>
      <c r="D1881" s="2005" t="str">
        <f>IFERROR(__xludf.DUMMYFUNCTION("""COMPUTED_VALUE"""),"WorkForce ES-500 W II")</f>
        <v>WorkForce ES-500 W II</v>
      </c>
      <c r="E1881" s="2005" t="str">
        <f>IFERROR(__xludf.DUMMYFUNCTION("""COMPUTED_VALUE"""),"EPSON")</f>
        <v>EPSON</v>
      </c>
      <c r="F1881" s="2005" t="str">
        <f>IFERROR(__xludf.DUMMYFUNCTION("""COMPUTED_VALUE"""),"H")</f>
        <v>H</v>
      </c>
      <c r="G1881" s="2005" t="str">
        <f>IFERROR(__xludf.DUMMYFUNCTION("""COMPUTED_VALUE"""),"AC")</f>
        <v>AC</v>
      </c>
      <c r="H1881">
        <f>IFERROR(__xludf.DUMMYFUNCTION("""COMPUTED_VALUE"""),419.99)</f>
        <v>419.99</v>
      </c>
      <c r="I1881" s="2005">
        <f>IFERROR(__xludf.DUMMYFUNCTION("""COMPUTED_VALUE"""),379.99)</f>
        <v>379.99</v>
      </c>
      <c r="BD1881" s="2006"/>
      <c r="LL1881" s="2008"/>
      <c r="LM1881" s="2007"/>
      <c r="MX1881" s="2007"/>
      <c r="ND1881" s="2007"/>
    </row>
    <row r="1882">
      <c r="A1882" s="2005">
        <f>IFERROR(__xludf.DUMMYFUNCTION("""COMPUTED_VALUE"""),1162282.0)</f>
        <v>1162282</v>
      </c>
      <c r="B1882" s="2005">
        <f>IFERROR(__xludf.DUMMYFUNCTION("""COMPUTED_VALUE"""),2203005.0)</f>
        <v>2203005</v>
      </c>
      <c r="C1882" s="2005" t="str">
        <f>IFERROR(__xludf.DUMMYFUNCTION("""COMPUTED_VALUE"""),"Scanner")</f>
        <v>Scanner</v>
      </c>
      <c r="D1882" s="2005" t="str">
        <f>IFERROR(__xludf.DUMMYFUNCTION("""COMPUTED_VALUE"""),"WorkForce ES-580W")</f>
        <v>WorkForce ES-580W</v>
      </c>
      <c r="E1882" s="2005" t="str">
        <f>IFERROR(__xludf.DUMMYFUNCTION("""COMPUTED_VALUE"""),"EPSON")</f>
        <v>EPSON</v>
      </c>
      <c r="F1882" s="2005" t="str">
        <f>IFERROR(__xludf.DUMMYFUNCTION("""COMPUTED_VALUE"""),"H")</f>
        <v>H</v>
      </c>
      <c r="G1882" s="2005" t="str">
        <f>IFERROR(__xludf.DUMMYFUNCTION("""COMPUTED_VALUE"""),"AC")</f>
        <v>AC</v>
      </c>
      <c r="H1882" s="2005">
        <f>IFERROR(__xludf.DUMMYFUNCTION("""COMPUTED_VALUE"""),449.99)</f>
        <v>449.99</v>
      </c>
      <c r="I1882" s="2005">
        <f>IFERROR(__xludf.DUMMYFUNCTION("""COMPUTED_VALUE"""),449.99)</f>
        <v>449.99</v>
      </c>
      <c r="LL1882" s="2007"/>
      <c r="LM1882" s="2007"/>
    </row>
    <row r="1883">
      <c r="A1883" s="2005">
        <f>IFERROR(__xludf.DUMMYFUNCTION("""COMPUTED_VALUE"""),1162308.0)</f>
        <v>1162308</v>
      </c>
      <c r="B1883" s="2005">
        <f>IFERROR(__xludf.DUMMYFUNCTION("""COMPUTED_VALUE"""),2203010.0)</f>
        <v>2203010</v>
      </c>
      <c r="C1883" s="2005" t="str">
        <f>IFERROR(__xludf.DUMMYFUNCTION("""COMPUTED_VALUE"""),"Scanner")</f>
        <v>Scanner</v>
      </c>
      <c r="D1883" s="2005" t="str">
        <f>IFERROR(__xludf.DUMMYFUNCTION("""COMPUTED_VALUE"""),"SCANZA Numérique")</f>
        <v>SCANZA Numérique</v>
      </c>
      <c r="E1883" s="2005" t="str">
        <f>IFERROR(__xludf.DUMMYFUNCTION("""COMPUTED_VALUE"""),"KODAK")</f>
        <v>KODAK</v>
      </c>
      <c r="F1883" s="2005" t="str">
        <f>IFERROR(__xludf.DUMMYFUNCTION("""COMPUTED_VALUE"""),"W")</f>
        <v>W</v>
      </c>
      <c r="G1883" s="2005" t="str">
        <f>IFERROR(__xludf.DUMMYFUNCTION("""COMPUTED_VALUE"""),"AC")</f>
        <v>AC</v>
      </c>
      <c r="H1883" s="2005">
        <f>IFERROR(__xludf.DUMMYFUNCTION("""COMPUTED_VALUE"""),179.99)</f>
        <v>179.99</v>
      </c>
      <c r="I1883" s="2005">
        <f>IFERROR(__xludf.DUMMYFUNCTION("""COMPUTED_VALUE"""),169.99)</f>
        <v>169.99</v>
      </c>
      <c r="BD1883" s="2006"/>
      <c r="LL1883" s="2007"/>
      <c r="LM1883" s="2007"/>
      <c r="MX1883" s="2007"/>
      <c r="ND1883" s="2007"/>
    </row>
    <row r="1884">
      <c r="A1884" s="2005">
        <f>IFERROR(__xludf.DUMMYFUNCTION("""COMPUTED_VALUE"""),1162309.0)</f>
        <v>1162309</v>
      </c>
      <c r="B1884" s="2005">
        <f>IFERROR(__xludf.DUMMYFUNCTION("""COMPUTED_VALUE"""),2203010.0)</f>
        <v>2203010</v>
      </c>
      <c r="C1884" s="2005" t="str">
        <f>IFERROR(__xludf.DUMMYFUNCTION("""COMPUTED_VALUE"""),"Scanner")</f>
        <v>Scanner</v>
      </c>
      <c r="D1884" s="2005" t="str">
        <f>IFERROR(__xludf.DUMMYFUNCTION("""COMPUTED_VALUE"""),"mini digital")</f>
        <v>mini digital</v>
      </c>
      <c r="E1884" s="2005" t="str">
        <f>IFERROR(__xludf.DUMMYFUNCTION("""COMPUTED_VALUE"""),"KODAK")</f>
        <v>KODAK</v>
      </c>
      <c r="F1884" s="2005" t="str">
        <f>IFERROR(__xludf.DUMMYFUNCTION("""COMPUTED_VALUE"""),"H")</f>
        <v>H</v>
      </c>
      <c r="G1884" s="2005" t="str">
        <f>IFERROR(__xludf.DUMMYFUNCTION("""COMPUTED_VALUE"""),"NN")</f>
        <v>NN</v>
      </c>
      <c r="H1884" s="2005">
        <f>IFERROR(__xludf.DUMMYFUNCTION("""COMPUTED_VALUE"""),120.99)</f>
        <v>120.99</v>
      </c>
      <c r="I1884">
        <f>IFERROR(__xludf.DUMMYFUNCTION("""COMPUTED_VALUE"""),120.99)</f>
        <v>120.99</v>
      </c>
      <c r="LL1884" s="2008"/>
      <c r="LM1884" s="2007"/>
    </row>
    <row r="1885">
      <c r="A1885" s="2005">
        <f>IFERROR(__xludf.DUMMYFUNCTION("""COMPUTED_VALUE"""),1162310.0)</f>
        <v>1162310</v>
      </c>
      <c r="B1885" s="2005">
        <f>IFERROR(__xludf.DUMMYFUNCTION("""COMPUTED_VALUE"""),2203010.0)</f>
        <v>2203010</v>
      </c>
      <c r="C1885" s="2005" t="str">
        <f>IFERROR(__xludf.DUMMYFUNCTION("""COMPUTED_VALUE"""),"Scanner")</f>
        <v>Scanner</v>
      </c>
      <c r="D1885" s="2005" t="str">
        <f>IFERROR(__xludf.DUMMYFUNCTION("""COMPUTED_VALUE"""),"Ikon Visionneur diapositives")</f>
        <v>Ikon Visionneur diapositives</v>
      </c>
      <c r="E1885" s="2005" t="str">
        <f>IFERROR(__xludf.DUMMYFUNCTION("""COMPUTED_VALUE"""),"KODAK")</f>
        <v>KODAK</v>
      </c>
      <c r="F1885" s="2005" t="str">
        <f>IFERROR(__xludf.DUMMYFUNCTION("""COMPUTED_VALUE"""),"H")</f>
        <v>H</v>
      </c>
      <c r="G1885" s="2005" t="str">
        <f>IFERROR(__xludf.DUMMYFUNCTION("""COMPUTED_VALUE"""),"AC")</f>
        <v>AC</v>
      </c>
      <c r="H1885" s="2005">
        <f>IFERROR(__xludf.DUMMYFUNCTION("""COMPUTED_VALUE"""),56.99)</f>
        <v>56.99</v>
      </c>
      <c r="I1885" s="2005">
        <f>IFERROR(__xludf.DUMMYFUNCTION("""COMPUTED_VALUE"""),56.99)</f>
        <v>56.99</v>
      </c>
      <c r="BD1885" s="2006"/>
      <c r="LL1885" s="2007"/>
      <c r="LM1885" s="2007"/>
      <c r="MX1885" s="2007"/>
      <c r="ND1885" s="2007"/>
    </row>
    <row r="1886">
      <c r="A1886" s="2005">
        <f>IFERROR(__xludf.DUMMYFUNCTION("""COMPUTED_VALUE"""),1162621.0)</f>
        <v>1162621</v>
      </c>
      <c r="B1886" s="2005">
        <f>IFERROR(__xludf.DUMMYFUNCTION("""COMPUTED_VALUE"""),2202005.0)</f>
        <v>2202005</v>
      </c>
      <c r="C1886" s="2005" t="str">
        <f>IFERROR(__xludf.DUMMYFUNCTION("""COMPUTED_VALUE"""),"Multi Jet d'enc")</f>
        <v>Multi Jet d'enc</v>
      </c>
      <c r="D1886" s="2005" t="str">
        <f>IFERROR(__xludf.DUMMYFUNCTION("""COMPUTED_VALUE"""),"Deskjet 4130e éligible Instant Ink")</f>
        <v>Deskjet 4130e éligible Instant Ink</v>
      </c>
      <c r="E1886" s="2005" t="str">
        <f>IFERROR(__xludf.DUMMYFUNCTION("""COMPUTED_VALUE"""),"HP")</f>
        <v>HP</v>
      </c>
      <c r="F1886" s="2005" t="str">
        <f>IFERROR(__xludf.DUMMYFUNCTION("""COMPUTED_VALUE"""),"C")</f>
        <v>C</v>
      </c>
      <c r="G1886" s="2005" t="str">
        <f>IFERROR(__xludf.DUMMYFUNCTION("""COMPUTED_VALUE"""),"NN")</f>
        <v>NN</v>
      </c>
      <c r="H1886">
        <f>IFERROR(__xludf.DUMMYFUNCTION("""COMPUTED_VALUE"""),79.99)</f>
        <v>79.99</v>
      </c>
      <c r="I1886">
        <f>IFERROR(__xludf.DUMMYFUNCTION("""COMPUTED_VALUE"""),79.99)</f>
        <v>79.99</v>
      </c>
      <c r="LL1886" s="2007"/>
      <c r="LM1886" s="2007"/>
    </row>
    <row r="1887">
      <c r="A1887" s="2005">
        <f>IFERROR(__xludf.DUMMYFUNCTION("""COMPUTED_VALUE"""),1162687.0)</f>
        <v>1162687</v>
      </c>
      <c r="B1887" s="2005">
        <f>IFERROR(__xludf.DUMMYFUNCTION("""COMPUTED_VALUE"""),2202008.0)</f>
        <v>2202008</v>
      </c>
      <c r="C1887" s="2005" t="str">
        <f>IFERROR(__xludf.DUMMYFUNCTION("""COMPUTED_VALUE"""),"Multi Laser")</f>
        <v>Multi Laser</v>
      </c>
      <c r="D1887" s="2005" t="str">
        <f>IFERROR(__xludf.DUMMYFUNCTION("""COMPUTED_VALUE"""),"Laserjet M234sdw")</f>
        <v>Laserjet M234sdw</v>
      </c>
      <c r="E1887" s="2005" t="str">
        <f>IFERROR(__xludf.DUMMYFUNCTION("""COMPUTED_VALUE"""),"HP")</f>
        <v>HP</v>
      </c>
      <c r="F1887" s="2005" t="str">
        <f>IFERROR(__xludf.DUMMYFUNCTION("""COMPUTED_VALUE"""),"C")</f>
        <v>C</v>
      </c>
      <c r="G1887" s="2005" t="str">
        <f>IFERROR(__xludf.DUMMYFUNCTION("""COMPUTED_VALUE"""),"AC")</f>
        <v>AC</v>
      </c>
      <c r="H1887" s="2005">
        <f>IFERROR(__xludf.DUMMYFUNCTION("""COMPUTED_VALUE"""),249.99)</f>
        <v>249.99</v>
      </c>
      <c r="I1887" s="2005">
        <f>IFERROR(__xludf.DUMMYFUNCTION("""COMPUTED_VALUE"""),249.99)</f>
        <v>249.99</v>
      </c>
      <c r="BD1887" s="2006"/>
      <c r="LL1887" s="2008"/>
      <c r="LM1887" s="2007"/>
      <c r="MX1887" s="2007"/>
      <c r="ND1887" s="2007"/>
    </row>
    <row r="1888">
      <c r="A1888" s="2005">
        <f>IFERROR(__xludf.DUMMYFUNCTION("""COMPUTED_VALUE"""),1162834.0)</f>
        <v>1162834</v>
      </c>
      <c r="B1888" s="2005">
        <f>IFERROR(__xludf.DUMMYFUNCTION("""COMPUTED_VALUE"""),2502010.0)</f>
        <v>2502010</v>
      </c>
      <c r="C1888" s="2005" t="str">
        <f>IFERROR(__xludf.DUMMYFUNCTION("""COMPUTED_VALUE"""),"Souris")</f>
        <v>Souris</v>
      </c>
      <c r="D1888" s="2005" t="str">
        <f>IFERROR(__xludf.DUMMYFUNCTION("""COMPUTED_VALUE"""),"MX Master 2S - Graphite")</f>
        <v>MX Master 2S - Graphite</v>
      </c>
      <c r="E1888" s="2005" t="str">
        <f>IFERROR(__xludf.DUMMYFUNCTION("""COMPUTED_VALUE"""),"LOGITECH")</f>
        <v>LOGITECH</v>
      </c>
      <c r="F1888" s="2005" t="str">
        <f>IFERROR(__xludf.DUMMYFUNCTION("""COMPUTED_VALUE"""),"W")</f>
        <v>W</v>
      </c>
      <c r="G1888" s="2005" t="str">
        <f>IFERROR(__xludf.DUMMYFUNCTION("""COMPUTED_VALUE"""),"FR")</f>
        <v>FR</v>
      </c>
      <c r="H1888" s="2005">
        <f>IFERROR(__xludf.DUMMYFUNCTION("""COMPUTED_VALUE"""),99.99)</f>
        <v>99.99</v>
      </c>
      <c r="I1888" s="2005">
        <f>IFERROR(__xludf.DUMMYFUNCTION("""COMPUTED_VALUE"""),69.31)</f>
        <v>69.31</v>
      </c>
      <c r="BD1888" s="2006"/>
      <c r="LL1888" s="2007"/>
      <c r="LM1888" s="2007"/>
      <c r="MX1888" s="2007"/>
      <c r="ND1888" s="2007"/>
    </row>
    <row r="1889">
      <c r="A1889" s="2005">
        <f>IFERROR(__xludf.DUMMYFUNCTION("""COMPUTED_VALUE"""),1162835.0)</f>
        <v>1162835</v>
      </c>
      <c r="B1889" s="2005">
        <f>IFERROR(__xludf.DUMMYFUNCTION("""COMPUTED_VALUE"""),2502015.0)</f>
        <v>2502015</v>
      </c>
      <c r="C1889" s="2005" t="str">
        <f>IFERROR(__xludf.DUMMYFUNCTION("""COMPUTED_VALUE"""),"Clavier")</f>
        <v>Clavier</v>
      </c>
      <c r="D1889" s="2005" t="str">
        <f>IFERROR(__xludf.DUMMYFUNCTION("""COMPUTED_VALUE"""),"K860 Ergo Graphite")</f>
        <v>K860 Ergo Graphite</v>
      </c>
      <c r="E1889" s="2005" t="str">
        <f>IFERROR(__xludf.DUMMYFUNCTION("""COMPUTED_VALUE"""),"LOGITECH")</f>
        <v>LOGITECH</v>
      </c>
      <c r="F1889" s="2005" t="str">
        <f>IFERROR(__xludf.DUMMYFUNCTION("""COMPUTED_VALUE"""),"C")</f>
        <v>C</v>
      </c>
      <c r="G1889" s="2005" t="str">
        <f>IFERROR(__xludf.DUMMYFUNCTION("""COMPUTED_VALUE"""),"AC")</f>
        <v>AC</v>
      </c>
      <c r="H1889" s="2005">
        <f>IFERROR(__xludf.DUMMYFUNCTION("""COMPUTED_VALUE"""),129.99)</f>
        <v>129.99</v>
      </c>
      <c r="I1889">
        <f>IFERROR(__xludf.DUMMYFUNCTION("""COMPUTED_VALUE"""),94.99)</f>
        <v>94.99</v>
      </c>
      <c r="BD1889" s="2006"/>
      <c r="LL1889" s="2007"/>
      <c r="LM1889" s="2007"/>
      <c r="MX1889" s="2008"/>
      <c r="ND1889" s="2007"/>
    </row>
    <row r="1890">
      <c r="A1890" s="2005">
        <f>IFERROR(__xludf.DUMMYFUNCTION("""COMPUTED_VALUE"""),1162837.0)</f>
        <v>1162837</v>
      </c>
      <c r="B1890" s="2005">
        <f>IFERROR(__xludf.DUMMYFUNCTION("""COMPUTED_VALUE"""),2502015.0)</f>
        <v>2502015</v>
      </c>
      <c r="C1890" s="2005" t="str">
        <f>IFERROR(__xludf.DUMMYFUNCTION("""COMPUTED_VALUE"""),"Clavier")</f>
        <v>Clavier</v>
      </c>
      <c r="D1890" s="2005" t="str">
        <f>IFERROR(__xludf.DUMMYFUNCTION("""COMPUTED_VALUE"""),"Keys-To-Go - Rose")</f>
        <v>Keys-To-Go - Rose</v>
      </c>
      <c r="E1890" s="2005" t="str">
        <f>IFERROR(__xludf.DUMMYFUNCTION("""COMPUTED_VALUE"""),"LOGITECH")</f>
        <v>LOGITECH</v>
      </c>
      <c r="F1890" s="2005" t="str">
        <f>IFERROR(__xludf.DUMMYFUNCTION("""COMPUTED_VALUE"""),"H")</f>
        <v>H</v>
      </c>
      <c r="G1890" s="2005" t="str">
        <f>IFERROR(__xludf.DUMMYFUNCTION("""COMPUTED_VALUE"""),"AC")</f>
        <v>AC</v>
      </c>
      <c r="H1890" s="2005">
        <f>IFERROR(__xludf.DUMMYFUNCTION("""COMPUTED_VALUE"""),69.99)</f>
        <v>69.99</v>
      </c>
      <c r="I1890">
        <f>IFERROR(__xludf.DUMMYFUNCTION("""COMPUTED_VALUE"""),69.99)</f>
        <v>69.99</v>
      </c>
      <c r="LL1890" s="2007"/>
      <c r="LM1890" s="2007"/>
    </row>
    <row r="1891">
      <c r="A1891" s="2005">
        <f>IFERROR(__xludf.DUMMYFUNCTION("""COMPUTED_VALUE"""),1162882.0)</f>
        <v>1162882</v>
      </c>
      <c r="B1891" s="2005">
        <f>IFERROR(__xludf.DUMMYFUNCTION("""COMPUTED_VALUE"""),2202010.0)</f>
        <v>2202010</v>
      </c>
      <c r="C1891" s="2005" t="str">
        <f>IFERROR(__xludf.DUMMYFUNCTION("""COMPUTED_VALUE"""),"Multi Jet d'enc")</f>
        <v>Multi Jet d'enc</v>
      </c>
      <c r="D1891" s="2005" t="str">
        <f>IFERROR(__xludf.DUMMYFUNCTION("""COMPUTED_VALUE"""),"EcoTank ET-8500")</f>
        <v>EcoTank ET-8500</v>
      </c>
      <c r="E1891" s="2005" t="str">
        <f>IFERROR(__xludf.DUMMYFUNCTION("""COMPUTED_VALUE"""),"EPSON")</f>
        <v>EPSON</v>
      </c>
      <c r="F1891" s="2005" t="str">
        <f>IFERROR(__xludf.DUMMYFUNCTION("""COMPUTED_VALUE"""),"E")</f>
        <v>E</v>
      </c>
      <c r="G1891" s="2005" t="str">
        <f>IFERROR(__xludf.DUMMYFUNCTION("""COMPUTED_VALUE"""),"AC")</f>
        <v>AC</v>
      </c>
      <c r="H1891" s="2005">
        <f>IFERROR(__xludf.DUMMYFUNCTION("""COMPUTED_VALUE"""),699.99)</f>
        <v>699.99</v>
      </c>
      <c r="I1891">
        <f>IFERROR(__xludf.DUMMYFUNCTION("""COMPUTED_VALUE"""),699.99)</f>
        <v>699.99</v>
      </c>
      <c r="LL1891" s="2007"/>
      <c r="LM1891" s="2007"/>
    </row>
    <row r="1892">
      <c r="A1892" s="2005">
        <f>IFERROR(__xludf.DUMMYFUNCTION("""COMPUTED_VALUE"""),1162885.0)</f>
        <v>1162885</v>
      </c>
      <c r="B1892" s="2005">
        <f>IFERROR(__xludf.DUMMYFUNCTION("""COMPUTED_VALUE"""),2202010.0)</f>
        <v>2202010</v>
      </c>
      <c r="C1892" s="2005" t="str">
        <f>IFERROR(__xludf.DUMMYFUNCTION("""COMPUTED_VALUE"""),"Multi Jet d'enc")</f>
        <v>Multi Jet d'enc</v>
      </c>
      <c r="D1892" s="2005" t="str">
        <f>IFERROR(__xludf.DUMMYFUNCTION("""COMPUTED_VALUE"""),"EcoTank ET-8550")</f>
        <v>EcoTank ET-8550</v>
      </c>
      <c r="E1892" s="2005" t="str">
        <f>IFERROR(__xludf.DUMMYFUNCTION("""COMPUTED_VALUE"""),"EPSON")</f>
        <v>EPSON</v>
      </c>
      <c r="F1892" s="2005" t="str">
        <f>IFERROR(__xludf.DUMMYFUNCTION("""COMPUTED_VALUE"""),"H")</f>
        <v>H</v>
      </c>
      <c r="G1892" s="2005" t="str">
        <f>IFERROR(__xludf.DUMMYFUNCTION("""COMPUTED_VALUE"""),"AC")</f>
        <v>AC</v>
      </c>
      <c r="H1892" s="2005">
        <f>IFERROR(__xludf.DUMMYFUNCTION("""COMPUTED_VALUE"""),849.99)</f>
        <v>849.99</v>
      </c>
      <c r="I1892" s="2005">
        <f>IFERROR(__xludf.DUMMYFUNCTION("""COMPUTED_VALUE"""),822.99)</f>
        <v>822.99</v>
      </c>
      <c r="BD1892" s="2006"/>
      <c r="LL1892" s="2007"/>
      <c r="LM1892" s="2007"/>
      <c r="MX1892" s="2007"/>
      <c r="ND1892" s="2007"/>
    </row>
    <row r="1893">
      <c r="A1893" s="2005">
        <f>IFERROR(__xludf.DUMMYFUNCTION("""COMPUTED_VALUE"""),1162930.0)</f>
        <v>1162930</v>
      </c>
      <c r="B1893" s="2005">
        <f>IFERROR(__xludf.DUMMYFUNCTION("""COMPUTED_VALUE"""),2403005.0)</f>
        <v>2403005</v>
      </c>
      <c r="C1893" s="2005" t="str">
        <f>IFERROR(__xludf.DUMMYFUNCTION("""COMPUTED_VALUE"""),"Pack")</f>
        <v>Pack</v>
      </c>
      <c r="D1893" s="2005" t="str">
        <f>IFERROR(__xludf.DUMMYFUNCTION("""COMPUTED_VALUE"""),"950 Noire + 951 3 couleurs")</f>
        <v>950 Noire + 951 3 couleurs</v>
      </c>
      <c r="E1893" s="2005" t="str">
        <f>IFERROR(__xludf.DUMMYFUNCTION("""COMPUTED_VALUE"""),"HP")</f>
        <v>HP</v>
      </c>
      <c r="F1893" s="2005" t="str">
        <f>IFERROR(__xludf.DUMMYFUNCTION("""COMPUTED_VALUE"""),"A")</f>
        <v>A</v>
      </c>
      <c r="G1893" s="2005" t="str">
        <f>IFERROR(__xludf.DUMMYFUNCTION("""COMPUTED_VALUE"""),"AC")</f>
        <v>AC</v>
      </c>
      <c r="H1893" s="2005">
        <f>IFERROR(__xludf.DUMMYFUNCTION("""COMPUTED_VALUE"""),127.99)</f>
        <v>127.99</v>
      </c>
      <c r="I1893" s="2005">
        <f>IFERROR(__xludf.DUMMYFUNCTION("""COMPUTED_VALUE"""),127.99)</f>
        <v>127.99</v>
      </c>
      <c r="BD1893" s="2006"/>
      <c r="LL1893" s="2007"/>
      <c r="LM1893" s="2007"/>
      <c r="MX1893" s="2007"/>
      <c r="ND1893" s="2007"/>
    </row>
    <row r="1894">
      <c r="A1894" s="2005">
        <f>IFERROR(__xludf.DUMMYFUNCTION("""COMPUTED_VALUE"""),1162961.0)</f>
        <v>1162961</v>
      </c>
      <c r="B1894" s="2005">
        <f>IFERROR(__xludf.DUMMYFUNCTION("""COMPUTED_VALUE"""),2403005.0)</f>
        <v>2403005</v>
      </c>
      <c r="C1894" s="2005" t="str">
        <f>IFERROR(__xludf.DUMMYFUNCTION("""COMPUTED_VALUE"""),"Pack")</f>
        <v>Pack</v>
      </c>
      <c r="D1894" s="2005" t="str">
        <f>IFERROR(__xludf.DUMMYFUNCTION("""COMPUTED_VALUE"""),"N 963 Noire + 3 couleurs")</f>
        <v>N 963 Noire + 3 couleurs</v>
      </c>
      <c r="E1894" s="2005" t="str">
        <f>IFERROR(__xludf.DUMMYFUNCTION("""COMPUTED_VALUE"""),"HP")</f>
        <v>HP</v>
      </c>
      <c r="F1894" s="2005" t="str">
        <f>IFERROR(__xludf.DUMMYFUNCTION("""COMPUTED_VALUE"""),"A")</f>
        <v>A</v>
      </c>
      <c r="G1894" s="2005" t="str">
        <f>IFERROR(__xludf.DUMMYFUNCTION("""COMPUTED_VALUE"""),"AC")</f>
        <v>AC</v>
      </c>
      <c r="H1894" s="2005">
        <f>IFERROR(__xludf.DUMMYFUNCTION("""COMPUTED_VALUE"""),114.9)</f>
        <v>114.9</v>
      </c>
      <c r="I1894" s="2005">
        <f>IFERROR(__xludf.DUMMYFUNCTION("""COMPUTED_VALUE"""),114.9)</f>
        <v>114.9</v>
      </c>
      <c r="BD1894" s="2006"/>
      <c r="LL1894" s="2007"/>
      <c r="LM1894" s="2007"/>
      <c r="MX1894" s="2007"/>
      <c r="ND1894" s="2007"/>
    </row>
    <row r="1895">
      <c r="A1895" s="2005">
        <f>IFERROR(__xludf.DUMMYFUNCTION("""COMPUTED_VALUE"""),1163062.0)</f>
        <v>1163062</v>
      </c>
      <c r="B1895" s="2005">
        <f>IFERROR(__xludf.DUMMYFUNCTION("""COMPUTED_VALUE"""),2202010.0)</f>
        <v>2202010</v>
      </c>
      <c r="C1895" s="2005" t="str">
        <f>IFERROR(__xludf.DUMMYFUNCTION("""COMPUTED_VALUE"""),"Multi Jet d'enc")</f>
        <v>Multi Jet d'enc</v>
      </c>
      <c r="D1895" s="2005" t="str">
        <f>IFERROR(__xludf.DUMMYFUNCTION("""COMPUTED_VALUE"""),"MegaTank GX6050")</f>
        <v>MegaTank GX6050</v>
      </c>
      <c r="E1895" s="2005" t="str">
        <f>IFERROR(__xludf.DUMMYFUNCTION("""COMPUTED_VALUE"""),"CANON")</f>
        <v>CANON</v>
      </c>
      <c r="F1895" s="2005" t="str">
        <f>IFERROR(__xludf.DUMMYFUNCTION("""COMPUTED_VALUE"""),"H")</f>
        <v>H</v>
      </c>
      <c r="G1895" s="2005" t="str">
        <f>IFERROR(__xludf.DUMMYFUNCTION("""COMPUTED_VALUE"""),"AC")</f>
        <v>AC</v>
      </c>
      <c r="H1895" s="2005">
        <f>IFERROR(__xludf.DUMMYFUNCTION("""COMPUTED_VALUE"""),589.99)</f>
        <v>589.99</v>
      </c>
      <c r="I1895" s="2005">
        <f>IFERROR(__xludf.DUMMYFUNCTION("""COMPUTED_VALUE"""),469.99)</f>
        <v>469.99</v>
      </c>
      <c r="BD1895" s="2006"/>
      <c r="LL1895" s="2007"/>
      <c r="LM1895" s="2007"/>
      <c r="MX1895" s="2007"/>
      <c r="ND1895" s="2007"/>
    </row>
    <row r="1896">
      <c r="A1896" s="2005">
        <f>IFERROR(__xludf.DUMMYFUNCTION("""COMPUTED_VALUE"""),1163063.0)</f>
        <v>1163063</v>
      </c>
      <c r="B1896" s="2005">
        <f>IFERROR(__xludf.DUMMYFUNCTION("""COMPUTED_VALUE"""),2202010.0)</f>
        <v>2202010</v>
      </c>
      <c r="C1896" s="2005" t="str">
        <f>IFERROR(__xludf.DUMMYFUNCTION("""COMPUTED_VALUE"""),"Multi Jet d'enc")</f>
        <v>Multi Jet d'enc</v>
      </c>
      <c r="D1896" s="2005" t="str">
        <f>IFERROR(__xludf.DUMMYFUNCTION("""COMPUTED_VALUE"""),"MegaTank G3560")</f>
        <v>MegaTank G3560</v>
      </c>
      <c r="E1896" s="2005" t="str">
        <f>IFERROR(__xludf.DUMMYFUNCTION("""COMPUTED_VALUE"""),"CANON")</f>
        <v>CANON</v>
      </c>
      <c r="F1896" s="2005" t="str">
        <f>IFERROR(__xludf.DUMMYFUNCTION("""COMPUTED_VALUE"""),"E")</f>
        <v>E</v>
      </c>
      <c r="G1896" s="2005" t="str">
        <f>IFERROR(__xludf.DUMMYFUNCTION("""COMPUTED_VALUE"""),"FF")</f>
        <v>FF</v>
      </c>
      <c r="H1896">
        <f>IFERROR(__xludf.DUMMYFUNCTION("""COMPUTED_VALUE"""),299.99)</f>
        <v>299.99</v>
      </c>
      <c r="I1896">
        <f>IFERROR(__xludf.DUMMYFUNCTION("""COMPUTED_VALUE"""),299.99)</f>
        <v>299.99</v>
      </c>
      <c r="BD1896" s="2006"/>
      <c r="LL1896" s="2007"/>
      <c r="LM1896" s="2007"/>
      <c r="MX1896" s="2007"/>
      <c r="ND1896" s="2007"/>
    </row>
    <row r="1897">
      <c r="A1897" s="2005">
        <f>IFERROR(__xludf.DUMMYFUNCTION("""COMPUTED_VALUE"""),1163375.0)</f>
        <v>1163375</v>
      </c>
      <c r="B1897" s="2005">
        <f>IFERROR(__xludf.DUMMYFUNCTION("""COMPUTED_VALUE"""),2503010.0)</f>
        <v>2503010</v>
      </c>
      <c r="C1897" s="2005" t="str">
        <f>IFERROR(__xludf.DUMMYFUNCTION("""COMPUTED_VALUE"""),"Casque micro")</f>
        <v>Casque micro</v>
      </c>
      <c r="D1897" s="2005" t="str">
        <f>IFERROR(__xludf.DUMMYFUNCTION("""COMPUTED_VALUE"""),"Filaire micro H3 Noir")</f>
        <v>Filaire micro H3 Noir</v>
      </c>
      <c r="E1897" s="2005" t="str">
        <f>IFERROR(__xludf.DUMMYFUNCTION("""COMPUTED_VALUE"""),"EPOS")</f>
        <v>EPOS</v>
      </c>
      <c r="F1897" s="2005" t="str">
        <f>IFERROR(__xludf.DUMMYFUNCTION("""COMPUTED_VALUE"""),"H")</f>
        <v>H</v>
      </c>
      <c r="G1897" s="2005" t="str">
        <f>IFERROR(__xludf.DUMMYFUNCTION("""COMPUTED_VALUE"""),"NN")</f>
        <v>NN</v>
      </c>
      <c r="H1897">
        <f>IFERROR(__xludf.DUMMYFUNCTION("""COMPUTED_VALUE"""),93.99)</f>
        <v>93.99</v>
      </c>
      <c r="I1897">
        <f>IFERROR(__xludf.DUMMYFUNCTION("""COMPUTED_VALUE"""),93.99)</f>
        <v>93.99</v>
      </c>
      <c r="LL1897" s="2007"/>
      <c r="LM1897" s="2007"/>
    </row>
    <row r="1898">
      <c r="A1898" s="2005">
        <f>IFERROR(__xludf.DUMMYFUNCTION("""COMPUTED_VALUE"""),1163409.0)</f>
        <v>1163409</v>
      </c>
      <c r="B1898" s="2005">
        <f>IFERROR(__xludf.DUMMYFUNCTION("""COMPUTED_VALUE"""),2201099.0)</f>
        <v>2201099</v>
      </c>
      <c r="C1898" s="2005" t="str">
        <f>IFERROR(__xludf.DUMMYFUNCTION("""COMPUTED_VALUE"""),"Imprimante")</f>
        <v>Imprimante</v>
      </c>
      <c r="D1898" s="2005" t="str">
        <f>IFERROR(__xludf.DUMMYFUNCTION("""COMPUTED_VALUE"""),"portable MT800")</f>
        <v>portable MT800</v>
      </c>
      <c r="E1898" s="2005" t="str">
        <f>IFERROR(__xludf.DUMMYFUNCTION("""COMPUTED_VALUE"""),"HPRT")</f>
        <v>HPRT</v>
      </c>
      <c r="F1898" s="2005" t="str">
        <f>IFERROR(__xludf.DUMMYFUNCTION("""COMPUTED_VALUE"""),"W")</f>
        <v>W</v>
      </c>
      <c r="G1898" s="2005" t="str">
        <f>IFERROR(__xludf.DUMMYFUNCTION("""COMPUTED_VALUE"""),"FR")</f>
        <v>FR</v>
      </c>
      <c r="H1898">
        <f>IFERROR(__xludf.DUMMYFUNCTION("""COMPUTED_VALUE"""),279.99)</f>
        <v>279.99</v>
      </c>
      <c r="I1898">
        <f>IFERROR(__xludf.DUMMYFUNCTION("""COMPUTED_VALUE"""),279.99)</f>
        <v>279.99</v>
      </c>
      <c r="BD1898" s="2006"/>
      <c r="LL1898" s="2008"/>
      <c r="LM1898" s="2007"/>
      <c r="MX1898" s="2007"/>
      <c r="ND1898" s="2007"/>
    </row>
    <row r="1899">
      <c r="A1899">
        <f>IFERROR(__xludf.DUMMYFUNCTION("""COMPUTED_VALUE"""),1163410.0)</f>
        <v>1163410</v>
      </c>
      <c r="B1899">
        <f>IFERROR(__xludf.DUMMYFUNCTION("""COMPUTED_VALUE"""),2403005.0)</f>
        <v>2403005</v>
      </c>
      <c r="C1899" t="str">
        <f>IFERROR(__xludf.DUMMYFUNCTION("""COMPUTED_VALUE"""),"Recharge")</f>
        <v>Recharge</v>
      </c>
      <c r="D1899" t="str">
        <f>IFERROR(__xludf.DUMMYFUNCTION("""COMPUTED_VALUE"""),"pack 2 rubans thermiques - MT800")</f>
        <v>pack 2 rubans thermiques - MT800</v>
      </c>
      <c r="E1899" t="str">
        <f>IFERROR(__xludf.DUMMYFUNCTION("""COMPUTED_VALUE"""),"HPRT")</f>
        <v>HPRT</v>
      </c>
      <c r="F1899" t="str">
        <f>IFERROR(__xludf.DUMMYFUNCTION("""COMPUTED_VALUE"""),"E")</f>
        <v>E</v>
      </c>
      <c r="G1899" t="str">
        <f>IFERROR(__xludf.DUMMYFUNCTION("""COMPUTED_VALUE"""),"NN")</f>
        <v>NN</v>
      </c>
      <c r="H1899">
        <f>IFERROR(__xludf.DUMMYFUNCTION("""COMPUTED_VALUE"""),29.99)</f>
        <v>29.99</v>
      </c>
      <c r="I1899">
        <f>IFERROR(__xludf.DUMMYFUNCTION("""COMPUTED_VALUE"""),29.99)</f>
        <v>29.99</v>
      </c>
      <c r="BD1899" s="2006"/>
      <c r="LL1899" s="2007"/>
      <c r="LM1899" s="2007"/>
      <c r="MX1899" s="2007"/>
      <c r="ND1899" s="2007"/>
    </row>
    <row r="1900">
      <c r="A1900" s="2005">
        <f>IFERROR(__xludf.DUMMYFUNCTION("""COMPUTED_VALUE"""),1163597.0)</f>
        <v>1163597</v>
      </c>
      <c r="B1900" s="2005">
        <f>IFERROR(__xludf.DUMMYFUNCTION("""COMPUTED_VALUE"""),2706005.0)</f>
        <v>2706005</v>
      </c>
      <c r="C1900" s="2005" t="str">
        <f>IFERROR(__xludf.DUMMYFUNCTION("""COMPUTED_VALUE"""),"Bureau")</f>
        <v>Bureau</v>
      </c>
      <c r="D1900" s="2005" t="str">
        <f>IFERROR(__xludf.DUMMYFUNCTION("""COMPUTED_VALUE"""),"Ergonomique électrique EED25UF")</f>
        <v>Ergonomique électrique EED25UF</v>
      </c>
      <c r="E1900" s="2005" t="str">
        <f>IFERROR(__xludf.DUMMYFUNCTION("""COMPUTED_VALUE"""),"URBAN FACTORY")</f>
        <v>URBAN FACTORY</v>
      </c>
      <c r="F1900" s="2005" t="str">
        <f>IFERROR(__xludf.DUMMYFUNCTION("""COMPUTED_VALUE"""),"E")</f>
        <v>E</v>
      </c>
      <c r="G1900" s="2005" t="str">
        <f>IFERROR(__xludf.DUMMYFUNCTION("""COMPUTED_VALUE"""),"FF")</f>
        <v>FF</v>
      </c>
      <c r="H1900" s="2005">
        <f>IFERROR(__xludf.DUMMYFUNCTION("""COMPUTED_VALUE"""),458.49)</f>
        <v>458.49</v>
      </c>
      <c r="I1900" s="2005">
        <f>IFERROR(__xludf.DUMMYFUNCTION("""COMPUTED_VALUE"""),458.49)</f>
        <v>458.49</v>
      </c>
      <c r="BD1900" s="2006"/>
      <c r="LL1900" s="2007"/>
      <c r="LM1900" s="2007"/>
      <c r="MX1900" s="2007"/>
      <c r="ND1900" s="2007"/>
    </row>
    <row r="1901">
      <c r="A1901" s="2005">
        <f>IFERROR(__xludf.DUMMYFUNCTION("""COMPUTED_VALUE"""),1163598.0)</f>
        <v>1163598</v>
      </c>
      <c r="B1901" s="2005">
        <f>IFERROR(__xludf.DUMMYFUNCTION("""COMPUTED_VALUE"""),2706010.0)</f>
        <v>2706010</v>
      </c>
      <c r="C1901" s="2005" t="str">
        <f>IFERROR(__xludf.DUMMYFUNCTION("""COMPUTED_VALUE"""),"Fauteuil")</f>
        <v>Fauteuil</v>
      </c>
      <c r="D1901" s="2005" t="str">
        <f>IFERROR(__xludf.DUMMYFUNCTION("""COMPUTED_VALUE"""),"Ergonomique ESC01UF")</f>
        <v>Ergonomique ESC01UF</v>
      </c>
      <c r="E1901" s="2005" t="str">
        <f>IFERROR(__xludf.DUMMYFUNCTION("""COMPUTED_VALUE"""),"URBAN FACTORY")</f>
        <v>URBAN FACTORY</v>
      </c>
      <c r="F1901" s="2005" t="str">
        <f>IFERROR(__xludf.DUMMYFUNCTION("""COMPUTED_VALUE"""),"H")</f>
        <v>H</v>
      </c>
      <c r="G1901" s="2005" t="str">
        <f>IFERROR(__xludf.DUMMYFUNCTION("""COMPUTED_VALUE"""),"AC")</f>
        <v>AC</v>
      </c>
      <c r="H1901" s="2005">
        <f>IFERROR(__xludf.DUMMYFUNCTION("""COMPUTED_VALUE"""),204.29)</f>
        <v>204.29</v>
      </c>
      <c r="I1901" s="2005">
        <f>IFERROR(__xludf.DUMMYFUNCTION("""COMPUTED_VALUE"""),204.29)</f>
        <v>204.29</v>
      </c>
      <c r="BD1901" s="2006"/>
      <c r="LL1901" s="2007"/>
      <c r="LM1901" s="2007"/>
      <c r="MX1901" s="2007"/>
      <c r="ND1901" s="2007"/>
    </row>
    <row r="1902">
      <c r="A1902" s="2005">
        <f>IFERROR(__xludf.DUMMYFUNCTION("""COMPUTED_VALUE"""),1163811.0)</f>
        <v>1163811</v>
      </c>
      <c r="B1902" s="2005">
        <f>IFERROR(__xludf.DUMMYFUNCTION("""COMPUTED_VALUE"""),2403030.0)</f>
        <v>2403030</v>
      </c>
      <c r="C1902" s="2005" t="str">
        <f>IFERROR(__xludf.DUMMYFUNCTION("""COMPUTED_VALUE"""),"Forfait")</f>
        <v>Forfait</v>
      </c>
      <c r="D1902" s="2005" t="str">
        <f>IFERROR(__xludf.DUMMYFUNCTION("""COMPUTED_VALUE"""),"Ready Print Flex activation Card")</f>
        <v>Ready Print Flex activation Card</v>
      </c>
      <c r="E1902" s="2005" t="str">
        <f>IFERROR(__xludf.DUMMYFUNCTION("""COMPUTED_VALUE"""),"EPSON")</f>
        <v>EPSON</v>
      </c>
      <c r="F1902" s="2005" t="str">
        <f>IFERROR(__xludf.DUMMYFUNCTION("""COMPUTED_VALUE"""),"A")</f>
        <v>A</v>
      </c>
      <c r="G1902" s="2005" t="str">
        <f>IFERROR(__xludf.DUMMYFUNCTION("""COMPUTED_VALUE"""),"AC")</f>
        <v>AC</v>
      </c>
      <c r="H1902" s="2005">
        <f>IFERROR(__xludf.DUMMYFUNCTION("""COMPUTED_VALUE"""),5.0)</f>
        <v>5</v>
      </c>
      <c r="I1902" s="2005">
        <f>IFERROR(__xludf.DUMMYFUNCTION("""COMPUTED_VALUE"""),5.0)</f>
        <v>5</v>
      </c>
      <c r="BD1902" s="2006"/>
      <c r="LL1902" s="2007"/>
      <c r="LM1902" s="2007"/>
      <c r="MX1902" s="2007"/>
      <c r="ND1902" s="2007"/>
    </row>
    <row r="1903">
      <c r="A1903" s="2005">
        <f>IFERROR(__xludf.DUMMYFUNCTION("""COMPUTED_VALUE"""),1163812.0)</f>
        <v>1163812</v>
      </c>
      <c r="B1903" s="2005">
        <f>IFERROR(__xludf.DUMMYFUNCTION("""COMPUTED_VALUE"""),2403030.0)</f>
        <v>2403030</v>
      </c>
      <c r="C1903" s="2005" t="str">
        <f>IFERROR(__xludf.DUMMYFUNCTION("""COMPUTED_VALUE"""),"Forfait")</f>
        <v>Forfait</v>
      </c>
      <c r="D1903" s="2005" t="str">
        <f>IFERROR(__xludf.DUMMYFUNCTION("""COMPUTED_VALUE"""),"Ready Print EcoTank ET M1170U")</f>
        <v>Ready Print EcoTank ET M1170U</v>
      </c>
      <c r="E1903" s="2005" t="str">
        <f>IFERROR(__xludf.DUMMYFUNCTION("""COMPUTED_VALUE"""),"EPSON")</f>
        <v>EPSON</v>
      </c>
      <c r="F1903" s="2005" t="str">
        <f>IFERROR(__xludf.DUMMYFUNCTION("""COMPUTED_VALUE"""),"A")</f>
        <v>A</v>
      </c>
      <c r="G1903" s="2005" t="str">
        <f>IFERROR(__xludf.DUMMYFUNCTION("""COMPUTED_VALUE"""),"FI")</f>
        <v>FI</v>
      </c>
      <c r="H1903" s="2005">
        <f>IFERROR(__xludf.DUMMYFUNCTION("""COMPUTED_VALUE"""),99.99)</f>
        <v>99.99</v>
      </c>
      <c r="I1903" s="2005">
        <f>IFERROR(__xludf.DUMMYFUNCTION("""COMPUTED_VALUE"""),99.99)</f>
        <v>99.99</v>
      </c>
      <c r="BD1903" s="2006"/>
      <c r="LL1903" s="2007"/>
      <c r="LM1903" s="2007"/>
      <c r="MX1903" s="2007"/>
      <c r="ND1903" s="2007"/>
    </row>
    <row r="1904">
      <c r="A1904" s="2005">
        <f>IFERROR(__xludf.DUMMYFUNCTION("""COMPUTED_VALUE"""),1163821.0)</f>
        <v>1163821</v>
      </c>
      <c r="B1904" s="2005">
        <f>IFERROR(__xludf.DUMMYFUNCTION("""COMPUTED_VALUE"""),2403030.0)</f>
        <v>2403030</v>
      </c>
      <c r="C1904" s="2005" t="str">
        <f>IFERROR(__xludf.DUMMYFUNCTION("""COMPUTED_VALUE"""),"Forfait")</f>
        <v>Forfait</v>
      </c>
      <c r="D1904" s="2005" t="str">
        <f>IFERROR(__xludf.DUMMYFUNCTION("""COMPUTED_VALUE"""),"Ready Print EcoTank ET 2750U")</f>
        <v>Ready Print EcoTank ET 2750U</v>
      </c>
      <c r="E1904" s="2005" t="str">
        <f>IFERROR(__xludf.DUMMYFUNCTION("""COMPUTED_VALUE"""),"EPSON")</f>
        <v>EPSON</v>
      </c>
      <c r="F1904" s="2005" t="str">
        <f>IFERROR(__xludf.DUMMYFUNCTION("""COMPUTED_VALUE"""),"A")</f>
        <v>A</v>
      </c>
      <c r="G1904" s="2005" t="str">
        <f>IFERROR(__xludf.DUMMYFUNCTION("""COMPUTED_VALUE"""),"FI")</f>
        <v>FI</v>
      </c>
      <c r="H1904">
        <f>IFERROR(__xludf.DUMMYFUNCTION("""COMPUTED_VALUE"""),79.99)</f>
        <v>79.99</v>
      </c>
      <c r="I1904">
        <f>IFERROR(__xludf.DUMMYFUNCTION("""COMPUTED_VALUE"""),79.99)</f>
        <v>79.99</v>
      </c>
      <c r="BD1904" s="2006"/>
      <c r="LL1904" s="2007"/>
      <c r="LM1904" s="2007"/>
      <c r="MX1904" s="2007"/>
      <c r="ND1904" s="2007"/>
    </row>
    <row r="1905">
      <c r="A1905" s="2005">
        <f>IFERROR(__xludf.DUMMYFUNCTION("""COMPUTED_VALUE"""),1163822.0)</f>
        <v>1163822</v>
      </c>
      <c r="B1905" s="2005">
        <f>IFERROR(__xludf.DUMMYFUNCTION("""COMPUTED_VALUE"""),2403030.0)</f>
        <v>2403030</v>
      </c>
      <c r="C1905" s="2005" t="str">
        <f>IFERROR(__xludf.DUMMYFUNCTION("""COMPUTED_VALUE"""),"Forfait")</f>
        <v>Forfait</v>
      </c>
      <c r="D1905" s="2005" t="str">
        <f>IFERROR(__xludf.DUMMYFUNCTION("""COMPUTED_VALUE"""),"Ready Print EcoTank ET 4750U")</f>
        <v>Ready Print EcoTank ET 4750U</v>
      </c>
      <c r="E1905" s="2005" t="str">
        <f>IFERROR(__xludf.DUMMYFUNCTION("""COMPUTED_VALUE"""),"EPSON")</f>
        <v>EPSON</v>
      </c>
      <c r="F1905" s="2005" t="str">
        <f>IFERROR(__xludf.DUMMYFUNCTION("""COMPUTED_VALUE"""),"A")</f>
        <v>A</v>
      </c>
      <c r="G1905" s="2005" t="str">
        <f>IFERROR(__xludf.DUMMYFUNCTION("""COMPUTED_VALUE"""),"FI")</f>
        <v>FI</v>
      </c>
      <c r="H1905" s="2005">
        <f>IFERROR(__xludf.DUMMYFUNCTION("""COMPUTED_VALUE"""),129.99)</f>
        <v>129.99</v>
      </c>
      <c r="I1905" s="2005">
        <f>IFERROR(__xludf.DUMMYFUNCTION("""COMPUTED_VALUE"""),129.99)</f>
        <v>129.99</v>
      </c>
      <c r="BD1905" s="2006"/>
      <c r="LL1905" s="2007"/>
      <c r="LM1905" s="2007"/>
      <c r="MX1905" s="2007"/>
      <c r="ND1905" s="2007"/>
    </row>
    <row r="1906">
      <c r="A1906" s="2005">
        <f>IFERROR(__xludf.DUMMYFUNCTION("""COMPUTED_VALUE"""),1164278.0)</f>
        <v>1164278</v>
      </c>
      <c r="B1906" s="2005">
        <f>IFERROR(__xludf.DUMMYFUNCTION("""COMPUTED_VALUE"""),2403005.0)</f>
        <v>2403005</v>
      </c>
      <c r="C1906" s="2005" t="str">
        <f>IFERROR(__xludf.DUMMYFUNCTION("""COMPUTED_VALUE"""),"Cartouche")</f>
        <v>Cartouche</v>
      </c>
      <c r="D1906" s="2005" t="str">
        <f>IFERROR(__xludf.DUMMYFUNCTION("""COMPUTED_VALUE"""),"Ecotank Bouteille 114 noir photo")</f>
        <v>Ecotank Bouteille 114 noir photo</v>
      </c>
      <c r="E1906" s="2005" t="str">
        <f>IFERROR(__xludf.DUMMYFUNCTION("""COMPUTED_VALUE"""),"EPSON")</f>
        <v>EPSON</v>
      </c>
      <c r="F1906" s="2005" t="str">
        <f>IFERROR(__xludf.DUMMYFUNCTION("""COMPUTED_VALUE"""),"H")</f>
        <v>H</v>
      </c>
      <c r="G1906" s="2005" t="str">
        <f>IFERROR(__xludf.DUMMYFUNCTION("""COMPUTED_VALUE"""),"AC")</f>
        <v>AC</v>
      </c>
      <c r="H1906" s="2005">
        <f>IFERROR(__xludf.DUMMYFUNCTION("""COMPUTED_VALUE"""),17.99)</f>
        <v>17.99</v>
      </c>
      <c r="I1906" s="2005">
        <f>IFERROR(__xludf.DUMMYFUNCTION("""COMPUTED_VALUE"""),17.99)</f>
        <v>17.99</v>
      </c>
      <c r="BD1906" s="2006"/>
      <c r="LL1906" s="2008"/>
      <c r="LM1906" s="2007"/>
      <c r="MX1906" s="2007"/>
      <c r="ND1906" s="2007"/>
    </row>
    <row r="1907">
      <c r="A1907" s="2005">
        <f>IFERROR(__xludf.DUMMYFUNCTION("""COMPUTED_VALUE"""),1164285.0)</f>
        <v>1164285</v>
      </c>
      <c r="B1907" s="2005">
        <f>IFERROR(__xludf.DUMMYFUNCTION("""COMPUTED_VALUE"""),2403005.0)</f>
        <v>2403005</v>
      </c>
      <c r="C1907" s="2005" t="str">
        <f>IFERROR(__xludf.DUMMYFUNCTION("""COMPUTED_VALUE"""),"Cartouche")</f>
        <v>Cartouche</v>
      </c>
      <c r="D1907" s="2005" t="str">
        <f>IFERROR(__xludf.DUMMYFUNCTION("""COMPUTED_VALUE"""),"Ecotank Bouteille 114 Cyan")</f>
        <v>Ecotank Bouteille 114 Cyan</v>
      </c>
      <c r="E1907" s="2005" t="str">
        <f>IFERROR(__xludf.DUMMYFUNCTION("""COMPUTED_VALUE"""),"EPSON")</f>
        <v>EPSON</v>
      </c>
      <c r="F1907" s="2005" t="str">
        <f>IFERROR(__xludf.DUMMYFUNCTION("""COMPUTED_VALUE"""),"H")</f>
        <v>H</v>
      </c>
      <c r="G1907" s="2005" t="str">
        <f>IFERROR(__xludf.DUMMYFUNCTION("""COMPUTED_VALUE"""),"AC")</f>
        <v>AC</v>
      </c>
      <c r="H1907" s="2005">
        <f>IFERROR(__xludf.DUMMYFUNCTION("""COMPUTED_VALUE"""),17.99)</f>
        <v>17.99</v>
      </c>
      <c r="I1907" s="2005">
        <f>IFERROR(__xludf.DUMMYFUNCTION("""COMPUTED_VALUE"""),17.99)</f>
        <v>17.99</v>
      </c>
      <c r="BD1907" s="2006"/>
      <c r="LL1907" s="2007"/>
      <c r="LM1907" s="2007"/>
      <c r="MX1907" s="2007"/>
      <c r="ND1907" s="2007"/>
    </row>
    <row r="1908">
      <c r="A1908" s="2005">
        <f>IFERROR(__xludf.DUMMYFUNCTION("""COMPUTED_VALUE"""),1164291.0)</f>
        <v>1164291</v>
      </c>
      <c r="B1908" s="2005">
        <f>IFERROR(__xludf.DUMMYFUNCTION("""COMPUTED_VALUE"""),2403005.0)</f>
        <v>2403005</v>
      </c>
      <c r="C1908" s="2005" t="str">
        <f>IFERROR(__xludf.DUMMYFUNCTION("""COMPUTED_VALUE"""),"Cartouche")</f>
        <v>Cartouche</v>
      </c>
      <c r="D1908" s="2005" t="str">
        <f>IFERROR(__xludf.DUMMYFUNCTION("""COMPUTED_VALUE"""),"Ecotank Bouteille 114 Magenta")</f>
        <v>Ecotank Bouteille 114 Magenta</v>
      </c>
      <c r="E1908" s="2005" t="str">
        <f>IFERROR(__xludf.DUMMYFUNCTION("""COMPUTED_VALUE"""),"EPSON")</f>
        <v>EPSON</v>
      </c>
      <c r="F1908" s="2005" t="str">
        <f>IFERROR(__xludf.DUMMYFUNCTION("""COMPUTED_VALUE"""),"H")</f>
        <v>H</v>
      </c>
      <c r="G1908" s="2005" t="str">
        <f>IFERROR(__xludf.DUMMYFUNCTION("""COMPUTED_VALUE"""),"AC")</f>
        <v>AC</v>
      </c>
      <c r="H1908" s="2005">
        <f>IFERROR(__xludf.DUMMYFUNCTION("""COMPUTED_VALUE"""),17.99)</f>
        <v>17.99</v>
      </c>
      <c r="I1908" s="2005">
        <f>IFERROR(__xludf.DUMMYFUNCTION("""COMPUTED_VALUE"""),17.99)</f>
        <v>17.99</v>
      </c>
      <c r="LL1908" s="2007"/>
      <c r="LM1908" s="2007"/>
    </row>
    <row r="1909">
      <c r="A1909" s="2005">
        <f>IFERROR(__xludf.DUMMYFUNCTION("""COMPUTED_VALUE"""),1164299.0)</f>
        <v>1164299</v>
      </c>
      <c r="B1909" s="2005">
        <f>IFERROR(__xludf.DUMMYFUNCTION("""COMPUTED_VALUE"""),2403005.0)</f>
        <v>2403005</v>
      </c>
      <c r="C1909" s="2005" t="str">
        <f>IFERROR(__xludf.DUMMYFUNCTION("""COMPUTED_VALUE"""),"Cartouche")</f>
        <v>Cartouche</v>
      </c>
      <c r="D1909" s="2005" t="str">
        <f>IFERROR(__xludf.DUMMYFUNCTION("""COMPUTED_VALUE"""),"Ecotank Bouteille 114 Jaune")</f>
        <v>Ecotank Bouteille 114 Jaune</v>
      </c>
      <c r="E1909" s="2005" t="str">
        <f>IFERROR(__xludf.DUMMYFUNCTION("""COMPUTED_VALUE"""),"EPSON")</f>
        <v>EPSON</v>
      </c>
      <c r="F1909" s="2005" t="str">
        <f>IFERROR(__xludf.DUMMYFUNCTION("""COMPUTED_VALUE"""),"H")</f>
        <v>H</v>
      </c>
      <c r="G1909" s="2005" t="str">
        <f>IFERROR(__xludf.DUMMYFUNCTION("""COMPUTED_VALUE"""),"AC")</f>
        <v>AC</v>
      </c>
      <c r="H1909">
        <f>IFERROR(__xludf.DUMMYFUNCTION("""COMPUTED_VALUE"""),17.99)</f>
        <v>17.99</v>
      </c>
      <c r="I1909">
        <f>IFERROR(__xludf.DUMMYFUNCTION("""COMPUTED_VALUE"""),17.99)</f>
        <v>17.99</v>
      </c>
      <c r="BD1909" s="2006"/>
      <c r="LL1909" s="2007"/>
      <c r="LM1909" s="2007"/>
      <c r="MX1909" s="2007"/>
      <c r="ND1909" s="2007"/>
    </row>
    <row r="1910">
      <c r="A1910" s="2005">
        <f>IFERROR(__xludf.DUMMYFUNCTION("""COMPUTED_VALUE"""),1164306.0)</f>
        <v>1164306</v>
      </c>
      <c r="B1910" s="2005">
        <f>IFERROR(__xludf.DUMMYFUNCTION("""COMPUTED_VALUE"""),2403005.0)</f>
        <v>2403005</v>
      </c>
      <c r="C1910" s="2005" t="str">
        <f>IFERROR(__xludf.DUMMYFUNCTION("""COMPUTED_VALUE"""),"Cartouche")</f>
        <v>Cartouche</v>
      </c>
      <c r="D1910" s="2005" t="str">
        <f>IFERROR(__xludf.DUMMYFUNCTION("""COMPUTED_VALUE"""),"Ecotank Bouteille 114 Gris")</f>
        <v>Ecotank Bouteille 114 Gris</v>
      </c>
      <c r="E1910" s="2005" t="str">
        <f>IFERROR(__xludf.DUMMYFUNCTION("""COMPUTED_VALUE"""),"EPSON")</f>
        <v>EPSON</v>
      </c>
      <c r="F1910" s="2005" t="str">
        <f>IFERROR(__xludf.DUMMYFUNCTION("""COMPUTED_VALUE"""),"H")</f>
        <v>H</v>
      </c>
      <c r="G1910" s="2005" t="str">
        <f>IFERROR(__xludf.DUMMYFUNCTION("""COMPUTED_VALUE"""),"AC")</f>
        <v>AC</v>
      </c>
      <c r="H1910" s="2005">
        <f>IFERROR(__xludf.DUMMYFUNCTION("""COMPUTED_VALUE"""),17.99)</f>
        <v>17.99</v>
      </c>
      <c r="I1910" s="2005">
        <f>IFERROR(__xludf.DUMMYFUNCTION("""COMPUTED_VALUE"""),17.99)</f>
        <v>17.99</v>
      </c>
      <c r="BD1910" s="2006"/>
      <c r="LL1910" s="2007"/>
      <c r="LM1910" s="2007"/>
      <c r="MX1910" s="2007"/>
      <c r="ND1910" s="2007"/>
    </row>
    <row r="1911">
      <c r="A1911" s="2005">
        <f>IFERROR(__xludf.DUMMYFUNCTION("""COMPUTED_VALUE"""),1165058.0)</f>
        <v>1165058</v>
      </c>
      <c r="B1911" s="2005">
        <f>IFERROR(__xludf.DUMMYFUNCTION("""COMPUTED_VALUE"""),1103010.0)</f>
        <v>1103010</v>
      </c>
      <c r="C1911" s="2005" t="str">
        <f>IFERROR(__xludf.DUMMYFUNCTION("""COMPUTED_VALUE"""),"Pack")</f>
        <v>Pack</v>
      </c>
      <c r="D1911" s="2005" t="str">
        <f>IFERROR(__xludf.DUMMYFUNCTION("""COMPUTED_VALUE"""),"VEGA255 DUO Blanc")</f>
        <v>VEGA255 DUO Blanc</v>
      </c>
      <c r="E1911" s="2005" t="str">
        <f>IFERROR(__xludf.DUMMYFUNCTION("""COMPUTED_VALUE"""),"LOGICOM")</f>
        <v>LOGICOM</v>
      </c>
      <c r="F1911" s="2005" t="str">
        <f>IFERROR(__xludf.DUMMYFUNCTION("""COMPUTED_VALUE"""),"W")</f>
        <v>W</v>
      </c>
      <c r="G1911" s="2005" t="str">
        <f>IFERROR(__xludf.DUMMYFUNCTION("""COMPUTED_VALUE"""),"NN")</f>
        <v>NN</v>
      </c>
      <c r="H1911">
        <f>IFERROR(__xludf.DUMMYFUNCTION("""COMPUTED_VALUE"""),49.99)</f>
        <v>49.99</v>
      </c>
      <c r="I1911" s="2005">
        <f>IFERROR(__xludf.DUMMYFUNCTION("""COMPUTED_VALUE"""),49.99)</f>
        <v>49.99</v>
      </c>
      <c r="BD1911" s="2006"/>
      <c r="LL1911" s="2007"/>
      <c r="LM1911" s="2007"/>
      <c r="MX1911" s="2007"/>
      <c r="ND1911" s="2007"/>
    </row>
    <row r="1912">
      <c r="A1912" s="2005">
        <f>IFERROR(__xludf.DUMMYFUNCTION("""COMPUTED_VALUE"""),1165059.0)</f>
        <v>1165059</v>
      </c>
      <c r="B1912" s="2005">
        <f>IFERROR(__xludf.DUMMYFUNCTION("""COMPUTED_VALUE"""),1103010.0)</f>
        <v>1103010</v>
      </c>
      <c r="C1912" s="2005" t="str">
        <f>IFERROR(__xludf.DUMMYFUNCTION("""COMPUTED_VALUE"""),"Pack")</f>
        <v>Pack</v>
      </c>
      <c r="D1912" s="2005" t="str">
        <f>IFERROR(__xludf.DUMMYFUNCTION("""COMPUTED_VALUE"""),"VEGA255 DUO Noir")</f>
        <v>VEGA255 DUO Noir</v>
      </c>
      <c r="E1912" s="2005" t="str">
        <f>IFERROR(__xludf.DUMMYFUNCTION("""COMPUTED_VALUE"""),"LOGICOM")</f>
        <v>LOGICOM</v>
      </c>
      <c r="F1912" s="2005" t="str">
        <f>IFERROR(__xludf.DUMMYFUNCTION("""COMPUTED_VALUE"""),"W")</f>
        <v>W</v>
      </c>
      <c r="G1912" s="2005" t="str">
        <f>IFERROR(__xludf.DUMMYFUNCTION("""COMPUTED_VALUE"""),"NN")</f>
        <v>NN</v>
      </c>
      <c r="H1912">
        <f>IFERROR(__xludf.DUMMYFUNCTION("""COMPUTED_VALUE"""),49.99)</f>
        <v>49.99</v>
      </c>
      <c r="I1912" s="2005">
        <f>IFERROR(__xludf.DUMMYFUNCTION("""COMPUTED_VALUE"""),49.99)</f>
        <v>49.99</v>
      </c>
      <c r="BD1912" s="2006"/>
      <c r="LL1912" s="2007"/>
      <c r="LM1912" s="2007"/>
      <c r="MX1912" s="2007"/>
      <c r="ND1912" s="2007"/>
    </row>
    <row r="1913">
      <c r="A1913" s="2005">
        <f>IFERROR(__xludf.DUMMYFUNCTION("""COMPUTED_VALUE"""),1165558.0)</f>
        <v>1165558</v>
      </c>
      <c r="B1913" s="2005">
        <f>IFERROR(__xludf.DUMMYFUNCTION("""COMPUTED_VALUE"""),2202005.0)</f>
        <v>2202005</v>
      </c>
      <c r="C1913" s="2005" t="str">
        <f>IFERROR(__xludf.DUMMYFUNCTION("""COMPUTED_VALUE"""),"Multi Jet d'enc")</f>
        <v>Multi Jet d'enc</v>
      </c>
      <c r="D1913" s="2005" t="str">
        <f>IFERROR(__xludf.DUMMYFUNCTION("""COMPUTED_VALUE"""),"MFCJ4535DW XL")</f>
        <v>MFCJ4535DW XL</v>
      </c>
      <c r="E1913" s="2005" t="str">
        <f>IFERROR(__xludf.DUMMYFUNCTION("""COMPUTED_VALUE"""),"BROTHER")</f>
        <v>BROTHER</v>
      </c>
      <c r="F1913" s="2005" t="str">
        <f>IFERROR(__xludf.DUMMYFUNCTION("""COMPUTED_VALUE"""),"E")</f>
        <v>E</v>
      </c>
      <c r="G1913" s="2005" t="str">
        <f>IFERROR(__xludf.DUMMYFUNCTION("""COMPUTED_VALUE"""),"AC")</f>
        <v>AC</v>
      </c>
      <c r="H1913" s="2005">
        <f>IFERROR(__xludf.DUMMYFUNCTION("""COMPUTED_VALUE"""),382.6)</f>
        <v>382.6</v>
      </c>
      <c r="I1913" s="2005">
        <f>IFERROR(__xludf.DUMMYFUNCTION("""COMPUTED_VALUE"""),382.6)</f>
        <v>382.6</v>
      </c>
      <c r="BD1913" s="2006"/>
      <c r="LL1913" s="2007"/>
      <c r="LM1913" s="2007"/>
      <c r="MX1913" s="2007"/>
      <c r="ND1913" s="2007"/>
    </row>
    <row r="1914">
      <c r="A1914" s="2005">
        <f>IFERROR(__xludf.DUMMYFUNCTION("""COMPUTED_VALUE"""),1165559.0)</f>
        <v>1165559</v>
      </c>
      <c r="B1914" s="2005">
        <f>IFERROR(__xludf.DUMMYFUNCTION("""COMPUTED_VALUE"""),2202005.0)</f>
        <v>2202005</v>
      </c>
      <c r="C1914" s="2005" t="str">
        <f>IFERROR(__xludf.DUMMYFUNCTION("""COMPUTED_VALUE"""),"Multi Jet d'enc")</f>
        <v>Multi Jet d'enc</v>
      </c>
      <c r="D1914" s="2005" t="str">
        <f>IFERROR(__xludf.DUMMYFUNCTION("""COMPUTED_VALUE"""),"MFC-J4540DW")</f>
        <v>MFC-J4540DW</v>
      </c>
      <c r="E1914" s="2005" t="str">
        <f>IFERROR(__xludf.DUMMYFUNCTION("""COMPUTED_VALUE"""),"BROTHER")</f>
        <v>BROTHER</v>
      </c>
      <c r="F1914" s="2005" t="str">
        <f>IFERROR(__xludf.DUMMYFUNCTION("""COMPUTED_VALUE"""),"H")</f>
        <v>H</v>
      </c>
      <c r="G1914" s="2005" t="str">
        <f>IFERROR(__xludf.DUMMYFUNCTION("""COMPUTED_VALUE"""),"AC")</f>
        <v>AC</v>
      </c>
      <c r="H1914">
        <f>IFERROR(__xludf.DUMMYFUNCTION("""COMPUTED_VALUE"""),322.6)</f>
        <v>322.6</v>
      </c>
      <c r="I1914">
        <f>IFERROR(__xludf.DUMMYFUNCTION("""COMPUTED_VALUE"""),204.99)</f>
        <v>204.99</v>
      </c>
      <c r="BD1914" s="2006"/>
      <c r="LL1914" s="2007"/>
      <c r="LM1914" s="2007"/>
      <c r="MX1914" s="2007"/>
      <c r="ND1914" s="2007"/>
    </row>
    <row r="1915">
      <c r="A1915" s="2005">
        <f>IFERROR(__xludf.DUMMYFUNCTION("""COMPUTED_VALUE"""),1165740.0)</f>
        <v>1165740</v>
      </c>
      <c r="B1915" s="2005">
        <f>IFERROR(__xludf.DUMMYFUNCTION("""COMPUTED_VALUE"""),2202005.0)</f>
        <v>2202005</v>
      </c>
      <c r="C1915" s="2005" t="str">
        <f>IFERROR(__xludf.DUMMYFUNCTION("""COMPUTED_VALUE"""),"Multi Jet d'enc")</f>
        <v>Multi Jet d'enc</v>
      </c>
      <c r="D1915" s="2005" t="str">
        <f>IFERROR(__xludf.DUMMYFUNCTION("""COMPUTED_VALUE"""),"OfficeJet Pro 8014e éligible Instant Ink")</f>
        <v>OfficeJet Pro 8014e éligible Instant Ink</v>
      </c>
      <c r="E1915" s="2005" t="str">
        <f>IFERROR(__xludf.DUMMYFUNCTION("""COMPUTED_VALUE"""),"HP")</f>
        <v>HP</v>
      </c>
      <c r="F1915" s="2005" t="str">
        <f>IFERROR(__xludf.DUMMYFUNCTION("""COMPUTED_VALUE"""),"H")</f>
        <v>H</v>
      </c>
      <c r="G1915" s="2005" t="str">
        <f>IFERROR(__xludf.DUMMYFUNCTION("""COMPUTED_VALUE"""),"NN")</f>
        <v>NN</v>
      </c>
      <c r="H1915">
        <f>IFERROR(__xludf.DUMMYFUNCTION("""COMPUTED_VALUE"""),159.99)</f>
        <v>159.99</v>
      </c>
      <c r="I1915" s="2005">
        <f>IFERROR(__xludf.DUMMYFUNCTION("""COMPUTED_VALUE"""),159.99)</f>
        <v>159.99</v>
      </c>
      <c r="BD1915" s="2006"/>
      <c r="LL1915" s="2007"/>
      <c r="LM1915" s="2007"/>
      <c r="MX1915" s="2007"/>
      <c r="ND1915" s="2007"/>
    </row>
    <row r="1916">
      <c r="A1916" s="2005">
        <f>IFERROR(__xludf.DUMMYFUNCTION("""COMPUTED_VALUE"""),1165761.0)</f>
        <v>1165761</v>
      </c>
      <c r="B1916" s="2005">
        <f>IFERROR(__xludf.DUMMYFUNCTION("""COMPUTED_VALUE"""),2202005.0)</f>
        <v>2202005</v>
      </c>
      <c r="C1916" s="2005" t="str">
        <f>IFERROR(__xludf.DUMMYFUNCTION("""COMPUTED_VALUE"""),"Multi Jet d'enc")</f>
        <v>Multi Jet d'enc</v>
      </c>
      <c r="D1916" s="2005" t="str">
        <f>IFERROR(__xludf.DUMMYFUNCTION("""COMPUTED_VALUE"""),"OfficeJet Pro 8012e éligible Instant Ink")</f>
        <v>OfficeJet Pro 8012e éligible Instant Ink</v>
      </c>
      <c r="E1916" s="2005" t="str">
        <f>IFERROR(__xludf.DUMMYFUNCTION("""COMPUTED_VALUE"""),"HP")</f>
        <v>HP</v>
      </c>
      <c r="F1916" s="2005" t="str">
        <f>IFERROR(__xludf.DUMMYFUNCTION("""COMPUTED_VALUE"""),"H")</f>
        <v>H</v>
      </c>
      <c r="G1916" s="2005" t="str">
        <f>IFERROR(__xludf.DUMMYFUNCTION("""COMPUTED_VALUE"""),"NN")</f>
        <v>NN</v>
      </c>
      <c r="H1916">
        <f>IFERROR(__xludf.DUMMYFUNCTION("""COMPUTED_VALUE"""),139.9)</f>
        <v>139.9</v>
      </c>
      <c r="I1916">
        <f>IFERROR(__xludf.DUMMYFUNCTION("""COMPUTED_VALUE"""),139.9)</f>
        <v>139.9</v>
      </c>
      <c r="BD1916" s="2006"/>
      <c r="LL1916" s="2007"/>
      <c r="LM1916" s="2007"/>
      <c r="MX1916" s="2007"/>
      <c r="ND1916" s="2007"/>
    </row>
    <row r="1917">
      <c r="A1917" s="2005">
        <f>IFERROR(__xludf.DUMMYFUNCTION("""COMPUTED_VALUE"""),1165766.0)</f>
        <v>1165766</v>
      </c>
      <c r="B1917" s="2005">
        <f>IFERROR(__xludf.DUMMYFUNCTION("""COMPUTED_VALUE"""),2202005.0)</f>
        <v>2202005</v>
      </c>
      <c r="C1917" s="2005" t="str">
        <f>IFERROR(__xludf.DUMMYFUNCTION("""COMPUTED_VALUE"""),"Multi Jet d'enc")</f>
        <v>Multi Jet d'enc</v>
      </c>
      <c r="D1917" s="2005" t="str">
        <f>IFERROR(__xludf.DUMMYFUNCTION("""COMPUTED_VALUE"""),"OfficeJet Pro 8022e éligible Instant Ink")</f>
        <v>OfficeJet Pro 8022e éligible Instant Ink</v>
      </c>
      <c r="E1917" s="2005" t="str">
        <f>IFERROR(__xludf.DUMMYFUNCTION("""COMPUTED_VALUE"""),"HP")</f>
        <v>HP</v>
      </c>
      <c r="F1917" s="2005" t="str">
        <f>IFERROR(__xludf.DUMMYFUNCTION("""COMPUTED_VALUE"""),"W")</f>
        <v>W</v>
      </c>
      <c r="G1917" s="2005" t="str">
        <f>IFERROR(__xludf.DUMMYFUNCTION("""COMPUTED_VALUE"""),"NN")</f>
        <v>NN</v>
      </c>
      <c r="H1917">
        <f>IFERROR(__xludf.DUMMYFUNCTION("""COMPUTED_VALUE"""),169.9)</f>
        <v>169.9</v>
      </c>
      <c r="I1917" s="2005">
        <f>IFERROR(__xludf.DUMMYFUNCTION("""COMPUTED_VALUE"""),169.9)</f>
        <v>169.9</v>
      </c>
      <c r="BD1917" s="2006"/>
      <c r="LL1917" s="2007"/>
      <c r="LM1917" s="2007"/>
      <c r="MX1917" s="2007"/>
      <c r="ND1917" s="2007"/>
    </row>
    <row r="1918">
      <c r="A1918" s="2005">
        <f>IFERROR(__xludf.DUMMYFUNCTION("""COMPUTED_VALUE"""),1165767.0)</f>
        <v>1165767</v>
      </c>
      <c r="B1918" s="2005">
        <f>IFERROR(__xludf.DUMMYFUNCTION("""COMPUTED_VALUE"""),2209805.0)</f>
        <v>2209805</v>
      </c>
      <c r="C1918" s="2005" t="str">
        <f>IFERROR(__xludf.DUMMYFUNCTION("""COMPUTED_VALUE"""),"Lot")</f>
        <v>Lot</v>
      </c>
      <c r="D1918" s="2005" t="str">
        <f>IFERROR(__xludf.DUMMYFUNCTION("""COMPUTED_VALUE"""),"Office Jet Pro 8012e+cart. N 912 XL noir")</f>
        <v>Office Jet Pro 8012e+cart. N 912 XL noir</v>
      </c>
      <c r="E1918" s="2005" t="str">
        <f>IFERROR(__xludf.DUMMYFUNCTION("""COMPUTED_VALUE"""),"HP")</f>
        <v>HP</v>
      </c>
      <c r="F1918" s="2005" t="str">
        <f>IFERROR(__xludf.DUMMYFUNCTION("""COMPUTED_VALUE"""),"H")</f>
        <v>H</v>
      </c>
      <c r="G1918" s="2005" t="str">
        <f>IFERROR(__xludf.DUMMYFUNCTION("""COMPUTED_VALUE"""),"NN")</f>
        <v>NN</v>
      </c>
      <c r="H1918" s="2005">
        <f>IFERROR(__xludf.DUMMYFUNCTION("""COMPUTED_VALUE"""),171.89)</f>
        <v>171.89</v>
      </c>
      <c r="I1918" s="2005">
        <f>IFERROR(__xludf.DUMMYFUNCTION("""COMPUTED_VALUE"""),171.89)</f>
        <v>171.89</v>
      </c>
      <c r="BD1918" s="2006"/>
      <c r="LL1918" s="2007"/>
      <c r="LM1918" s="2007"/>
      <c r="MX1918" s="2007"/>
      <c r="ND1918" s="2007"/>
    </row>
    <row r="1919">
      <c r="A1919" s="2005">
        <f>IFERROR(__xludf.DUMMYFUNCTION("""COMPUTED_VALUE"""),1165770.0)</f>
        <v>1165770</v>
      </c>
      <c r="B1919" s="2005">
        <f>IFERROR(__xludf.DUMMYFUNCTION("""COMPUTED_VALUE"""),2209805.0)</f>
        <v>2209805</v>
      </c>
      <c r="C1919" s="2005" t="str">
        <f>IFERROR(__xludf.DUMMYFUNCTION("""COMPUTED_VALUE"""),"Lot")</f>
        <v>Lot</v>
      </c>
      <c r="D1919" s="2005" t="str">
        <f>IFERROR(__xludf.DUMMYFUNCTION("""COMPUTED_VALUE"""),"Office Jet Pro 8022e+cart. N 912 XL noir")</f>
        <v>Office Jet Pro 8022e+cart. N 912 XL noir</v>
      </c>
      <c r="E1919" s="2005" t="str">
        <f>IFERROR(__xludf.DUMMYFUNCTION("""COMPUTED_VALUE"""),"HP")</f>
        <v>HP</v>
      </c>
      <c r="F1919" s="2005" t="str">
        <f>IFERROR(__xludf.DUMMYFUNCTION("""COMPUTED_VALUE"""),"H")</f>
        <v>H</v>
      </c>
      <c r="G1919" s="2005" t="str">
        <f>IFERROR(__xludf.DUMMYFUNCTION("""COMPUTED_VALUE"""),"NN")</f>
        <v>NN</v>
      </c>
      <c r="H1919">
        <f>IFERROR(__xludf.DUMMYFUNCTION("""COMPUTED_VALUE"""),200.39)</f>
        <v>200.39</v>
      </c>
      <c r="I1919" s="2005">
        <f>IFERROR(__xludf.DUMMYFUNCTION("""COMPUTED_VALUE"""),200.39)</f>
        <v>200.39</v>
      </c>
      <c r="BD1919" s="2006"/>
      <c r="LL1919" s="2007"/>
      <c r="LM1919" s="2007"/>
      <c r="MX1919" s="2007"/>
      <c r="ND1919" s="2007"/>
    </row>
    <row r="1920">
      <c r="A1920" s="2005">
        <f>IFERROR(__xludf.DUMMYFUNCTION("""COMPUTED_VALUE"""),1165781.0)</f>
        <v>1165781</v>
      </c>
      <c r="B1920" s="2005">
        <f>IFERROR(__xludf.DUMMYFUNCTION("""COMPUTED_VALUE"""),2403005.0)</f>
        <v>2403005</v>
      </c>
      <c r="C1920" s="2005" t="str">
        <f>IFERROR(__xludf.DUMMYFUNCTION("""COMPUTED_VALUE"""),"Pack")</f>
        <v>Pack</v>
      </c>
      <c r="D1920" s="2005" t="str">
        <f>IFERROR(__xludf.DUMMYFUNCTION("""COMPUTED_VALUE"""),"953 Noire + 3couleurs")</f>
        <v>953 Noire + 3couleurs</v>
      </c>
      <c r="E1920" s="2005" t="str">
        <f>IFERROR(__xludf.DUMMYFUNCTION("""COMPUTED_VALUE"""),"HP")</f>
        <v>HP</v>
      </c>
      <c r="F1920" s="2005" t="str">
        <f>IFERROR(__xludf.DUMMYFUNCTION("""COMPUTED_VALUE"""),"A")</f>
        <v>A</v>
      </c>
      <c r="G1920" s="2005" t="str">
        <f>IFERROR(__xludf.DUMMYFUNCTION("""COMPUTED_VALUE"""),"AC")</f>
        <v>AC</v>
      </c>
      <c r="H1920" s="2005">
        <f>IFERROR(__xludf.DUMMYFUNCTION("""COMPUTED_VALUE"""),128.99)</f>
        <v>128.99</v>
      </c>
      <c r="I1920" s="2005">
        <f>IFERROR(__xludf.DUMMYFUNCTION("""COMPUTED_VALUE"""),128.99)</f>
        <v>128.99</v>
      </c>
      <c r="BD1920" s="2006"/>
      <c r="LL1920" s="2007"/>
      <c r="LM1920" s="2007"/>
      <c r="MX1920" s="2007"/>
      <c r="ND1920" s="2007"/>
    </row>
    <row r="1921">
      <c r="A1921" s="2005">
        <f>IFERROR(__xludf.DUMMYFUNCTION("""COMPUTED_VALUE"""),1165783.0)</f>
        <v>1165783</v>
      </c>
      <c r="B1921" s="2005">
        <f>IFERROR(__xludf.DUMMYFUNCTION("""COMPUTED_VALUE"""),2706520.0)</f>
        <v>2706520</v>
      </c>
      <c r="C1921" s="2005" t="str">
        <f>IFERROR(__xludf.DUMMYFUNCTION("""COMPUTED_VALUE"""),"Lampe")</f>
        <v>Lampe</v>
      </c>
      <c r="D1921" s="2005" t="str">
        <f>IFERROR(__xludf.DUMMYFUNCTION("""COMPUTED_VALUE"""),"Mi Computer Monitor Light Bar Noir")</f>
        <v>Mi Computer Monitor Light Bar Noir</v>
      </c>
      <c r="E1921" s="2005" t="str">
        <f>IFERROR(__xludf.DUMMYFUNCTION("""COMPUTED_VALUE"""),"XIAOMI")</f>
        <v>XIAOMI</v>
      </c>
      <c r="F1921" s="2005" t="str">
        <f>IFERROR(__xludf.DUMMYFUNCTION("""COMPUTED_VALUE"""),"H")</f>
        <v>H</v>
      </c>
      <c r="G1921" s="2005" t="str">
        <f>IFERROR(__xludf.DUMMYFUNCTION("""COMPUTED_VALUE"""),"AC")</f>
        <v>AC</v>
      </c>
      <c r="H1921">
        <f>IFERROR(__xludf.DUMMYFUNCTION("""COMPUTED_VALUE"""),49.99)</f>
        <v>49.99</v>
      </c>
      <c r="I1921">
        <f>IFERROR(__xludf.DUMMYFUNCTION("""COMPUTED_VALUE"""),49.99)</f>
        <v>49.99</v>
      </c>
      <c r="BD1921" s="2006"/>
      <c r="LL1921" s="2007"/>
      <c r="LM1921" s="2007"/>
      <c r="MX1921" s="2007"/>
      <c r="ND1921" s="2007"/>
    </row>
    <row r="1922">
      <c r="A1922" s="2005">
        <f>IFERROR(__xludf.DUMMYFUNCTION("""COMPUTED_VALUE"""),1165790.0)</f>
        <v>1165790</v>
      </c>
      <c r="B1922" s="2005">
        <f>IFERROR(__xludf.DUMMYFUNCTION("""COMPUTED_VALUE"""),2201099.0)</f>
        <v>2201099</v>
      </c>
      <c r="C1922" s="2005" t="str">
        <f>IFERROR(__xludf.DUMMYFUNCTION("""COMPUTED_VALUE"""),"Découpeuse")</f>
        <v>Découpeuse</v>
      </c>
      <c r="D1922" s="2005" t="str">
        <f>IFERROR(__xludf.DUMMYFUNCTION("""COMPUTED_VALUE"""),"MAKER CHAMPAGNE")</f>
        <v>MAKER CHAMPAGNE</v>
      </c>
      <c r="E1922" s="2005" t="str">
        <f>IFERROR(__xludf.DUMMYFUNCTION("""COMPUTED_VALUE"""),"CRICUT")</f>
        <v>CRICUT</v>
      </c>
      <c r="F1922" s="2005" t="str">
        <f>IFERROR(__xludf.DUMMYFUNCTION("""COMPUTED_VALUE"""),"E")</f>
        <v>E</v>
      </c>
      <c r="G1922" s="2005" t="str">
        <f>IFERROR(__xludf.DUMMYFUNCTION("""COMPUTED_VALUE"""),"NN")</f>
        <v>NN</v>
      </c>
      <c r="H1922" s="2005">
        <f>IFERROR(__xludf.DUMMYFUNCTION("""COMPUTED_VALUE"""),349.99)</f>
        <v>349.99</v>
      </c>
      <c r="I1922" s="2005">
        <f>IFERROR(__xludf.DUMMYFUNCTION("""COMPUTED_VALUE"""),349.99)</f>
        <v>349.99</v>
      </c>
      <c r="BD1922" s="2006"/>
      <c r="LL1922" s="2007"/>
      <c r="LM1922" s="2007"/>
      <c r="MX1922" s="2007"/>
      <c r="ND1922" s="2007"/>
    </row>
    <row r="1923">
      <c r="A1923" s="2005">
        <f>IFERROR(__xludf.DUMMYFUNCTION("""COMPUTED_VALUE"""),1165812.0)</f>
        <v>1165812</v>
      </c>
      <c r="B1923" s="2005">
        <f>IFERROR(__xludf.DUMMYFUNCTION("""COMPUTED_VALUE"""),2503010.0)</f>
        <v>2503010</v>
      </c>
      <c r="C1923" s="2005" t="str">
        <f>IFERROR(__xludf.DUMMYFUNCTION("""COMPUTED_VALUE"""),"Casque micro")</f>
        <v>Casque micro</v>
      </c>
      <c r="D1923" s="2005" t="str">
        <f>IFERROR(__xludf.DUMMYFUNCTION("""COMPUTED_VALUE"""),"Moderne USB")</f>
        <v>Moderne USB</v>
      </c>
      <c r="E1923" s="2005" t="str">
        <f>IFERROR(__xludf.DUMMYFUNCTION("""COMPUTED_VALUE"""),"MICROSOFT")</f>
        <v>MICROSOFT</v>
      </c>
      <c r="F1923" s="2005" t="str">
        <f>IFERROR(__xludf.DUMMYFUNCTION("""COMPUTED_VALUE"""),"H")</f>
        <v>H</v>
      </c>
      <c r="G1923" s="2005" t="str">
        <f>IFERROR(__xludf.DUMMYFUNCTION("""COMPUTED_VALUE"""),"NN")</f>
        <v>NN</v>
      </c>
      <c r="H1923" s="2005">
        <f>IFERROR(__xludf.DUMMYFUNCTION("""COMPUTED_VALUE"""),59.99)</f>
        <v>59.99</v>
      </c>
      <c r="I1923" s="2005">
        <f>IFERROR(__xludf.DUMMYFUNCTION("""COMPUTED_VALUE"""),59.99)</f>
        <v>59.99</v>
      </c>
      <c r="BD1923" s="2006"/>
      <c r="LL1923" s="2007"/>
      <c r="LM1923" s="2007"/>
      <c r="MX1923" s="2007"/>
      <c r="ND1923" s="2007"/>
    </row>
    <row r="1924">
      <c r="A1924" s="2005">
        <f>IFERROR(__xludf.DUMMYFUNCTION("""COMPUTED_VALUE"""),1165873.0)</f>
        <v>1165873</v>
      </c>
      <c r="B1924" s="2005">
        <f>IFERROR(__xludf.DUMMYFUNCTION("""COMPUTED_VALUE"""),2201099.0)</f>
        <v>2201099</v>
      </c>
      <c r="C1924" s="2005" t="str">
        <f>IFERROR(__xludf.DUMMYFUNCTION("""COMPUTED_VALUE"""),"Découpeuse")</f>
        <v>Découpeuse</v>
      </c>
      <c r="D1924" s="2005" t="str">
        <f>IFERROR(__xludf.DUMMYFUNCTION("""COMPUTED_VALUE"""),"MAKER Rose")</f>
        <v>MAKER Rose</v>
      </c>
      <c r="E1924" s="2005" t="str">
        <f>IFERROR(__xludf.DUMMYFUNCTION("""COMPUTED_VALUE"""),"CRICUT")</f>
        <v>CRICUT</v>
      </c>
      <c r="F1924" s="2005" t="str">
        <f>IFERROR(__xludf.DUMMYFUNCTION("""COMPUTED_VALUE"""),"H")</f>
        <v>H</v>
      </c>
      <c r="G1924" s="2005" t="str">
        <f>IFERROR(__xludf.DUMMYFUNCTION("""COMPUTED_VALUE"""),"NN")</f>
        <v>NN</v>
      </c>
      <c r="H1924">
        <f>IFERROR(__xludf.DUMMYFUNCTION("""COMPUTED_VALUE"""),349.99)</f>
        <v>349.99</v>
      </c>
      <c r="I1924">
        <f>IFERROR(__xludf.DUMMYFUNCTION("""COMPUTED_VALUE"""),349.99)</f>
        <v>349.99</v>
      </c>
      <c r="BD1924" s="2006"/>
      <c r="LL1924" s="2007"/>
      <c r="LM1924" s="2007"/>
      <c r="MX1924" s="2007"/>
      <c r="ND1924" s="2007"/>
    </row>
    <row r="1925">
      <c r="A1925" s="2005">
        <f>IFERROR(__xludf.DUMMYFUNCTION("""COMPUTED_VALUE"""),1165874.0)</f>
        <v>1165874</v>
      </c>
      <c r="B1925" s="2005">
        <f>IFERROR(__xludf.DUMMYFUNCTION("""COMPUTED_VALUE"""),2201099.0)</f>
        <v>2201099</v>
      </c>
      <c r="C1925" s="2005" t="str">
        <f>IFERROR(__xludf.DUMMYFUNCTION("""COMPUTED_VALUE"""),"Découpeuse")</f>
        <v>Découpeuse</v>
      </c>
      <c r="D1925" s="2005" t="str">
        <f>IFERROR(__xludf.DUMMYFUNCTION("""COMPUTED_VALUE"""),"EXPLORE AIR 2 (Mint)")</f>
        <v>EXPLORE AIR 2 (Mint)</v>
      </c>
      <c r="E1925" s="2005" t="str">
        <f>IFERROR(__xludf.DUMMYFUNCTION("""COMPUTED_VALUE"""),"CRICUT")</f>
        <v>CRICUT</v>
      </c>
      <c r="F1925" s="2005" t="str">
        <f>IFERROR(__xludf.DUMMYFUNCTION("""COMPUTED_VALUE"""),"H")</f>
        <v>H</v>
      </c>
      <c r="G1925" s="2005" t="str">
        <f>IFERROR(__xludf.DUMMYFUNCTION("""COMPUTED_VALUE"""),"NN")</f>
        <v>NN</v>
      </c>
      <c r="H1925" s="2005">
        <f>IFERROR(__xludf.DUMMYFUNCTION("""COMPUTED_VALUE"""),299.99)</f>
        <v>299.99</v>
      </c>
      <c r="I1925" s="2005">
        <f>IFERROR(__xludf.DUMMYFUNCTION("""COMPUTED_VALUE"""),299.99)</f>
        <v>299.99</v>
      </c>
      <c r="BD1925" s="2006"/>
      <c r="LL1925" s="2007"/>
      <c r="LM1925" s="2007"/>
      <c r="MX1925" s="2007"/>
      <c r="ND1925" s="2007"/>
    </row>
    <row r="1926">
      <c r="A1926" s="2005">
        <f>IFERROR(__xludf.DUMMYFUNCTION("""COMPUTED_VALUE"""),1165875.0)</f>
        <v>1165875</v>
      </c>
      <c r="B1926" s="2005">
        <f>IFERROR(__xludf.DUMMYFUNCTION("""COMPUTED_VALUE"""),2201099.0)</f>
        <v>2201099</v>
      </c>
      <c r="C1926" s="2005" t="str">
        <f>IFERROR(__xludf.DUMMYFUNCTION("""COMPUTED_VALUE"""),"Découpeuse")</f>
        <v>Découpeuse</v>
      </c>
      <c r="D1926" s="2005" t="str">
        <f>IFERROR(__xludf.DUMMYFUNCTION("""COMPUTED_VALUE"""),"JOY")</f>
        <v>JOY</v>
      </c>
      <c r="E1926" s="2005" t="str">
        <f>IFERROR(__xludf.DUMMYFUNCTION("""COMPUTED_VALUE"""),"CRICUT")</f>
        <v>CRICUT</v>
      </c>
      <c r="F1926" s="2005" t="str">
        <f>IFERROR(__xludf.DUMMYFUNCTION("""COMPUTED_VALUE"""),"H")</f>
        <v>H</v>
      </c>
      <c r="G1926" s="2005" t="str">
        <f>IFERROR(__xludf.DUMMYFUNCTION("""COMPUTED_VALUE"""),"NN")</f>
        <v>NN</v>
      </c>
      <c r="H1926">
        <f>IFERROR(__xludf.DUMMYFUNCTION("""COMPUTED_VALUE"""),199.99)</f>
        <v>199.99</v>
      </c>
      <c r="I1926">
        <f>IFERROR(__xludf.DUMMYFUNCTION("""COMPUTED_VALUE"""),199.99)</f>
        <v>199.99</v>
      </c>
      <c r="LL1926" s="2007"/>
      <c r="LM1926" s="2007"/>
      <c r="MX1926" s="2007"/>
      <c r="ND1926" s="2007"/>
    </row>
    <row r="1927">
      <c r="A1927" s="2005">
        <f>IFERROR(__xludf.DUMMYFUNCTION("""COMPUTED_VALUE"""),1165876.0)</f>
        <v>1165876</v>
      </c>
      <c r="B1927" s="2005">
        <f>IFERROR(__xludf.DUMMYFUNCTION("""COMPUTED_VALUE"""),2201099.0)</f>
        <v>2201099</v>
      </c>
      <c r="C1927" s="2005" t="str">
        <f>IFERROR(__xludf.DUMMYFUNCTION("""COMPUTED_VALUE"""),"Presse à chaud")</f>
        <v>Presse à chaud</v>
      </c>
      <c r="D1927" s="2005" t="str">
        <f>IFERROR(__xludf.DUMMYFUNCTION("""COMPUTED_VALUE"""),"EASYPRESS MINI")</f>
        <v>EASYPRESS MINI</v>
      </c>
      <c r="E1927" s="2005" t="str">
        <f>IFERROR(__xludf.DUMMYFUNCTION("""COMPUTED_VALUE"""),"CRICUT")</f>
        <v>CRICUT</v>
      </c>
      <c r="F1927" s="2005" t="str">
        <f>IFERROR(__xludf.DUMMYFUNCTION("""COMPUTED_VALUE"""),"H")</f>
        <v>H</v>
      </c>
      <c r="G1927" s="2005" t="str">
        <f>IFERROR(__xludf.DUMMYFUNCTION("""COMPUTED_VALUE"""),"NN")</f>
        <v>NN</v>
      </c>
      <c r="H1927" s="2005">
        <f>IFERROR(__xludf.DUMMYFUNCTION("""COMPUTED_VALUE"""),69.99)</f>
        <v>69.99</v>
      </c>
      <c r="I1927" s="2005">
        <f>IFERROR(__xludf.DUMMYFUNCTION("""COMPUTED_VALUE"""),69.99)</f>
        <v>69.99</v>
      </c>
      <c r="LL1927" s="2007"/>
      <c r="LM1927" s="2007"/>
      <c r="MX1927" s="2007"/>
      <c r="ND1927" s="2007"/>
    </row>
    <row r="1928">
      <c r="A1928" s="2005">
        <f>IFERROR(__xludf.DUMMYFUNCTION("""COMPUTED_VALUE"""),1165877.0)</f>
        <v>1165877</v>
      </c>
      <c r="B1928" s="2005">
        <f>IFERROR(__xludf.DUMMYFUNCTION("""COMPUTED_VALUE"""),2201099.0)</f>
        <v>2201099</v>
      </c>
      <c r="C1928" s="2005" t="str">
        <f>IFERROR(__xludf.DUMMYFUNCTION("""COMPUTED_VALUE"""),"Presse à chaud")</f>
        <v>Presse à chaud</v>
      </c>
      <c r="D1928" s="2005" t="str">
        <f>IFERROR(__xludf.DUMMYFUNCTION("""COMPUTED_VALUE"""),"EASYPRESS MOYEN FORMAT")</f>
        <v>EASYPRESS MOYEN FORMAT</v>
      </c>
      <c r="E1928" s="2005" t="str">
        <f>IFERROR(__xludf.DUMMYFUNCTION("""COMPUTED_VALUE"""),"CRICUT")</f>
        <v>CRICUT</v>
      </c>
      <c r="F1928" s="2005" t="str">
        <f>IFERROR(__xludf.DUMMYFUNCTION("""COMPUTED_VALUE"""),"H")</f>
        <v>H</v>
      </c>
      <c r="G1928" s="2005" t="str">
        <f>IFERROR(__xludf.DUMMYFUNCTION("""COMPUTED_VALUE"""),"NN")</f>
        <v>NN</v>
      </c>
      <c r="H1928">
        <f>IFERROR(__xludf.DUMMYFUNCTION("""COMPUTED_VALUE"""),189.99)</f>
        <v>189.99</v>
      </c>
      <c r="I1928">
        <f>IFERROR(__xludf.DUMMYFUNCTION("""COMPUTED_VALUE"""),189.99)</f>
        <v>189.99</v>
      </c>
      <c r="BD1928" s="2006"/>
      <c r="LL1928" s="2008"/>
      <c r="LM1928" s="2007"/>
      <c r="MX1928" s="2007"/>
      <c r="ND1928" s="2007"/>
    </row>
    <row r="1929">
      <c r="A1929" s="2005">
        <f>IFERROR(__xludf.DUMMYFUNCTION("""COMPUTED_VALUE"""),1165879.0)</f>
        <v>1165879</v>
      </c>
      <c r="B1929" s="2005">
        <f>IFERROR(__xludf.DUMMYFUNCTION("""COMPUTED_VALUE"""),2403006.0)</f>
        <v>2403006</v>
      </c>
      <c r="C1929" s="2005" t="str">
        <f>IFERROR(__xludf.DUMMYFUNCTION("""COMPUTED_VALUE"""),"Film")</f>
        <v>Film</v>
      </c>
      <c r="D1929" s="2005" t="str">
        <f>IFERROR(__xludf.DUMMYFUNCTION("""COMPUTED_VALUE"""),"Vinyle Smart permanent brillant Noir 1.2")</f>
        <v>Vinyle Smart permanent brillant Noir 1.2</v>
      </c>
      <c r="E1929" s="2005" t="str">
        <f>IFERROR(__xludf.DUMMYFUNCTION("""COMPUTED_VALUE"""),"CRICUT")</f>
        <v>CRICUT</v>
      </c>
      <c r="F1929" s="2005" t="str">
        <f>IFERROR(__xludf.DUMMYFUNCTION("""COMPUTED_VALUE"""),"E")</f>
        <v>E</v>
      </c>
      <c r="G1929" s="2005" t="str">
        <f>IFERROR(__xludf.DUMMYFUNCTION("""COMPUTED_VALUE"""),"AC")</f>
        <v>AC</v>
      </c>
      <c r="H1929" s="2005">
        <f>IFERROR(__xludf.DUMMYFUNCTION("""COMPUTED_VALUE"""),9.99)</f>
        <v>9.99</v>
      </c>
      <c r="I1929" s="2005">
        <f>IFERROR(__xludf.DUMMYFUNCTION("""COMPUTED_VALUE"""),7.68)</f>
        <v>7.68</v>
      </c>
      <c r="BD1929" s="2006"/>
      <c r="LL1929" s="2007"/>
      <c r="LM1929" s="2007"/>
      <c r="MX1929" s="2007"/>
      <c r="ND1929" s="2007"/>
    </row>
    <row r="1930">
      <c r="A1930" s="2005">
        <f>IFERROR(__xludf.DUMMYFUNCTION("""COMPUTED_VALUE"""),1165935.0)</f>
        <v>1165935</v>
      </c>
      <c r="B1930" s="2005">
        <f>IFERROR(__xludf.DUMMYFUNCTION("""COMPUTED_VALUE"""),2403030.0)</f>
        <v>2403030</v>
      </c>
      <c r="C1930" s="2005" t="str">
        <f>IFERROR(__xludf.DUMMYFUNCTION("""COMPUTED_VALUE"""),"Forfait")</f>
        <v>Forfait</v>
      </c>
      <c r="D1930" s="2005" t="str">
        <f>IFERROR(__xludf.DUMMYFUNCTION("""COMPUTED_VALUE"""),"Instant Ink Abonnement cartouches")</f>
        <v>Instant Ink Abonnement cartouches</v>
      </c>
      <c r="E1930" s="2005" t="str">
        <f>IFERROR(__xludf.DUMMYFUNCTION("""COMPUTED_VALUE"""),"HP")</f>
        <v>HP</v>
      </c>
      <c r="F1930" s="2005" t="str">
        <f>IFERROR(__xludf.DUMMYFUNCTION("""COMPUTED_VALUE"""),"A")</f>
        <v>A</v>
      </c>
      <c r="G1930" s="2005" t="str">
        <f>IFERROR(__xludf.DUMMYFUNCTION("""COMPUTED_VALUE"""),"AC")</f>
        <v>AC</v>
      </c>
      <c r="H1930" s="2005">
        <f>IFERROR(__xludf.DUMMYFUNCTION("""COMPUTED_VALUE"""),5.0)</f>
        <v>5</v>
      </c>
      <c r="I1930" s="2005">
        <f>IFERROR(__xludf.DUMMYFUNCTION("""COMPUTED_VALUE"""),5.0)</f>
        <v>5</v>
      </c>
      <c r="BD1930" s="2006"/>
      <c r="LL1930" s="2007"/>
      <c r="LM1930" s="2007"/>
      <c r="MX1930" s="2007"/>
      <c r="ND1930" s="2007"/>
    </row>
    <row r="1931">
      <c r="A1931" s="2005">
        <f>IFERROR(__xludf.DUMMYFUNCTION("""COMPUTED_VALUE"""),1166081.0)</f>
        <v>1166081</v>
      </c>
      <c r="B1931" s="2005">
        <f>IFERROR(__xludf.DUMMYFUNCTION("""COMPUTED_VALUE"""),2502010.0)</f>
        <v>2502010</v>
      </c>
      <c r="C1931" s="2005" t="str">
        <f>IFERROR(__xludf.DUMMYFUNCTION("""COMPUTED_VALUE"""),"Souris")</f>
        <v>Souris</v>
      </c>
      <c r="D1931" s="2005" t="str">
        <f>IFERROR(__xludf.DUMMYFUNCTION("""COMPUTED_VALUE"""),"M220 blanche")</f>
        <v>M220 blanche</v>
      </c>
      <c r="E1931" s="2005" t="str">
        <f>IFERROR(__xludf.DUMMYFUNCTION("""COMPUTED_VALUE"""),"LOGITECH")</f>
        <v>LOGITECH</v>
      </c>
      <c r="F1931" s="2005" t="str">
        <f>IFERROR(__xludf.DUMMYFUNCTION("""COMPUTED_VALUE"""),"W")</f>
        <v>W</v>
      </c>
      <c r="G1931" s="2005" t="str">
        <f>IFERROR(__xludf.DUMMYFUNCTION("""COMPUTED_VALUE"""),"NN")</f>
        <v>NN</v>
      </c>
      <c r="H1931" s="2005">
        <f>IFERROR(__xludf.DUMMYFUNCTION("""COMPUTED_VALUE"""),27.99)</f>
        <v>27.99</v>
      </c>
      <c r="I1931" s="2005">
        <f>IFERROR(__xludf.DUMMYFUNCTION("""COMPUTED_VALUE"""),27.99)</f>
        <v>27.99</v>
      </c>
      <c r="BD1931" s="2006"/>
      <c r="LL1931" s="2007"/>
      <c r="LM1931" s="2007"/>
      <c r="MX1931" s="2007"/>
      <c r="ND1931" s="2007"/>
    </row>
    <row r="1932">
      <c r="A1932" s="2005">
        <f>IFERROR(__xludf.DUMMYFUNCTION("""COMPUTED_VALUE"""),1166082.0)</f>
        <v>1166082</v>
      </c>
      <c r="B1932" s="2005">
        <f>IFERROR(__xludf.DUMMYFUNCTION("""COMPUTED_VALUE"""),2502010.0)</f>
        <v>2502010</v>
      </c>
      <c r="C1932" s="2005" t="str">
        <f>IFERROR(__xludf.DUMMYFUNCTION("""COMPUTED_VALUE"""),"Souris")</f>
        <v>Souris</v>
      </c>
      <c r="D1932" s="2005" t="str">
        <f>IFERROR(__xludf.DUMMYFUNCTION("""COMPUTED_VALUE"""),"M220 rose")</f>
        <v>M220 rose</v>
      </c>
      <c r="E1932" s="2005" t="str">
        <f>IFERROR(__xludf.DUMMYFUNCTION("""COMPUTED_VALUE"""),"LOGITECH")</f>
        <v>LOGITECH</v>
      </c>
      <c r="F1932" s="2005" t="str">
        <f>IFERROR(__xludf.DUMMYFUNCTION("""COMPUTED_VALUE"""),"W")</f>
        <v>W</v>
      </c>
      <c r="G1932" s="2005" t="str">
        <f>IFERROR(__xludf.DUMMYFUNCTION("""COMPUTED_VALUE"""),"NN")</f>
        <v>NN</v>
      </c>
      <c r="H1932">
        <f>IFERROR(__xludf.DUMMYFUNCTION("""COMPUTED_VALUE"""),27.99)</f>
        <v>27.99</v>
      </c>
      <c r="I1932">
        <f>IFERROR(__xludf.DUMMYFUNCTION("""COMPUTED_VALUE"""),27.99)</f>
        <v>27.99</v>
      </c>
      <c r="BD1932" s="2006"/>
      <c r="LL1932" s="2007"/>
      <c r="LM1932" s="2007"/>
      <c r="MX1932" s="2007"/>
      <c r="ND1932" s="2007"/>
    </row>
    <row r="1933">
      <c r="A1933" s="2005">
        <f>IFERROR(__xludf.DUMMYFUNCTION("""COMPUTED_VALUE"""),1166250.0)</f>
        <v>1166250</v>
      </c>
      <c r="B1933" s="2005">
        <f>IFERROR(__xludf.DUMMYFUNCTION("""COMPUTED_VALUE"""),1103010.0)</f>
        <v>1103010</v>
      </c>
      <c r="C1933" s="2005" t="str">
        <f>IFERROR(__xludf.DUMMYFUNCTION("""COMPUTED_VALUE"""),"Pack")</f>
        <v>Pack</v>
      </c>
      <c r="D1933" s="2005" t="str">
        <f>IFERROR(__xludf.DUMMYFUNCTION("""COMPUTED_VALUE"""),"KX-TGH723FRB")</f>
        <v>KX-TGH723FRB</v>
      </c>
      <c r="E1933" s="2005" t="str">
        <f>IFERROR(__xludf.DUMMYFUNCTION("""COMPUTED_VALUE"""),"PANASONIC")</f>
        <v>PANASONIC</v>
      </c>
      <c r="F1933" s="2005" t="str">
        <f>IFERROR(__xludf.DUMMYFUNCTION("""COMPUTED_VALUE"""),"C")</f>
        <v>C</v>
      </c>
      <c r="G1933" s="2005" t="str">
        <f>IFERROR(__xludf.DUMMYFUNCTION("""COMPUTED_VALUE"""),"AC")</f>
        <v>AC</v>
      </c>
      <c r="H1933">
        <f>IFERROR(__xludf.DUMMYFUNCTION("""COMPUTED_VALUE"""),124.99)</f>
        <v>124.99</v>
      </c>
      <c r="I1933">
        <f>IFERROR(__xludf.DUMMYFUNCTION("""COMPUTED_VALUE"""),124.99)</f>
        <v>124.99</v>
      </c>
      <c r="BD1933" s="2006"/>
      <c r="LL1933" s="2007"/>
      <c r="LM1933" s="2007"/>
      <c r="MX1933" s="2007"/>
      <c r="ND1933" s="2007"/>
    </row>
    <row r="1934">
      <c r="A1934" s="2005">
        <f>IFERROR(__xludf.DUMMYFUNCTION("""COMPUTED_VALUE"""),1166284.0)</f>
        <v>1166284</v>
      </c>
      <c r="B1934" s="2005">
        <f>IFERROR(__xludf.DUMMYFUNCTION("""COMPUTED_VALUE"""),2403006.0)</f>
        <v>2403006</v>
      </c>
      <c r="C1934" s="2005" t="str">
        <f>IFERROR(__xludf.DUMMYFUNCTION("""COMPUTED_VALUE"""),"Conso Plastif")</f>
        <v>Conso Plastif</v>
      </c>
      <c r="D1934" s="2005" t="str">
        <f>IFERROR(__xludf.DUMMYFUNCTION("""COMPUTED_VALUE"""),"SET 5 OUTILS")</f>
        <v>SET 5 OUTILS</v>
      </c>
      <c r="E1934" s="2005" t="str">
        <f>IFERROR(__xludf.DUMMYFUNCTION("""COMPUTED_VALUE"""),"CRICUT")</f>
        <v>CRICUT</v>
      </c>
      <c r="F1934" s="2005" t="str">
        <f>IFERROR(__xludf.DUMMYFUNCTION("""COMPUTED_VALUE"""),"H")</f>
        <v>H</v>
      </c>
      <c r="G1934" s="2005" t="str">
        <f>IFERROR(__xludf.DUMMYFUNCTION("""COMPUTED_VALUE"""),"AC")</f>
        <v>AC</v>
      </c>
      <c r="H1934" s="2005">
        <f>IFERROR(__xludf.DUMMYFUNCTION("""COMPUTED_VALUE"""),29.49)</f>
        <v>29.49</v>
      </c>
      <c r="I1934" s="2005">
        <f>IFERROR(__xludf.DUMMYFUNCTION("""COMPUTED_VALUE"""),22.68)</f>
        <v>22.68</v>
      </c>
      <c r="BD1934" s="2006"/>
      <c r="LL1934" s="2007"/>
      <c r="LM1934" s="2007"/>
      <c r="MX1934" s="2007"/>
      <c r="ND1934" s="2007"/>
    </row>
    <row r="1935">
      <c r="A1935" s="2005">
        <f>IFERROR(__xludf.DUMMYFUNCTION("""COMPUTED_VALUE"""),1166286.0)</f>
        <v>1166286</v>
      </c>
      <c r="B1935" s="2005">
        <f>IFERROR(__xludf.DUMMYFUNCTION("""COMPUTED_VALUE"""),2403006.0)</f>
        <v>2403006</v>
      </c>
      <c r="C1935" s="2005" t="str">
        <f>IFERROR(__xludf.DUMMYFUNCTION("""COMPUTED_VALUE"""),"Conso Plastif")</f>
        <v>Conso Plastif</v>
      </c>
      <c r="D1935" s="2005" t="str">
        <f>IFERROR(__xludf.DUMMYFUNCTION("""COMPUTED_VALUE"""),"Tapis pour cartes pur Joy")</f>
        <v>Tapis pour cartes pur Joy</v>
      </c>
      <c r="E1935" s="2005" t="str">
        <f>IFERROR(__xludf.DUMMYFUNCTION("""COMPUTED_VALUE"""),"CRICUT")</f>
        <v>CRICUT</v>
      </c>
      <c r="F1935" s="2005" t="str">
        <f>IFERROR(__xludf.DUMMYFUNCTION("""COMPUTED_VALUE"""),"D")</f>
        <v>D</v>
      </c>
      <c r="G1935" s="2005" t="str">
        <f>IFERROR(__xludf.DUMMYFUNCTION("""COMPUTED_VALUE"""),"AC")</f>
        <v>AC</v>
      </c>
      <c r="H1935" s="2005">
        <f>IFERROR(__xludf.DUMMYFUNCTION("""COMPUTED_VALUE"""),9.99)</f>
        <v>9.99</v>
      </c>
      <c r="I1935" s="2005">
        <f>IFERROR(__xludf.DUMMYFUNCTION("""COMPUTED_VALUE"""),7.68)</f>
        <v>7.68</v>
      </c>
      <c r="BD1935" s="2006"/>
      <c r="LL1935" s="2008"/>
      <c r="LM1935" s="2007"/>
      <c r="MX1935" s="2007"/>
      <c r="ND1935" s="2007"/>
    </row>
    <row r="1936">
      <c r="A1936" s="2005">
        <f>IFERROR(__xludf.DUMMYFUNCTION("""COMPUTED_VALUE"""),1166289.0)</f>
        <v>1166289</v>
      </c>
      <c r="B1936" s="2005">
        <f>IFERROR(__xludf.DUMMYFUNCTION("""COMPUTED_VALUE"""),2403006.0)</f>
        <v>2403006</v>
      </c>
      <c r="C1936" s="2005" t="str">
        <f>IFERROR(__xludf.DUMMYFUNCTION("""COMPUTED_VALUE"""),"Conso Plastif")</f>
        <v>Conso Plastif</v>
      </c>
      <c r="D1936" s="2005" t="str">
        <f>IFERROR(__xludf.DUMMYFUNCTION("""COMPUTED_VALUE"""),"Insert de cartes à personnaliser noir et")</f>
        <v>Insert de cartes à personnaliser noir et</v>
      </c>
      <c r="E1936" s="2005" t="str">
        <f>IFERROR(__xludf.DUMMYFUNCTION("""COMPUTED_VALUE"""),"CRICUT")</f>
        <v>CRICUT</v>
      </c>
      <c r="F1936" s="2005" t="str">
        <f>IFERROR(__xludf.DUMMYFUNCTION("""COMPUTED_VALUE"""),"E")</f>
        <v>E</v>
      </c>
      <c r="G1936" s="2005" t="str">
        <f>IFERROR(__xludf.DUMMYFUNCTION("""COMPUTED_VALUE"""),"AC")</f>
        <v>AC</v>
      </c>
      <c r="H1936" s="2005">
        <f>IFERROR(__xludf.DUMMYFUNCTION("""COMPUTED_VALUE"""),9.99)</f>
        <v>9.99</v>
      </c>
      <c r="I1936" s="2005">
        <f>IFERROR(__xludf.DUMMYFUNCTION("""COMPUTED_VALUE"""),7.68)</f>
        <v>7.68</v>
      </c>
      <c r="BD1936" s="2006"/>
      <c r="LL1936" s="2007"/>
      <c r="LM1936" s="2007"/>
      <c r="MX1936" s="2007"/>
      <c r="ND1936" s="2007"/>
    </row>
    <row r="1937">
      <c r="A1937" s="2005">
        <f>IFERROR(__xludf.DUMMYFUNCTION("""COMPUTED_VALUE"""),1166510.0)</f>
        <v>1166510</v>
      </c>
      <c r="B1937" s="2005">
        <f>IFERROR(__xludf.DUMMYFUNCTION("""COMPUTED_VALUE"""),2209805.0)</f>
        <v>2209805</v>
      </c>
      <c r="C1937" s="2005" t="str">
        <f>IFERROR(__xludf.DUMMYFUNCTION("""COMPUTED_VALUE"""),"Lot")</f>
        <v>Lot</v>
      </c>
      <c r="D1937" s="2005" t="str">
        <f>IFERROR(__xludf.DUMMYFUNCTION("""COMPUTED_VALUE"""),"Neverstop 1001nw + Toner 143A Noirx2")</f>
        <v>Neverstop 1001nw + Toner 143A Noirx2</v>
      </c>
      <c r="E1937" s="2005" t="str">
        <f>IFERROR(__xludf.DUMMYFUNCTION("""COMPUTED_VALUE"""),"HP")</f>
        <v>HP</v>
      </c>
      <c r="F1937" s="2005" t="str">
        <f>IFERROR(__xludf.DUMMYFUNCTION("""COMPUTED_VALUE"""),"H")</f>
        <v>H</v>
      </c>
      <c r="G1937" s="2005" t="str">
        <f>IFERROR(__xludf.DUMMYFUNCTION("""COMPUTED_VALUE"""),"NN")</f>
        <v>NN</v>
      </c>
      <c r="H1937">
        <f>IFERROR(__xludf.DUMMYFUNCTION("""COMPUTED_VALUE"""),358.18)</f>
        <v>358.18</v>
      </c>
      <c r="I1937">
        <f>IFERROR(__xludf.DUMMYFUNCTION("""COMPUTED_VALUE"""),358.18)</f>
        <v>358.18</v>
      </c>
      <c r="BD1937" s="2006"/>
      <c r="LL1937" s="2008"/>
      <c r="LM1937" s="2007"/>
      <c r="MX1937" s="2007"/>
      <c r="ND1937" s="2007"/>
    </row>
    <row r="1938">
      <c r="A1938" s="2005">
        <f>IFERROR(__xludf.DUMMYFUNCTION("""COMPUTED_VALUE"""),1166577.0)</f>
        <v>1166577</v>
      </c>
      <c r="B1938" s="2005">
        <f>IFERROR(__xludf.DUMMYFUNCTION("""COMPUTED_VALUE"""),2403005.0)</f>
        <v>2403005</v>
      </c>
      <c r="C1938" s="2005" t="str">
        <f>IFERROR(__xludf.DUMMYFUNCTION("""COMPUTED_VALUE"""),"Cartouche")</f>
        <v>Cartouche</v>
      </c>
      <c r="D1938" s="2005" t="str">
        <f>IFERROR(__xludf.DUMMYFUNCTION("""COMPUTED_VALUE"""),"T46S1 Noir Photo")</f>
        <v>T46S1 Noir Photo</v>
      </c>
      <c r="E1938" s="2005" t="str">
        <f>IFERROR(__xludf.DUMMYFUNCTION("""COMPUTED_VALUE"""),"EPSON")</f>
        <v>EPSON</v>
      </c>
      <c r="F1938" s="2005" t="str">
        <f>IFERROR(__xludf.DUMMYFUNCTION("""COMPUTED_VALUE"""),"H")</f>
        <v>H</v>
      </c>
      <c r="G1938" s="2005" t="str">
        <f>IFERROR(__xludf.DUMMYFUNCTION("""COMPUTED_VALUE"""),"FR")</f>
        <v>FR</v>
      </c>
      <c r="H1938" s="2005">
        <f>IFERROR(__xludf.DUMMYFUNCTION("""COMPUTED_VALUE"""),29.99)</f>
        <v>29.99</v>
      </c>
      <c r="I1938" s="2005">
        <f>IFERROR(__xludf.DUMMYFUNCTION("""COMPUTED_VALUE"""),29.99)</f>
        <v>29.99</v>
      </c>
      <c r="BD1938" s="2006"/>
      <c r="LL1938" s="2008"/>
      <c r="LM1938" s="2007"/>
      <c r="MX1938" s="2007"/>
      <c r="ND1938" s="2007"/>
    </row>
    <row r="1939">
      <c r="A1939" s="2005">
        <f>IFERROR(__xludf.DUMMYFUNCTION("""COMPUTED_VALUE"""),1166578.0)</f>
        <v>1166578</v>
      </c>
      <c r="B1939" s="2005">
        <f>IFERROR(__xludf.DUMMYFUNCTION("""COMPUTED_VALUE"""),2403005.0)</f>
        <v>2403005</v>
      </c>
      <c r="C1939" s="2005" t="str">
        <f>IFERROR(__xludf.DUMMYFUNCTION("""COMPUTED_VALUE"""),"Cartouche")</f>
        <v>Cartouche</v>
      </c>
      <c r="D1939" s="2005" t="str">
        <f>IFERROR(__xludf.DUMMYFUNCTION("""COMPUTED_VALUE"""),"T46S2 Cyan")</f>
        <v>T46S2 Cyan</v>
      </c>
      <c r="E1939" s="2005" t="str">
        <f>IFERROR(__xludf.DUMMYFUNCTION("""COMPUTED_VALUE"""),"EPSON")</f>
        <v>EPSON</v>
      </c>
      <c r="F1939" s="2005" t="str">
        <f>IFERROR(__xludf.DUMMYFUNCTION("""COMPUTED_VALUE"""),"H")</f>
        <v>H</v>
      </c>
      <c r="G1939" s="2005" t="str">
        <f>IFERROR(__xludf.DUMMYFUNCTION("""COMPUTED_VALUE"""),"FR")</f>
        <v>FR</v>
      </c>
      <c r="H1939">
        <f>IFERROR(__xludf.DUMMYFUNCTION("""COMPUTED_VALUE"""),29.99)</f>
        <v>29.99</v>
      </c>
      <c r="I1939">
        <f>IFERROR(__xludf.DUMMYFUNCTION("""COMPUTED_VALUE"""),29.99)</f>
        <v>29.99</v>
      </c>
      <c r="BD1939" s="2006"/>
      <c r="LL1939" s="2007"/>
      <c r="LM1939" s="2007"/>
      <c r="MX1939" s="2007"/>
      <c r="ND1939" s="2007"/>
    </row>
    <row r="1940">
      <c r="A1940" s="2005">
        <f>IFERROR(__xludf.DUMMYFUNCTION("""COMPUTED_VALUE"""),1166579.0)</f>
        <v>1166579</v>
      </c>
      <c r="B1940" s="2005">
        <f>IFERROR(__xludf.DUMMYFUNCTION("""COMPUTED_VALUE"""),2403005.0)</f>
        <v>2403005</v>
      </c>
      <c r="C1940" s="2005" t="str">
        <f>IFERROR(__xludf.DUMMYFUNCTION("""COMPUTED_VALUE"""),"Cartouche")</f>
        <v>Cartouche</v>
      </c>
      <c r="D1940" s="2005" t="str">
        <f>IFERROR(__xludf.DUMMYFUNCTION("""COMPUTED_VALUE"""),"T46S3 Vivid Magenta")</f>
        <v>T46S3 Vivid Magenta</v>
      </c>
      <c r="E1940" s="2005" t="str">
        <f>IFERROR(__xludf.DUMMYFUNCTION("""COMPUTED_VALUE"""),"EPSON")</f>
        <v>EPSON</v>
      </c>
      <c r="F1940" s="2005" t="str">
        <f>IFERROR(__xludf.DUMMYFUNCTION("""COMPUTED_VALUE"""),"H")</f>
        <v>H</v>
      </c>
      <c r="G1940" s="2005" t="str">
        <f>IFERROR(__xludf.DUMMYFUNCTION("""COMPUTED_VALUE"""),"FR")</f>
        <v>FR</v>
      </c>
      <c r="H1940" s="2005">
        <f>IFERROR(__xludf.DUMMYFUNCTION("""COMPUTED_VALUE"""),29.99)</f>
        <v>29.99</v>
      </c>
      <c r="I1940" s="2005">
        <f>IFERROR(__xludf.DUMMYFUNCTION("""COMPUTED_VALUE"""),29.99)</f>
        <v>29.99</v>
      </c>
      <c r="BD1940" s="2006"/>
      <c r="LL1940" s="2008"/>
      <c r="LM1940" s="2007"/>
      <c r="MX1940" s="2007"/>
      <c r="ND1940" s="2007"/>
    </row>
    <row r="1941">
      <c r="A1941" s="2005">
        <f>IFERROR(__xludf.DUMMYFUNCTION("""COMPUTED_VALUE"""),1166580.0)</f>
        <v>1166580</v>
      </c>
      <c r="B1941" s="2005">
        <f>IFERROR(__xludf.DUMMYFUNCTION("""COMPUTED_VALUE"""),2403005.0)</f>
        <v>2403005</v>
      </c>
      <c r="C1941" s="2005" t="str">
        <f>IFERROR(__xludf.DUMMYFUNCTION("""COMPUTED_VALUE"""),"Cartouche")</f>
        <v>Cartouche</v>
      </c>
      <c r="D1941" s="2005" t="str">
        <f>IFERROR(__xludf.DUMMYFUNCTION("""COMPUTED_VALUE"""),"T46S4 Jaune")</f>
        <v>T46S4 Jaune</v>
      </c>
      <c r="E1941" s="2005" t="str">
        <f>IFERROR(__xludf.DUMMYFUNCTION("""COMPUTED_VALUE"""),"EPSON")</f>
        <v>EPSON</v>
      </c>
      <c r="F1941" s="2005" t="str">
        <f>IFERROR(__xludf.DUMMYFUNCTION("""COMPUTED_VALUE"""),"H")</f>
        <v>H</v>
      </c>
      <c r="G1941" s="2005" t="str">
        <f>IFERROR(__xludf.DUMMYFUNCTION("""COMPUTED_VALUE"""),"NN")</f>
        <v>NN</v>
      </c>
      <c r="H1941" s="2005">
        <f>IFERROR(__xludf.DUMMYFUNCTION("""COMPUTED_VALUE"""),32.99)</f>
        <v>32.99</v>
      </c>
      <c r="I1941" s="2005">
        <f>IFERROR(__xludf.DUMMYFUNCTION("""COMPUTED_VALUE"""),32.99)</f>
        <v>32.99</v>
      </c>
      <c r="BD1941" s="2006"/>
      <c r="LL1941" s="2007"/>
      <c r="LM1941" s="2007"/>
      <c r="MX1941" s="2007"/>
      <c r="ND1941" s="2007"/>
    </row>
    <row r="1942">
      <c r="A1942" s="2005">
        <f>IFERROR(__xludf.DUMMYFUNCTION("""COMPUTED_VALUE"""),1166611.0)</f>
        <v>1166611</v>
      </c>
      <c r="B1942" s="2005">
        <f>IFERROR(__xludf.DUMMYFUNCTION("""COMPUTED_VALUE"""),2403005.0)</f>
        <v>2403005</v>
      </c>
      <c r="C1942" s="2005" t="str">
        <f>IFERROR(__xludf.DUMMYFUNCTION("""COMPUTED_VALUE"""),"Cartouche")</f>
        <v>Cartouche</v>
      </c>
      <c r="D1942" s="2005" t="str">
        <f>IFERROR(__xludf.DUMMYFUNCTION("""COMPUTED_VALUE"""),"T46S5 Light Cyan")</f>
        <v>T46S5 Light Cyan</v>
      </c>
      <c r="E1942" s="2005" t="str">
        <f>IFERROR(__xludf.DUMMYFUNCTION("""COMPUTED_VALUE"""),"EPSON")</f>
        <v>EPSON</v>
      </c>
      <c r="F1942" s="2005" t="str">
        <f>IFERROR(__xludf.DUMMYFUNCTION("""COMPUTED_VALUE"""),"H")</f>
        <v>H</v>
      </c>
      <c r="G1942" s="2005" t="str">
        <f>IFERROR(__xludf.DUMMYFUNCTION("""COMPUTED_VALUE"""),"NN")</f>
        <v>NN</v>
      </c>
      <c r="H1942" s="2005">
        <f>IFERROR(__xludf.DUMMYFUNCTION("""COMPUTED_VALUE"""),32.99)</f>
        <v>32.99</v>
      </c>
      <c r="I1942">
        <f>IFERROR(__xludf.DUMMYFUNCTION("""COMPUTED_VALUE"""),32.99)</f>
        <v>32.99</v>
      </c>
      <c r="BD1942" s="2006"/>
      <c r="LL1942" s="2007"/>
      <c r="LM1942" s="2007"/>
      <c r="MX1942" s="2007"/>
      <c r="ND1942" s="2007"/>
    </row>
    <row r="1943">
      <c r="A1943" s="2005">
        <f>IFERROR(__xludf.DUMMYFUNCTION("""COMPUTED_VALUE"""),1166612.0)</f>
        <v>1166612</v>
      </c>
      <c r="B1943" s="2005">
        <f>IFERROR(__xludf.DUMMYFUNCTION("""COMPUTED_VALUE"""),2403005.0)</f>
        <v>2403005</v>
      </c>
      <c r="C1943" s="2005" t="str">
        <f>IFERROR(__xludf.DUMMYFUNCTION("""COMPUTED_VALUE"""),"Cartouche")</f>
        <v>Cartouche</v>
      </c>
      <c r="D1943" s="2005" t="str">
        <f>IFERROR(__xludf.DUMMYFUNCTION("""COMPUTED_VALUE"""),"T46S6 Vivid Light Magenta")</f>
        <v>T46S6 Vivid Light Magenta</v>
      </c>
      <c r="E1943" s="2005" t="str">
        <f>IFERROR(__xludf.DUMMYFUNCTION("""COMPUTED_VALUE"""),"EPSON")</f>
        <v>EPSON</v>
      </c>
      <c r="F1943" s="2005" t="str">
        <f>IFERROR(__xludf.DUMMYFUNCTION("""COMPUTED_VALUE"""),"H")</f>
        <v>H</v>
      </c>
      <c r="G1943" s="2005" t="str">
        <f>IFERROR(__xludf.DUMMYFUNCTION("""COMPUTED_VALUE"""),"NN")</f>
        <v>NN</v>
      </c>
      <c r="H1943" s="2005">
        <f>IFERROR(__xludf.DUMMYFUNCTION("""COMPUTED_VALUE"""),32.99)</f>
        <v>32.99</v>
      </c>
      <c r="I1943" s="2005">
        <f>IFERROR(__xludf.DUMMYFUNCTION("""COMPUTED_VALUE"""),32.99)</f>
        <v>32.99</v>
      </c>
      <c r="BD1943" s="2006"/>
      <c r="LL1943" s="2007"/>
      <c r="LM1943" s="2007"/>
      <c r="MX1943" s="2007"/>
      <c r="ND1943" s="2007"/>
    </row>
    <row r="1944">
      <c r="A1944" s="2005">
        <f>IFERROR(__xludf.DUMMYFUNCTION("""COMPUTED_VALUE"""),1166613.0)</f>
        <v>1166613</v>
      </c>
      <c r="B1944" s="2005">
        <f>IFERROR(__xludf.DUMMYFUNCTION("""COMPUTED_VALUE"""),2403005.0)</f>
        <v>2403005</v>
      </c>
      <c r="C1944" s="2005" t="str">
        <f>IFERROR(__xludf.DUMMYFUNCTION("""COMPUTED_VALUE"""),"Cartouche")</f>
        <v>Cartouche</v>
      </c>
      <c r="D1944" s="2005" t="str">
        <f>IFERROR(__xludf.DUMMYFUNCTION("""COMPUTED_VALUE"""),"T46S7 Gris")</f>
        <v>T46S7 Gris</v>
      </c>
      <c r="E1944" s="2005" t="str">
        <f>IFERROR(__xludf.DUMMYFUNCTION("""COMPUTED_VALUE"""),"EPSON")</f>
        <v>EPSON</v>
      </c>
      <c r="F1944" s="2005" t="str">
        <f>IFERROR(__xludf.DUMMYFUNCTION("""COMPUTED_VALUE"""),"H")</f>
        <v>H</v>
      </c>
      <c r="G1944" s="2005" t="str">
        <f>IFERROR(__xludf.DUMMYFUNCTION("""COMPUTED_VALUE"""),"FR")</f>
        <v>FR</v>
      </c>
      <c r="H1944" s="2005">
        <f>IFERROR(__xludf.DUMMYFUNCTION("""COMPUTED_VALUE"""),29.99)</f>
        <v>29.99</v>
      </c>
      <c r="I1944" s="2005">
        <f>IFERROR(__xludf.DUMMYFUNCTION("""COMPUTED_VALUE"""),29.99)</f>
        <v>29.99</v>
      </c>
      <c r="BD1944" s="2006"/>
      <c r="LL1944" s="2007"/>
      <c r="LM1944" s="2007"/>
      <c r="MX1944" s="2007"/>
      <c r="ND1944" s="2007"/>
    </row>
    <row r="1945">
      <c r="A1945" s="2005">
        <f>IFERROR(__xludf.DUMMYFUNCTION("""COMPUTED_VALUE"""),1166614.0)</f>
        <v>1166614</v>
      </c>
      <c r="B1945" s="2005">
        <f>IFERROR(__xludf.DUMMYFUNCTION("""COMPUTED_VALUE"""),2403005.0)</f>
        <v>2403005</v>
      </c>
      <c r="C1945" s="2005" t="str">
        <f>IFERROR(__xludf.DUMMYFUNCTION("""COMPUTED_VALUE"""),"Cartouche")</f>
        <v>Cartouche</v>
      </c>
      <c r="D1945" s="2005" t="str">
        <f>IFERROR(__xludf.DUMMYFUNCTION("""COMPUTED_VALUE"""),"T46S8  Mate Noir")</f>
        <v>T46S8  Mate Noir</v>
      </c>
      <c r="E1945" s="2005" t="str">
        <f>IFERROR(__xludf.DUMMYFUNCTION("""COMPUTED_VALUE"""),"EPSON")</f>
        <v>EPSON</v>
      </c>
      <c r="F1945" s="2005" t="str">
        <f>IFERROR(__xludf.DUMMYFUNCTION("""COMPUTED_VALUE"""),"H")</f>
        <v>H</v>
      </c>
      <c r="G1945" s="2005" t="str">
        <f>IFERROR(__xludf.DUMMYFUNCTION("""COMPUTED_VALUE"""),"FR")</f>
        <v>FR</v>
      </c>
      <c r="H1945" s="2005">
        <f>IFERROR(__xludf.DUMMYFUNCTION("""COMPUTED_VALUE"""),29.99)</f>
        <v>29.99</v>
      </c>
      <c r="I1945" s="2005">
        <f>IFERROR(__xludf.DUMMYFUNCTION("""COMPUTED_VALUE"""),29.99)</f>
        <v>29.99</v>
      </c>
      <c r="BD1945" s="2006"/>
      <c r="LL1945" s="2007"/>
      <c r="LM1945" s="2007"/>
      <c r="MX1945" s="2007"/>
      <c r="ND1945" s="2007"/>
    </row>
    <row r="1946">
      <c r="A1946" s="2005">
        <f>IFERROR(__xludf.DUMMYFUNCTION("""COMPUTED_VALUE"""),1166615.0)</f>
        <v>1166615</v>
      </c>
      <c r="B1946" s="2005">
        <f>IFERROR(__xludf.DUMMYFUNCTION("""COMPUTED_VALUE"""),2403005.0)</f>
        <v>2403005</v>
      </c>
      <c r="C1946" s="2005" t="str">
        <f>IFERROR(__xludf.DUMMYFUNCTION("""COMPUTED_VALUE"""),"Cartouche")</f>
        <v>Cartouche</v>
      </c>
      <c r="D1946" s="2005" t="str">
        <f>IFERROR(__xludf.DUMMYFUNCTION("""COMPUTED_VALUE"""),"T46S9 Light Gris")</f>
        <v>T46S9 Light Gris</v>
      </c>
      <c r="E1946" s="2005" t="str">
        <f>IFERROR(__xludf.DUMMYFUNCTION("""COMPUTED_VALUE"""),"EPSON")</f>
        <v>EPSON</v>
      </c>
      <c r="F1946" s="2005" t="str">
        <f>IFERROR(__xludf.DUMMYFUNCTION("""COMPUTED_VALUE"""),"H")</f>
        <v>H</v>
      </c>
      <c r="G1946" s="2005" t="str">
        <f>IFERROR(__xludf.DUMMYFUNCTION("""COMPUTED_VALUE"""),"FR")</f>
        <v>FR</v>
      </c>
      <c r="H1946">
        <f>IFERROR(__xludf.DUMMYFUNCTION("""COMPUTED_VALUE"""),29.99)</f>
        <v>29.99</v>
      </c>
      <c r="I1946" s="2005">
        <f>IFERROR(__xludf.DUMMYFUNCTION("""COMPUTED_VALUE"""),29.99)</f>
        <v>29.99</v>
      </c>
      <c r="BD1946" s="2006"/>
      <c r="LL1946" s="2007"/>
      <c r="LM1946" s="2007"/>
      <c r="MX1946" s="2007"/>
      <c r="ND1946" s="2007"/>
    </row>
    <row r="1947">
      <c r="A1947" s="2005">
        <f>IFERROR(__xludf.DUMMYFUNCTION("""COMPUTED_VALUE"""),1166616.0)</f>
        <v>1166616</v>
      </c>
      <c r="B1947" s="2005">
        <f>IFERROR(__xludf.DUMMYFUNCTION("""COMPUTED_VALUE"""),2403005.0)</f>
        <v>2403005</v>
      </c>
      <c r="C1947" s="2005" t="str">
        <f>IFERROR(__xludf.DUMMYFUNCTION("""COMPUTED_VALUE"""),"Cartouche")</f>
        <v>Cartouche</v>
      </c>
      <c r="D1947" s="2005" t="str">
        <f>IFERROR(__xludf.DUMMYFUNCTION("""COMPUTED_VALUE"""),"T46SD Violet")</f>
        <v>T46SD Violet</v>
      </c>
      <c r="E1947" s="2005" t="str">
        <f>IFERROR(__xludf.DUMMYFUNCTION("""COMPUTED_VALUE"""),"EPSON")</f>
        <v>EPSON</v>
      </c>
      <c r="F1947" s="2005" t="str">
        <f>IFERROR(__xludf.DUMMYFUNCTION("""COMPUTED_VALUE"""),"H")</f>
        <v>H</v>
      </c>
      <c r="G1947" s="2005" t="str">
        <f>IFERROR(__xludf.DUMMYFUNCTION("""COMPUTED_VALUE"""),"NN")</f>
        <v>NN</v>
      </c>
      <c r="H1947" s="2005">
        <f>IFERROR(__xludf.DUMMYFUNCTION("""COMPUTED_VALUE"""),32.99)</f>
        <v>32.99</v>
      </c>
      <c r="I1947" s="2005">
        <f>IFERROR(__xludf.DUMMYFUNCTION("""COMPUTED_VALUE"""),32.99)</f>
        <v>32.99</v>
      </c>
      <c r="BD1947" s="2006"/>
      <c r="LL1947" s="2008"/>
      <c r="LM1947" s="2007"/>
      <c r="MX1947" s="2007"/>
      <c r="ND1947" s="2007"/>
    </row>
    <row r="1948">
      <c r="A1948" s="2005">
        <f>IFERROR(__xludf.DUMMYFUNCTION("""COMPUTED_VALUE"""),1166762.0)</f>
        <v>1166762</v>
      </c>
      <c r="B1948" s="2005">
        <f>IFERROR(__xludf.DUMMYFUNCTION("""COMPUTED_VALUE"""),2403005.0)</f>
        <v>2403005</v>
      </c>
      <c r="C1948" s="2005" t="str">
        <f>IFERROR(__xludf.DUMMYFUNCTION("""COMPUTED_VALUE"""),"Pack")</f>
        <v>Pack</v>
      </c>
      <c r="D1948" s="2005" t="str">
        <f>IFERROR(__xludf.DUMMYFUNCTION("""COMPUTED_VALUE"""),"4 cart N 932 Noir-933 C/Y/M")</f>
        <v>4 cart N 932 Noir-933 C/Y/M</v>
      </c>
      <c r="E1948" s="2005" t="str">
        <f>IFERROR(__xludf.DUMMYFUNCTION("""COMPUTED_VALUE"""),"HP")</f>
        <v>HP</v>
      </c>
      <c r="F1948" s="2005" t="str">
        <f>IFERROR(__xludf.DUMMYFUNCTION("""COMPUTED_VALUE"""),"B")</f>
        <v>B</v>
      </c>
      <c r="G1948" s="2005" t="str">
        <f>IFERROR(__xludf.DUMMYFUNCTION("""COMPUTED_VALUE"""),"AC")</f>
        <v>AC</v>
      </c>
      <c r="H1948" s="2005">
        <f>IFERROR(__xludf.DUMMYFUNCTION("""COMPUTED_VALUE"""),79.99)</f>
        <v>79.99</v>
      </c>
      <c r="I1948" s="2005">
        <f>IFERROR(__xludf.DUMMYFUNCTION("""COMPUTED_VALUE"""),79.99)</f>
        <v>79.99</v>
      </c>
      <c r="BD1948" s="2006"/>
      <c r="LL1948" s="2007"/>
      <c r="LM1948" s="2007"/>
      <c r="MX1948" s="2007"/>
      <c r="ND1948" s="2007"/>
    </row>
    <row r="1949">
      <c r="A1949" s="2005">
        <f>IFERROR(__xludf.DUMMYFUNCTION("""COMPUTED_VALUE"""),1166766.0)</f>
        <v>1166766</v>
      </c>
      <c r="B1949" s="2005">
        <f>IFERROR(__xludf.DUMMYFUNCTION("""COMPUTED_VALUE"""),2502015.0)</f>
        <v>2502015</v>
      </c>
      <c r="C1949" s="2005" t="str">
        <f>IFERROR(__xludf.DUMMYFUNCTION("""COMPUTED_VALUE"""),"Clavier")</f>
        <v>Clavier</v>
      </c>
      <c r="D1949" s="2005" t="str">
        <f>IFERROR(__xludf.DUMMYFUNCTION("""COMPUTED_VALUE"""),"K380 pour Mac rose")</f>
        <v>K380 pour Mac rose</v>
      </c>
      <c r="E1949" s="2005" t="str">
        <f>IFERROR(__xludf.DUMMYFUNCTION("""COMPUTED_VALUE"""),"LOGITECH")</f>
        <v>LOGITECH</v>
      </c>
      <c r="F1949" s="2005" t="str">
        <f>IFERROR(__xludf.DUMMYFUNCTION("""COMPUTED_VALUE"""),"W")</f>
        <v>W</v>
      </c>
      <c r="G1949" s="2005" t="str">
        <f>IFERROR(__xludf.DUMMYFUNCTION("""COMPUTED_VALUE"""),"FR")</f>
        <v>FR</v>
      </c>
      <c r="H1949" s="2005">
        <f>IFERROR(__xludf.DUMMYFUNCTION("""COMPUTED_VALUE"""),54.99)</f>
        <v>54.99</v>
      </c>
      <c r="I1949" s="2005">
        <f>IFERROR(__xludf.DUMMYFUNCTION("""COMPUTED_VALUE"""),54.95)</f>
        <v>54.95</v>
      </c>
      <c r="BD1949" s="2006"/>
      <c r="LL1949" s="2007"/>
      <c r="LM1949" s="2007"/>
      <c r="MX1949" s="2007"/>
      <c r="ND1949" s="2007"/>
    </row>
    <row r="1950">
      <c r="A1950" s="2005">
        <f>IFERROR(__xludf.DUMMYFUNCTION("""COMPUTED_VALUE"""),1166767.0)</f>
        <v>1166767</v>
      </c>
      <c r="B1950" s="2005">
        <f>IFERROR(__xludf.DUMMYFUNCTION("""COMPUTED_VALUE"""),2502015.0)</f>
        <v>2502015</v>
      </c>
      <c r="C1950" s="2005" t="str">
        <f>IFERROR(__xludf.DUMMYFUNCTION("""COMPUTED_VALUE"""),"Clavier")</f>
        <v>Clavier</v>
      </c>
      <c r="D1950" s="2005" t="str">
        <f>IFERROR(__xludf.DUMMYFUNCTION("""COMPUTED_VALUE"""),"K380 pour Mac blanc")</f>
        <v>K380 pour Mac blanc</v>
      </c>
      <c r="E1950" s="2005" t="str">
        <f>IFERROR(__xludf.DUMMYFUNCTION("""COMPUTED_VALUE"""),"LOGITECH")</f>
        <v>LOGITECH</v>
      </c>
      <c r="F1950" s="2005" t="str">
        <f>IFERROR(__xludf.DUMMYFUNCTION("""COMPUTED_VALUE"""),"E")</f>
        <v>E</v>
      </c>
      <c r="G1950" s="2005" t="str">
        <f>IFERROR(__xludf.DUMMYFUNCTION("""COMPUTED_VALUE"""),"NN")</f>
        <v>NN</v>
      </c>
      <c r="H1950" s="2005">
        <f>IFERROR(__xludf.DUMMYFUNCTION("""COMPUTED_VALUE"""),54.99)</f>
        <v>54.99</v>
      </c>
      <c r="I1950" s="2005">
        <f>IFERROR(__xludf.DUMMYFUNCTION("""COMPUTED_VALUE"""),54.99)</f>
        <v>54.99</v>
      </c>
      <c r="BD1950" s="2006"/>
      <c r="LL1950" s="2007"/>
      <c r="LM1950" s="2007"/>
      <c r="MX1950" s="2007"/>
      <c r="ND1950" s="2007"/>
    </row>
    <row r="1951">
      <c r="A1951" s="2005">
        <f>IFERROR(__xludf.DUMMYFUNCTION("""COMPUTED_VALUE"""),1166768.0)</f>
        <v>1166768</v>
      </c>
      <c r="B1951" s="2005">
        <f>IFERROR(__xludf.DUMMYFUNCTION("""COMPUTED_VALUE"""),2503010.0)</f>
        <v>2503010</v>
      </c>
      <c r="C1951" s="2005" t="str">
        <f>IFERROR(__xludf.DUMMYFUNCTION("""COMPUTED_VALUE"""),"Casque micro")</f>
        <v>Casque micro</v>
      </c>
      <c r="D1951" s="2005" t="str">
        <f>IFERROR(__xludf.DUMMYFUNCTION("""COMPUTED_VALUE"""),"Zone 900 Graphite")</f>
        <v>Zone 900 Graphite</v>
      </c>
      <c r="E1951" s="2005" t="str">
        <f>IFERROR(__xludf.DUMMYFUNCTION("""COMPUTED_VALUE"""),"LOGITECH")</f>
        <v>LOGITECH</v>
      </c>
      <c r="F1951" s="2005" t="str">
        <f>IFERROR(__xludf.DUMMYFUNCTION("""COMPUTED_VALUE"""),"H")</f>
        <v>H</v>
      </c>
      <c r="G1951" s="2005" t="str">
        <f>IFERROR(__xludf.DUMMYFUNCTION("""COMPUTED_VALUE"""),"AC")</f>
        <v>AC</v>
      </c>
      <c r="H1951">
        <f>IFERROR(__xludf.DUMMYFUNCTION("""COMPUTED_VALUE"""),249.99)</f>
        <v>249.99</v>
      </c>
      <c r="I1951">
        <f>IFERROR(__xludf.DUMMYFUNCTION("""COMPUTED_VALUE"""),219.99)</f>
        <v>219.99</v>
      </c>
      <c r="BD1951" s="2006"/>
      <c r="LL1951" s="2007"/>
      <c r="LM1951" s="2007"/>
      <c r="MX1951" s="2007"/>
      <c r="ND1951" s="2007"/>
    </row>
    <row r="1952">
      <c r="A1952" s="2005">
        <f>IFERROR(__xludf.DUMMYFUNCTION("""COMPUTED_VALUE"""),1166769.0)</f>
        <v>1166769</v>
      </c>
      <c r="B1952" s="2005">
        <f>IFERROR(__xludf.DUMMYFUNCTION("""COMPUTED_VALUE"""),2503010.0)</f>
        <v>2503010</v>
      </c>
      <c r="C1952" s="2005" t="str">
        <f>IFERROR(__xludf.DUMMYFUNCTION("""COMPUTED_VALUE"""),"Casque micro")</f>
        <v>Casque micro</v>
      </c>
      <c r="D1952" s="2005" t="str">
        <f>IFERROR(__xludf.DUMMYFUNCTION("""COMPUTED_VALUE"""),"Zone 750 Graphite")</f>
        <v>Zone 750 Graphite</v>
      </c>
      <c r="E1952" s="2005" t="str">
        <f>IFERROR(__xludf.DUMMYFUNCTION("""COMPUTED_VALUE"""),"LOGITECH")</f>
        <v>LOGITECH</v>
      </c>
      <c r="F1952" s="2005" t="str">
        <f>IFERROR(__xludf.DUMMYFUNCTION("""COMPUTED_VALUE"""),"H")</f>
        <v>H</v>
      </c>
      <c r="G1952" s="2005" t="str">
        <f>IFERROR(__xludf.DUMMYFUNCTION("""COMPUTED_VALUE"""),"AC")</f>
        <v>AC</v>
      </c>
      <c r="H1952" s="2005">
        <f>IFERROR(__xludf.DUMMYFUNCTION("""COMPUTED_VALUE"""),139.99)</f>
        <v>139.99</v>
      </c>
      <c r="I1952" s="2005">
        <f>IFERROR(__xludf.DUMMYFUNCTION("""COMPUTED_VALUE"""),139.99)</f>
        <v>139.99</v>
      </c>
      <c r="BD1952" s="2006"/>
      <c r="LL1952" s="2007"/>
      <c r="LM1952" s="2007"/>
      <c r="MX1952" s="2007"/>
      <c r="ND1952" s="2007"/>
    </row>
    <row r="1953">
      <c r="A1953" s="2005">
        <f>IFERROR(__xludf.DUMMYFUNCTION("""COMPUTED_VALUE"""),1166770.0)</f>
        <v>1166770</v>
      </c>
      <c r="B1953" s="2005">
        <f>IFERROR(__xludf.DUMMYFUNCTION("""COMPUTED_VALUE"""),2503010.0)</f>
        <v>2503010</v>
      </c>
      <c r="C1953" s="2005" t="str">
        <f>IFERROR(__xludf.DUMMYFUNCTION("""COMPUTED_VALUE"""),"Casque micro")</f>
        <v>Casque micro</v>
      </c>
      <c r="D1953" s="2005" t="str">
        <f>IFERROR(__xludf.DUMMYFUNCTION("""COMPUTED_VALUE"""),"SRS NB10 Tour de cou Bluetooth Noir")</f>
        <v>SRS NB10 Tour de cou Bluetooth Noir</v>
      </c>
      <c r="E1953" s="2005" t="str">
        <f>IFERROR(__xludf.DUMMYFUNCTION("""COMPUTED_VALUE"""),"SONY")</f>
        <v>SONY</v>
      </c>
      <c r="F1953" s="2005" t="str">
        <f>IFERROR(__xludf.DUMMYFUNCTION("""COMPUTED_VALUE"""),"H")</f>
        <v>H</v>
      </c>
      <c r="G1953" s="2005" t="str">
        <f>IFERROR(__xludf.DUMMYFUNCTION("""COMPUTED_VALUE"""),"AC")</f>
        <v>AC</v>
      </c>
      <c r="H1953" s="2005">
        <f>IFERROR(__xludf.DUMMYFUNCTION("""COMPUTED_VALUE"""),149.99)</f>
        <v>149.99</v>
      </c>
      <c r="I1953" s="2005">
        <f>IFERROR(__xludf.DUMMYFUNCTION("""COMPUTED_VALUE"""),149.99)</f>
        <v>149.99</v>
      </c>
      <c r="BD1953" s="2006"/>
      <c r="LL1953" s="2007"/>
      <c r="LM1953" s="2007"/>
      <c r="MX1953" s="2007"/>
      <c r="ND1953" s="2007"/>
    </row>
    <row r="1954">
      <c r="A1954" s="2005">
        <f>IFERROR(__xludf.DUMMYFUNCTION("""COMPUTED_VALUE"""),1166801.0)</f>
        <v>1166801</v>
      </c>
      <c r="B1954" s="2005">
        <f>IFERROR(__xludf.DUMMYFUNCTION("""COMPUTED_VALUE"""),2503010.0)</f>
        <v>2503010</v>
      </c>
      <c r="C1954" s="2005" t="str">
        <f>IFERROR(__xludf.DUMMYFUNCTION("""COMPUTED_VALUE"""),"Casque micro")</f>
        <v>Casque micro</v>
      </c>
      <c r="D1954" s="2005" t="str">
        <f>IFERROR(__xludf.DUMMYFUNCTION("""COMPUTED_VALUE"""),"SRS NB10 Tour de cou Bluetooth Blanc")</f>
        <v>SRS NB10 Tour de cou Bluetooth Blanc</v>
      </c>
      <c r="E1954" s="2005" t="str">
        <f>IFERROR(__xludf.DUMMYFUNCTION("""COMPUTED_VALUE"""),"SONY")</f>
        <v>SONY</v>
      </c>
      <c r="F1954" s="2005" t="str">
        <f>IFERROR(__xludf.DUMMYFUNCTION("""COMPUTED_VALUE"""),"H")</f>
        <v>H</v>
      </c>
      <c r="G1954" s="2005" t="str">
        <f>IFERROR(__xludf.DUMMYFUNCTION("""COMPUTED_VALUE"""),"NN")</f>
        <v>NN</v>
      </c>
      <c r="H1954" s="2005">
        <f>IFERROR(__xludf.DUMMYFUNCTION("""COMPUTED_VALUE"""),149.99)</f>
        <v>149.99</v>
      </c>
      <c r="I1954" s="2005">
        <f>IFERROR(__xludf.DUMMYFUNCTION("""COMPUTED_VALUE"""),149.99)</f>
        <v>149.99</v>
      </c>
      <c r="BD1954" s="2006"/>
      <c r="LL1954" s="2008"/>
      <c r="LM1954" s="2007"/>
      <c r="MX1954" s="2007"/>
      <c r="ND1954" s="2007"/>
    </row>
    <row r="1955">
      <c r="A1955" s="2005">
        <f>IFERROR(__xludf.DUMMYFUNCTION("""COMPUTED_VALUE"""),1167361.0)</f>
        <v>1167361</v>
      </c>
      <c r="B1955" s="2005">
        <f>IFERROR(__xludf.DUMMYFUNCTION("""COMPUTED_VALUE"""),2201010.0)</f>
        <v>2201010</v>
      </c>
      <c r="C1955" s="2005" t="str">
        <f>IFERROR(__xludf.DUMMYFUNCTION("""COMPUTED_VALUE"""),"Mono Jet d'encr")</f>
        <v>Mono Jet d'encr</v>
      </c>
      <c r="D1955" s="2005" t="str">
        <f>IFERROR(__xludf.DUMMYFUNCTION("""COMPUTED_VALUE"""),"WF-7310DTW")</f>
        <v>WF-7310DTW</v>
      </c>
      <c r="E1955" s="2005" t="str">
        <f>IFERROR(__xludf.DUMMYFUNCTION("""COMPUTED_VALUE"""),"EPSON")</f>
        <v>EPSON</v>
      </c>
      <c r="F1955" s="2005" t="str">
        <f>IFERROR(__xludf.DUMMYFUNCTION("""COMPUTED_VALUE"""),"H")</f>
        <v>H</v>
      </c>
      <c r="G1955" s="2005" t="str">
        <f>IFERROR(__xludf.DUMMYFUNCTION("""COMPUTED_VALUE"""),"AC")</f>
        <v>AC</v>
      </c>
      <c r="H1955" s="2005">
        <f>IFERROR(__xludf.DUMMYFUNCTION("""COMPUTED_VALUE"""),219.99)</f>
        <v>219.99</v>
      </c>
      <c r="I1955" s="2005">
        <f>IFERROR(__xludf.DUMMYFUNCTION("""COMPUTED_VALUE"""),209.99)</f>
        <v>209.99</v>
      </c>
      <c r="BD1955" s="2006"/>
      <c r="LL1955" s="2008"/>
      <c r="LM1955" s="2007"/>
      <c r="MX1955" s="2007"/>
      <c r="ND1955" s="2007"/>
    </row>
    <row r="1956">
      <c r="A1956" s="2005">
        <f>IFERROR(__xludf.DUMMYFUNCTION("""COMPUTED_VALUE"""),1167731.0)</f>
        <v>1167731</v>
      </c>
      <c r="B1956" s="2005">
        <f>IFERROR(__xludf.DUMMYFUNCTION("""COMPUTED_VALUE"""),2201020.0)</f>
        <v>2201020</v>
      </c>
      <c r="C1956" s="2005" t="str">
        <f>IFERROR(__xludf.DUMMYFUNCTION("""COMPUTED_VALUE"""),"Mono Laser")</f>
        <v>Mono Laser</v>
      </c>
      <c r="D1956" s="2005" t="str">
        <f>IFERROR(__xludf.DUMMYFUNCTION("""COMPUTED_VALUE"""),"LaserJet M209dwe éligible Instant Ink")</f>
        <v>LaserJet M209dwe éligible Instant Ink</v>
      </c>
      <c r="E1956" s="2005" t="str">
        <f>IFERROR(__xludf.DUMMYFUNCTION("""COMPUTED_VALUE"""),"HP")</f>
        <v>HP</v>
      </c>
      <c r="F1956" s="2005" t="str">
        <f>IFERROR(__xludf.DUMMYFUNCTION("""COMPUTED_VALUE"""),"D")</f>
        <v>D</v>
      </c>
      <c r="G1956" s="2005" t="str">
        <f>IFERROR(__xludf.DUMMYFUNCTION("""COMPUTED_VALUE"""),"AC")</f>
        <v>AC</v>
      </c>
      <c r="H1956">
        <f>IFERROR(__xludf.DUMMYFUNCTION("""COMPUTED_VALUE"""),159.99)</f>
        <v>159.99</v>
      </c>
      <c r="I1956" s="2005">
        <f>IFERROR(__xludf.DUMMYFUNCTION("""COMPUTED_VALUE"""),159.99)</f>
        <v>159.99</v>
      </c>
      <c r="BD1956" s="2006"/>
      <c r="LL1956" s="2007"/>
      <c r="LM1956" s="2007"/>
      <c r="MX1956" s="2007"/>
      <c r="ND1956" s="2007"/>
    </row>
    <row r="1957">
      <c r="A1957" s="2005">
        <f>IFERROR(__xludf.DUMMYFUNCTION("""COMPUTED_VALUE"""),1167732.0)</f>
        <v>1167732</v>
      </c>
      <c r="B1957" s="2005">
        <f>IFERROR(__xludf.DUMMYFUNCTION("""COMPUTED_VALUE"""),2202008.0)</f>
        <v>2202008</v>
      </c>
      <c r="C1957" s="2005" t="str">
        <f>IFERROR(__xludf.DUMMYFUNCTION("""COMPUTED_VALUE"""),"Multi Laser")</f>
        <v>Multi Laser</v>
      </c>
      <c r="D1957" s="2005" t="str">
        <f>IFERROR(__xludf.DUMMYFUNCTION("""COMPUTED_VALUE"""),"LaserJet Pro M255dw")</f>
        <v>LaserJet Pro M255dw</v>
      </c>
      <c r="E1957" s="2005" t="str">
        <f>IFERROR(__xludf.DUMMYFUNCTION("""COMPUTED_VALUE"""),"HP")</f>
        <v>HP</v>
      </c>
      <c r="F1957" s="2005" t="str">
        <f>IFERROR(__xludf.DUMMYFUNCTION("""COMPUTED_VALUE"""),"H")</f>
        <v>H</v>
      </c>
      <c r="G1957" s="2005" t="str">
        <f>IFERROR(__xludf.DUMMYFUNCTION("""COMPUTED_VALUE"""),"NN")</f>
        <v>NN</v>
      </c>
      <c r="H1957">
        <f>IFERROR(__xludf.DUMMYFUNCTION("""COMPUTED_VALUE"""),409.99)</f>
        <v>409.99</v>
      </c>
      <c r="I1957">
        <f>IFERROR(__xludf.DUMMYFUNCTION("""COMPUTED_VALUE"""),409.99)</f>
        <v>409.99</v>
      </c>
      <c r="LL1957" s="2007"/>
      <c r="LM1957" s="2007"/>
    </row>
    <row r="1958">
      <c r="A1958" s="2005">
        <f>IFERROR(__xludf.DUMMYFUNCTION("""COMPUTED_VALUE"""),1167733.0)</f>
        <v>1167733</v>
      </c>
      <c r="B1958" s="2005">
        <f>IFERROR(__xludf.DUMMYFUNCTION("""COMPUTED_VALUE"""),2202005.0)</f>
        <v>2202005</v>
      </c>
      <c r="C1958" s="2005" t="str">
        <f>IFERROR(__xludf.DUMMYFUNCTION("""COMPUTED_VALUE"""),"Multi Jet d'enc")</f>
        <v>Multi Jet d'enc</v>
      </c>
      <c r="D1958" s="2005" t="str">
        <f>IFERROR(__xludf.DUMMYFUNCTION("""COMPUTED_VALUE"""),"OfficeJet Pro 8015e éligible Instant Ink")</f>
        <v>OfficeJet Pro 8015e éligible Instant Ink</v>
      </c>
      <c r="E1958" s="2005" t="str">
        <f>IFERROR(__xludf.DUMMYFUNCTION("""COMPUTED_VALUE"""),"HP")</f>
        <v>HP</v>
      </c>
      <c r="F1958" s="2005" t="str">
        <f>IFERROR(__xludf.DUMMYFUNCTION("""COMPUTED_VALUE"""),"H")</f>
        <v>H</v>
      </c>
      <c r="G1958" s="2005" t="str">
        <f>IFERROR(__xludf.DUMMYFUNCTION("""COMPUTED_VALUE"""),"NN")</f>
        <v>NN</v>
      </c>
      <c r="H1958">
        <f>IFERROR(__xludf.DUMMYFUNCTION("""COMPUTED_VALUE"""),139.9)</f>
        <v>139.9</v>
      </c>
      <c r="I1958">
        <f>IFERROR(__xludf.DUMMYFUNCTION("""COMPUTED_VALUE"""),139.9)</f>
        <v>139.9</v>
      </c>
      <c r="LL1958" s="2007"/>
      <c r="LM1958" s="2007"/>
    </row>
    <row r="1959">
      <c r="A1959" s="2005">
        <f>IFERROR(__xludf.DUMMYFUNCTION("""COMPUTED_VALUE"""),1168182.0)</f>
        <v>1168182</v>
      </c>
      <c r="B1959" s="2005">
        <f>IFERROR(__xludf.DUMMYFUNCTION("""COMPUTED_VALUE"""),2502024.0)</f>
        <v>2502024</v>
      </c>
      <c r="C1959" s="2005" t="str">
        <f>IFERROR(__xludf.DUMMYFUNCTION("""COMPUTED_VALUE"""),"Stylet")</f>
        <v>Stylet</v>
      </c>
      <c r="D1959" s="2005" t="str">
        <f>IFERROR(__xludf.DUMMYFUNCTION("""COMPUTED_VALUE"""),"S Pen Fold 3 Noir")</f>
        <v>S Pen Fold 3 Noir</v>
      </c>
      <c r="E1959" s="2005" t="str">
        <f>IFERROR(__xludf.DUMMYFUNCTION("""COMPUTED_VALUE"""),"SAMSUNG")</f>
        <v>SAMSUNG</v>
      </c>
      <c r="F1959" s="2005" t="str">
        <f>IFERROR(__xludf.DUMMYFUNCTION("""COMPUTED_VALUE"""),"C")</f>
        <v>C</v>
      </c>
      <c r="G1959" s="2005" t="str">
        <f>IFERROR(__xludf.DUMMYFUNCTION("""COMPUTED_VALUE"""),"FF")</f>
        <v>FF</v>
      </c>
      <c r="H1959" s="2005">
        <f>IFERROR(__xludf.DUMMYFUNCTION("""COMPUTED_VALUE"""),49.99)</f>
        <v>49.99</v>
      </c>
      <c r="I1959" s="2005">
        <f>IFERROR(__xludf.DUMMYFUNCTION("""COMPUTED_VALUE"""),49.99)</f>
        <v>49.99</v>
      </c>
      <c r="BD1959" s="2006"/>
      <c r="LM1959" s="2007"/>
      <c r="MX1959" s="2007"/>
      <c r="ND1959" s="2007"/>
    </row>
    <row r="1960">
      <c r="A1960" s="2005">
        <f>IFERROR(__xludf.DUMMYFUNCTION("""COMPUTED_VALUE"""),1168183.0)</f>
        <v>1168183</v>
      </c>
      <c r="B1960" s="2005">
        <f>IFERROR(__xludf.DUMMYFUNCTION("""COMPUTED_VALUE"""),2502024.0)</f>
        <v>2502024</v>
      </c>
      <c r="C1960" s="2005" t="str">
        <f>IFERROR(__xludf.DUMMYFUNCTION("""COMPUTED_VALUE"""),"Stylet")</f>
        <v>Stylet</v>
      </c>
      <c r="D1960" s="2005" t="str">
        <f>IFERROR(__xludf.DUMMYFUNCTION("""COMPUTED_VALUE"""),"S Pen Pro Universel Noir")</f>
        <v>S Pen Pro Universel Noir</v>
      </c>
      <c r="E1960" s="2005" t="str">
        <f>IFERROR(__xludf.DUMMYFUNCTION("""COMPUTED_VALUE"""),"SAMSUNG")</f>
        <v>SAMSUNG</v>
      </c>
      <c r="F1960" s="2005" t="str">
        <f>IFERROR(__xludf.DUMMYFUNCTION("""COMPUTED_VALUE"""),"D")</f>
        <v>D</v>
      </c>
      <c r="G1960" s="2005" t="str">
        <f>IFERROR(__xludf.DUMMYFUNCTION("""COMPUTED_VALUE"""),"FR")</f>
        <v>FR</v>
      </c>
      <c r="H1960" s="2005">
        <f>IFERROR(__xludf.DUMMYFUNCTION("""COMPUTED_VALUE"""),99.99)</f>
        <v>99.99</v>
      </c>
      <c r="I1960" s="2005">
        <f>IFERROR(__xludf.DUMMYFUNCTION("""COMPUTED_VALUE"""),99.99)</f>
        <v>99.99</v>
      </c>
      <c r="BD1960" s="2006"/>
      <c r="LL1960" s="2007"/>
      <c r="LM1960" s="2007"/>
      <c r="MX1960" s="2007"/>
      <c r="ND1960" s="2007"/>
    </row>
    <row r="1961">
      <c r="A1961" s="2005">
        <f>IFERROR(__xludf.DUMMYFUNCTION("""COMPUTED_VALUE"""),1168184.0)</f>
        <v>1168184</v>
      </c>
      <c r="B1961" s="2005">
        <f>IFERROR(__xludf.DUMMYFUNCTION("""COMPUTED_VALUE"""),2502024.0)</f>
        <v>2502024</v>
      </c>
      <c r="C1961" s="2005" t="str">
        <f>IFERROR(__xludf.DUMMYFUNCTION("""COMPUTED_VALUE"""),"Stylet")</f>
        <v>Stylet</v>
      </c>
      <c r="D1961" s="2005" t="str">
        <f>IFERROR(__xludf.DUMMYFUNCTION("""COMPUTED_VALUE"""),"S Pen S21 Ultra Noir")</f>
        <v>S Pen S21 Ultra Noir</v>
      </c>
      <c r="E1961" s="2005" t="str">
        <f>IFERROR(__xludf.DUMMYFUNCTION("""COMPUTED_VALUE"""),"SAMSUNG")</f>
        <v>SAMSUNG</v>
      </c>
      <c r="F1961" s="2005" t="str">
        <f>IFERROR(__xludf.DUMMYFUNCTION("""COMPUTED_VALUE"""),"H")</f>
        <v>H</v>
      </c>
      <c r="G1961" s="2005" t="str">
        <f>IFERROR(__xludf.DUMMYFUNCTION("""COMPUTED_VALUE"""),"NN")</f>
        <v>NN</v>
      </c>
      <c r="H1961" s="2005">
        <f>IFERROR(__xludf.DUMMYFUNCTION("""COMPUTED_VALUE"""),39.99)</f>
        <v>39.99</v>
      </c>
      <c r="I1961" s="2005">
        <f>IFERROR(__xludf.DUMMYFUNCTION("""COMPUTED_VALUE"""),39.99)</f>
        <v>39.99</v>
      </c>
      <c r="BD1961" s="2006"/>
      <c r="LL1961" s="2007"/>
      <c r="LM1961" s="2007"/>
      <c r="MX1961" s="2007"/>
      <c r="ND1961" s="2007"/>
    </row>
    <row r="1962">
      <c r="A1962" s="2005">
        <f>IFERROR(__xludf.DUMMYFUNCTION("""COMPUTED_VALUE"""),1168633.0)</f>
        <v>1168633</v>
      </c>
      <c r="B1962" s="2005">
        <f>IFERROR(__xludf.DUMMYFUNCTION("""COMPUTED_VALUE"""),2706010.0)</f>
        <v>2706010</v>
      </c>
      <c r="C1962" s="2005" t="str">
        <f>IFERROR(__xludf.DUMMYFUNCTION("""COMPUTED_VALUE"""),"Fauteuil")</f>
        <v>Fauteuil</v>
      </c>
      <c r="D1962" s="2005" t="str">
        <f>IFERROR(__xludf.DUMMYFUNCTION("""COMPUTED_VALUE"""),"Ergonomique ESC05UF")</f>
        <v>Ergonomique ESC05UF</v>
      </c>
      <c r="E1962" s="2005" t="str">
        <f>IFERROR(__xludf.DUMMYFUNCTION("""COMPUTED_VALUE"""),"URBAN FACTORY")</f>
        <v>URBAN FACTORY</v>
      </c>
      <c r="F1962" s="2005" t="str">
        <f>IFERROR(__xludf.DUMMYFUNCTION("""COMPUTED_VALUE"""),"C")</f>
        <v>C</v>
      </c>
      <c r="G1962" s="2005" t="str">
        <f>IFERROR(__xludf.DUMMYFUNCTION("""COMPUTED_VALUE"""),"AC")</f>
        <v>AC</v>
      </c>
      <c r="H1962" s="2005">
        <f>IFERROR(__xludf.DUMMYFUNCTION("""COMPUTED_VALUE"""),178.59)</f>
        <v>178.59</v>
      </c>
      <c r="I1962" s="2005">
        <f>IFERROR(__xludf.DUMMYFUNCTION("""COMPUTED_VALUE"""),178.59)</f>
        <v>178.59</v>
      </c>
      <c r="BD1962" s="2006"/>
      <c r="LL1962" s="2007"/>
      <c r="LM1962" s="2007"/>
      <c r="MX1962" s="2007"/>
      <c r="ND1962" s="2007"/>
    </row>
    <row r="1963">
      <c r="A1963" s="2005">
        <f>IFERROR(__xludf.DUMMYFUNCTION("""COMPUTED_VALUE"""),1168662.0)</f>
        <v>1168662</v>
      </c>
      <c r="B1963" s="2005">
        <f>IFERROR(__xludf.DUMMYFUNCTION("""COMPUTED_VALUE"""),2502015.0)</f>
        <v>2502015</v>
      </c>
      <c r="C1963" s="2005" t="str">
        <f>IFERROR(__xludf.DUMMYFUNCTION("""COMPUTED_VALUE"""),"Clavier")</f>
        <v>Clavier</v>
      </c>
      <c r="D1963" s="2005" t="str">
        <f>IFERROR(__xludf.DUMMYFUNCTION("""COMPUTED_VALUE"""),"Pro Wireless Keyboard and Mouse")</f>
        <v>Pro Wireless Keyboard and Mouse</v>
      </c>
      <c r="E1963" s="2005" t="str">
        <f>IFERROR(__xludf.DUMMYFUNCTION("""COMPUTED_VALUE"""),"DELL")</f>
        <v>DELL</v>
      </c>
      <c r="F1963" s="2005" t="str">
        <f>IFERROR(__xludf.DUMMYFUNCTION("""COMPUTED_VALUE"""),"H")</f>
        <v>H</v>
      </c>
      <c r="G1963" s="2005" t="str">
        <f>IFERROR(__xludf.DUMMYFUNCTION("""COMPUTED_VALUE"""),"NN")</f>
        <v>NN</v>
      </c>
      <c r="H1963" s="2005">
        <f>IFERROR(__xludf.DUMMYFUNCTION("""COMPUTED_VALUE"""),46.03)</f>
        <v>46.03</v>
      </c>
      <c r="I1963" s="2005">
        <f>IFERROR(__xludf.DUMMYFUNCTION("""COMPUTED_VALUE"""),46.03)</f>
        <v>46.03</v>
      </c>
      <c r="BD1963" s="2006"/>
      <c r="LL1963" s="2007"/>
      <c r="LM1963" s="2007"/>
      <c r="MX1963" s="2007"/>
      <c r="ND1963" s="2007"/>
    </row>
    <row r="1964">
      <c r="A1964" s="2005">
        <f>IFERROR(__xludf.DUMMYFUNCTION("""COMPUTED_VALUE"""),1168663.0)</f>
        <v>1168663</v>
      </c>
      <c r="B1964" s="2005">
        <f>IFERROR(__xludf.DUMMYFUNCTION("""COMPUTED_VALUE"""),2502010.0)</f>
        <v>2502010</v>
      </c>
      <c r="C1964" s="2005" t="str">
        <f>IFERROR(__xludf.DUMMYFUNCTION("""COMPUTED_VALUE"""),"Souris")</f>
        <v>Souris</v>
      </c>
      <c r="D1964" s="2005" t="str">
        <f>IFERROR(__xludf.DUMMYFUNCTION("""COMPUTED_VALUE"""),"Optical Mouse-MS116 - Black")</f>
        <v>Optical Mouse-MS116 - Black</v>
      </c>
      <c r="E1964" s="2005" t="str">
        <f>IFERROR(__xludf.DUMMYFUNCTION("""COMPUTED_VALUE"""),"DELL")</f>
        <v>DELL</v>
      </c>
      <c r="F1964" s="2005" t="str">
        <f>IFERROR(__xludf.DUMMYFUNCTION("""COMPUTED_VALUE"""),"H")</f>
        <v>H</v>
      </c>
      <c r="G1964" s="2005" t="str">
        <f>IFERROR(__xludf.DUMMYFUNCTION("""COMPUTED_VALUE"""),"NN")</f>
        <v>NN</v>
      </c>
      <c r="H1964" s="2005">
        <f>IFERROR(__xludf.DUMMYFUNCTION("""COMPUTED_VALUE"""),11.99)</f>
        <v>11.99</v>
      </c>
      <c r="I1964" s="2005">
        <f>IFERROR(__xludf.DUMMYFUNCTION("""COMPUTED_VALUE"""),11.99)</f>
        <v>11.99</v>
      </c>
      <c r="BD1964" s="2006"/>
      <c r="LL1964" s="2007"/>
      <c r="LM1964" s="2007"/>
      <c r="MX1964" s="2007"/>
      <c r="ND1964" s="2007"/>
    </row>
    <row r="1965">
      <c r="A1965" s="2005">
        <f>IFERROR(__xludf.DUMMYFUNCTION("""COMPUTED_VALUE"""),1168808.0)</f>
        <v>1168808</v>
      </c>
      <c r="B1965" s="2005">
        <f>IFERROR(__xludf.DUMMYFUNCTION("""COMPUTED_VALUE"""),2706520.0)</f>
        <v>2706520</v>
      </c>
      <c r="C1965" s="2005" t="str">
        <f>IFERROR(__xludf.DUMMYFUNCTION("""COMPUTED_VALUE"""),"Lampe")</f>
        <v>Lampe</v>
      </c>
      <c r="D1965" s="2005" t="str">
        <f>IFERROR(__xludf.DUMMYFUNCTION("""COMPUTED_VALUE"""),"Lampe LED de bureau  TT-DL13 Noir")</f>
        <v>Lampe LED de bureau  TT-DL13 Noir</v>
      </c>
      <c r="E1965" s="2005" t="str">
        <f>IFERROR(__xludf.DUMMYFUNCTION("""COMPUTED_VALUE"""),"TAOTRONICS")</f>
        <v>TAOTRONICS</v>
      </c>
      <c r="F1965" s="2005" t="str">
        <f>IFERROR(__xludf.DUMMYFUNCTION("""COMPUTED_VALUE"""),"E")</f>
        <v>E</v>
      </c>
      <c r="G1965" s="2005" t="str">
        <f>IFERROR(__xludf.DUMMYFUNCTION("""COMPUTED_VALUE"""),"FF")</f>
        <v>FF</v>
      </c>
      <c r="H1965" s="2005">
        <f>IFERROR(__xludf.DUMMYFUNCTION("""COMPUTED_VALUE"""),39.99)</f>
        <v>39.99</v>
      </c>
      <c r="I1965">
        <f>IFERROR(__xludf.DUMMYFUNCTION("""COMPUTED_VALUE"""),39.99)</f>
        <v>39.99</v>
      </c>
      <c r="LL1965" s="2007"/>
      <c r="LM1965" s="2007"/>
    </row>
    <row r="1966">
      <c r="A1966" s="2005">
        <f>IFERROR(__xludf.DUMMYFUNCTION("""COMPUTED_VALUE"""),1168809.0)</f>
        <v>1168809</v>
      </c>
      <c r="B1966" s="2005">
        <f>IFERROR(__xludf.DUMMYFUNCTION("""COMPUTED_VALUE"""),2706520.0)</f>
        <v>2706520</v>
      </c>
      <c r="C1966" s="2005" t="str">
        <f>IFERROR(__xludf.DUMMYFUNCTION("""COMPUTED_VALUE"""),"Lampe")</f>
        <v>Lampe</v>
      </c>
      <c r="D1966" s="2005" t="str">
        <f>IFERROR(__xludf.DUMMYFUNCTION("""COMPUTED_VALUE"""),"Lampe LED de bureau  TT-DL13 Silver")</f>
        <v>Lampe LED de bureau  TT-DL13 Silver</v>
      </c>
      <c r="E1966" s="2005" t="str">
        <f>IFERROR(__xludf.DUMMYFUNCTION("""COMPUTED_VALUE"""),"TAOTRONICS")</f>
        <v>TAOTRONICS</v>
      </c>
      <c r="F1966" s="2005" t="str">
        <f>IFERROR(__xludf.DUMMYFUNCTION("""COMPUTED_VALUE"""),"A")</f>
        <v>A</v>
      </c>
      <c r="G1966" s="2005" t="str">
        <f>IFERROR(__xludf.DUMMYFUNCTION("""COMPUTED_VALUE"""),"FF")</f>
        <v>FF</v>
      </c>
      <c r="H1966" s="2005">
        <f>IFERROR(__xludf.DUMMYFUNCTION("""COMPUTED_VALUE"""),39.99)</f>
        <v>39.99</v>
      </c>
      <c r="I1966" s="2005">
        <f>IFERROR(__xludf.DUMMYFUNCTION("""COMPUTED_VALUE"""),39.99)</f>
        <v>39.99</v>
      </c>
      <c r="LL1966" s="2007"/>
      <c r="LM1966" s="2007"/>
      <c r="MX1966" s="2007"/>
      <c r="ND1966" s="2007"/>
    </row>
    <row r="1967">
      <c r="A1967" s="2005">
        <f>IFERROR(__xludf.DUMMYFUNCTION("""COMPUTED_VALUE"""),1168810.0)</f>
        <v>1168810</v>
      </c>
      <c r="B1967" s="2005">
        <f>IFERROR(__xludf.DUMMYFUNCTION("""COMPUTED_VALUE"""),2706520.0)</f>
        <v>2706520</v>
      </c>
      <c r="C1967" s="2005" t="str">
        <f>IFERROR(__xludf.DUMMYFUNCTION("""COMPUTED_VALUE"""),"Lampe")</f>
        <v>Lampe</v>
      </c>
      <c r="D1967" s="2005" t="str">
        <f>IFERROR(__xludf.DUMMYFUNCTION("""COMPUTED_VALUE"""),"Lampe LED de bureau  TT-DL19 Noir")</f>
        <v>Lampe LED de bureau  TT-DL19 Noir</v>
      </c>
      <c r="E1967" s="2005" t="str">
        <f>IFERROR(__xludf.DUMMYFUNCTION("""COMPUTED_VALUE"""),"TAOTRONICS")</f>
        <v>TAOTRONICS</v>
      </c>
      <c r="F1967" s="2005" t="str">
        <f>IFERROR(__xludf.DUMMYFUNCTION("""COMPUTED_VALUE"""),"H")</f>
        <v>H</v>
      </c>
      <c r="G1967" s="2005" t="str">
        <f>IFERROR(__xludf.DUMMYFUNCTION("""COMPUTED_VALUE"""),"NN")</f>
        <v>NN</v>
      </c>
      <c r="H1967" s="2005">
        <f>IFERROR(__xludf.DUMMYFUNCTION("""COMPUTED_VALUE"""),49.99)</f>
        <v>49.99</v>
      </c>
      <c r="I1967">
        <f>IFERROR(__xludf.DUMMYFUNCTION("""COMPUTED_VALUE"""),49.99)</f>
        <v>49.99</v>
      </c>
      <c r="LL1967" s="2008"/>
      <c r="LM1967" s="2007"/>
      <c r="MX1967" s="2007"/>
      <c r="ND1967" s="2007"/>
    </row>
    <row r="1968">
      <c r="A1968" s="2005">
        <f>IFERROR(__xludf.DUMMYFUNCTION("""COMPUTED_VALUE"""),1168811.0)</f>
        <v>1168811</v>
      </c>
      <c r="B1968" s="2005">
        <f>IFERROR(__xludf.DUMMYFUNCTION("""COMPUTED_VALUE"""),2706520.0)</f>
        <v>2706520</v>
      </c>
      <c r="C1968" s="2005" t="str">
        <f>IFERROR(__xludf.DUMMYFUNCTION("""COMPUTED_VALUE"""),"Lampe")</f>
        <v>Lampe</v>
      </c>
      <c r="D1968" s="2005" t="str">
        <f>IFERROR(__xludf.DUMMYFUNCTION("""COMPUTED_VALUE"""),"Lampe LED de bureau  TT-DL19 Silver")</f>
        <v>Lampe LED de bureau  TT-DL19 Silver</v>
      </c>
      <c r="E1968" s="2005" t="str">
        <f>IFERROR(__xludf.DUMMYFUNCTION("""COMPUTED_VALUE"""),"TAOTRONICS")</f>
        <v>TAOTRONICS</v>
      </c>
      <c r="F1968" s="2005" t="str">
        <f>IFERROR(__xludf.DUMMYFUNCTION("""COMPUTED_VALUE"""),"B")</f>
        <v>B</v>
      </c>
      <c r="G1968" s="2005" t="str">
        <f>IFERROR(__xludf.DUMMYFUNCTION("""COMPUTED_VALUE"""),"FF")</f>
        <v>FF</v>
      </c>
      <c r="H1968" s="2005">
        <f>IFERROR(__xludf.DUMMYFUNCTION("""COMPUTED_VALUE"""),49.99)</f>
        <v>49.99</v>
      </c>
      <c r="I1968" s="2005">
        <f>IFERROR(__xludf.DUMMYFUNCTION("""COMPUTED_VALUE"""),49.99)</f>
        <v>49.99</v>
      </c>
      <c r="LL1968" s="2007"/>
      <c r="LM1968" s="2007"/>
      <c r="MX1968" s="2007"/>
      <c r="ND1968" s="2007"/>
    </row>
    <row r="1969">
      <c r="A1969" s="2005">
        <f>IFERROR(__xludf.DUMMYFUNCTION("""COMPUTED_VALUE"""),1168812.0)</f>
        <v>1168812</v>
      </c>
      <c r="B1969" s="2005">
        <f>IFERROR(__xludf.DUMMYFUNCTION("""COMPUTED_VALUE"""),2706520.0)</f>
        <v>2706520</v>
      </c>
      <c r="C1969" s="2005" t="str">
        <f>IFERROR(__xludf.DUMMYFUNCTION("""COMPUTED_VALUE"""),"Lampe")</f>
        <v>Lampe</v>
      </c>
      <c r="D1969" s="2005" t="str">
        <f>IFERROR(__xludf.DUMMYFUNCTION("""COMPUTED_VALUE"""),"Lampe LED de bureau  TT-DL069")</f>
        <v>Lampe LED de bureau  TT-DL069</v>
      </c>
      <c r="E1969" s="2005" t="str">
        <f>IFERROR(__xludf.DUMMYFUNCTION("""COMPUTED_VALUE"""),"TAOTRONICS")</f>
        <v>TAOTRONICS</v>
      </c>
      <c r="F1969" s="2005" t="str">
        <f>IFERROR(__xludf.DUMMYFUNCTION("""COMPUTED_VALUE"""),"D")</f>
        <v>D</v>
      </c>
      <c r="G1969" s="2005" t="str">
        <f>IFERROR(__xludf.DUMMYFUNCTION("""COMPUTED_VALUE"""),"FI")</f>
        <v>FI</v>
      </c>
      <c r="H1969">
        <f>IFERROR(__xludf.DUMMYFUNCTION("""COMPUTED_VALUE"""),79.99)</f>
        <v>79.99</v>
      </c>
      <c r="I1969">
        <f>IFERROR(__xludf.DUMMYFUNCTION("""COMPUTED_VALUE"""),79.99)</f>
        <v>79.99</v>
      </c>
      <c r="LL1969" s="2007"/>
      <c r="LM1969" s="2007"/>
      <c r="MX1969" s="2007"/>
      <c r="ND1969" s="2007"/>
    </row>
    <row r="1970">
      <c r="A1970" s="2005">
        <f>IFERROR(__xludf.DUMMYFUNCTION("""COMPUTED_VALUE"""),1168813.0)</f>
        <v>1168813</v>
      </c>
      <c r="B1970" s="2005">
        <f>IFERROR(__xludf.DUMMYFUNCTION("""COMPUTED_VALUE"""),2706520.0)</f>
        <v>2706520</v>
      </c>
      <c r="C1970" s="2005" t="str">
        <f>IFERROR(__xludf.DUMMYFUNCTION("""COMPUTED_VALUE"""),"Lampe")</f>
        <v>Lampe</v>
      </c>
      <c r="D1970" s="2005" t="str">
        <f>IFERROR(__xludf.DUMMYFUNCTION("""COMPUTED_VALUE"""),"Lampe LED de bureau  TT-DL16")</f>
        <v>Lampe LED de bureau  TT-DL16</v>
      </c>
      <c r="E1970" s="2005" t="str">
        <f>IFERROR(__xludf.DUMMYFUNCTION("""COMPUTED_VALUE"""),"TAOTRONICS")</f>
        <v>TAOTRONICS</v>
      </c>
      <c r="F1970" s="2005" t="str">
        <f>IFERROR(__xludf.DUMMYFUNCTION("""COMPUTED_VALUE"""),"H")</f>
        <v>H</v>
      </c>
      <c r="G1970" s="2005" t="str">
        <f>IFERROR(__xludf.DUMMYFUNCTION("""COMPUTED_VALUE"""),"NN")</f>
        <v>NN</v>
      </c>
      <c r="H1970">
        <f>IFERROR(__xludf.DUMMYFUNCTION("""COMPUTED_VALUE"""),109.99)</f>
        <v>109.99</v>
      </c>
      <c r="I1970">
        <f>IFERROR(__xludf.DUMMYFUNCTION("""COMPUTED_VALUE"""),109.99)</f>
        <v>109.99</v>
      </c>
      <c r="LL1970" s="2007"/>
      <c r="LM1970" s="2007"/>
      <c r="MX1970" s="2007"/>
      <c r="ND1970" s="2007"/>
    </row>
    <row r="1971">
      <c r="A1971" s="2005">
        <f>IFERROR(__xludf.DUMMYFUNCTION("""COMPUTED_VALUE"""),1168815.0)</f>
        <v>1168815</v>
      </c>
      <c r="B1971" s="2005">
        <f>IFERROR(__xludf.DUMMYFUNCTION("""COMPUTED_VALUE"""),2706520.0)</f>
        <v>2706520</v>
      </c>
      <c r="C1971" s="2005" t="str">
        <f>IFERROR(__xludf.DUMMYFUNCTION("""COMPUTED_VALUE"""),"Lampe")</f>
        <v>Lampe</v>
      </c>
      <c r="D1971" s="2005" t="str">
        <f>IFERROR(__xludf.DUMMYFUNCTION("""COMPUTED_VALUE"""),"Lampe LED de bureau  TT-DL072 Silver")</f>
        <v>Lampe LED de bureau  TT-DL072 Silver</v>
      </c>
      <c r="E1971" s="2005" t="str">
        <f>IFERROR(__xludf.DUMMYFUNCTION("""COMPUTED_VALUE"""),"TAOTRONICS")</f>
        <v>TAOTRONICS</v>
      </c>
      <c r="F1971" s="2005" t="str">
        <f>IFERROR(__xludf.DUMMYFUNCTION("""COMPUTED_VALUE"""),"H")</f>
        <v>H</v>
      </c>
      <c r="G1971" s="2005" t="str">
        <f>IFERROR(__xludf.DUMMYFUNCTION("""COMPUTED_VALUE"""),"NN")</f>
        <v>NN</v>
      </c>
      <c r="H1971" s="2005">
        <f>IFERROR(__xludf.DUMMYFUNCTION("""COMPUTED_VALUE"""),59.99)</f>
        <v>59.99</v>
      </c>
      <c r="I1971" s="2005">
        <f>IFERROR(__xludf.DUMMYFUNCTION("""COMPUTED_VALUE"""),59.99)</f>
        <v>59.99</v>
      </c>
      <c r="LL1971" s="2007"/>
      <c r="LM1971" s="2007"/>
      <c r="MX1971" s="2007"/>
      <c r="ND1971" s="2007"/>
    </row>
    <row r="1972">
      <c r="A1972" s="2005">
        <f>IFERROR(__xludf.DUMMYFUNCTION("""COMPUTED_VALUE"""),1168816.0)</f>
        <v>1168816</v>
      </c>
      <c r="B1972" s="2005">
        <f>IFERROR(__xludf.DUMMYFUNCTION("""COMPUTED_VALUE"""),2706520.0)</f>
        <v>2706520</v>
      </c>
      <c r="C1972" s="2005" t="str">
        <f>IFERROR(__xludf.DUMMYFUNCTION("""COMPUTED_VALUE"""),"Lampe")</f>
        <v>Lampe</v>
      </c>
      <c r="D1972" s="2005" t="str">
        <f>IFERROR(__xludf.DUMMYFUNCTION("""COMPUTED_VALUE"""),"Lampe LED de bureau  TT-DL072 Silver")</f>
        <v>Lampe LED de bureau  TT-DL072 Silver</v>
      </c>
      <c r="E1972" s="2005" t="str">
        <f>IFERROR(__xludf.DUMMYFUNCTION("""COMPUTED_VALUE"""),"TAOTRONICS")</f>
        <v>TAOTRONICS</v>
      </c>
      <c r="F1972" s="2005" t="str">
        <f>IFERROR(__xludf.DUMMYFUNCTION("""COMPUTED_VALUE"""),"H")</f>
        <v>H</v>
      </c>
      <c r="G1972" s="2005" t="str">
        <f>IFERROR(__xludf.DUMMYFUNCTION("""COMPUTED_VALUE"""),"NN")</f>
        <v>NN</v>
      </c>
      <c r="H1972" s="2005">
        <f>IFERROR(__xludf.DUMMYFUNCTION("""COMPUTED_VALUE"""),59.99)</f>
        <v>59.99</v>
      </c>
      <c r="I1972" s="2005">
        <f>IFERROR(__xludf.DUMMYFUNCTION("""COMPUTED_VALUE"""),59.99)</f>
        <v>59.99</v>
      </c>
      <c r="LL1972" s="2007"/>
      <c r="LM1972" s="2007"/>
      <c r="MX1972" s="2007"/>
      <c r="ND1972" s="2007"/>
    </row>
    <row r="1973">
      <c r="A1973" s="2005">
        <f>IFERROR(__xludf.DUMMYFUNCTION("""COMPUTED_VALUE"""),1168842.0)</f>
        <v>1168842</v>
      </c>
      <c r="B1973" s="2005">
        <f>IFERROR(__xludf.DUMMYFUNCTION("""COMPUTED_VALUE"""),2706520.0)</f>
        <v>2706520</v>
      </c>
      <c r="C1973" s="2005" t="str">
        <f>IFERROR(__xludf.DUMMYFUNCTION("""COMPUTED_VALUE"""),"Lampe")</f>
        <v>Lampe</v>
      </c>
      <c r="D1973" s="2005" t="str">
        <f>IFERROR(__xludf.DUMMYFUNCTION("""COMPUTED_VALUE"""),"Mi Lampe de Bureau PRO")</f>
        <v>Mi Lampe de Bureau PRO</v>
      </c>
      <c r="E1973" s="2005" t="str">
        <f>IFERROR(__xludf.DUMMYFUNCTION("""COMPUTED_VALUE"""),"XIAOMI")</f>
        <v>XIAOMI</v>
      </c>
      <c r="F1973" s="2005" t="str">
        <f>IFERROR(__xludf.DUMMYFUNCTION("""COMPUTED_VALUE"""),"W")</f>
        <v>W</v>
      </c>
      <c r="G1973" s="2005" t="str">
        <f>IFERROR(__xludf.DUMMYFUNCTION("""COMPUTED_VALUE"""),"NN")</f>
        <v>NN</v>
      </c>
      <c r="H1973" s="2005">
        <f>IFERROR(__xludf.DUMMYFUNCTION("""COMPUTED_VALUE"""),69.99)</f>
        <v>69.99</v>
      </c>
      <c r="I1973" s="2005">
        <f>IFERROR(__xludf.DUMMYFUNCTION("""COMPUTED_VALUE"""),69.99)</f>
        <v>69.99</v>
      </c>
      <c r="LL1973" s="2007"/>
      <c r="LM1973" s="2007"/>
      <c r="MX1973" s="2007"/>
      <c r="ND1973" s="2007"/>
    </row>
    <row r="1974">
      <c r="A1974" s="2005">
        <f>IFERROR(__xludf.DUMMYFUNCTION("""COMPUTED_VALUE"""),1168949.0)</f>
        <v>1168949</v>
      </c>
      <c r="B1974" s="2005">
        <f>IFERROR(__xludf.DUMMYFUNCTION("""COMPUTED_VALUE"""),2503005.0)</f>
        <v>2503005</v>
      </c>
      <c r="C1974" s="2005" t="str">
        <f>IFERROR(__xludf.DUMMYFUNCTION("""COMPUTED_VALUE"""),"Haut Parleur")</f>
        <v>Haut Parleur</v>
      </c>
      <c r="D1974" s="2005" t="str">
        <f>IFERROR(__xludf.DUMMYFUNCTION("""COMPUTED_VALUE"""),"USB Moderne")</f>
        <v>USB Moderne</v>
      </c>
      <c r="E1974" s="2005" t="str">
        <f>IFERROR(__xludf.DUMMYFUNCTION("""COMPUTED_VALUE"""),"MICROSOFT")</f>
        <v>MICROSOFT</v>
      </c>
      <c r="F1974" s="2005" t="str">
        <f>IFERROR(__xludf.DUMMYFUNCTION("""COMPUTED_VALUE"""),"H")</f>
        <v>H</v>
      </c>
      <c r="G1974" s="2005" t="str">
        <f>IFERROR(__xludf.DUMMYFUNCTION("""COMPUTED_VALUE"""),"AC")</f>
        <v>AC</v>
      </c>
      <c r="H1974" s="2005">
        <f>IFERROR(__xludf.DUMMYFUNCTION("""COMPUTED_VALUE"""),109.99)</f>
        <v>109.99</v>
      </c>
      <c r="I1974" s="2005">
        <f>IFERROR(__xludf.DUMMYFUNCTION("""COMPUTED_VALUE"""),109.99)</f>
        <v>109.99</v>
      </c>
      <c r="LL1974" s="2007"/>
      <c r="LM1974" s="2007"/>
      <c r="MX1974" s="2007"/>
      <c r="ND1974" s="2007"/>
    </row>
    <row r="1975">
      <c r="A1975" s="2005">
        <f>IFERROR(__xludf.DUMMYFUNCTION("""COMPUTED_VALUE"""),1168950.0)</f>
        <v>1168950</v>
      </c>
      <c r="B1975" s="2005">
        <f>IFERROR(__xludf.DUMMYFUNCTION("""COMPUTED_VALUE"""),2503010.0)</f>
        <v>2503010</v>
      </c>
      <c r="C1975" s="2005" t="str">
        <f>IFERROR(__xludf.DUMMYFUNCTION("""COMPUTED_VALUE"""),"Casque micro")</f>
        <v>Casque micro</v>
      </c>
      <c r="D1975" s="2005" t="str">
        <f>IFERROR(__xludf.DUMMYFUNCTION("""COMPUTED_VALUE"""),"Moderne sans fil")</f>
        <v>Moderne sans fil</v>
      </c>
      <c r="E1975" s="2005" t="str">
        <f>IFERROR(__xludf.DUMMYFUNCTION("""COMPUTED_VALUE"""),"MICROSOFT")</f>
        <v>MICROSOFT</v>
      </c>
      <c r="F1975" s="2005" t="str">
        <f>IFERROR(__xludf.DUMMYFUNCTION("""COMPUTED_VALUE"""),"H")</f>
        <v>H</v>
      </c>
      <c r="G1975" s="2005" t="str">
        <f>IFERROR(__xludf.DUMMYFUNCTION("""COMPUTED_VALUE"""),"NN")</f>
        <v>NN</v>
      </c>
      <c r="H1975" s="2005">
        <f>IFERROR(__xludf.DUMMYFUNCTION("""COMPUTED_VALUE"""),109.99)</f>
        <v>109.99</v>
      </c>
      <c r="I1975" s="2005">
        <f>IFERROR(__xludf.DUMMYFUNCTION("""COMPUTED_VALUE"""),109.99)</f>
        <v>109.99</v>
      </c>
      <c r="LL1975" s="2007"/>
      <c r="LM1975" s="2007"/>
      <c r="MX1975" s="2007"/>
      <c r="ND1975" s="2007"/>
    </row>
    <row r="1976">
      <c r="A1976" s="2005">
        <f>IFERROR(__xludf.DUMMYFUNCTION("""COMPUTED_VALUE"""),1169089.0)</f>
        <v>1169089</v>
      </c>
      <c r="B1976" s="2005">
        <f>IFERROR(__xludf.DUMMYFUNCTION("""COMPUTED_VALUE"""),2403010.0)</f>
        <v>2403010</v>
      </c>
      <c r="C1976" s="2005" t="str">
        <f>IFERROR(__xludf.DUMMYFUNCTION("""COMPUTED_VALUE"""),"Toner")</f>
        <v>Toner</v>
      </c>
      <c r="D1976" s="2005" t="str">
        <f>IFERROR(__xludf.DUMMYFUNCTION("""COMPUTED_VALUE"""),"415X Noir")</f>
        <v>415X Noir</v>
      </c>
      <c r="E1976" s="2005" t="str">
        <f>IFERROR(__xludf.DUMMYFUNCTION("""COMPUTED_VALUE"""),"HP")</f>
        <v>HP</v>
      </c>
      <c r="F1976" s="2005" t="str">
        <f>IFERROR(__xludf.DUMMYFUNCTION("""COMPUTED_VALUE"""),"H")</f>
        <v>H</v>
      </c>
      <c r="G1976" s="2005" t="str">
        <f>IFERROR(__xludf.DUMMYFUNCTION("""COMPUTED_VALUE"""),"NN")</f>
        <v>NN</v>
      </c>
      <c r="H1976" s="2005">
        <f>IFERROR(__xludf.DUMMYFUNCTION("""COMPUTED_VALUE"""),233.99)</f>
        <v>233.99</v>
      </c>
      <c r="I1976" s="2005">
        <f>IFERROR(__xludf.DUMMYFUNCTION("""COMPUTED_VALUE"""),233.99)</f>
        <v>233.99</v>
      </c>
      <c r="LL1976" s="2007"/>
      <c r="LM1976" s="2007"/>
      <c r="MX1976" s="2007"/>
      <c r="ND1976" s="2007"/>
    </row>
    <row r="1977">
      <c r="A1977" s="2005">
        <f>IFERROR(__xludf.DUMMYFUNCTION("""COMPUTED_VALUE"""),1169090.0)</f>
        <v>1169090</v>
      </c>
      <c r="B1977" s="2005">
        <f>IFERROR(__xludf.DUMMYFUNCTION("""COMPUTED_VALUE"""),2403010.0)</f>
        <v>2403010</v>
      </c>
      <c r="C1977" s="2005" t="str">
        <f>IFERROR(__xludf.DUMMYFUNCTION("""COMPUTED_VALUE"""),"Toner")</f>
        <v>Toner</v>
      </c>
      <c r="D1977" s="2005" t="str">
        <f>IFERROR(__xludf.DUMMYFUNCTION("""COMPUTED_VALUE"""),"415X Cyan")</f>
        <v>415X Cyan</v>
      </c>
      <c r="E1977" s="2005" t="str">
        <f>IFERROR(__xludf.DUMMYFUNCTION("""COMPUTED_VALUE"""),"HP")</f>
        <v>HP</v>
      </c>
      <c r="F1977" s="2005" t="str">
        <f>IFERROR(__xludf.DUMMYFUNCTION("""COMPUTED_VALUE"""),"H")</f>
        <v>H</v>
      </c>
      <c r="G1977" s="2005" t="str">
        <f>IFERROR(__xludf.DUMMYFUNCTION("""COMPUTED_VALUE"""),"NN")</f>
        <v>NN</v>
      </c>
      <c r="H1977" s="2005">
        <f>IFERROR(__xludf.DUMMYFUNCTION("""COMPUTED_VALUE"""),319.99)</f>
        <v>319.99</v>
      </c>
      <c r="I1977" s="2005">
        <f>IFERROR(__xludf.DUMMYFUNCTION("""COMPUTED_VALUE"""),319.99)</f>
        <v>319.99</v>
      </c>
      <c r="LL1977" s="2007"/>
      <c r="LM1977" s="2007"/>
      <c r="MX1977" s="2007"/>
      <c r="ND1977" s="2007"/>
    </row>
    <row r="1978">
      <c r="A1978" s="2005">
        <f>IFERROR(__xludf.DUMMYFUNCTION("""COMPUTED_VALUE"""),1169104.0)</f>
        <v>1169104</v>
      </c>
      <c r="B1978" s="2005">
        <f>IFERROR(__xludf.DUMMYFUNCTION("""COMPUTED_VALUE"""),2403010.0)</f>
        <v>2403010</v>
      </c>
      <c r="C1978" s="2005" t="str">
        <f>IFERROR(__xludf.DUMMYFUNCTION("""COMPUTED_VALUE"""),"Toner")</f>
        <v>Toner</v>
      </c>
      <c r="D1978" s="2005" t="str">
        <f>IFERROR(__xludf.DUMMYFUNCTION("""COMPUTED_VALUE"""),"415X Jaune")</f>
        <v>415X Jaune</v>
      </c>
      <c r="E1978" s="2005" t="str">
        <f>IFERROR(__xludf.DUMMYFUNCTION("""COMPUTED_VALUE"""),"HP")</f>
        <v>HP</v>
      </c>
      <c r="F1978" s="2005" t="str">
        <f>IFERROR(__xludf.DUMMYFUNCTION("""COMPUTED_VALUE"""),"H")</f>
        <v>H</v>
      </c>
      <c r="G1978" s="2005" t="str">
        <f>IFERROR(__xludf.DUMMYFUNCTION("""COMPUTED_VALUE"""),"NN")</f>
        <v>NN</v>
      </c>
      <c r="H1978" s="2005">
        <f>IFERROR(__xludf.DUMMYFUNCTION("""COMPUTED_VALUE"""),319.99)</f>
        <v>319.99</v>
      </c>
      <c r="I1978" s="2005">
        <f>IFERROR(__xludf.DUMMYFUNCTION("""COMPUTED_VALUE"""),319.99)</f>
        <v>319.99</v>
      </c>
      <c r="LL1978" s="2007"/>
      <c r="LM1978" s="2007"/>
      <c r="MX1978" s="2007"/>
      <c r="ND1978" s="2007"/>
    </row>
    <row r="1979">
      <c r="A1979" s="2005">
        <f>IFERROR(__xludf.DUMMYFUNCTION("""COMPUTED_VALUE"""),1169105.0)</f>
        <v>1169105</v>
      </c>
      <c r="B1979" s="2005">
        <f>IFERROR(__xludf.DUMMYFUNCTION("""COMPUTED_VALUE"""),2403010.0)</f>
        <v>2403010</v>
      </c>
      <c r="C1979" s="2005" t="str">
        <f>IFERROR(__xludf.DUMMYFUNCTION("""COMPUTED_VALUE"""),"Toner")</f>
        <v>Toner</v>
      </c>
      <c r="D1979" s="2005" t="str">
        <f>IFERROR(__xludf.DUMMYFUNCTION("""COMPUTED_VALUE"""),"415X Magenta")</f>
        <v>415X Magenta</v>
      </c>
      <c r="E1979" s="2005" t="str">
        <f>IFERROR(__xludf.DUMMYFUNCTION("""COMPUTED_VALUE"""),"HP")</f>
        <v>HP</v>
      </c>
      <c r="F1979" s="2005" t="str">
        <f>IFERROR(__xludf.DUMMYFUNCTION("""COMPUTED_VALUE"""),"H")</f>
        <v>H</v>
      </c>
      <c r="G1979" s="2005" t="str">
        <f>IFERROR(__xludf.DUMMYFUNCTION("""COMPUTED_VALUE"""),"NN")</f>
        <v>NN</v>
      </c>
      <c r="H1979" s="2005">
        <f>IFERROR(__xludf.DUMMYFUNCTION("""COMPUTED_VALUE"""),319.99)</f>
        <v>319.99</v>
      </c>
      <c r="I1979" s="2005">
        <f>IFERROR(__xludf.DUMMYFUNCTION("""COMPUTED_VALUE"""),319.99)</f>
        <v>319.99</v>
      </c>
      <c r="BD1979" s="2006"/>
      <c r="LL1979" s="2007"/>
      <c r="LM1979" s="2007"/>
      <c r="MX1979" s="2008"/>
      <c r="ND1979" s="2007"/>
    </row>
    <row r="1980">
      <c r="A1980" s="2005">
        <f>IFERROR(__xludf.DUMMYFUNCTION("""COMPUTED_VALUE"""),1169265.0)</f>
        <v>1169265</v>
      </c>
      <c r="B1980" s="2005">
        <f>IFERROR(__xludf.DUMMYFUNCTION("""COMPUTED_VALUE"""),2502015.0)</f>
        <v>2502015</v>
      </c>
      <c r="C1980" s="2005" t="str">
        <f>IFERROR(__xludf.DUMMYFUNCTION("""COMPUTED_VALUE"""),"Clavier")</f>
        <v>Clavier</v>
      </c>
      <c r="D1980" s="2005" t="str">
        <f>IFERROR(__xludf.DUMMYFUNCTION("""COMPUTED_VALUE"""),"Magic Keyboard Touch ID")</f>
        <v>Magic Keyboard Touch ID</v>
      </c>
      <c r="E1980" s="2005" t="str">
        <f>IFERROR(__xludf.DUMMYFUNCTION("""COMPUTED_VALUE"""),"APPLE")</f>
        <v>APPLE</v>
      </c>
      <c r="F1980" s="2005" t="str">
        <f>IFERROR(__xludf.DUMMYFUNCTION("""COMPUTED_VALUE"""),"H")</f>
        <v>H</v>
      </c>
      <c r="G1980" s="2005" t="str">
        <f>IFERROR(__xludf.DUMMYFUNCTION("""COMPUTED_VALUE"""),"AC")</f>
        <v>AC</v>
      </c>
      <c r="H1980" s="2005">
        <f>IFERROR(__xludf.DUMMYFUNCTION("""COMPUTED_VALUE"""),159.0)</f>
        <v>159</v>
      </c>
      <c r="I1980" s="2005">
        <f>IFERROR(__xludf.DUMMYFUNCTION("""COMPUTED_VALUE"""),139.99)</f>
        <v>139.99</v>
      </c>
      <c r="BD1980" s="2006"/>
      <c r="LL1980" s="2007"/>
      <c r="LM1980" s="2007"/>
      <c r="MX1980" s="2007"/>
      <c r="ND1980" s="2007"/>
    </row>
    <row r="1981">
      <c r="A1981" s="2005">
        <f>IFERROR(__xludf.DUMMYFUNCTION("""COMPUTED_VALUE"""),1169268.0)</f>
        <v>1169268</v>
      </c>
      <c r="B1981" s="2005">
        <f>IFERROR(__xludf.DUMMYFUNCTION("""COMPUTED_VALUE"""),2502015.0)</f>
        <v>2502015</v>
      </c>
      <c r="C1981" s="2005" t="str">
        <f>IFERROR(__xludf.DUMMYFUNCTION("""COMPUTED_VALUE"""),"Clavier")</f>
        <v>Clavier</v>
      </c>
      <c r="D1981" s="2005" t="str">
        <f>IFERROR(__xludf.DUMMYFUNCTION("""COMPUTED_VALUE"""),"Magic Keyboard")</f>
        <v>Magic Keyboard</v>
      </c>
      <c r="E1981" s="2005" t="str">
        <f>IFERROR(__xludf.DUMMYFUNCTION("""COMPUTED_VALUE"""),"APPLE")</f>
        <v>APPLE</v>
      </c>
      <c r="F1981" s="2005" t="str">
        <f>IFERROR(__xludf.DUMMYFUNCTION("""COMPUTED_VALUE"""),"A")</f>
        <v>A</v>
      </c>
      <c r="G1981" s="2005" t="str">
        <f>IFERROR(__xludf.DUMMYFUNCTION("""COMPUTED_VALUE"""),"AC")</f>
        <v>AC</v>
      </c>
      <c r="H1981" s="2005">
        <f>IFERROR(__xludf.DUMMYFUNCTION("""COMPUTED_VALUE"""),109.0)</f>
        <v>109</v>
      </c>
      <c r="I1981" s="2005">
        <f>IFERROR(__xludf.DUMMYFUNCTION("""COMPUTED_VALUE"""),109.0)</f>
        <v>109</v>
      </c>
      <c r="BD1981" s="2006"/>
      <c r="LL1981" s="2007"/>
      <c r="LM1981" s="2007"/>
      <c r="MX1981" s="2008"/>
      <c r="ND1981" s="2007"/>
    </row>
    <row r="1982">
      <c r="A1982" s="2005">
        <f>IFERROR(__xludf.DUMMYFUNCTION("""COMPUTED_VALUE"""),1169270.0)</f>
        <v>1169270</v>
      </c>
      <c r="B1982" s="2005">
        <f>IFERROR(__xludf.DUMMYFUNCTION("""COMPUTED_VALUE"""),2502015.0)</f>
        <v>2502015</v>
      </c>
      <c r="C1982" s="2005" t="str">
        <f>IFERROR(__xludf.DUMMYFUNCTION("""COMPUTED_VALUE"""),"Clavier")</f>
        <v>Clavier</v>
      </c>
      <c r="D1982" s="2005" t="str">
        <f>IFERROR(__xludf.DUMMYFUNCTION("""COMPUTED_VALUE"""),"Magic Keyboard Touch ID et pavé numériqu")</f>
        <v>Magic Keyboard Touch ID et pavé numériqu</v>
      </c>
      <c r="E1982" s="2005" t="str">
        <f>IFERROR(__xludf.DUMMYFUNCTION("""COMPUTED_VALUE"""),"APPLE")</f>
        <v>APPLE</v>
      </c>
      <c r="F1982" s="2005" t="str">
        <f>IFERROR(__xludf.DUMMYFUNCTION("""COMPUTED_VALUE"""),"W")</f>
        <v>W</v>
      </c>
      <c r="G1982" s="2005" t="str">
        <f>IFERROR(__xludf.DUMMYFUNCTION("""COMPUTED_VALUE"""),"AC")</f>
        <v>AC</v>
      </c>
      <c r="H1982" s="2005">
        <f>IFERROR(__xludf.DUMMYFUNCTION("""COMPUTED_VALUE"""),185.0)</f>
        <v>185</v>
      </c>
      <c r="I1982" s="2005">
        <f>IFERROR(__xludf.DUMMYFUNCTION("""COMPUTED_VALUE"""),162.0)</f>
        <v>162</v>
      </c>
      <c r="BD1982" s="2006"/>
      <c r="LL1982" s="2007"/>
      <c r="LM1982" s="2007"/>
      <c r="MX1982" s="2007"/>
      <c r="ND1982" s="2007"/>
    </row>
    <row r="1983">
      <c r="A1983" s="2005">
        <f>IFERROR(__xludf.DUMMYFUNCTION("""COMPUTED_VALUE"""),1169291.0)</f>
        <v>1169291</v>
      </c>
      <c r="B1983" s="2005">
        <f>IFERROR(__xludf.DUMMYFUNCTION("""COMPUTED_VALUE"""),2502010.0)</f>
        <v>2502010</v>
      </c>
      <c r="C1983" s="2005" t="str">
        <f>IFERROR(__xludf.DUMMYFUNCTION("""COMPUTED_VALUE"""),"Pavé Tactile")</f>
        <v>Pavé Tactile</v>
      </c>
      <c r="D1983" s="2005" t="str">
        <f>IFERROR(__xludf.DUMMYFUNCTION("""COMPUTED_VALUE"""),"Magic Trackpad")</f>
        <v>Magic Trackpad</v>
      </c>
      <c r="E1983" s="2005" t="str">
        <f>IFERROR(__xludf.DUMMYFUNCTION("""COMPUTED_VALUE"""),"APPLE")</f>
        <v>APPLE</v>
      </c>
      <c r="F1983" s="2005" t="str">
        <f>IFERROR(__xludf.DUMMYFUNCTION("""COMPUTED_VALUE"""),"D")</f>
        <v>D</v>
      </c>
      <c r="G1983" s="2005" t="str">
        <f>IFERROR(__xludf.DUMMYFUNCTION("""COMPUTED_VALUE"""),"AC")</f>
        <v>AC</v>
      </c>
      <c r="H1983">
        <f>IFERROR(__xludf.DUMMYFUNCTION("""COMPUTED_VALUE"""),135.0)</f>
        <v>135</v>
      </c>
      <c r="I1983">
        <f>IFERROR(__xludf.DUMMYFUNCTION("""COMPUTED_VALUE"""),135.0)</f>
        <v>135</v>
      </c>
      <c r="BD1983" s="2006"/>
      <c r="LL1983" s="2007"/>
      <c r="LM1983" s="2007"/>
      <c r="MX1983" s="2007"/>
      <c r="ND1983" s="2007"/>
    </row>
    <row r="1984">
      <c r="A1984" s="2005">
        <f>IFERROR(__xludf.DUMMYFUNCTION("""COMPUTED_VALUE"""),1169292.0)</f>
        <v>1169292</v>
      </c>
      <c r="B1984" s="2005">
        <f>IFERROR(__xludf.DUMMYFUNCTION("""COMPUTED_VALUE"""),2502010.0)</f>
        <v>2502010</v>
      </c>
      <c r="C1984" s="2005" t="str">
        <f>IFERROR(__xludf.DUMMYFUNCTION("""COMPUTED_VALUE"""),"Souris")</f>
        <v>Souris</v>
      </c>
      <c r="D1984" s="2005" t="str">
        <f>IFERROR(__xludf.DUMMYFUNCTION("""COMPUTED_VALUE"""),"Magic Mouse")</f>
        <v>Magic Mouse</v>
      </c>
      <c r="E1984" s="2005" t="str">
        <f>IFERROR(__xludf.DUMMYFUNCTION("""COMPUTED_VALUE"""),"APPLE")</f>
        <v>APPLE</v>
      </c>
      <c r="F1984" s="2005" t="str">
        <f>IFERROR(__xludf.DUMMYFUNCTION("""COMPUTED_VALUE"""),"A")</f>
        <v>A</v>
      </c>
      <c r="G1984" s="2005" t="str">
        <f>IFERROR(__xludf.DUMMYFUNCTION("""COMPUTED_VALUE"""),"AC")</f>
        <v>AC</v>
      </c>
      <c r="H1984" s="2005">
        <f>IFERROR(__xludf.DUMMYFUNCTION("""COMPUTED_VALUE"""),84.9)</f>
        <v>84.9</v>
      </c>
      <c r="I1984" s="2005">
        <f>IFERROR(__xludf.DUMMYFUNCTION("""COMPUTED_VALUE"""),84.9)</f>
        <v>84.9</v>
      </c>
      <c r="BD1984" s="2006"/>
      <c r="LL1984" s="2008"/>
      <c r="LM1984" s="2007"/>
      <c r="MX1984" s="2007"/>
      <c r="ND1984" s="2007"/>
    </row>
    <row r="1985">
      <c r="A1985" s="2005">
        <f>IFERROR(__xludf.DUMMYFUNCTION("""COMPUTED_VALUE"""),1169402.0)</f>
        <v>1169402</v>
      </c>
      <c r="B1985" s="2005">
        <f>IFERROR(__xludf.DUMMYFUNCTION("""COMPUTED_VALUE"""),2202005.0)</f>
        <v>2202005</v>
      </c>
      <c r="C1985" s="2005" t="str">
        <f>IFERROR(__xludf.DUMMYFUNCTION("""COMPUTED_VALUE"""),"Multi Jet d'enc")</f>
        <v>Multi Jet d'enc</v>
      </c>
      <c r="D1985" s="2005" t="str">
        <f>IFERROR(__xludf.DUMMYFUNCTION("""COMPUTED_VALUE"""),"XP 2155")</f>
        <v>XP 2155</v>
      </c>
      <c r="E1985" s="2005" t="str">
        <f>IFERROR(__xludf.DUMMYFUNCTION("""COMPUTED_VALUE"""),"EPSON")</f>
        <v>EPSON</v>
      </c>
      <c r="F1985" s="2005" t="str">
        <f>IFERROR(__xludf.DUMMYFUNCTION("""COMPUTED_VALUE"""),"H")</f>
        <v>H</v>
      </c>
      <c r="G1985" s="2005" t="str">
        <f>IFERROR(__xludf.DUMMYFUNCTION("""COMPUTED_VALUE"""),"FR")</f>
        <v>FR</v>
      </c>
      <c r="H1985" s="2005">
        <f>IFERROR(__xludf.DUMMYFUNCTION("""COMPUTED_VALUE"""),69.99)</f>
        <v>69.99</v>
      </c>
      <c r="I1985" s="2005">
        <f>IFERROR(__xludf.DUMMYFUNCTION("""COMPUTED_VALUE"""),69.99)</f>
        <v>69.99</v>
      </c>
      <c r="BD1985" s="2006"/>
      <c r="LL1985" s="2008"/>
      <c r="LM1985" s="2007"/>
      <c r="MX1985" s="2007"/>
      <c r="NB1985" s="2009"/>
      <c r="ND1985" s="2007"/>
    </row>
    <row r="1986">
      <c r="A1986" s="2005">
        <f>IFERROR(__xludf.DUMMYFUNCTION("""COMPUTED_VALUE"""),1169403.0)</f>
        <v>1169403</v>
      </c>
      <c r="B1986" s="2005">
        <f>IFERROR(__xludf.DUMMYFUNCTION("""COMPUTED_VALUE"""),2202005.0)</f>
        <v>2202005</v>
      </c>
      <c r="C1986" s="2005" t="str">
        <f>IFERROR(__xludf.DUMMYFUNCTION("""COMPUTED_VALUE"""),"Multi Jet d'enc")</f>
        <v>Multi Jet d'enc</v>
      </c>
      <c r="D1986" s="2005" t="str">
        <f>IFERROR(__xludf.DUMMYFUNCTION("""COMPUTED_VALUE"""),"XP 3155")</f>
        <v>XP 3155</v>
      </c>
      <c r="E1986" s="2005" t="str">
        <f>IFERROR(__xludf.DUMMYFUNCTION("""COMPUTED_VALUE"""),"EPSON")</f>
        <v>EPSON</v>
      </c>
      <c r="F1986" s="2005" t="str">
        <f>IFERROR(__xludf.DUMMYFUNCTION("""COMPUTED_VALUE"""),"D")</f>
        <v>D</v>
      </c>
      <c r="G1986" s="2005" t="str">
        <f>IFERROR(__xludf.DUMMYFUNCTION("""COMPUTED_VALUE"""),"NN")</f>
        <v>NN</v>
      </c>
      <c r="H1986" s="2005">
        <f>IFERROR(__xludf.DUMMYFUNCTION("""COMPUTED_VALUE"""),79.99)</f>
        <v>79.99</v>
      </c>
      <c r="I1986" s="2005">
        <f>IFERROR(__xludf.DUMMYFUNCTION("""COMPUTED_VALUE"""),79.99)</f>
        <v>79.99</v>
      </c>
      <c r="BD1986" s="2006"/>
      <c r="LL1986" s="2007"/>
      <c r="LM1986" s="2007"/>
      <c r="MX1986" s="2007"/>
      <c r="ND1986" s="2007"/>
    </row>
    <row r="1987">
      <c r="A1987" s="2005">
        <f>IFERROR(__xludf.DUMMYFUNCTION("""COMPUTED_VALUE"""),1169404.0)</f>
        <v>1169404</v>
      </c>
      <c r="B1987" s="2005">
        <f>IFERROR(__xludf.DUMMYFUNCTION("""COMPUTED_VALUE"""),2202005.0)</f>
        <v>2202005</v>
      </c>
      <c r="C1987" s="2005" t="str">
        <f>IFERROR(__xludf.DUMMYFUNCTION("""COMPUTED_VALUE"""),"Multi Jet d'enc")</f>
        <v>Multi Jet d'enc</v>
      </c>
      <c r="D1987" s="2005" t="str">
        <f>IFERROR(__xludf.DUMMYFUNCTION("""COMPUTED_VALUE"""),"XP 4155")</f>
        <v>XP 4155</v>
      </c>
      <c r="E1987" s="2005" t="str">
        <f>IFERROR(__xludf.DUMMYFUNCTION("""COMPUTED_VALUE"""),"EPSON")</f>
        <v>EPSON</v>
      </c>
      <c r="F1987" s="2005" t="str">
        <f>IFERROR(__xludf.DUMMYFUNCTION("""COMPUTED_VALUE"""),"H")</f>
        <v>H</v>
      </c>
      <c r="G1987" s="2005" t="str">
        <f>IFERROR(__xludf.DUMMYFUNCTION("""COMPUTED_VALUE"""),"FR")</f>
        <v>FR</v>
      </c>
      <c r="H1987" s="2005">
        <f>IFERROR(__xludf.DUMMYFUNCTION("""COMPUTED_VALUE"""),99.99)</f>
        <v>99.99</v>
      </c>
      <c r="I1987" s="2005">
        <f>IFERROR(__xludf.DUMMYFUNCTION("""COMPUTED_VALUE"""),99.99)</f>
        <v>99.99</v>
      </c>
      <c r="BD1987" s="2006"/>
      <c r="LL1987" s="2007"/>
      <c r="LM1987" s="2007"/>
      <c r="MX1987" s="2007"/>
      <c r="ND1987" s="2007"/>
    </row>
    <row r="1988">
      <c r="A1988" s="2005">
        <f>IFERROR(__xludf.DUMMYFUNCTION("""COMPUTED_VALUE"""),1169405.0)</f>
        <v>1169405</v>
      </c>
      <c r="B1988" s="2005">
        <f>IFERROR(__xludf.DUMMYFUNCTION("""COMPUTED_VALUE"""),2202005.0)</f>
        <v>2202005</v>
      </c>
      <c r="C1988" s="2005" t="str">
        <f>IFERROR(__xludf.DUMMYFUNCTION("""COMPUTED_VALUE"""),"Multi Jet d'enc")</f>
        <v>Multi Jet d'enc</v>
      </c>
      <c r="D1988" s="2005" t="str">
        <f>IFERROR(__xludf.DUMMYFUNCTION("""COMPUTED_VALUE"""),"XP 5155")</f>
        <v>XP 5155</v>
      </c>
      <c r="E1988" s="2005" t="str">
        <f>IFERROR(__xludf.DUMMYFUNCTION("""COMPUTED_VALUE"""),"EPSON")</f>
        <v>EPSON</v>
      </c>
      <c r="F1988" s="2005" t="str">
        <f>IFERROR(__xludf.DUMMYFUNCTION("""COMPUTED_VALUE"""),"C")</f>
        <v>C</v>
      </c>
      <c r="G1988" s="2005" t="str">
        <f>IFERROR(__xludf.DUMMYFUNCTION("""COMPUTED_VALUE"""),"NN")</f>
        <v>NN</v>
      </c>
      <c r="H1988" s="2005">
        <f>IFERROR(__xludf.DUMMYFUNCTION("""COMPUTED_VALUE"""),109.99)</f>
        <v>109.99</v>
      </c>
      <c r="I1988" s="2005">
        <f>IFERROR(__xludf.DUMMYFUNCTION("""COMPUTED_VALUE"""),109.99)</f>
        <v>109.99</v>
      </c>
      <c r="BD1988" s="2006"/>
      <c r="LL1988" s="2007"/>
      <c r="LM1988" s="2007"/>
      <c r="MX1988" s="2007"/>
      <c r="ND1988" s="2007"/>
    </row>
    <row r="1989">
      <c r="A1989" s="2005">
        <f>IFERROR(__xludf.DUMMYFUNCTION("""COMPUTED_VALUE"""),1169406.0)</f>
        <v>1169406</v>
      </c>
      <c r="B1989" s="2005">
        <f>IFERROR(__xludf.DUMMYFUNCTION("""COMPUTED_VALUE"""),2202005.0)</f>
        <v>2202005</v>
      </c>
      <c r="C1989" s="2005" t="str">
        <f>IFERROR(__xludf.DUMMYFUNCTION("""COMPUTED_VALUE"""),"Multi Jet d'enc")</f>
        <v>Multi Jet d'enc</v>
      </c>
      <c r="D1989" s="2005" t="str">
        <f>IFERROR(__xludf.DUMMYFUNCTION("""COMPUTED_VALUE"""),"WorkForce WF-2870DWF")</f>
        <v>WorkForce WF-2870DWF</v>
      </c>
      <c r="E1989" s="2005" t="str">
        <f>IFERROR(__xludf.DUMMYFUNCTION("""COMPUTED_VALUE"""),"EPSON")</f>
        <v>EPSON</v>
      </c>
      <c r="F1989" s="2005" t="str">
        <f>IFERROR(__xludf.DUMMYFUNCTION("""COMPUTED_VALUE"""),"B")</f>
        <v>B</v>
      </c>
      <c r="G1989" s="2005" t="str">
        <f>IFERROR(__xludf.DUMMYFUNCTION("""COMPUTED_VALUE"""),"NN")</f>
        <v>NN</v>
      </c>
      <c r="H1989" s="2005">
        <f>IFERROR(__xludf.DUMMYFUNCTION("""COMPUTED_VALUE"""),119.99)</f>
        <v>119.99</v>
      </c>
      <c r="I1989" s="2005">
        <f>IFERROR(__xludf.DUMMYFUNCTION("""COMPUTED_VALUE"""),119.99)</f>
        <v>119.99</v>
      </c>
      <c r="BD1989" s="2006"/>
      <c r="LL1989" s="2008"/>
      <c r="LM1989" s="2007"/>
      <c r="MX1989" s="2007"/>
      <c r="ND1989" s="2007"/>
    </row>
    <row r="1990">
      <c r="A1990" s="2005">
        <f>IFERROR(__xludf.DUMMYFUNCTION("""COMPUTED_VALUE"""),1169407.0)</f>
        <v>1169407</v>
      </c>
      <c r="B1990" s="2005">
        <f>IFERROR(__xludf.DUMMYFUNCTION("""COMPUTED_VALUE"""),2202010.0)</f>
        <v>2202010</v>
      </c>
      <c r="C1990" s="2005" t="str">
        <f>IFERROR(__xludf.DUMMYFUNCTION("""COMPUTED_VALUE"""),"Multi Jet d'enc")</f>
        <v>Multi Jet d'enc</v>
      </c>
      <c r="D1990" s="2005" t="str">
        <f>IFERROR(__xludf.DUMMYFUNCTION("""COMPUTED_VALUE"""),"EcoTank ET-2811")</f>
        <v>EcoTank ET-2811</v>
      </c>
      <c r="E1990" s="2005" t="str">
        <f>IFERROR(__xludf.DUMMYFUNCTION("""COMPUTED_VALUE"""),"EPSON")</f>
        <v>EPSON</v>
      </c>
      <c r="F1990" s="2005" t="str">
        <f>IFERROR(__xludf.DUMMYFUNCTION("""COMPUTED_VALUE"""),"A")</f>
        <v>A</v>
      </c>
      <c r="G1990" s="2005" t="str">
        <f>IFERROR(__xludf.DUMMYFUNCTION("""COMPUTED_VALUE"""),"AC")</f>
        <v>AC</v>
      </c>
      <c r="H1990" s="2005">
        <f>IFERROR(__xludf.DUMMYFUNCTION("""COMPUTED_VALUE"""),199.99)</f>
        <v>199.99</v>
      </c>
      <c r="I1990" s="2005">
        <f>IFERROR(__xludf.DUMMYFUNCTION("""COMPUTED_VALUE"""),199.99)</f>
        <v>199.99</v>
      </c>
      <c r="BD1990" s="2006"/>
      <c r="LL1990" s="2007"/>
      <c r="LM1990" s="2007"/>
      <c r="MX1990" s="2007"/>
      <c r="ND1990" s="2007"/>
    </row>
    <row r="1991">
      <c r="A1991" s="2005">
        <f>IFERROR(__xludf.DUMMYFUNCTION("""COMPUTED_VALUE"""),1169408.0)</f>
        <v>1169408</v>
      </c>
      <c r="B1991" s="2005">
        <f>IFERROR(__xludf.DUMMYFUNCTION("""COMPUTED_VALUE"""),2202010.0)</f>
        <v>2202010</v>
      </c>
      <c r="C1991" s="2005" t="str">
        <f>IFERROR(__xludf.DUMMYFUNCTION("""COMPUTED_VALUE"""),"Multi Jet d'enc")</f>
        <v>Multi Jet d'enc</v>
      </c>
      <c r="D1991" s="2005" t="str">
        <f>IFERROR(__xludf.DUMMYFUNCTION("""COMPUTED_VALUE"""),"EcoTank ET-2826")</f>
        <v>EcoTank ET-2826</v>
      </c>
      <c r="E1991" s="2005" t="str">
        <f>IFERROR(__xludf.DUMMYFUNCTION("""COMPUTED_VALUE"""),"EPSON")</f>
        <v>EPSON</v>
      </c>
      <c r="F1991" s="2005" t="str">
        <f>IFERROR(__xludf.DUMMYFUNCTION("""COMPUTED_VALUE"""),"C")</f>
        <v>C</v>
      </c>
      <c r="G1991" s="2005" t="str">
        <f>IFERROR(__xludf.DUMMYFUNCTION("""COMPUTED_VALUE"""),"AC")</f>
        <v>AC</v>
      </c>
      <c r="H1991" s="2005">
        <f>IFERROR(__xludf.DUMMYFUNCTION("""COMPUTED_VALUE"""),229.99)</f>
        <v>229.99</v>
      </c>
      <c r="I1991" s="2005">
        <f>IFERROR(__xludf.DUMMYFUNCTION("""COMPUTED_VALUE"""),229.99)</f>
        <v>229.99</v>
      </c>
      <c r="BD1991" s="2006"/>
      <c r="LL1991" s="2007"/>
      <c r="LM1991" s="2007"/>
      <c r="MX1991" s="2007"/>
      <c r="ND1991" s="2007"/>
    </row>
    <row r="1992">
      <c r="A1992" s="2005">
        <f>IFERROR(__xludf.DUMMYFUNCTION("""COMPUTED_VALUE"""),1169409.0)</f>
        <v>1169409</v>
      </c>
      <c r="B1992" s="2005">
        <f>IFERROR(__xludf.DUMMYFUNCTION("""COMPUTED_VALUE"""),2202010.0)</f>
        <v>2202010</v>
      </c>
      <c r="C1992" s="2005" t="str">
        <f>IFERROR(__xludf.DUMMYFUNCTION("""COMPUTED_VALUE"""),"Multi Jet d'enc")</f>
        <v>Multi Jet d'enc</v>
      </c>
      <c r="D1992" s="2005" t="str">
        <f>IFERROR(__xludf.DUMMYFUNCTION("""COMPUTED_VALUE"""),"EcoTank ET-2850")</f>
        <v>EcoTank ET-2850</v>
      </c>
      <c r="E1992" s="2005" t="str">
        <f>IFERROR(__xludf.DUMMYFUNCTION("""COMPUTED_VALUE"""),"EPSON")</f>
        <v>EPSON</v>
      </c>
      <c r="F1992" s="2005" t="str">
        <f>IFERROR(__xludf.DUMMYFUNCTION("""COMPUTED_VALUE"""),"A")</f>
        <v>A</v>
      </c>
      <c r="G1992" s="2005" t="str">
        <f>IFERROR(__xludf.DUMMYFUNCTION("""COMPUTED_VALUE"""),"AC")</f>
        <v>AC</v>
      </c>
      <c r="H1992" s="2005">
        <f>IFERROR(__xludf.DUMMYFUNCTION("""COMPUTED_VALUE"""),299.99)</f>
        <v>299.99</v>
      </c>
      <c r="I1992" s="2005">
        <f>IFERROR(__xludf.DUMMYFUNCTION("""COMPUTED_VALUE"""),299.99)</f>
        <v>299.99</v>
      </c>
      <c r="BD1992" s="2006"/>
      <c r="LL1992" s="2007"/>
      <c r="LM1992" s="2007"/>
      <c r="MX1992" s="2007"/>
      <c r="ND1992" s="2007"/>
    </row>
    <row r="1993">
      <c r="A1993" s="2005">
        <f>IFERROR(__xludf.DUMMYFUNCTION("""COMPUTED_VALUE"""),1169410.0)</f>
        <v>1169410</v>
      </c>
      <c r="B1993" s="2005">
        <f>IFERROR(__xludf.DUMMYFUNCTION("""COMPUTED_VALUE"""),2202010.0)</f>
        <v>2202010</v>
      </c>
      <c r="C1993" s="2005" t="str">
        <f>IFERROR(__xludf.DUMMYFUNCTION("""COMPUTED_VALUE"""),"Multi Jet d'enc")</f>
        <v>Multi Jet d'enc</v>
      </c>
      <c r="D1993" s="2005" t="str">
        <f>IFERROR(__xludf.DUMMYFUNCTION("""COMPUTED_VALUE"""),"EcoTank ET-3850")</f>
        <v>EcoTank ET-3850</v>
      </c>
      <c r="E1993" s="2005" t="str">
        <f>IFERROR(__xludf.DUMMYFUNCTION("""COMPUTED_VALUE"""),"EPSON")</f>
        <v>EPSON</v>
      </c>
      <c r="F1993" s="2005" t="str">
        <f>IFERROR(__xludf.DUMMYFUNCTION("""COMPUTED_VALUE"""),"B")</f>
        <v>B</v>
      </c>
      <c r="G1993" s="2005" t="str">
        <f>IFERROR(__xludf.DUMMYFUNCTION("""COMPUTED_VALUE"""),"AC")</f>
        <v>AC</v>
      </c>
      <c r="H1993">
        <f>IFERROR(__xludf.DUMMYFUNCTION("""COMPUTED_VALUE"""),449.99)</f>
        <v>449.99</v>
      </c>
      <c r="I1993">
        <f>IFERROR(__xludf.DUMMYFUNCTION("""COMPUTED_VALUE"""),449.99)</f>
        <v>449.99</v>
      </c>
      <c r="BD1993" s="2006"/>
      <c r="LL1993" s="2007"/>
      <c r="LM1993" s="2007"/>
      <c r="MX1993" s="2007"/>
      <c r="ND1993" s="2007"/>
    </row>
    <row r="1994">
      <c r="A1994" s="2005">
        <f>IFERROR(__xludf.DUMMYFUNCTION("""COMPUTED_VALUE"""),1169421.0)</f>
        <v>1169421</v>
      </c>
      <c r="B1994" s="2005">
        <f>IFERROR(__xludf.DUMMYFUNCTION("""COMPUTED_VALUE"""),2202010.0)</f>
        <v>2202010</v>
      </c>
      <c r="C1994" s="2005" t="str">
        <f>IFERROR(__xludf.DUMMYFUNCTION("""COMPUTED_VALUE"""),"Multi Jet d'enc")</f>
        <v>Multi Jet d'enc</v>
      </c>
      <c r="D1994" s="2005" t="str">
        <f>IFERROR(__xludf.DUMMYFUNCTION("""COMPUTED_VALUE"""),"EcoTank ET-4800")</f>
        <v>EcoTank ET-4800</v>
      </c>
      <c r="E1994" s="2005" t="str">
        <f>IFERROR(__xludf.DUMMYFUNCTION("""COMPUTED_VALUE"""),"EPSON")</f>
        <v>EPSON</v>
      </c>
      <c r="F1994" s="2005" t="str">
        <f>IFERROR(__xludf.DUMMYFUNCTION("""COMPUTED_VALUE"""),"H")</f>
        <v>H</v>
      </c>
      <c r="G1994" s="2005" t="str">
        <f>IFERROR(__xludf.DUMMYFUNCTION("""COMPUTED_VALUE"""),"AC")</f>
        <v>AC</v>
      </c>
      <c r="H1994" s="2005">
        <f>IFERROR(__xludf.DUMMYFUNCTION("""COMPUTED_VALUE"""),349.99)</f>
        <v>349.99</v>
      </c>
      <c r="I1994" s="2005">
        <f>IFERROR(__xludf.DUMMYFUNCTION("""COMPUTED_VALUE"""),349.99)</f>
        <v>349.99</v>
      </c>
      <c r="BD1994" s="2006"/>
      <c r="LL1994" s="2007"/>
      <c r="LM1994" s="2007"/>
      <c r="MX1994" s="2007"/>
      <c r="ND1994" s="2007"/>
    </row>
    <row r="1995">
      <c r="A1995" s="2005">
        <f>IFERROR(__xludf.DUMMYFUNCTION("""COMPUTED_VALUE"""),1169422.0)</f>
        <v>1169422</v>
      </c>
      <c r="B1995" s="2005">
        <f>IFERROR(__xludf.DUMMYFUNCTION("""COMPUTED_VALUE"""),2202010.0)</f>
        <v>2202010</v>
      </c>
      <c r="C1995" s="2005" t="str">
        <f>IFERROR(__xludf.DUMMYFUNCTION("""COMPUTED_VALUE"""),"Multi Jet d'enc")</f>
        <v>Multi Jet d'enc</v>
      </c>
      <c r="D1995" s="2005" t="str">
        <f>IFERROR(__xludf.DUMMYFUNCTION("""COMPUTED_VALUE"""),"EcoTank ET-4856")</f>
        <v>EcoTank ET-4856</v>
      </c>
      <c r="E1995" s="2005" t="str">
        <f>IFERROR(__xludf.DUMMYFUNCTION("""COMPUTED_VALUE"""),"EPSON")</f>
        <v>EPSON</v>
      </c>
      <c r="F1995" s="2005" t="str">
        <f>IFERROR(__xludf.DUMMYFUNCTION("""COMPUTED_VALUE"""),"H")</f>
        <v>H</v>
      </c>
      <c r="G1995" s="2005" t="str">
        <f>IFERROR(__xludf.DUMMYFUNCTION("""COMPUTED_VALUE"""),"AC")</f>
        <v>AC</v>
      </c>
      <c r="H1995" s="2005">
        <f>IFERROR(__xludf.DUMMYFUNCTION("""COMPUTED_VALUE"""),499.99)</f>
        <v>499.99</v>
      </c>
      <c r="I1995" s="2005">
        <f>IFERROR(__xludf.DUMMYFUNCTION("""COMPUTED_VALUE"""),429.99)</f>
        <v>429.99</v>
      </c>
      <c r="BD1995" s="2006"/>
      <c r="LL1995" s="2007"/>
      <c r="LM1995" s="2007"/>
      <c r="MX1995" s="2007"/>
      <c r="ND1995" s="2007"/>
    </row>
    <row r="1996">
      <c r="A1996" s="2005">
        <f>IFERROR(__xludf.DUMMYFUNCTION("""COMPUTED_VALUE"""),1169424.0)</f>
        <v>1169424</v>
      </c>
      <c r="B1996" s="2005">
        <f>IFERROR(__xludf.DUMMYFUNCTION("""COMPUTED_VALUE"""),2202005.0)</f>
        <v>2202005</v>
      </c>
      <c r="C1996" s="2005" t="str">
        <f>IFERROR(__xludf.DUMMYFUNCTION("""COMPUTED_VALUE"""),"Multi Jet d'enc")</f>
        <v>Multi Jet d'enc</v>
      </c>
      <c r="D1996" s="2005" t="str">
        <f>IFERROR(__xludf.DUMMYFUNCTION("""COMPUTED_VALUE"""),"DCPJ1050DW")</f>
        <v>DCPJ1050DW</v>
      </c>
      <c r="E1996" s="2005" t="str">
        <f>IFERROR(__xludf.DUMMYFUNCTION("""COMPUTED_VALUE"""),"BROTHER")</f>
        <v>BROTHER</v>
      </c>
      <c r="F1996" s="2005" t="str">
        <f>IFERROR(__xludf.DUMMYFUNCTION("""COMPUTED_VALUE"""),"H")</f>
        <v>H</v>
      </c>
      <c r="G1996" s="2005" t="str">
        <f>IFERROR(__xludf.DUMMYFUNCTION("""COMPUTED_VALUE"""),"AC")</f>
        <v>AC</v>
      </c>
      <c r="H1996" s="2005">
        <f>IFERROR(__xludf.DUMMYFUNCTION("""COMPUTED_VALUE"""),159.99)</f>
        <v>159.99</v>
      </c>
      <c r="I1996" s="2005">
        <f>IFERROR(__xludf.DUMMYFUNCTION("""COMPUTED_VALUE"""),119.99)</f>
        <v>119.99</v>
      </c>
      <c r="BD1996" s="2006"/>
      <c r="LL1996" s="2008"/>
      <c r="LM1996" s="2007"/>
      <c r="MX1996" s="2007"/>
      <c r="ND1996" s="2007"/>
    </row>
    <row r="1997">
      <c r="A1997" s="2005">
        <f>IFERROR(__xludf.DUMMYFUNCTION("""COMPUTED_VALUE"""),1169455.0)</f>
        <v>1169455</v>
      </c>
      <c r="B1997" s="2005">
        <f>IFERROR(__xludf.DUMMYFUNCTION("""COMPUTED_VALUE"""),2202005.0)</f>
        <v>2202005</v>
      </c>
      <c r="C1997" s="2005" t="str">
        <f>IFERROR(__xludf.DUMMYFUNCTION("""COMPUTED_VALUE"""),"Multi Jet d'enc")</f>
        <v>Multi Jet d'enc</v>
      </c>
      <c r="D1997" s="2005" t="str">
        <f>IFERROR(__xludf.DUMMYFUNCTION("""COMPUTED_VALUE"""),"OfficeJet Pro 9019e éligible Instant Ink")</f>
        <v>OfficeJet Pro 9019e éligible Instant Ink</v>
      </c>
      <c r="E1997" s="2005" t="str">
        <f>IFERROR(__xludf.DUMMYFUNCTION("""COMPUTED_VALUE"""),"HP")</f>
        <v>HP</v>
      </c>
      <c r="F1997" s="2005" t="str">
        <f>IFERROR(__xludf.DUMMYFUNCTION("""COMPUTED_VALUE"""),"H")</f>
        <v>H</v>
      </c>
      <c r="G1997" s="2005" t="str">
        <f>IFERROR(__xludf.DUMMYFUNCTION("""COMPUTED_VALUE"""),"AC")</f>
        <v>AC</v>
      </c>
      <c r="H1997" s="2005">
        <f>IFERROR(__xludf.DUMMYFUNCTION("""COMPUTED_VALUE"""),329.99)</f>
        <v>329.99</v>
      </c>
      <c r="I1997" s="2005">
        <f>IFERROR(__xludf.DUMMYFUNCTION("""COMPUTED_VALUE"""),329.99)</f>
        <v>329.99</v>
      </c>
      <c r="BD1997" s="2006"/>
      <c r="LL1997" s="2008"/>
      <c r="LM1997" s="2007"/>
      <c r="MX1997" s="2007"/>
      <c r="ND1997" s="2007"/>
    </row>
    <row r="1998">
      <c r="A1998" s="2005">
        <f>IFERROR(__xludf.DUMMYFUNCTION("""COMPUTED_VALUE"""),1169458.0)</f>
        <v>1169458</v>
      </c>
      <c r="B1998" s="2005">
        <f>IFERROR(__xludf.DUMMYFUNCTION("""COMPUTED_VALUE"""),2209805.0)</f>
        <v>2209805</v>
      </c>
      <c r="C1998" s="2005" t="str">
        <f>IFERROR(__xludf.DUMMYFUNCTION("""COMPUTED_VALUE"""),"Lot")</f>
        <v>Lot</v>
      </c>
      <c r="D1998" s="2005" t="str">
        <f>IFERROR(__xludf.DUMMYFUNCTION("""COMPUTED_VALUE"""),"Envy 6032e + Cartouche 305 noire")</f>
        <v>Envy 6032e + Cartouche 305 noire</v>
      </c>
      <c r="E1998" s="2005" t="str">
        <f>IFERROR(__xludf.DUMMYFUNCTION("""COMPUTED_VALUE"""),"HP")</f>
        <v>HP</v>
      </c>
      <c r="F1998" s="2005" t="str">
        <f>IFERROR(__xludf.DUMMYFUNCTION("""COMPUTED_VALUE"""),"H")</f>
        <v>H</v>
      </c>
      <c r="G1998" s="2005" t="str">
        <f>IFERROR(__xludf.DUMMYFUNCTION("""COMPUTED_VALUE"""),"AC")</f>
        <v>AC</v>
      </c>
      <c r="H1998" s="2005">
        <f>IFERROR(__xludf.DUMMYFUNCTION("""COMPUTED_VALUE"""),110.23)</f>
        <v>110.23</v>
      </c>
      <c r="I1998" s="2005">
        <f>IFERROR(__xludf.DUMMYFUNCTION("""COMPUTED_VALUE"""),110.23)</f>
        <v>110.23</v>
      </c>
      <c r="BD1998" s="2006"/>
      <c r="LL1998" s="2007"/>
      <c r="LM1998" s="2007"/>
      <c r="MX1998" s="2007"/>
      <c r="ND1998" s="2007"/>
    </row>
    <row r="1999">
      <c r="A1999" s="2005">
        <f>IFERROR(__xludf.DUMMYFUNCTION("""COMPUTED_VALUE"""),1169460.0)</f>
        <v>1169460</v>
      </c>
      <c r="B1999" s="2005">
        <f>IFERROR(__xludf.DUMMYFUNCTION("""COMPUTED_VALUE"""),2209805.0)</f>
        <v>2209805</v>
      </c>
      <c r="C1999" s="2005" t="str">
        <f>IFERROR(__xludf.DUMMYFUNCTION("""COMPUTED_VALUE"""),"Lot")</f>
        <v>Lot</v>
      </c>
      <c r="D1999" s="2005" t="str">
        <f>IFERROR(__xludf.DUMMYFUNCTION("""COMPUTED_VALUE"""),"OfficeJet Pro 9019e + Cart 963 noire")</f>
        <v>OfficeJet Pro 9019e + Cart 963 noire</v>
      </c>
      <c r="E1999" s="2005" t="str">
        <f>IFERROR(__xludf.DUMMYFUNCTION("""COMPUTED_VALUE"""),"HP")</f>
        <v>HP</v>
      </c>
      <c r="F1999" s="2005" t="str">
        <f>IFERROR(__xludf.DUMMYFUNCTION("""COMPUTED_VALUE"""),"H")</f>
        <v>H</v>
      </c>
      <c r="G1999" s="2005" t="str">
        <f>IFERROR(__xludf.DUMMYFUNCTION("""COMPUTED_VALUE"""),"AC")</f>
        <v>AC</v>
      </c>
      <c r="H1999" s="2005">
        <f>IFERROR(__xludf.DUMMYFUNCTION("""COMPUTED_VALUE"""),347.73)</f>
        <v>347.73</v>
      </c>
      <c r="I1999" s="2005">
        <f>IFERROR(__xludf.DUMMYFUNCTION("""COMPUTED_VALUE"""),347.73)</f>
        <v>347.73</v>
      </c>
      <c r="BD1999" s="2006"/>
      <c r="LL1999" s="2007"/>
      <c r="LM1999" s="2007"/>
      <c r="MX1999" s="2007"/>
      <c r="ND1999" s="2007"/>
    </row>
    <row r="2000">
      <c r="A2000" s="2005">
        <f>IFERROR(__xludf.DUMMYFUNCTION("""COMPUTED_VALUE"""),1169640.0)</f>
        <v>1169640</v>
      </c>
      <c r="B2000" s="2005">
        <f>IFERROR(__xludf.DUMMYFUNCTION("""COMPUTED_VALUE"""),1103010.0)</f>
        <v>1103010</v>
      </c>
      <c r="C2000" s="2005" t="str">
        <f>IFERROR(__xludf.DUMMYFUNCTION("""COMPUTED_VALUE"""),"Pack")</f>
        <v>Pack</v>
      </c>
      <c r="D2000" s="2005" t="str">
        <f>IFERROR(__xludf.DUMMYFUNCTION("""COMPUTED_VALUE"""),"F890 Voice Trio Noir")</f>
        <v>F890 Voice Trio Noir</v>
      </c>
      <c r="E2000" s="2005" t="str">
        <f>IFERROR(__xludf.DUMMYFUNCTION("""COMPUTED_VALUE"""),"ALCATEL")</f>
        <v>ALCATEL</v>
      </c>
      <c r="F2000" s="2005" t="str">
        <f>IFERROR(__xludf.DUMMYFUNCTION("""COMPUTED_VALUE"""),"B")</f>
        <v>B</v>
      </c>
      <c r="G2000" s="2005" t="str">
        <f>IFERROR(__xludf.DUMMYFUNCTION("""COMPUTED_VALUE"""),"AC")</f>
        <v>AC</v>
      </c>
      <c r="H2000" s="2005">
        <f>IFERROR(__xludf.DUMMYFUNCTION("""COMPUTED_VALUE"""),99.99)</f>
        <v>99.99</v>
      </c>
      <c r="I2000" s="2005">
        <f>IFERROR(__xludf.DUMMYFUNCTION("""COMPUTED_VALUE"""),99.99)</f>
        <v>99.99</v>
      </c>
      <c r="BD2000" s="2006"/>
      <c r="LL2000" s="2007"/>
      <c r="LM2000" s="2007"/>
      <c r="MX2000" s="2007"/>
      <c r="ND2000" s="2007"/>
    </row>
    <row r="2001">
      <c r="A2001" s="2005">
        <f>IFERROR(__xludf.DUMMYFUNCTION("""COMPUTED_VALUE"""),1170188.0)</f>
        <v>1170188</v>
      </c>
      <c r="B2001" s="2005">
        <f>IFERROR(__xludf.DUMMYFUNCTION("""COMPUTED_VALUE"""),2352505.0)</f>
        <v>2352505</v>
      </c>
      <c r="C2001" s="2005" t="str">
        <f>IFERROR(__xludf.DUMMYFUNCTION("""COMPUTED_VALUE"""),"Caisson")</f>
        <v>Caisson</v>
      </c>
      <c r="D2001" s="2005" t="str">
        <f>IFERROR(__xludf.DUMMYFUNCTION("""COMPUTED_VALUE"""),"de protection Disco Ultimate")</f>
        <v>de protection Disco Ultimate</v>
      </c>
      <c r="E2001" s="2005" t="str">
        <f>IFERROR(__xludf.DUMMYFUNCTION("""COMPUTED_VALUE"""),"DAGOMA")</f>
        <v>DAGOMA</v>
      </c>
      <c r="F2001" s="2005" t="str">
        <f>IFERROR(__xludf.DUMMYFUNCTION("""COMPUTED_VALUE"""),"W")</f>
        <v>W</v>
      </c>
      <c r="G2001" s="2005" t="str">
        <f>IFERROR(__xludf.DUMMYFUNCTION("""COMPUTED_VALUE"""),"NN")</f>
        <v>NN</v>
      </c>
      <c r="H2001" s="2005">
        <f>IFERROR(__xludf.DUMMYFUNCTION("""COMPUTED_VALUE"""),129.99)</f>
        <v>129.99</v>
      </c>
      <c r="I2001" s="2005">
        <f>IFERROR(__xludf.DUMMYFUNCTION("""COMPUTED_VALUE"""),129.99)</f>
        <v>129.99</v>
      </c>
      <c r="BD2001" s="2006"/>
      <c r="LL2001" s="2007"/>
      <c r="LM2001" s="2007"/>
      <c r="MX2001" s="2007"/>
      <c r="ND2001" s="2007"/>
    </row>
    <row r="2002">
      <c r="A2002" s="2005">
        <f>IFERROR(__xludf.DUMMYFUNCTION("""COMPUTED_VALUE"""),1170530.0)</f>
        <v>1170530</v>
      </c>
      <c r="B2002" s="2005">
        <f>IFERROR(__xludf.DUMMYFUNCTION("""COMPUTED_VALUE"""),2502024.0)</f>
        <v>2502024</v>
      </c>
      <c r="C2002" s="2005" t="str">
        <f>IFERROR(__xludf.DUMMYFUNCTION("""COMPUTED_VALUE"""),"Stylet")</f>
        <v>Stylet</v>
      </c>
      <c r="D2002" s="2005" t="str">
        <f>IFERROR(__xludf.DUMMYFUNCTION("""COMPUTED_VALUE"""),"crayon numérique pour Ipad")</f>
        <v>crayon numérique pour Ipad</v>
      </c>
      <c r="E2002" s="2005" t="str">
        <f>IFERROR(__xludf.DUMMYFUNCTION("""COMPUTED_VALUE"""),"LOGITECH")</f>
        <v>LOGITECH</v>
      </c>
      <c r="F2002" s="2005" t="str">
        <f>IFERROR(__xludf.DUMMYFUNCTION("""COMPUTED_VALUE"""),"A")</f>
        <v>A</v>
      </c>
      <c r="G2002" s="2005" t="str">
        <f>IFERROR(__xludf.DUMMYFUNCTION("""COMPUTED_VALUE"""),"AC")</f>
        <v>AC</v>
      </c>
      <c r="H2002" s="2005">
        <f>IFERROR(__xludf.DUMMYFUNCTION("""COMPUTED_VALUE"""),69.99)</f>
        <v>69.99</v>
      </c>
      <c r="I2002" s="2005">
        <f>IFERROR(__xludf.DUMMYFUNCTION("""COMPUTED_VALUE"""),69.99)</f>
        <v>69.99</v>
      </c>
      <c r="BD2002" s="2006"/>
      <c r="LL2002" s="2007"/>
      <c r="LM2002" s="2007"/>
      <c r="MX2002" s="2007"/>
      <c r="ND2002" s="2007"/>
    </row>
    <row r="2003">
      <c r="A2003">
        <f>IFERROR(__xludf.DUMMYFUNCTION("""COMPUTED_VALUE"""),1170735.0)</f>
        <v>1170735</v>
      </c>
      <c r="B2003">
        <f>IFERROR(__xludf.DUMMYFUNCTION("""COMPUTED_VALUE"""),1101005.0)</f>
        <v>1101005</v>
      </c>
      <c r="C2003" t="str">
        <f>IFERROR(__xludf.DUMMYFUNCTION("""COMPUTED_VALUE"""),"Tél.")</f>
        <v>Tél.</v>
      </c>
      <c r="D2003" t="str">
        <f>IFERROR(__xludf.DUMMYFUNCTION("""COMPUTED_VALUE"""),"AL117A Noir")</f>
        <v>AL117A Noir</v>
      </c>
      <c r="E2003" t="str">
        <f>IFERROR(__xludf.DUMMYFUNCTION("""COMPUTED_VALUE"""),"GIGASET")</f>
        <v>GIGASET</v>
      </c>
      <c r="F2003" t="str">
        <f>IFERROR(__xludf.DUMMYFUNCTION("""COMPUTED_VALUE"""),"H")</f>
        <v>H</v>
      </c>
      <c r="G2003" t="str">
        <f>IFERROR(__xludf.DUMMYFUNCTION("""COMPUTED_VALUE"""),"NN")</f>
        <v>NN</v>
      </c>
      <c r="H2003">
        <f>IFERROR(__xludf.DUMMYFUNCTION("""COMPUTED_VALUE"""),39.99)</f>
        <v>39.99</v>
      </c>
      <c r="I2003">
        <f>IFERROR(__xludf.DUMMYFUNCTION("""COMPUTED_VALUE"""),39.99)</f>
        <v>39.99</v>
      </c>
      <c r="BD2003" s="2006"/>
      <c r="LL2003" s="2007"/>
      <c r="LM2003" s="2007"/>
      <c r="MX2003" s="2007"/>
      <c r="ND2003" s="2007"/>
    </row>
    <row r="2004">
      <c r="A2004" s="2005">
        <f>IFERROR(__xludf.DUMMYFUNCTION("""COMPUTED_VALUE"""),1170816.0)</f>
        <v>1170816</v>
      </c>
      <c r="B2004" s="2005">
        <f>IFERROR(__xludf.DUMMYFUNCTION("""COMPUTED_VALUE"""),2502015.0)</f>
        <v>2502015</v>
      </c>
      <c r="C2004" s="2005" t="str">
        <f>IFERROR(__xludf.DUMMYFUNCTION("""COMPUTED_VALUE"""),"Clavier")</f>
        <v>Clavier</v>
      </c>
      <c r="D2004" s="2005" t="str">
        <f>IFERROR(__xludf.DUMMYFUNCTION("""COMPUTED_VALUE"""),"MX Keys mini graphite")</f>
        <v>MX Keys mini graphite</v>
      </c>
      <c r="E2004" s="2005" t="str">
        <f>IFERROR(__xludf.DUMMYFUNCTION("""COMPUTED_VALUE"""),"LOGITECH")</f>
        <v>LOGITECH</v>
      </c>
      <c r="F2004" s="2005" t="str">
        <f>IFERROR(__xludf.DUMMYFUNCTION("""COMPUTED_VALUE"""),"A")</f>
        <v>A</v>
      </c>
      <c r="G2004" s="2005" t="str">
        <f>IFERROR(__xludf.DUMMYFUNCTION("""COMPUTED_VALUE"""),"AC")</f>
        <v>AC</v>
      </c>
      <c r="H2004" s="2005">
        <f>IFERROR(__xludf.DUMMYFUNCTION("""COMPUTED_VALUE"""),119.99)</f>
        <v>119.99</v>
      </c>
      <c r="I2004" s="2005">
        <f>IFERROR(__xludf.DUMMYFUNCTION("""COMPUTED_VALUE"""),119.99)</f>
        <v>119.99</v>
      </c>
      <c r="BD2004" s="2006"/>
      <c r="LL2004" s="2007"/>
      <c r="LM2004" s="2007"/>
      <c r="MX2004" s="2007"/>
      <c r="ND2004" s="2007"/>
    </row>
    <row r="2005">
      <c r="A2005" s="2005">
        <f>IFERROR(__xludf.DUMMYFUNCTION("""COMPUTED_VALUE"""),1170818.0)</f>
        <v>1170818</v>
      </c>
      <c r="B2005" s="2005">
        <f>IFERROR(__xludf.DUMMYFUNCTION("""COMPUTED_VALUE"""),2502015.0)</f>
        <v>2502015</v>
      </c>
      <c r="C2005" s="2005" t="str">
        <f>IFERROR(__xludf.DUMMYFUNCTION("""COMPUTED_VALUE"""),"Clavier")</f>
        <v>Clavier</v>
      </c>
      <c r="D2005" s="2005" t="str">
        <f>IFERROR(__xludf.DUMMYFUNCTION("""COMPUTED_VALUE"""),"MX Keys mini gris")</f>
        <v>MX Keys mini gris</v>
      </c>
      <c r="E2005" s="2005" t="str">
        <f>IFERROR(__xludf.DUMMYFUNCTION("""COMPUTED_VALUE"""),"LOGITECH")</f>
        <v>LOGITECH</v>
      </c>
      <c r="F2005" s="2005" t="str">
        <f>IFERROR(__xludf.DUMMYFUNCTION("""COMPUTED_VALUE"""),"H")</f>
        <v>H</v>
      </c>
      <c r="G2005" s="2005" t="str">
        <f>IFERROR(__xludf.DUMMYFUNCTION("""COMPUTED_VALUE"""),"AC")</f>
        <v>AC</v>
      </c>
      <c r="H2005">
        <f>IFERROR(__xludf.DUMMYFUNCTION("""COMPUTED_VALUE"""),119.99)</f>
        <v>119.99</v>
      </c>
      <c r="I2005">
        <f>IFERROR(__xludf.DUMMYFUNCTION("""COMPUTED_VALUE"""),119.99)</f>
        <v>119.99</v>
      </c>
      <c r="BD2005" s="2006"/>
      <c r="LL2005" s="2007"/>
      <c r="LM2005" s="2007"/>
      <c r="MX2005" s="2007"/>
      <c r="ND2005" s="2007"/>
    </row>
    <row r="2006">
      <c r="A2006" s="2005">
        <f>IFERROR(__xludf.DUMMYFUNCTION("""COMPUTED_VALUE"""),1170820.0)</f>
        <v>1170820</v>
      </c>
      <c r="B2006" s="2005">
        <f>IFERROR(__xludf.DUMMYFUNCTION("""COMPUTED_VALUE"""),2502015.0)</f>
        <v>2502015</v>
      </c>
      <c r="C2006" s="2005" t="str">
        <f>IFERROR(__xludf.DUMMYFUNCTION("""COMPUTED_VALUE"""),"Clavier")</f>
        <v>Clavier</v>
      </c>
      <c r="D2006" s="2005" t="str">
        <f>IFERROR(__xludf.DUMMYFUNCTION("""COMPUTED_VALUE"""),"MX Keys mini rose")</f>
        <v>MX Keys mini rose</v>
      </c>
      <c r="E2006" s="2005" t="str">
        <f>IFERROR(__xludf.DUMMYFUNCTION("""COMPUTED_VALUE"""),"LOGITECH")</f>
        <v>LOGITECH</v>
      </c>
      <c r="F2006" s="2005" t="str">
        <f>IFERROR(__xludf.DUMMYFUNCTION("""COMPUTED_VALUE"""),"H")</f>
        <v>H</v>
      </c>
      <c r="G2006" s="2005" t="str">
        <f>IFERROR(__xludf.DUMMYFUNCTION("""COMPUTED_VALUE"""),"AC")</f>
        <v>AC</v>
      </c>
      <c r="H2006" s="2005">
        <f>IFERROR(__xludf.DUMMYFUNCTION("""COMPUTED_VALUE"""),119.99)</f>
        <v>119.99</v>
      </c>
      <c r="I2006" s="2005">
        <f>IFERROR(__xludf.DUMMYFUNCTION("""COMPUTED_VALUE"""),119.99)</f>
        <v>119.99</v>
      </c>
      <c r="BD2006" s="2006"/>
      <c r="LL2006" s="2007"/>
      <c r="LM2006" s="2007"/>
      <c r="MX2006" s="2007"/>
      <c r="ND2006" s="2007"/>
    </row>
    <row r="2007">
      <c r="A2007" s="2005">
        <f>IFERROR(__xludf.DUMMYFUNCTION("""COMPUTED_VALUE"""),1170832.0)</f>
        <v>1170832</v>
      </c>
      <c r="B2007" s="2005">
        <f>IFERROR(__xludf.DUMMYFUNCTION("""COMPUTED_VALUE"""),2502015.0)</f>
        <v>2502015</v>
      </c>
      <c r="C2007" s="2005" t="str">
        <f>IFERROR(__xludf.DUMMYFUNCTION("""COMPUTED_VALUE"""),"Clavier")</f>
        <v>Clavier</v>
      </c>
      <c r="D2007" s="2005" t="str">
        <f>IFERROR(__xludf.DUMMYFUNCTION("""COMPUTED_VALUE"""),"MX Keys mini pour Mac")</f>
        <v>MX Keys mini pour Mac</v>
      </c>
      <c r="E2007" s="2005" t="str">
        <f>IFERROR(__xludf.DUMMYFUNCTION("""COMPUTED_VALUE"""),"LOGITECH")</f>
        <v>LOGITECH</v>
      </c>
      <c r="F2007" s="2005" t="str">
        <f>IFERROR(__xludf.DUMMYFUNCTION("""COMPUTED_VALUE"""),"E")</f>
        <v>E</v>
      </c>
      <c r="G2007" s="2005" t="str">
        <f>IFERROR(__xludf.DUMMYFUNCTION("""COMPUTED_VALUE"""),"AC")</f>
        <v>AC</v>
      </c>
      <c r="H2007" s="2005">
        <f>IFERROR(__xludf.DUMMYFUNCTION("""COMPUTED_VALUE"""),119.99)</f>
        <v>119.99</v>
      </c>
      <c r="I2007" s="2005">
        <f>IFERROR(__xludf.DUMMYFUNCTION("""COMPUTED_VALUE"""),119.0)</f>
        <v>119</v>
      </c>
      <c r="BD2007" s="2006"/>
      <c r="LL2007" s="2007"/>
      <c r="LM2007" s="2007"/>
      <c r="MX2007" s="2007"/>
      <c r="ND2007" s="2007"/>
    </row>
    <row r="2008">
      <c r="A2008" s="2005">
        <f>IFERROR(__xludf.DUMMYFUNCTION("""COMPUTED_VALUE"""),1170888.0)</f>
        <v>1170888</v>
      </c>
      <c r="B2008" s="2005">
        <f>IFERROR(__xludf.DUMMYFUNCTION("""COMPUTED_VALUE"""),2502010.0)</f>
        <v>2502010</v>
      </c>
      <c r="C2008" s="2005" t="str">
        <f>IFERROR(__xludf.DUMMYFUNCTION("""COMPUTED_VALUE"""),"Souris")</f>
        <v>Souris</v>
      </c>
      <c r="D2008" s="2005" t="str">
        <f>IFERROR(__xludf.DUMMYFUNCTION("""COMPUTED_VALUE"""),"Ocean Plastic")</f>
        <v>Ocean Plastic</v>
      </c>
      <c r="E2008" s="2005" t="str">
        <f>IFERROR(__xludf.DUMMYFUNCTION("""COMPUTED_VALUE"""),"MICROSOFT")</f>
        <v>MICROSOFT</v>
      </c>
      <c r="F2008" s="2005" t="str">
        <f>IFERROR(__xludf.DUMMYFUNCTION("""COMPUTED_VALUE"""),"H")</f>
        <v>H</v>
      </c>
      <c r="G2008" s="2005" t="str">
        <f>IFERROR(__xludf.DUMMYFUNCTION("""COMPUTED_VALUE"""),"AC")</f>
        <v>AC</v>
      </c>
      <c r="H2008" s="2005">
        <f>IFERROR(__xludf.DUMMYFUNCTION("""COMPUTED_VALUE"""),27.99)</f>
        <v>27.99</v>
      </c>
      <c r="I2008" s="2005">
        <f>IFERROR(__xludf.DUMMYFUNCTION("""COMPUTED_VALUE"""),27.99)</f>
        <v>27.99</v>
      </c>
      <c r="BD2008" s="2006"/>
      <c r="LL2008" s="2007"/>
      <c r="LM2008" s="2007"/>
      <c r="MX2008" s="2007"/>
      <c r="ND2008" s="2007"/>
    </row>
    <row r="2009">
      <c r="A2009" s="2005">
        <f>IFERROR(__xludf.DUMMYFUNCTION("""COMPUTED_VALUE"""),1170889.0)</f>
        <v>1170889</v>
      </c>
      <c r="B2009" s="2005">
        <f>IFERROR(__xludf.DUMMYFUNCTION("""COMPUTED_VALUE"""),2502040.0)</f>
        <v>2502040</v>
      </c>
      <c r="C2009" s="2005" t="str">
        <f>IFERROR(__xludf.DUMMYFUNCTION("""COMPUTED_VALUE"""),"Pack")</f>
        <v>Pack</v>
      </c>
      <c r="D2009" s="2005" t="str">
        <f>IFERROR(__xludf.DUMMYFUNCTION("""COMPUTED_VALUE"""),"Clavier + Stylet Surface Pro rouge")</f>
        <v>Clavier + Stylet Surface Pro rouge</v>
      </c>
      <c r="E2009" s="2005" t="str">
        <f>IFERROR(__xludf.DUMMYFUNCTION("""COMPUTED_VALUE"""),"MICROSOFT")</f>
        <v>MICROSOFT</v>
      </c>
      <c r="F2009" s="2005" t="str">
        <f>IFERROR(__xludf.DUMMYFUNCTION("""COMPUTED_VALUE"""),"H")</f>
        <v>H</v>
      </c>
      <c r="G2009" s="2005" t="str">
        <f>IFERROR(__xludf.DUMMYFUNCTION("""COMPUTED_VALUE"""),"AC")</f>
        <v>AC</v>
      </c>
      <c r="H2009">
        <f>IFERROR(__xludf.DUMMYFUNCTION("""COMPUTED_VALUE"""),279.99)</f>
        <v>279.99</v>
      </c>
      <c r="I2009">
        <f>IFERROR(__xludf.DUMMYFUNCTION("""COMPUTED_VALUE"""),279.99)</f>
        <v>279.99</v>
      </c>
      <c r="BD2009" s="2006"/>
      <c r="LL2009" s="2007"/>
      <c r="LM2009" s="2007"/>
      <c r="MX2009" s="2007"/>
      <c r="ND2009" s="2007"/>
    </row>
    <row r="2010">
      <c r="A2010" s="2005">
        <f>IFERROR(__xludf.DUMMYFUNCTION("""COMPUTED_VALUE"""),1170890.0)</f>
        <v>1170890</v>
      </c>
      <c r="B2010" s="2005">
        <f>IFERROR(__xludf.DUMMYFUNCTION("""COMPUTED_VALUE"""),2502040.0)</f>
        <v>2502040</v>
      </c>
      <c r="C2010" s="2005" t="str">
        <f>IFERROR(__xludf.DUMMYFUNCTION("""COMPUTED_VALUE"""),"Clavier")</f>
        <v>Clavier</v>
      </c>
      <c r="D2010" s="2005" t="str">
        <f>IFERROR(__xludf.DUMMYFUNCTION("""COMPUTED_VALUE"""),"Surface Pro bleu")</f>
        <v>Surface Pro bleu</v>
      </c>
      <c r="E2010" s="2005" t="str">
        <f>IFERROR(__xludf.DUMMYFUNCTION("""COMPUTED_VALUE"""),"MICROSOFT")</f>
        <v>MICROSOFT</v>
      </c>
      <c r="F2010" s="2005" t="str">
        <f>IFERROR(__xludf.DUMMYFUNCTION("""COMPUTED_VALUE"""),"H")</f>
        <v>H</v>
      </c>
      <c r="G2010" s="2005" t="str">
        <f>IFERROR(__xludf.DUMMYFUNCTION("""COMPUTED_VALUE"""),"NN")</f>
        <v>NN</v>
      </c>
      <c r="H2010" s="2005">
        <f>IFERROR(__xludf.DUMMYFUNCTION("""COMPUTED_VALUE"""),179.99)</f>
        <v>179.99</v>
      </c>
      <c r="I2010" s="2005">
        <f>IFERROR(__xludf.DUMMYFUNCTION("""COMPUTED_VALUE"""),179.99)</f>
        <v>179.99</v>
      </c>
      <c r="BD2010" s="2006"/>
      <c r="LL2010" s="2007"/>
      <c r="LM2010" s="2007"/>
      <c r="MX2010" s="2007"/>
      <c r="ND2010" s="2007"/>
    </row>
    <row r="2011">
      <c r="A2011" s="2005">
        <f>IFERROR(__xludf.DUMMYFUNCTION("""COMPUTED_VALUE"""),1170899.0)</f>
        <v>1170899</v>
      </c>
      <c r="B2011" s="2005">
        <f>IFERROR(__xludf.DUMMYFUNCTION("""COMPUTED_VALUE"""),2502040.0)</f>
        <v>2502040</v>
      </c>
      <c r="C2011" s="2005" t="str">
        <f>IFERROR(__xludf.DUMMYFUNCTION("""COMPUTED_VALUE"""),"Clavier")</f>
        <v>Clavier</v>
      </c>
      <c r="D2011" s="2005" t="str">
        <f>IFERROR(__xludf.DUMMYFUNCTION("""COMPUTED_VALUE"""),"Demo unit Clavier signature Surface Pro")</f>
        <v>Demo unit Clavier signature Surface Pro</v>
      </c>
      <c r="E2011" s="2005" t="str">
        <f>IFERROR(__xludf.DUMMYFUNCTION("""COMPUTED_VALUE"""),"MICROSOFT")</f>
        <v>MICROSOFT</v>
      </c>
      <c r="F2011" s="2005" t="str">
        <f>IFERROR(__xludf.DUMMYFUNCTION("""COMPUTED_VALUE"""),"H")</f>
        <v>H</v>
      </c>
      <c r="G2011" s="2005" t="str">
        <f>IFERROR(__xludf.DUMMYFUNCTION("""COMPUTED_VALUE"""),"AC")</f>
        <v>AC</v>
      </c>
      <c r="H2011">
        <f>IFERROR(__xludf.DUMMYFUNCTION("""COMPUTED_VALUE"""),999.1)</f>
        <v>999.1</v>
      </c>
      <c r="I2011">
        <f>IFERROR(__xludf.DUMMYFUNCTION("""COMPUTED_VALUE"""),999.1)</f>
        <v>999.1</v>
      </c>
      <c r="BD2011" s="2006"/>
      <c r="LL2011" s="2007"/>
      <c r="LM2011" s="2007"/>
      <c r="MX2011" s="2007"/>
      <c r="ND2011" s="2007"/>
    </row>
    <row r="2012">
      <c r="A2012" s="2005">
        <f>IFERROR(__xludf.DUMMYFUNCTION("""COMPUTED_VALUE"""),1170919.0)</f>
        <v>1170919</v>
      </c>
      <c r="B2012" s="2005">
        <f>IFERROR(__xludf.DUMMYFUNCTION("""COMPUTED_VALUE"""),2201020.0)</f>
        <v>2201020</v>
      </c>
      <c r="C2012" s="2005" t="str">
        <f>IFERROR(__xludf.DUMMYFUNCTION("""COMPUTED_VALUE"""),"Mono Laser")</f>
        <v>Mono Laser</v>
      </c>
      <c r="D2012" s="2005" t="str">
        <f>IFERROR(__xludf.DUMMYFUNCTION("""COMPUTED_VALUE"""),"Laser 107w")</f>
        <v>Laser 107w</v>
      </c>
      <c r="E2012" s="2005" t="str">
        <f>IFERROR(__xludf.DUMMYFUNCTION("""COMPUTED_VALUE"""),"HP")</f>
        <v>HP</v>
      </c>
      <c r="F2012" s="2005" t="str">
        <f>IFERROR(__xludf.DUMMYFUNCTION("""COMPUTED_VALUE"""),"H")</f>
        <v>H</v>
      </c>
      <c r="G2012" s="2005" t="str">
        <f>IFERROR(__xludf.DUMMYFUNCTION("""COMPUTED_VALUE"""),"NN")</f>
        <v>NN</v>
      </c>
      <c r="H2012">
        <f>IFERROR(__xludf.DUMMYFUNCTION("""COMPUTED_VALUE"""),129.99)</f>
        <v>129.99</v>
      </c>
      <c r="I2012">
        <f>IFERROR(__xludf.DUMMYFUNCTION("""COMPUTED_VALUE"""),129.99)</f>
        <v>129.99</v>
      </c>
      <c r="BD2012" s="2006"/>
      <c r="LL2012" s="2007"/>
      <c r="LM2012" s="2007"/>
      <c r="MX2012" s="2007"/>
      <c r="ND2012" s="2007"/>
    </row>
    <row r="2013">
      <c r="A2013" s="2005">
        <f>IFERROR(__xludf.DUMMYFUNCTION("""COMPUTED_VALUE"""),1171025.0)</f>
        <v>1171025</v>
      </c>
      <c r="B2013" s="2005">
        <f>IFERROR(__xludf.DUMMYFUNCTION("""COMPUTED_VALUE"""),2403010.0)</f>
        <v>2403010</v>
      </c>
      <c r="C2013" s="2005" t="str">
        <f>IFERROR(__xludf.DUMMYFUNCTION("""COMPUTED_VALUE"""),"Toner")</f>
        <v>Toner</v>
      </c>
      <c r="D2013" s="2005" t="str">
        <f>IFERROR(__xludf.DUMMYFUNCTION("""COMPUTED_VALUE"""),"106A Noir")</f>
        <v>106A Noir</v>
      </c>
      <c r="E2013" s="2005" t="str">
        <f>IFERROR(__xludf.DUMMYFUNCTION("""COMPUTED_VALUE"""),"HP")</f>
        <v>HP</v>
      </c>
      <c r="F2013" s="2005" t="str">
        <f>IFERROR(__xludf.DUMMYFUNCTION("""COMPUTED_VALUE"""),"H")</f>
        <v>H</v>
      </c>
      <c r="G2013" s="2005" t="str">
        <f>IFERROR(__xludf.DUMMYFUNCTION("""COMPUTED_VALUE"""),"AC")</f>
        <v>AC</v>
      </c>
      <c r="H2013" s="2005">
        <f>IFERROR(__xludf.DUMMYFUNCTION("""COMPUTED_VALUE"""),74.99)</f>
        <v>74.99</v>
      </c>
      <c r="I2013" s="2005">
        <f>IFERROR(__xludf.DUMMYFUNCTION("""COMPUTED_VALUE"""),74.99)</f>
        <v>74.99</v>
      </c>
      <c r="BD2013" s="2006"/>
      <c r="LL2013" s="2007"/>
      <c r="LM2013" s="2007"/>
      <c r="MX2013" s="2007"/>
      <c r="ND2013" s="2007"/>
    </row>
    <row r="2014">
      <c r="A2014" s="2005">
        <f>IFERROR(__xludf.DUMMYFUNCTION("""COMPUTED_VALUE"""),1171192.0)</f>
        <v>1171192</v>
      </c>
      <c r="B2014" s="2005">
        <f>IFERROR(__xludf.DUMMYFUNCTION("""COMPUTED_VALUE"""),2502020.0)</f>
        <v>2502020</v>
      </c>
      <c r="C2014" s="2005" t="str">
        <f>IFERROR(__xludf.DUMMYFUNCTION("""COMPUTED_VALUE"""),"Webcam")</f>
        <v>Webcam</v>
      </c>
      <c r="D2014" s="2005" t="str">
        <f>IFERROR(__xludf.DUMMYFUNCTION("""COMPUTED_VALUE"""),"Modern")</f>
        <v>Modern</v>
      </c>
      <c r="E2014" s="2005" t="str">
        <f>IFERROR(__xludf.DUMMYFUNCTION("""COMPUTED_VALUE"""),"MICROSOFT")</f>
        <v>MICROSOFT</v>
      </c>
      <c r="F2014" s="2005" t="str">
        <f>IFERROR(__xludf.DUMMYFUNCTION("""COMPUTED_VALUE"""),"H")</f>
        <v>H</v>
      </c>
      <c r="G2014" s="2005" t="str">
        <f>IFERROR(__xludf.DUMMYFUNCTION("""COMPUTED_VALUE"""),"FR")</f>
        <v>FR</v>
      </c>
      <c r="H2014" s="2005">
        <f>IFERROR(__xludf.DUMMYFUNCTION("""COMPUTED_VALUE"""),79.99)</f>
        <v>79.99</v>
      </c>
      <c r="I2014" s="2005">
        <f>IFERROR(__xludf.DUMMYFUNCTION("""COMPUTED_VALUE"""),79.99)</f>
        <v>79.99</v>
      </c>
      <c r="BD2014" s="2006"/>
      <c r="LL2014" s="2007"/>
      <c r="LM2014" s="2007"/>
      <c r="MX2014" s="2007"/>
      <c r="ND2014" s="2007"/>
    </row>
    <row r="2015">
      <c r="A2015" s="2005">
        <f>IFERROR(__xludf.DUMMYFUNCTION("""COMPUTED_VALUE"""),1171193.0)</f>
        <v>1171193</v>
      </c>
      <c r="B2015" s="2005">
        <f>IFERROR(__xludf.DUMMYFUNCTION("""COMPUTED_VALUE"""),2502040.0)</f>
        <v>2502040</v>
      </c>
      <c r="C2015" s="2005" t="str">
        <f>IFERROR(__xludf.DUMMYFUNCTION("""COMPUTED_VALUE"""),"Pack")</f>
        <v>Pack</v>
      </c>
      <c r="D2015" s="2005" t="str">
        <f>IFERROR(__xludf.DUMMYFUNCTION("""COMPUTED_VALUE"""),"Clavier + Stylet Surface Pro bleu")</f>
        <v>Clavier + Stylet Surface Pro bleu</v>
      </c>
      <c r="E2015" s="2005" t="str">
        <f>IFERROR(__xludf.DUMMYFUNCTION("""COMPUTED_VALUE"""),"MICROSOFT")</f>
        <v>MICROSOFT</v>
      </c>
      <c r="F2015" s="2005" t="str">
        <f>IFERROR(__xludf.DUMMYFUNCTION("""COMPUTED_VALUE"""),"H")</f>
        <v>H</v>
      </c>
      <c r="G2015" s="2005" t="str">
        <f>IFERROR(__xludf.DUMMYFUNCTION("""COMPUTED_VALUE"""),"FR")</f>
        <v>FR</v>
      </c>
      <c r="H2015" s="2005">
        <f>IFERROR(__xludf.DUMMYFUNCTION("""COMPUTED_VALUE"""),279.99)</f>
        <v>279.99</v>
      </c>
      <c r="I2015" s="2005">
        <f>IFERROR(__xludf.DUMMYFUNCTION("""COMPUTED_VALUE"""),279.99)</f>
        <v>279.99</v>
      </c>
      <c r="BD2015" s="2006"/>
      <c r="LL2015" s="2007"/>
      <c r="LM2015" s="2007"/>
      <c r="MX2015" s="2007"/>
      <c r="ND2015" s="2007"/>
    </row>
    <row r="2016">
      <c r="A2016" s="2005">
        <f>IFERROR(__xludf.DUMMYFUNCTION("""COMPUTED_VALUE"""),1171194.0)</f>
        <v>1171194</v>
      </c>
      <c r="B2016" s="2005">
        <f>IFERROR(__xludf.DUMMYFUNCTION("""COMPUTED_VALUE"""),2502040.0)</f>
        <v>2502040</v>
      </c>
      <c r="C2016" s="2005" t="str">
        <f>IFERROR(__xludf.DUMMYFUNCTION("""COMPUTED_VALUE"""),"Clavier")</f>
        <v>Clavier</v>
      </c>
      <c r="D2016" s="2005" t="str">
        <f>IFERROR(__xludf.DUMMYFUNCTION("""COMPUTED_VALUE"""),"Surface Pro gris")</f>
        <v>Surface Pro gris</v>
      </c>
      <c r="E2016" s="2005" t="str">
        <f>IFERROR(__xludf.DUMMYFUNCTION("""COMPUTED_VALUE"""),"MICROSOFT")</f>
        <v>MICROSOFT</v>
      </c>
      <c r="F2016" s="2005" t="str">
        <f>IFERROR(__xludf.DUMMYFUNCTION("""COMPUTED_VALUE"""),"H")</f>
        <v>H</v>
      </c>
      <c r="G2016" s="2005" t="str">
        <f>IFERROR(__xludf.DUMMYFUNCTION("""COMPUTED_VALUE"""),"AC")</f>
        <v>AC</v>
      </c>
      <c r="H2016" s="2005">
        <f>IFERROR(__xludf.DUMMYFUNCTION("""COMPUTED_VALUE"""),179.99)</f>
        <v>179.99</v>
      </c>
      <c r="I2016" s="2005">
        <f>IFERROR(__xludf.DUMMYFUNCTION("""COMPUTED_VALUE"""),179.99)</f>
        <v>179.99</v>
      </c>
      <c r="BD2016" s="2006"/>
      <c r="LL2016" s="2007"/>
      <c r="LM2016" s="2007"/>
      <c r="MX2016" s="2007"/>
      <c r="ND2016" s="2007"/>
    </row>
    <row r="2017">
      <c r="A2017" s="2005">
        <f>IFERROR(__xludf.DUMMYFUNCTION("""COMPUTED_VALUE"""),1171298.0)</f>
        <v>1171298</v>
      </c>
      <c r="B2017" s="2005">
        <f>IFERROR(__xludf.DUMMYFUNCTION("""COMPUTED_VALUE"""),2502040.0)</f>
        <v>2502040</v>
      </c>
      <c r="C2017" s="2005" t="str">
        <f>IFERROR(__xludf.DUMMYFUNCTION("""COMPUTED_VALUE"""),"Stylet")</f>
        <v>Stylet</v>
      </c>
      <c r="D2017" s="2005" t="str">
        <f>IFERROR(__xludf.DUMMYFUNCTION("""COMPUTED_VALUE"""),"Surface Slim Pen 2 noir")</f>
        <v>Surface Slim Pen 2 noir</v>
      </c>
      <c r="E2017" s="2005" t="str">
        <f>IFERROR(__xludf.DUMMYFUNCTION("""COMPUTED_VALUE"""),"MICROSOFT")</f>
        <v>MICROSOFT</v>
      </c>
      <c r="F2017" s="2005" t="str">
        <f>IFERROR(__xludf.DUMMYFUNCTION("""COMPUTED_VALUE"""),"C")</f>
        <v>C</v>
      </c>
      <c r="G2017" s="2005" t="str">
        <f>IFERROR(__xludf.DUMMYFUNCTION("""COMPUTED_VALUE"""),"AC")</f>
        <v>AC</v>
      </c>
      <c r="H2017">
        <f>IFERROR(__xludf.DUMMYFUNCTION("""COMPUTED_VALUE"""),129.94)</f>
        <v>129.94</v>
      </c>
      <c r="I2017">
        <f>IFERROR(__xludf.DUMMYFUNCTION("""COMPUTED_VALUE"""),129.94)</f>
        <v>129.94</v>
      </c>
      <c r="BD2017" s="2006"/>
      <c r="LL2017" s="2007"/>
      <c r="LM2017" s="2007"/>
      <c r="MX2017" s="2007"/>
      <c r="ND2017" s="2007"/>
    </row>
    <row r="2018">
      <c r="A2018" s="2005">
        <f>IFERROR(__xludf.DUMMYFUNCTION("""COMPUTED_VALUE"""),1171299.0)</f>
        <v>1171299</v>
      </c>
      <c r="B2018" s="2005">
        <f>IFERROR(__xludf.DUMMYFUNCTION("""COMPUTED_VALUE"""),2502040.0)</f>
        <v>2502040</v>
      </c>
      <c r="C2018" s="2005" t="str">
        <f>IFERROR(__xludf.DUMMYFUNCTION("""COMPUTED_VALUE"""),"Pack")</f>
        <v>Pack</v>
      </c>
      <c r="D2018" s="2005" t="str">
        <f>IFERROR(__xludf.DUMMYFUNCTION("""COMPUTED_VALUE"""),"Clavier + Stylet Surface Pro")</f>
        <v>Clavier + Stylet Surface Pro</v>
      </c>
      <c r="E2018" s="2005" t="str">
        <f>IFERROR(__xludf.DUMMYFUNCTION("""COMPUTED_VALUE"""),"MICROSOFT")</f>
        <v>MICROSOFT</v>
      </c>
      <c r="F2018" s="2005" t="str">
        <f>IFERROR(__xludf.DUMMYFUNCTION("""COMPUTED_VALUE"""),"A")</f>
        <v>A</v>
      </c>
      <c r="G2018" s="2005" t="str">
        <f>IFERROR(__xludf.DUMMYFUNCTION("""COMPUTED_VALUE"""),"AC")</f>
        <v>AC</v>
      </c>
      <c r="H2018">
        <f>IFERROR(__xludf.DUMMYFUNCTION("""COMPUTED_VALUE"""),279.99)</f>
        <v>279.99</v>
      </c>
      <c r="I2018">
        <f>IFERROR(__xludf.DUMMYFUNCTION("""COMPUTED_VALUE"""),279.99)</f>
        <v>279.99</v>
      </c>
      <c r="BD2018" s="2006"/>
      <c r="LL2018" s="2007"/>
      <c r="LM2018" s="2007"/>
      <c r="MX2018" s="2007"/>
      <c r="ND2018" s="2007"/>
    </row>
    <row r="2019">
      <c r="A2019" s="2005">
        <f>IFERROR(__xludf.DUMMYFUNCTION("""COMPUTED_VALUE"""),1171300.0)</f>
        <v>1171300</v>
      </c>
      <c r="B2019" s="2005">
        <f>IFERROR(__xludf.DUMMYFUNCTION("""COMPUTED_VALUE"""),2502040.0)</f>
        <v>2502040</v>
      </c>
      <c r="C2019" s="2005" t="str">
        <f>IFERROR(__xludf.DUMMYFUNCTION("""COMPUTED_VALUE"""),"Clavier")</f>
        <v>Clavier</v>
      </c>
      <c r="D2019" s="2005" t="str">
        <f>IFERROR(__xludf.DUMMYFUNCTION("""COMPUTED_VALUE"""),"Surface Pro empreintes digitales noir")</f>
        <v>Surface Pro empreintes digitales noir</v>
      </c>
      <c r="E2019" s="2005" t="str">
        <f>IFERROR(__xludf.DUMMYFUNCTION("""COMPUTED_VALUE"""),"MICROSOFT")</f>
        <v>MICROSOFT</v>
      </c>
      <c r="F2019" s="2005" t="str">
        <f>IFERROR(__xludf.DUMMYFUNCTION("""COMPUTED_VALUE"""),"H")</f>
        <v>H</v>
      </c>
      <c r="G2019" s="2005" t="str">
        <f>IFERROR(__xludf.DUMMYFUNCTION("""COMPUTED_VALUE"""),"NN")</f>
        <v>NN</v>
      </c>
      <c r="H2019" s="2005">
        <f>IFERROR(__xludf.DUMMYFUNCTION("""COMPUTED_VALUE"""),199.99)</f>
        <v>199.99</v>
      </c>
      <c r="I2019" s="2005">
        <f>IFERROR(__xludf.DUMMYFUNCTION("""COMPUTED_VALUE"""),199.99)</f>
        <v>199.99</v>
      </c>
      <c r="BD2019" s="2006"/>
      <c r="LL2019" s="2007"/>
      <c r="LM2019" s="2007"/>
      <c r="MX2019" s="2007"/>
      <c r="ND2019" s="2007"/>
    </row>
    <row r="2020">
      <c r="A2020" s="2005">
        <f>IFERROR(__xludf.DUMMYFUNCTION("""COMPUTED_VALUE"""),1171419.0)</f>
        <v>1171419</v>
      </c>
      <c r="B2020" s="2005">
        <f>IFERROR(__xludf.DUMMYFUNCTION("""COMPUTED_VALUE"""),2502010.0)</f>
        <v>2502010</v>
      </c>
      <c r="C2020" s="2005" t="str">
        <f>IFERROR(__xludf.DUMMYFUNCTION("""COMPUTED_VALUE"""),"Souris")</f>
        <v>Souris</v>
      </c>
      <c r="D2020" s="2005" t="str">
        <f>IFERROR(__xludf.DUMMYFUNCTION("""COMPUTED_VALUE"""),"Camouflage Bleu Nuit")</f>
        <v>Camouflage Bleu Nuit</v>
      </c>
      <c r="E2020" s="2005" t="str">
        <f>IFERROR(__xludf.DUMMYFUNCTION("""COMPUTED_VALUE"""),"MICROSOFT")</f>
        <v>MICROSOFT</v>
      </c>
      <c r="F2020" s="2005" t="str">
        <f>IFERROR(__xludf.DUMMYFUNCTION("""COMPUTED_VALUE"""),"H")</f>
        <v>H</v>
      </c>
      <c r="G2020" s="2005" t="str">
        <f>IFERROR(__xludf.DUMMYFUNCTION("""COMPUTED_VALUE"""),"FR")</f>
        <v>FR</v>
      </c>
      <c r="H2020" s="2005">
        <f>IFERROR(__xludf.DUMMYFUNCTION("""COMPUTED_VALUE"""),27.99)</f>
        <v>27.99</v>
      </c>
      <c r="I2020" s="2005">
        <f>IFERROR(__xludf.DUMMYFUNCTION("""COMPUTED_VALUE"""),27.99)</f>
        <v>27.99</v>
      </c>
      <c r="BD2020" s="2006"/>
      <c r="LL2020" s="2008"/>
      <c r="LM2020" s="2007"/>
      <c r="MX2020" s="2007"/>
      <c r="ND2020" s="2007"/>
    </row>
    <row r="2021">
      <c r="A2021" s="2005">
        <f>IFERROR(__xludf.DUMMYFUNCTION("""COMPUTED_VALUE"""),1171420.0)</f>
        <v>1171420</v>
      </c>
      <c r="B2021" s="2005">
        <f>IFERROR(__xludf.DUMMYFUNCTION("""COMPUTED_VALUE"""),2502040.0)</f>
        <v>2502040</v>
      </c>
      <c r="C2021" s="2005" t="str">
        <f>IFERROR(__xludf.DUMMYFUNCTION("""COMPUTED_VALUE"""),"Chargeur")</f>
        <v>Chargeur</v>
      </c>
      <c r="D2021" s="2005" t="str">
        <f>IFERROR(__xludf.DUMMYFUNCTION("""COMPUTED_VALUE"""),"Stylet Surface Slim Pen 2")</f>
        <v>Stylet Surface Slim Pen 2</v>
      </c>
      <c r="E2021" s="2005" t="str">
        <f>IFERROR(__xludf.DUMMYFUNCTION("""COMPUTED_VALUE"""),"MICROSOFT")</f>
        <v>MICROSOFT</v>
      </c>
      <c r="F2021" s="2005" t="str">
        <f>IFERROR(__xludf.DUMMYFUNCTION("""COMPUTED_VALUE"""),"W")</f>
        <v>W</v>
      </c>
      <c r="G2021" s="2005" t="str">
        <f>IFERROR(__xludf.DUMMYFUNCTION("""COMPUTED_VALUE"""),"AC")</f>
        <v>AC</v>
      </c>
      <c r="H2021" s="2005">
        <f>IFERROR(__xludf.DUMMYFUNCTION("""COMPUTED_VALUE"""),34.95)</f>
        <v>34.95</v>
      </c>
      <c r="I2021" s="2005">
        <f>IFERROR(__xludf.DUMMYFUNCTION("""COMPUTED_VALUE"""),34.94)</f>
        <v>34.94</v>
      </c>
      <c r="BD2021" s="2006"/>
      <c r="LL2021" s="2007"/>
      <c r="LM2021" s="2007"/>
      <c r="MX2021" s="2007"/>
      <c r="ND2021" s="2007"/>
    </row>
    <row r="2022">
      <c r="A2022" s="2005">
        <f>IFERROR(__xludf.DUMMYFUNCTION("""COMPUTED_VALUE"""),1171421.0)</f>
        <v>1171421</v>
      </c>
      <c r="B2022" s="2005">
        <f>IFERROR(__xludf.DUMMYFUNCTION("""COMPUTED_VALUE"""),2502010.0)</f>
        <v>2502010</v>
      </c>
      <c r="C2022" s="2005" t="str">
        <f>IFERROR(__xludf.DUMMYFUNCTION("""COMPUTED_VALUE"""),"Souris")</f>
        <v>Souris</v>
      </c>
      <c r="D2022" s="2005" t="str">
        <f>IFERROR(__xludf.DUMMYFUNCTION("""COMPUTED_VALUE"""),"Camouflage Blanc Arctique")</f>
        <v>Camouflage Blanc Arctique</v>
      </c>
      <c r="E2022" s="2005" t="str">
        <f>IFERROR(__xludf.DUMMYFUNCTION("""COMPUTED_VALUE"""),"MICROSOFT")</f>
        <v>MICROSOFT</v>
      </c>
      <c r="F2022" s="2005" t="str">
        <f>IFERROR(__xludf.DUMMYFUNCTION("""COMPUTED_VALUE"""),"H")</f>
        <v>H</v>
      </c>
      <c r="G2022" s="2005" t="str">
        <f>IFERROR(__xludf.DUMMYFUNCTION("""COMPUTED_VALUE"""),"NN")</f>
        <v>NN</v>
      </c>
      <c r="H2022">
        <f>IFERROR(__xludf.DUMMYFUNCTION("""COMPUTED_VALUE"""),27.99)</f>
        <v>27.99</v>
      </c>
      <c r="I2022">
        <f>IFERROR(__xludf.DUMMYFUNCTION("""COMPUTED_VALUE"""),27.99)</f>
        <v>27.99</v>
      </c>
      <c r="BD2022" s="2006"/>
      <c r="LL2022" s="2007"/>
      <c r="LM2022" s="2007"/>
      <c r="MX2022" s="2007"/>
      <c r="ND2022" s="2007"/>
    </row>
    <row r="2023">
      <c r="A2023" s="2005">
        <f>IFERROR(__xludf.DUMMYFUNCTION("""COMPUTED_VALUE"""),1171422.0)</f>
        <v>1171422</v>
      </c>
      <c r="B2023" s="2005">
        <f>IFERROR(__xludf.DUMMYFUNCTION("""COMPUTED_VALUE"""),2502040.0)</f>
        <v>2502040</v>
      </c>
      <c r="C2023" s="2005" t="str">
        <f>IFERROR(__xludf.DUMMYFUNCTION("""COMPUTED_VALUE"""),"Pack")</f>
        <v>Pack</v>
      </c>
      <c r="D2023" s="2005" t="str">
        <f>IFERROR(__xludf.DUMMYFUNCTION("""COMPUTED_VALUE"""),"Clavier + Stylet Surface Pro noir")</f>
        <v>Clavier + Stylet Surface Pro noir</v>
      </c>
      <c r="E2023" s="2005" t="str">
        <f>IFERROR(__xludf.DUMMYFUNCTION("""COMPUTED_VALUE"""),"MICROSOFT")</f>
        <v>MICROSOFT</v>
      </c>
      <c r="F2023" s="2005" t="str">
        <f>IFERROR(__xludf.DUMMYFUNCTION("""COMPUTED_VALUE"""),"H")</f>
        <v>H</v>
      </c>
      <c r="G2023" s="2005" t="str">
        <f>IFERROR(__xludf.DUMMYFUNCTION("""COMPUTED_VALUE"""),"AC")</f>
        <v>AC</v>
      </c>
      <c r="H2023" s="2005">
        <f>IFERROR(__xludf.DUMMYFUNCTION("""COMPUTED_VALUE"""),279.99)</f>
        <v>279.99</v>
      </c>
      <c r="I2023" s="2005">
        <f>IFERROR(__xludf.DUMMYFUNCTION("""COMPUTED_VALUE"""),279.99)</f>
        <v>279.99</v>
      </c>
      <c r="BD2023" s="2006"/>
      <c r="LL2023" s="2007"/>
      <c r="LM2023" s="2007"/>
      <c r="MX2023" s="2007"/>
      <c r="ND2023" s="2008"/>
    </row>
    <row r="2024">
      <c r="A2024">
        <f>IFERROR(__xludf.DUMMYFUNCTION("""COMPUTED_VALUE"""),1171423.0)</f>
        <v>1171423</v>
      </c>
      <c r="B2024">
        <f>IFERROR(__xludf.DUMMYFUNCTION("""COMPUTED_VALUE"""),2502040.0)</f>
        <v>2502040</v>
      </c>
      <c r="C2024" t="str">
        <f>IFERROR(__xludf.DUMMYFUNCTION("""COMPUTED_VALUE"""),"Clavier")</f>
        <v>Clavier</v>
      </c>
      <c r="D2024" t="str">
        <f>IFERROR(__xludf.DUMMYFUNCTION("""COMPUTED_VALUE"""),"Surface Pro rouge")</f>
        <v>Surface Pro rouge</v>
      </c>
      <c r="E2024" t="str">
        <f>IFERROR(__xludf.DUMMYFUNCTION("""COMPUTED_VALUE"""),"MICROSOFT")</f>
        <v>MICROSOFT</v>
      </c>
      <c r="F2024" t="str">
        <f>IFERROR(__xludf.DUMMYFUNCTION("""COMPUTED_VALUE"""),"H")</f>
        <v>H</v>
      </c>
      <c r="G2024" t="str">
        <f>IFERROR(__xludf.DUMMYFUNCTION("""COMPUTED_VALUE"""),"AC")</f>
        <v>AC</v>
      </c>
      <c r="H2024">
        <f>IFERROR(__xludf.DUMMYFUNCTION("""COMPUTED_VALUE"""),179.99)</f>
        <v>179.99</v>
      </c>
      <c r="I2024">
        <f>IFERROR(__xludf.DUMMYFUNCTION("""COMPUTED_VALUE"""),139.0)</f>
        <v>139</v>
      </c>
      <c r="BD2024" s="2006"/>
      <c r="LL2024" s="2007"/>
      <c r="LM2024" s="2007"/>
      <c r="MX2024" s="2007"/>
      <c r="ND2024" s="2007"/>
    </row>
    <row r="2025">
      <c r="A2025" s="2005">
        <f>IFERROR(__xludf.DUMMYFUNCTION("""COMPUTED_VALUE"""),1171431.0)</f>
        <v>1171431</v>
      </c>
      <c r="B2025" s="2005">
        <f>IFERROR(__xludf.DUMMYFUNCTION("""COMPUTED_VALUE"""),2502040.0)</f>
        <v>2502040</v>
      </c>
      <c r="C2025" s="2005" t="str">
        <f>IFERROR(__xludf.DUMMYFUNCTION("""COMPUTED_VALUE"""),"Clavier")</f>
        <v>Clavier</v>
      </c>
      <c r="D2025" s="2005" t="str">
        <f>IFERROR(__xludf.DUMMYFUNCTION("""COMPUTED_VALUE"""),"Surface Pro noir")</f>
        <v>Surface Pro noir</v>
      </c>
      <c r="E2025" s="2005" t="str">
        <f>IFERROR(__xludf.DUMMYFUNCTION("""COMPUTED_VALUE"""),"MICROSOFT")</f>
        <v>MICROSOFT</v>
      </c>
      <c r="F2025" s="2005" t="str">
        <f>IFERROR(__xludf.DUMMYFUNCTION("""COMPUTED_VALUE"""),"A")</f>
        <v>A</v>
      </c>
      <c r="G2025" s="2005" t="str">
        <f>IFERROR(__xludf.DUMMYFUNCTION("""COMPUTED_VALUE"""),"AC")</f>
        <v>AC</v>
      </c>
      <c r="H2025" s="2005">
        <f>IFERROR(__xludf.DUMMYFUNCTION("""COMPUTED_VALUE"""),179.99)</f>
        <v>179.99</v>
      </c>
      <c r="I2025">
        <f>IFERROR(__xludf.DUMMYFUNCTION("""COMPUTED_VALUE"""),125.99)</f>
        <v>125.99</v>
      </c>
      <c r="BD2025" s="2006"/>
      <c r="LL2025" s="2007"/>
      <c r="LM2025" s="2007"/>
      <c r="MX2025" s="2007"/>
      <c r="ND2025" s="2007"/>
    </row>
    <row r="2026">
      <c r="A2026" s="2005">
        <f>IFERROR(__xludf.DUMMYFUNCTION("""COMPUTED_VALUE"""),1171432.0)</f>
        <v>1171432</v>
      </c>
      <c r="B2026" s="2005">
        <f>IFERROR(__xludf.DUMMYFUNCTION("""COMPUTED_VALUE"""),2503010.0)</f>
        <v>2503010</v>
      </c>
      <c r="C2026" s="2005" t="str">
        <f>IFERROR(__xludf.DUMMYFUNCTION("""COMPUTED_VALUE"""),"Casque micro")</f>
        <v>Casque micro</v>
      </c>
      <c r="D2026" s="2005" t="str">
        <f>IFERROR(__xludf.DUMMYFUNCTION("""COMPUTED_VALUE"""),"Modern USB-C")</f>
        <v>Modern USB-C</v>
      </c>
      <c r="E2026" s="2005" t="str">
        <f>IFERROR(__xludf.DUMMYFUNCTION("""COMPUTED_VALUE"""),"MICROSOFT")</f>
        <v>MICROSOFT</v>
      </c>
      <c r="F2026" s="2005" t="str">
        <f>IFERROR(__xludf.DUMMYFUNCTION("""COMPUTED_VALUE"""),"H")</f>
        <v>H</v>
      </c>
      <c r="G2026" s="2005" t="str">
        <f>IFERROR(__xludf.DUMMYFUNCTION("""COMPUTED_VALUE"""),"NN")</f>
        <v>NN</v>
      </c>
      <c r="H2026">
        <f>IFERROR(__xludf.DUMMYFUNCTION("""COMPUTED_VALUE"""),64.99)</f>
        <v>64.99</v>
      </c>
      <c r="I2026">
        <f>IFERROR(__xludf.DUMMYFUNCTION("""COMPUTED_VALUE"""),64.99)</f>
        <v>64.99</v>
      </c>
      <c r="BD2026" s="2006"/>
      <c r="LL2026" s="2007"/>
      <c r="LM2026" s="2007"/>
      <c r="MX2026" s="2008"/>
      <c r="ND2026" s="2007"/>
    </row>
    <row r="2027">
      <c r="A2027" s="2005">
        <f>IFERROR(__xludf.DUMMYFUNCTION("""COMPUTED_VALUE"""),1171526.0)</f>
        <v>1171526</v>
      </c>
      <c r="B2027" s="2005">
        <f>IFERROR(__xludf.DUMMYFUNCTION("""COMPUTED_VALUE"""),2202005.0)</f>
        <v>2202005</v>
      </c>
      <c r="C2027" s="2005" t="str">
        <f>IFERROR(__xludf.DUMMYFUNCTION("""COMPUTED_VALUE"""),"Multi Jet d'enc")</f>
        <v>Multi Jet d'enc</v>
      </c>
      <c r="D2027" s="2005" t="str">
        <f>IFERROR(__xludf.DUMMYFUNCTION("""COMPUTED_VALUE"""),"TS 3452")</f>
        <v>TS 3452</v>
      </c>
      <c r="E2027" s="2005" t="str">
        <f>IFERROR(__xludf.DUMMYFUNCTION("""COMPUTED_VALUE"""),"CANON")</f>
        <v>CANON</v>
      </c>
      <c r="F2027" s="2005" t="str">
        <f>IFERROR(__xludf.DUMMYFUNCTION("""COMPUTED_VALUE"""),"W")</f>
        <v>W</v>
      </c>
      <c r="G2027" s="2005" t="str">
        <f>IFERROR(__xludf.DUMMYFUNCTION("""COMPUTED_VALUE"""),"FR")</f>
        <v>FR</v>
      </c>
      <c r="H2027">
        <f>IFERROR(__xludf.DUMMYFUNCTION("""COMPUTED_VALUE"""),69.99)</f>
        <v>69.99</v>
      </c>
      <c r="I2027">
        <f>IFERROR(__xludf.DUMMYFUNCTION("""COMPUTED_VALUE"""),69.99)</f>
        <v>69.99</v>
      </c>
      <c r="BD2027" s="2006"/>
      <c r="LL2027" s="2007"/>
      <c r="LM2027" s="2007"/>
      <c r="MX2027" s="2007"/>
      <c r="ND2027" s="2007"/>
    </row>
    <row r="2028">
      <c r="A2028" s="2005">
        <f>IFERROR(__xludf.DUMMYFUNCTION("""COMPUTED_VALUE"""),1171544.0)</f>
        <v>1171544</v>
      </c>
      <c r="B2028" s="2005">
        <f>IFERROR(__xludf.DUMMYFUNCTION("""COMPUTED_VALUE"""),2403005.0)</f>
        <v>2403005</v>
      </c>
      <c r="C2028" s="2005" t="str">
        <f>IFERROR(__xludf.DUMMYFUNCTION("""COMPUTED_VALUE"""),"Cartouche")</f>
        <v>Cartouche</v>
      </c>
      <c r="D2028" s="2005" t="str">
        <f>IFERROR(__xludf.DUMMYFUNCTION("""COMPUTED_VALUE"""),"GI56BK")</f>
        <v>GI56BK</v>
      </c>
      <c r="E2028" s="2005" t="str">
        <f>IFERROR(__xludf.DUMMYFUNCTION("""COMPUTED_VALUE"""),"CANON")</f>
        <v>CANON</v>
      </c>
      <c r="F2028" s="2005" t="str">
        <f>IFERROR(__xludf.DUMMYFUNCTION("""COMPUTED_VALUE"""),"D")</f>
        <v>D</v>
      </c>
      <c r="G2028" s="2005" t="str">
        <f>IFERROR(__xludf.DUMMYFUNCTION("""COMPUTED_VALUE"""),"AC")</f>
        <v>AC</v>
      </c>
      <c r="H2028" s="2005">
        <f>IFERROR(__xludf.DUMMYFUNCTION("""COMPUTED_VALUE"""),36.99)</f>
        <v>36.99</v>
      </c>
      <c r="I2028" s="2005">
        <f>IFERROR(__xludf.DUMMYFUNCTION("""COMPUTED_VALUE"""),36.99)</f>
        <v>36.99</v>
      </c>
      <c r="BD2028" s="2006"/>
      <c r="LL2028" s="2007"/>
      <c r="LM2028" s="2007"/>
      <c r="MX2028" s="2007"/>
      <c r="ND2028" s="2007"/>
    </row>
    <row r="2029">
      <c r="A2029" s="2005">
        <f>IFERROR(__xludf.DUMMYFUNCTION("""COMPUTED_VALUE"""),1171547.0)</f>
        <v>1171547</v>
      </c>
      <c r="B2029" s="2005">
        <f>IFERROR(__xludf.DUMMYFUNCTION("""COMPUTED_VALUE"""),2403005.0)</f>
        <v>2403005</v>
      </c>
      <c r="C2029" s="2005" t="str">
        <f>IFERROR(__xludf.DUMMYFUNCTION("""COMPUTED_VALUE"""),"Cartouche")</f>
        <v>Cartouche</v>
      </c>
      <c r="D2029" s="2005" t="str">
        <f>IFERROR(__xludf.DUMMYFUNCTION("""COMPUTED_VALUE"""),"GI56C")</f>
        <v>GI56C</v>
      </c>
      <c r="E2029" s="2005" t="str">
        <f>IFERROR(__xludf.DUMMYFUNCTION("""COMPUTED_VALUE"""),"CANON")</f>
        <v>CANON</v>
      </c>
      <c r="F2029" s="2005" t="str">
        <f>IFERROR(__xludf.DUMMYFUNCTION("""COMPUTED_VALUE"""),"D")</f>
        <v>D</v>
      </c>
      <c r="G2029" s="2005" t="str">
        <f>IFERROR(__xludf.DUMMYFUNCTION("""COMPUTED_VALUE"""),"AC")</f>
        <v>AC</v>
      </c>
      <c r="H2029">
        <f>IFERROR(__xludf.DUMMYFUNCTION("""COMPUTED_VALUE"""),25.99)</f>
        <v>25.99</v>
      </c>
      <c r="I2029">
        <f>IFERROR(__xludf.DUMMYFUNCTION("""COMPUTED_VALUE"""),25.99)</f>
        <v>25.99</v>
      </c>
      <c r="BD2029" s="2006"/>
      <c r="LL2029" s="2008"/>
      <c r="LM2029" s="2007"/>
      <c r="MX2029" s="2007"/>
      <c r="ND2029" s="2007"/>
    </row>
    <row r="2030">
      <c r="A2030" s="2005">
        <f>IFERROR(__xludf.DUMMYFUNCTION("""COMPUTED_VALUE"""),1171548.0)</f>
        <v>1171548</v>
      </c>
      <c r="B2030" s="2005">
        <f>IFERROR(__xludf.DUMMYFUNCTION("""COMPUTED_VALUE"""),2403005.0)</f>
        <v>2403005</v>
      </c>
      <c r="C2030" s="2005" t="str">
        <f>IFERROR(__xludf.DUMMYFUNCTION("""COMPUTED_VALUE"""),"Cartouche")</f>
        <v>Cartouche</v>
      </c>
      <c r="D2030" s="2005" t="str">
        <f>IFERROR(__xludf.DUMMYFUNCTION("""COMPUTED_VALUE"""),"GI56M")</f>
        <v>GI56M</v>
      </c>
      <c r="E2030" s="2005" t="str">
        <f>IFERROR(__xludf.DUMMYFUNCTION("""COMPUTED_VALUE"""),"CANON")</f>
        <v>CANON</v>
      </c>
      <c r="F2030" s="2005" t="str">
        <f>IFERROR(__xludf.DUMMYFUNCTION("""COMPUTED_VALUE"""),"D")</f>
        <v>D</v>
      </c>
      <c r="G2030" s="2005" t="str">
        <f>IFERROR(__xludf.DUMMYFUNCTION("""COMPUTED_VALUE"""),"AC")</f>
        <v>AC</v>
      </c>
      <c r="H2030" s="2005">
        <f>IFERROR(__xludf.DUMMYFUNCTION("""COMPUTED_VALUE"""),25.99)</f>
        <v>25.99</v>
      </c>
      <c r="I2030" s="2005">
        <f>IFERROR(__xludf.DUMMYFUNCTION("""COMPUTED_VALUE"""),25.99)</f>
        <v>25.99</v>
      </c>
      <c r="BD2030" s="2006"/>
      <c r="LL2030" s="2007"/>
      <c r="LM2030" s="2007"/>
      <c r="MX2030" s="2007"/>
      <c r="ND2030" s="2007"/>
    </row>
    <row r="2031">
      <c r="A2031" s="2005">
        <f>IFERROR(__xludf.DUMMYFUNCTION("""COMPUTED_VALUE"""),1171571.0)</f>
        <v>1171571</v>
      </c>
      <c r="B2031" s="2005">
        <f>IFERROR(__xludf.DUMMYFUNCTION("""COMPUTED_VALUE"""),2403005.0)</f>
        <v>2403005</v>
      </c>
      <c r="C2031" s="2005" t="str">
        <f>IFERROR(__xludf.DUMMYFUNCTION("""COMPUTED_VALUE"""),"Cartouche")</f>
        <v>Cartouche</v>
      </c>
      <c r="D2031" s="2005" t="str">
        <f>IFERROR(__xludf.DUMMYFUNCTION("""COMPUTED_VALUE"""),"GI56Y")</f>
        <v>GI56Y</v>
      </c>
      <c r="E2031" s="2005" t="str">
        <f>IFERROR(__xludf.DUMMYFUNCTION("""COMPUTED_VALUE"""),"CANON")</f>
        <v>CANON</v>
      </c>
      <c r="F2031" s="2005" t="str">
        <f>IFERROR(__xludf.DUMMYFUNCTION("""COMPUTED_VALUE"""),"D")</f>
        <v>D</v>
      </c>
      <c r="G2031" s="2005" t="str">
        <f>IFERROR(__xludf.DUMMYFUNCTION("""COMPUTED_VALUE"""),"AC")</f>
        <v>AC</v>
      </c>
      <c r="H2031">
        <f>IFERROR(__xludf.DUMMYFUNCTION("""COMPUTED_VALUE"""),25.99)</f>
        <v>25.99</v>
      </c>
      <c r="I2031">
        <f>IFERROR(__xludf.DUMMYFUNCTION("""COMPUTED_VALUE"""),25.99)</f>
        <v>25.99</v>
      </c>
      <c r="BD2031" s="2006"/>
      <c r="LL2031" s="2008"/>
      <c r="LM2031" s="2007"/>
      <c r="MX2031" s="2007"/>
      <c r="ND2031" s="2007"/>
    </row>
    <row r="2032">
      <c r="A2032" s="2005">
        <f>IFERROR(__xludf.DUMMYFUNCTION("""COMPUTED_VALUE"""),1171572.0)</f>
        <v>1171572</v>
      </c>
      <c r="B2032" s="2005">
        <f>IFERROR(__xludf.DUMMYFUNCTION("""COMPUTED_VALUE"""),2403005.0)</f>
        <v>2403005</v>
      </c>
      <c r="C2032" s="2005" t="str">
        <f>IFERROR(__xludf.DUMMYFUNCTION("""COMPUTED_VALUE"""),"Cartouche")</f>
        <v>Cartouche</v>
      </c>
      <c r="D2032" s="2005" t="str">
        <f>IFERROR(__xludf.DUMMYFUNCTION("""COMPUTED_VALUE"""),"PGI580/CLI581 B/C/M/Y")</f>
        <v>PGI580/CLI581 B/C/M/Y</v>
      </c>
      <c r="E2032" s="2005" t="str">
        <f>IFERROR(__xludf.DUMMYFUNCTION("""COMPUTED_VALUE"""),"CANON")</f>
        <v>CANON</v>
      </c>
      <c r="F2032" s="2005" t="str">
        <f>IFERROR(__xludf.DUMMYFUNCTION("""COMPUTED_VALUE"""),"D")</f>
        <v>D</v>
      </c>
      <c r="G2032" s="2005" t="str">
        <f>IFERROR(__xludf.DUMMYFUNCTION("""COMPUTED_VALUE"""),"AC")</f>
        <v>AC</v>
      </c>
      <c r="H2032">
        <f>IFERROR(__xludf.DUMMYFUNCTION("""COMPUTED_VALUE"""),59.99)</f>
        <v>59.99</v>
      </c>
      <c r="I2032">
        <f>IFERROR(__xludf.DUMMYFUNCTION("""COMPUTED_VALUE"""),59.99)</f>
        <v>59.99</v>
      </c>
      <c r="BD2032" s="2006"/>
      <c r="LL2032" s="2007"/>
      <c r="LM2032" s="2007"/>
      <c r="MX2032" s="2008"/>
      <c r="ND2032" s="2007"/>
    </row>
    <row r="2033">
      <c r="A2033" s="2005">
        <f>IFERROR(__xludf.DUMMYFUNCTION("""COMPUTED_VALUE"""),1171846.0)</f>
        <v>1171846</v>
      </c>
      <c r="B2033" s="2005">
        <f>IFERROR(__xludf.DUMMYFUNCTION("""COMPUTED_VALUE"""),2202005.0)</f>
        <v>2202005</v>
      </c>
      <c r="C2033" s="2005" t="str">
        <f>IFERROR(__xludf.DUMMYFUNCTION("""COMPUTED_VALUE"""),"Multi Jet d'enc")</f>
        <v>Multi Jet d'enc</v>
      </c>
      <c r="D2033" s="2005" t="str">
        <f>IFERROR(__xludf.DUMMYFUNCTION("""COMPUTED_VALUE"""),"WorkForce WF-2840DWF")</f>
        <v>WorkForce WF-2840DWF</v>
      </c>
      <c r="E2033" s="2005" t="str">
        <f>IFERROR(__xludf.DUMMYFUNCTION("""COMPUTED_VALUE"""),"EPSON")</f>
        <v>EPSON</v>
      </c>
      <c r="F2033" s="2005" t="str">
        <f>IFERROR(__xludf.DUMMYFUNCTION("""COMPUTED_VALUE"""),"B")</f>
        <v>B</v>
      </c>
      <c r="G2033" s="2005" t="str">
        <f>IFERROR(__xludf.DUMMYFUNCTION("""COMPUTED_VALUE"""),"NN")</f>
        <v>NN</v>
      </c>
      <c r="H2033">
        <f>IFERROR(__xludf.DUMMYFUNCTION("""COMPUTED_VALUE"""),71.99)</f>
        <v>71.99</v>
      </c>
      <c r="I2033">
        <f>IFERROR(__xludf.DUMMYFUNCTION("""COMPUTED_VALUE"""),71.99)</f>
        <v>71.99</v>
      </c>
      <c r="BD2033" s="2006"/>
      <c r="LL2033" s="2008"/>
      <c r="LM2033" s="2007"/>
      <c r="MX2033" s="2008"/>
      <c r="ND2033" s="2007"/>
    </row>
    <row r="2034">
      <c r="A2034" s="2005">
        <f>IFERROR(__xludf.DUMMYFUNCTION("""COMPUTED_VALUE"""),1171847.0)</f>
        <v>1171847</v>
      </c>
      <c r="B2034" s="2005">
        <f>IFERROR(__xludf.DUMMYFUNCTION("""COMPUTED_VALUE"""),2202010.0)</f>
        <v>2202010</v>
      </c>
      <c r="C2034" s="2005" t="str">
        <f>IFERROR(__xludf.DUMMYFUNCTION("""COMPUTED_VALUE"""),"Multi Jet d'enc")</f>
        <v>Multi Jet d'enc</v>
      </c>
      <c r="D2034" s="2005" t="str">
        <f>IFERROR(__xludf.DUMMYFUNCTION("""COMPUTED_VALUE"""),"EcoTank ET-2825")</f>
        <v>EcoTank ET-2825</v>
      </c>
      <c r="E2034" s="2005" t="str">
        <f>IFERROR(__xludf.DUMMYFUNCTION("""COMPUTED_VALUE"""),"EPSON")</f>
        <v>EPSON</v>
      </c>
      <c r="F2034" s="2005" t="str">
        <f>IFERROR(__xludf.DUMMYFUNCTION("""COMPUTED_VALUE"""),"W")</f>
        <v>W</v>
      </c>
      <c r="G2034" s="2005" t="str">
        <f>IFERROR(__xludf.DUMMYFUNCTION("""COMPUTED_VALUE"""),"NN")</f>
        <v>NN</v>
      </c>
      <c r="H2034" s="2005">
        <f>IFERROR(__xludf.DUMMYFUNCTION("""COMPUTED_VALUE"""),249.99)</f>
        <v>249.99</v>
      </c>
      <c r="I2034" s="2005">
        <f>IFERROR(__xludf.DUMMYFUNCTION("""COMPUTED_VALUE"""),249.99)</f>
        <v>249.99</v>
      </c>
      <c r="BD2034" s="2006"/>
      <c r="LL2034" s="2007"/>
      <c r="LM2034" s="2007"/>
      <c r="MX2034" s="2007"/>
      <c r="ND2034" s="2007"/>
    </row>
    <row r="2035">
      <c r="A2035" s="2005">
        <f>IFERROR(__xludf.DUMMYFUNCTION("""COMPUTED_VALUE"""),1171891.0)</f>
        <v>1171891</v>
      </c>
      <c r="B2035" s="2005">
        <f>IFERROR(__xludf.DUMMYFUNCTION("""COMPUTED_VALUE"""),2502015.0)</f>
        <v>2502015</v>
      </c>
      <c r="C2035" s="2005" t="str">
        <f>IFERROR(__xludf.DUMMYFUNCTION("""COMPUTED_VALUE"""),"Clavier")</f>
        <v>Clavier</v>
      </c>
      <c r="D2035" s="2005" t="str">
        <f>IFERROR(__xludf.DUMMYFUNCTION("""COMPUTED_VALUE"""),"filaire USB-C")</f>
        <v>filaire USB-C</v>
      </c>
      <c r="E2035" s="2005" t="str">
        <f>IFERROR(__xludf.DUMMYFUNCTION("""COMPUTED_VALUE"""),"XTREMEMAC")</f>
        <v>XTREMEMAC</v>
      </c>
      <c r="F2035" s="2005" t="str">
        <f>IFERROR(__xludf.DUMMYFUNCTION("""COMPUTED_VALUE"""),"H")</f>
        <v>H</v>
      </c>
      <c r="G2035" s="2005" t="str">
        <f>IFERROR(__xludf.DUMMYFUNCTION("""COMPUTED_VALUE"""),"NN")</f>
        <v>NN</v>
      </c>
      <c r="H2035" s="2005">
        <f>IFERROR(__xludf.DUMMYFUNCTION("""COMPUTED_VALUE"""),39.99)</f>
        <v>39.99</v>
      </c>
      <c r="I2035" s="2005">
        <f>IFERROR(__xludf.DUMMYFUNCTION("""COMPUTED_VALUE"""),39.99)</f>
        <v>39.99</v>
      </c>
      <c r="BD2035" s="2006"/>
      <c r="LL2035" s="2008"/>
      <c r="LM2035" s="2007"/>
      <c r="MX2035" s="2007"/>
      <c r="ND2035" s="2007"/>
    </row>
    <row r="2036">
      <c r="A2036" s="2005">
        <f>IFERROR(__xludf.DUMMYFUNCTION("""COMPUTED_VALUE"""),1171892.0)</f>
        <v>1171892</v>
      </c>
      <c r="B2036" s="2005">
        <f>IFERROR(__xludf.DUMMYFUNCTION("""COMPUTED_VALUE"""),2502015.0)</f>
        <v>2502015</v>
      </c>
      <c r="C2036" s="2005" t="str">
        <f>IFERROR(__xludf.DUMMYFUNCTION("""COMPUTED_VALUE"""),"Clavier")</f>
        <v>Clavier</v>
      </c>
      <c r="D2036" s="2005" t="str">
        <f>IFERROR(__xludf.DUMMYFUNCTION("""COMPUTED_VALUE"""),"pliable")</f>
        <v>pliable</v>
      </c>
      <c r="E2036" s="2005" t="str">
        <f>IFERROR(__xludf.DUMMYFUNCTION("""COMPUTED_VALUE"""),"XTREMEMAC")</f>
        <v>XTREMEMAC</v>
      </c>
      <c r="F2036" s="2005" t="str">
        <f>IFERROR(__xludf.DUMMYFUNCTION("""COMPUTED_VALUE"""),"W")</f>
        <v>W</v>
      </c>
      <c r="G2036" s="2005" t="str">
        <f>IFERROR(__xludf.DUMMYFUNCTION("""COMPUTED_VALUE"""),"AC")</f>
        <v>AC</v>
      </c>
      <c r="H2036" s="2005">
        <f>IFERROR(__xludf.DUMMYFUNCTION("""COMPUTED_VALUE"""),49.99)</f>
        <v>49.99</v>
      </c>
      <c r="I2036" s="2005">
        <f>IFERROR(__xludf.DUMMYFUNCTION("""COMPUTED_VALUE"""),49.99)</f>
        <v>49.99</v>
      </c>
      <c r="BD2036" s="2006"/>
      <c r="LL2036" s="2008"/>
      <c r="LM2036" s="2007"/>
      <c r="MX2036" s="2007"/>
      <c r="ND2036" s="2007"/>
    </row>
    <row r="2037">
      <c r="A2037" s="2005">
        <f>IFERROR(__xludf.DUMMYFUNCTION("""COMPUTED_VALUE"""),1171896.0)</f>
        <v>1171896</v>
      </c>
      <c r="B2037" s="2005">
        <f>IFERROR(__xludf.DUMMYFUNCTION("""COMPUTED_VALUE"""),2502024.0)</f>
        <v>2502024</v>
      </c>
      <c r="C2037" s="2005" t="str">
        <f>IFERROR(__xludf.DUMMYFUNCTION("""COMPUTED_VALUE"""),"Stylet")</f>
        <v>Stylet</v>
      </c>
      <c r="D2037" s="2005" t="str">
        <f>IFERROR(__xludf.DUMMYFUNCTION("""COMPUTED_VALUE"""),"3 en 1")</f>
        <v>3 en 1</v>
      </c>
      <c r="E2037" s="2005" t="str">
        <f>IFERROR(__xludf.DUMMYFUNCTION("""COMPUTED_VALUE"""),"XTREMEMAC")</f>
        <v>XTREMEMAC</v>
      </c>
      <c r="F2037" s="2005" t="str">
        <f>IFERROR(__xludf.DUMMYFUNCTION("""COMPUTED_VALUE"""),"H")</f>
        <v>H</v>
      </c>
      <c r="G2037" s="2005" t="str">
        <f>IFERROR(__xludf.DUMMYFUNCTION("""COMPUTED_VALUE"""),"NN")</f>
        <v>NN</v>
      </c>
      <c r="H2037">
        <f>IFERROR(__xludf.DUMMYFUNCTION("""COMPUTED_VALUE"""),19.99)</f>
        <v>19.99</v>
      </c>
      <c r="I2037">
        <f>IFERROR(__xludf.DUMMYFUNCTION("""COMPUTED_VALUE"""),19.99)</f>
        <v>19.99</v>
      </c>
      <c r="BD2037" s="2006"/>
      <c r="LL2037" s="2008"/>
      <c r="LM2037" s="2007"/>
      <c r="MX2037" s="2007"/>
      <c r="ND2037" s="2007"/>
    </row>
    <row r="2038">
      <c r="A2038" s="2005">
        <f>IFERROR(__xludf.DUMMYFUNCTION("""COMPUTED_VALUE"""),1171899.0)</f>
        <v>1171899</v>
      </c>
      <c r="B2038" s="2005">
        <f>IFERROR(__xludf.DUMMYFUNCTION("""COMPUTED_VALUE"""),2502020.0)</f>
        <v>2502020</v>
      </c>
      <c r="C2038" s="2005" t="str">
        <f>IFERROR(__xludf.DUMMYFUNCTION("""COMPUTED_VALUE"""),"Webcam")</f>
        <v>Webcam</v>
      </c>
      <c r="D2038" s="2005" t="str">
        <f>IFERROR(__xludf.DUMMYFUNCTION("""COMPUTED_VALUE"""),"HD Universelle")</f>
        <v>HD Universelle</v>
      </c>
      <c r="E2038" s="2005" t="str">
        <f>IFERROR(__xludf.DUMMYFUNCTION("""COMPUTED_VALUE"""),"XTREMEMAC")</f>
        <v>XTREMEMAC</v>
      </c>
      <c r="F2038" s="2005" t="str">
        <f>IFERROR(__xludf.DUMMYFUNCTION("""COMPUTED_VALUE"""),"D")</f>
        <v>D</v>
      </c>
      <c r="G2038" s="2005" t="str">
        <f>IFERROR(__xludf.DUMMYFUNCTION("""COMPUTED_VALUE"""),"FI")</f>
        <v>FI</v>
      </c>
      <c r="H2038" s="2005">
        <f>IFERROR(__xludf.DUMMYFUNCTION("""COMPUTED_VALUE"""),39.99)</f>
        <v>39.99</v>
      </c>
      <c r="I2038" s="2005">
        <f>IFERROR(__xludf.DUMMYFUNCTION("""COMPUTED_VALUE"""),39.99)</f>
        <v>39.99</v>
      </c>
      <c r="BD2038" s="2006"/>
      <c r="LL2038" s="2008"/>
      <c r="LM2038" s="2007"/>
      <c r="MX2038" s="2007"/>
      <c r="ND2038" s="2008"/>
    </row>
    <row r="2039">
      <c r="A2039" s="2005">
        <f>IFERROR(__xludf.DUMMYFUNCTION("""COMPUTED_VALUE"""),1171947.0)</f>
        <v>1171947</v>
      </c>
      <c r="B2039" s="2005">
        <f>IFERROR(__xludf.DUMMYFUNCTION("""COMPUTED_VALUE"""),2502010.0)</f>
        <v>2502010</v>
      </c>
      <c r="C2039" s="2005" t="str">
        <f>IFERROR(__xludf.DUMMYFUNCTION("""COMPUTED_VALUE"""),"Souris")</f>
        <v>Souris</v>
      </c>
      <c r="D2039" s="2005" t="str">
        <f>IFERROR(__xludf.DUMMYFUNCTION("""COMPUTED_VALUE"""),"à connexion multiple")</f>
        <v>à connexion multiple</v>
      </c>
      <c r="E2039" s="2005" t="str">
        <f>IFERROR(__xludf.DUMMYFUNCTION("""COMPUTED_VALUE"""),"XTREMEMAC")</f>
        <v>XTREMEMAC</v>
      </c>
      <c r="F2039" s="2005" t="str">
        <f>IFERROR(__xludf.DUMMYFUNCTION("""COMPUTED_VALUE"""),"H")</f>
        <v>H</v>
      </c>
      <c r="G2039" s="2005" t="str">
        <f>IFERROR(__xludf.DUMMYFUNCTION("""COMPUTED_VALUE"""),"AC")</f>
        <v>AC</v>
      </c>
      <c r="H2039">
        <f>IFERROR(__xludf.DUMMYFUNCTION("""COMPUTED_VALUE"""),49.99)</f>
        <v>49.99</v>
      </c>
      <c r="I2039" s="2005">
        <f>IFERROR(__xludf.DUMMYFUNCTION("""COMPUTED_VALUE"""),49.99)</f>
        <v>49.99</v>
      </c>
      <c r="BD2039" s="2006"/>
      <c r="LL2039" s="2007"/>
      <c r="LM2039" s="2007"/>
      <c r="MX2039" s="2007"/>
      <c r="ND2039" s="2007"/>
    </row>
    <row r="2040">
      <c r="A2040" s="2005">
        <f>IFERROR(__xludf.DUMMYFUNCTION("""COMPUTED_VALUE"""),1172005.0)</f>
        <v>1172005</v>
      </c>
      <c r="B2040" s="2005">
        <f>IFERROR(__xludf.DUMMYFUNCTION("""COMPUTED_VALUE"""),2502510.0)</f>
        <v>2502510</v>
      </c>
      <c r="C2040" s="2005" t="str">
        <f>IFERROR(__xludf.DUMMYFUNCTION("""COMPUTED_VALUE"""),"Support")</f>
        <v>Support</v>
      </c>
      <c r="D2040" s="2005" t="str">
        <f>IFERROR(__xludf.DUMMYFUNCTION("""COMPUTED_VALUE"""),"pliable en aluminium")</f>
        <v>pliable en aluminium</v>
      </c>
      <c r="E2040" s="2005" t="str">
        <f>IFERROR(__xludf.DUMMYFUNCTION("""COMPUTED_VALUE"""),"XTREMEMAC")</f>
        <v>XTREMEMAC</v>
      </c>
      <c r="F2040" s="2005" t="str">
        <f>IFERROR(__xludf.DUMMYFUNCTION("""COMPUTED_VALUE"""),"H")</f>
        <v>H</v>
      </c>
      <c r="G2040" s="2005" t="str">
        <f>IFERROR(__xludf.DUMMYFUNCTION("""COMPUTED_VALUE"""),"NN")</f>
        <v>NN</v>
      </c>
      <c r="H2040" s="2005">
        <f>IFERROR(__xludf.DUMMYFUNCTION("""COMPUTED_VALUE"""),24.99)</f>
        <v>24.99</v>
      </c>
      <c r="I2040" s="2005">
        <f>IFERROR(__xludf.DUMMYFUNCTION("""COMPUTED_VALUE"""),24.99)</f>
        <v>24.99</v>
      </c>
      <c r="BD2040" s="2006"/>
      <c r="LL2040" s="2007"/>
      <c r="LM2040" s="2007"/>
      <c r="MX2040" s="2008"/>
      <c r="ND2040" s="2007"/>
    </row>
    <row r="2041">
      <c r="A2041" s="2005">
        <f>IFERROR(__xludf.DUMMYFUNCTION("""COMPUTED_VALUE"""),1172056.0)</f>
        <v>1172056</v>
      </c>
      <c r="B2041" s="2005">
        <f>IFERROR(__xludf.DUMMYFUNCTION("""COMPUTED_VALUE"""),2403005.0)</f>
        <v>2403005</v>
      </c>
      <c r="C2041" s="2005" t="str">
        <f>IFERROR(__xludf.DUMMYFUNCTION("""COMPUTED_VALUE"""),"Pack")</f>
        <v>Pack</v>
      </c>
      <c r="D2041" s="2005" t="str">
        <f>IFERROR(__xludf.DUMMYFUNCTION("""COMPUTED_VALUE"""),"LC3213VAL")</f>
        <v>LC3213VAL</v>
      </c>
      <c r="E2041" s="2005" t="str">
        <f>IFERROR(__xludf.DUMMYFUNCTION("""COMPUTED_VALUE"""),"BROTHER")</f>
        <v>BROTHER</v>
      </c>
      <c r="F2041" s="2005" t="str">
        <f>IFERROR(__xludf.DUMMYFUNCTION("""COMPUTED_VALUE"""),"W")</f>
        <v>W</v>
      </c>
      <c r="G2041" s="2005" t="str">
        <f>IFERROR(__xludf.DUMMYFUNCTION("""COMPUTED_VALUE"""),"NN")</f>
        <v>NN</v>
      </c>
      <c r="H2041">
        <f>IFERROR(__xludf.DUMMYFUNCTION("""COMPUTED_VALUE"""),66.49)</f>
        <v>66.49</v>
      </c>
      <c r="I2041">
        <f>IFERROR(__xludf.DUMMYFUNCTION("""COMPUTED_VALUE"""),66.49)</f>
        <v>66.49</v>
      </c>
      <c r="BD2041" s="2006"/>
      <c r="LL2041" s="2007"/>
      <c r="LM2041" s="2007"/>
      <c r="MX2041" s="2007"/>
      <c r="ND2041" s="2007"/>
    </row>
    <row r="2042">
      <c r="A2042" s="2005">
        <f>IFERROR(__xludf.DUMMYFUNCTION("""COMPUTED_VALUE"""),1172057.0)</f>
        <v>1172057</v>
      </c>
      <c r="B2042" s="2005">
        <f>IFERROR(__xludf.DUMMYFUNCTION("""COMPUTED_VALUE"""),2403005.0)</f>
        <v>2403005</v>
      </c>
      <c r="C2042" s="2005" t="str">
        <f>IFERROR(__xludf.DUMMYFUNCTION("""COMPUTED_VALUE"""),"Cartouche")</f>
        <v>Cartouche</v>
      </c>
      <c r="D2042" s="2005" t="str">
        <f>IFERROR(__xludf.DUMMYFUNCTION("""COMPUTED_VALUE"""),"LC3237Y")</f>
        <v>LC3237Y</v>
      </c>
      <c r="E2042" s="2005" t="str">
        <f>IFERROR(__xludf.DUMMYFUNCTION("""COMPUTED_VALUE"""),"BROTHER")</f>
        <v>BROTHER</v>
      </c>
      <c r="F2042" s="2005" t="str">
        <f>IFERROR(__xludf.DUMMYFUNCTION("""COMPUTED_VALUE"""),"H")</f>
        <v>H</v>
      </c>
      <c r="G2042" s="2005" t="str">
        <f>IFERROR(__xludf.DUMMYFUNCTION("""COMPUTED_VALUE"""),"FR")</f>
        <v>FR</v>
      </c>
      <c r="H2042" s="2005">
        <f>IFERROR(__xludf.DUMMYFUNCTION("""COMPUTED_VALUE"""),24.99)</f>
        <v>24.99</v>
      </c>
      <c r="I2042" s="2005">
        <f>IFERROR(__xludf.DUMMYFUNCTION("""COMPUTED_VALUE"""),24.99)</f>
        <v>24.99</v>
      </c>
      <c r="BD2042" s="2006"/>
      <c r="LL2042" s="2007"/>
      <c r="LM2042" s="2007"/>
      <c r="MX2042" s="2007"/>
      <c r="ND2042" s="2007"/>
    </row>
    <row r="2043">
      <c r="A2043" s="2005">
        <f>IFERROR(__xludf.DUMMYFUNCTION("""COMPUTED_VALUE"""),1172058.0)</f>
        <v>1172058</v>
      </c>
      <c r="B2043" s="2005">
        <f>IFERROR(__xludf.DUMMYFUNCTION("""COMPUTED_VALUE"""),2403010.0)</f>
        <v>2403010</v>
      </c>
      <c r="C2043" s="2005" t="str">
        <f>IFERROR(__xludf.DUMMYFUNCTION("""COMPUTED_VALUE"""),"Toner")</f>
        <v>Toner</v>
      </c>
      <c r="D2043" s="2005" t="str">
        <f>IFERROR(__xludf.DUMMYFUNCTION("""COMPUTED_VALUE"""),"TN247BK")</f>
        <v>TN247BK</v>
      </c>
      <c r="E2043" s="2005" t="str">
        <f>IFERROR(__xludf.DUMMYFUNCTION("""COMPUTED_VALUE"""),"BROTHER")</f>
        <v>BROTHER</v>
      </c>
      <c r="F2043" s="2005" t="str">
        <f>IFERROR(__xludf.DUMMYFUNCTION("""COMPUTED_VALUE"""),"H")</f>
        <v>H</v>
      </c>
      <c r="G2043" s="2005" t="str">
        <f>IFERROR(__xludf.DUMMYFUNCTION("""COMPUTED_VALUE"""),"NN")</f>
        <v>NN</v>
      </c>
      <c r="H2043" s="2005">
        <f>IFERROR(__xludf.DUMMYFUNCTION("""COMPUTED_VALUE"""),118.05)</f>
        <v>118.05</v>
      </c>
      <c r="I2043" s="2005">
        <f>IFERROR(__xludf.DUMMYFUNCTION("""COMPUTED_VALUE"""),118.05)</f>
        <v>118.05</v>
      </c>
      <c r="BD2043" s="2006"/>
      <c r="LM2043" s="2007"/>
      <c r="MX2043" s="2007"/>
      <c r="ND2043" s="2007"/>
    </row>
    <row r="2044">
      <c r="A2044" s="2005">
        <f>IFERROR(__xludf.DUMMYFUNCTION("""COMPUTED_VALUE"""),1172091.0)</f>
        <v>1172091</v>
      </c>
      <c r="B2044" s="2005">
        <f>IFERROR(__xludf.DUMMYFUNCTION("""COMPUTED_VALUE"""),2502510.0)</f>
        <v>2502510</v>
      </c>
      <c r="C2044" s="2005" t="str">
        <f>IFERROR(__xludf.DUMMYFUNCTION("""COMPUTED_VALUE"""),"Support")</f>
        <v>Support</v>
      </c>
      <c r="D2044" s="2005" t="str">
        <f>IFERROR(__xludf.DUMMYFUNCTION("""COMPUTED_VALUE"""),"Pliable en aluminium")</f>
        <v>Pliable en aluminium</v>
      </c>
      <c r="E2044" s="2005" t="str">
        <f>IFERROR(__xludf.DUMMYFUNCTION("""COMPUTED_VALUE"""),"URBAN FACTORY")</f>
        <v>URBAN FACTORY</v>
      </c>
      <c r="F2044" s="2005" t="str">
        <f>IFERROR(__xludf.DUMMYFUNCTION("""COMPUTED_VALUE"""),"H")</f>
        <v>H</v>
      </c>
      <c r="G2044" s="2005" t="str">
        <f>IFERROR(__xludf.DUMMYFUNCTION("""COMPUTED_VALUE"""),"NN")</f>
        <v>NN</v>
      </c>
      <c r="H2044" s="2005">
        <f>IFERROR(__xludf.DUMMYFUNCTION("""COMPUTED_VALUE"""),29.99)</f>
        <v>29.99</v>
      </c>
      <c r="I2044" s="2005">
        <f>IFERROR(__xludf.DUMMYFUNCTION("""COMPUTED_VALUE"""),29.99)</f>
        <v>29.99</v>
      </c>
      <c r="BD2044" s="2006"/>
      <c r="LM2044" s="2007"/>
      <c r="MX2044" s="2007"/>
      <c r="ND2044" s="2007"/>
    </row>
    <row r="2045">
      <c r="A2045" s="2005">
        <f>IFERROR(__xludf.DUMMYFUNCTION("""COMPUTED_VALUE"""),1172092.0)</f>
        <v>1172092</v>
      </c>
      <c r="B2045" s="2005">
        <f>IFERROR(__xludf.DUMMYFUNCTION("""COMPUTED_VALUE"""),2706010.0)</f>
        <v>2706010</v>
      </c>
      <c r="C2045" s="2005" t="str">
        <f>IFERROR(__xludf.DUMMYFUNCTION("""COMPUTED_VALUE"""),"Ballon")</f>
        <v>Ballon</v>
      </c>
      <c r="D2045" s="2005" t="str">
        <f>IFERROR(__xludf.DUMMYFUNCTION("""COMPUTED_VALUE"""),"Ergonomique 60 CM")</f>
        <v>Ergonomique 60 CM</v>
      </c>
      <c r="E2045" s="2005" t="str">
        <f>IFERROR(__xludf.DUMMYFUNCTION("""COMPUTED_VALUE"""),"URBAN FACTORY")</f>
        <v>URBAN FACTORY</v>
      </c>
      <c r="F2045" s="2005" t="str">
        <f>IFERROR(__xludf.DUMMYFUNCTION("""COMPUTED_VALUE"""),"H")</f>
        <v>H</v>
      </c>
      <c r="G2045" s="2005" t="str">
        <f>IFERROR(__xludf.DUMMYFUNCTION("""COMPUTED_VALUE"""),"FR")</f>
        <v>FR</v>
      </c>
      <c r="H2045">
        <f>IFERROR(__xludf.DUMMYFUNCTION("""COMPUTED_VALUE"""),99.99)</f>
        <v>99.99</v>
      </c>
      <c r="I2045">
        <f>IFERROR(__xludf.DUMMYFUNCTION("""COMPUTED_VALUE"""),99.99)</f>
        <v>99.99</v>
      </c>
      <c r="BD2045" s="2006"/>
      <c r="LL2045" s="2007"/>
      <c r="LM2045" s="2007"/>
      <c r="MX2045" s="2007"/>
      <c r="ND2045" s="2007"/>
    </row>
    <row r="2046">
      <c r="A2046">
        <f>IFERROR(__xludf.DUMMYFUNCTION("""COMPUTED_VALUE"""),1172093.0)</f>
        <v>1172093</v>
      </c>
      <c r="B2046">
        <f>IFERROR(__xludf.DUMMYFUNCTION("""COMPUTED_VALUE"""),2706005.0)</f>
        <v>2706005</v>
      </c>
      <c r="C2046" t="str">
        <f>IFERROR(__xludf.DUMMYFUNCTION("""COMPUTED_VALUE"""),"Bureau")</f>
        <v>Bureau</v>
      </c>
      <c r="D2046" t="str">
        <f>IFERROR(__xludf.DUMMYFUNCTION("""COMPUTED_VALUE"""),"Télétravail")</f>
        <v>Télétravail</v>
      </c>
      <c r="E2046" t="str">
        <f>IFERROR(__xludf.DUMMYFUNCTION("""COMPUTED_VALUE"""),"URBAN FACTORY")</f>
        <v>URBAN FACTORY</v>
      </c>
      <c r="F2046" t="str">
        <f>IFERROR(__xludf.DUMMYFUNCTION("""COMPUTED_VALUE"""),"H")</f>
        <v>H</v>
      </c>
      <c r="G2046" t="str">
        <f>IFERROR(__xludf.DUMMYFUNCTION("""COMPUTED_VALUE"""),"NN")</f>
        <v>NN</v>
      </c>
      <c r="H2046">
        <f>IFERROR(__xludf.DUMMYFUNCTION("""COMPUTED_VALUE"""),129.99)</f>
        <v>129.99</v>
      </c>
      <c r="I2046">
        <f>IFERROR(__xludf.DUMMYFUNCTION("""COMPUTED_VALUE"""),129.99)</f>
        <v>129.99</v>
      </c>
      <c r="BD2046" s="2006"/>
      <c r="LL2046" s="2007"/>
      <c r="LM2046" s="2007"/>
      <c r="MX2046" s="2007"/>
      <c r="ND2046" s="2007"/>
    </row>
    <row r="2047">
      <c r="A2047" s="2005">
        <f>IFERROR(__xludf.DUMMYFUNCTION("""COMPUTED_VALUE"""),1172098.0)</f>
        <v>1172098</v>
      </c>
      <c r="B2047" s="2005">
        <f>IFERROR(__xludf.DUMMYFUNCTION("""COMPUTED_VALUE"""),1103005.0)</f>
        <v>1103005</v>
      </c>
      <c r="C2047" s="2005" t="str">
        <f>IFERROR(__xludf.DUMMYFUNCTION("""COMPUTED_VALUE"""),"Tél.")</f>
        <v>Tél.</v>
      </c>
      <c r="D2047" s="2005" t="str">
        <f>IFERROR(__xludf.DUMMYFUNCTION("""COMPUTED_VALUE"""),"Smile Voice Noir")</f>
        <v>Smile Voice Noir</v>
      </c>
      <c r="E2047" s="2005" t="str">
        <f>IFERROR(__xludf.DUMMYFUNCTION("""COMPUTED_VALUE"""),"ALCATEL")</f>
        <v>ALCATEL</v>
      </c>
      <c r="F2047" s="2005" t="str">
        <f>IFERROR(__xludf.DUMMYFUNCTION("""COMPUTED_VALUE"""),"D")</f>
        <v>D</v>
      </c>
      <c r="G2047" s="2005" t="str">
        <f>IFERROR(__xludf.DUMMYFUNCTION("""COMPUTED_VALUE"""),"FI")</f>
        <v>FI</v>
      </c>
      <c r="H2047" s="2005">
        <f>IFERROR(__xludf.DUMMYFUNCTION("""COMPUTED_VALUE"""),44.99)</f>
        <v>44.99</v>
      </c>
      <c r="I2047" s="2005">
        <f>IFERROR(__xludf.DUMMYFUNCTION("""COMPUTED_VALUE"""),44.99)</f>
        <v>44.99</v>
      </c>
      <c r="BD2047" s="2006"/>
      <c r="LL2047" s="2007"/>
      <c r="LM2047" s="2007"/>
      <c r="MX2047" s="2007"/>
      <c r="ND2047" s="2007"/>
    </row>
    <row r="2048">
      <c r="A2048" s="2005">
        <f>IFERROR(__xludf.DUMMYFUNCTION("""COMPUTED_VALUE"""),1172100.0)</f>
        <v>1172100</v>
      </c>
      <c r="B2048" s="2005">
        <f>IFERROR(__xludf.DUMMYFUNCTION("""COMPUTED_VALUE"""),1101005.0)</f>
        <v>1101005</v>
      </c>
      <c r="C2048" s="2005" t="str">
        <f>IFERROR(__xludf.DUMMYFUNCTION("""COMPUTED_VALUE"""),"Tél.Rép.")</f>
        <v>Tél.Rép.</v>
      </c>
      <c r="D2048" s="2005" t="str">
        <f>IFERROR(__xludf.DUMMYFUNCTION("""COMPUTED_VALUE"""),"XTRA 2355 Voice")</f>
        <v>XTRA 2355 Voice</v>
      </c>
      <c r="E2048" s="2005" t="str">
        <f>IFERROR(__xludf.DUMMYFUNCTION("""COMPUTED_VALUE"""),"SWISSVOICE")</f>
        <v>SWISSVOICE</v>
      </c>
      <c r="F2048" s="2005" t="str">
        <f>IFERROR(__xludf.DUMMYFUNCTION("""COMPUTED_VALUE"""),"E")</f>
        <v>E</v>
      </c>
      <c r="G2048" s="2005" t="str">
        <f>IFERROR(__xludf.DUMMYFUNCTION("""COMPUTED_VALUE"""),"AC")</f>
        <v>AC</v>
      </c>
      <c r="H2048">
        <f>IFERROR(__xludf.DUMMYFUNCTION("""COMPUTED_VALUE"""),69.99)</f>
        <v>69.99</v>
      </c>
      <c r="I2048">
        <f>IFERROR(__xludf.DUMMYFUNCTION("""COMPUTED_VALUE"""),69.99)</f>
        <v>69.99</v>
      </c>
      <c r="BD2048" s="2006"/>
      <c r="LL2048" s="2007"/>
      <c r="LM2048" s="2007"/>
      <c r="MX2048" s="2007"/>
      <c r="ND2048" s="2007"/>
    </row>
    <row r="2049">
      <c r="A2049" s="2005">
        <f>IFERROR(__xludf.DUMMYFUNCTION("""COMPUTED_VALUE"""),1172112.0)</f>
        <v>1172112</v>
      </c>
      <c r="B2049" s="2005">
        <f>IFERROR(__xludf.DUMMYFUNCTION("""COMPUTED_VALUE"""),2403005.0)</f>
        <v>2403005</v>
      </c>
      <c r="C2049" s="2005" t="str">
        <f>IFERROR(__xludf.DUMMYFUNCTION("""COMPUTED_VALUE"""),"Cartouche")</f>
        <v>Cartouche</v>
      </c>
      <c r="D2049" s="2005" t="str">
        <f>IFERROR(__xludf.DUMMYFUNCTION("""COMPUTED_VALUE"""),"LC3213M")</f>
        <v>LC3213M</v>
      </c>
      <c r="E2049" s="2005" t="str">
        <f>IFERROR(__xludf.DUMMYFUNCTION("""COMPUTED_VALUE"""),"BROTHER")</f>
        <v>BROTHER</v>
      </c>
      <c r="F2049" s="2005" t="str">
        <f>IFERROR(__xludf.DUMMYFUNCTION("""COMPUTED_VALUE"""),"H")</f>
        <v>H</v>
      </c>
      <c r="G2049" s="2005" t="str">
        <f>IFERROR(__xludf.DUMMYFUNCTION("""COMPUTED_VALUE"""),"FR")</f>
        <v>FR</v>
      </c>
      <c r="H2049" s="2005">
        <f>IFERROR(__xludf.DUMMYFUNCTION("""COMPUTED_VALUE"""),15.99)</f>
        <v>15.99</v>
      </c>
      <c r="I2049" s="2005">
        <f>IFERROR(__xludf.DUMMYFUNCTION("""COMPUTED_VALUE"""),15.99)</f>
        <v>15.99</v>
      </c>
      <c r="BD2049" s="2006"/>
      <c r="LL2049" s="2007"/>
      <c r="LM2049" s="2007"/>
      <c r="MX2049" s="2007"/>
      <c r="ND2049" s="2007"/>
    </row>
    <row r="2050">
      <c r="A2050" s="2005">
        <f>IFERROR(__xludf.DUMMYFUNCTION("""COMPUTED_VALUE"""),1172113.0)</f>
        <v>1172113</v>
      </c>
      <c r="B2050" s="2005">
        <f>IFERROR(__xludf.DUMMYFUNCTION("""COMPUTED_VALUE"""),2403005.0)</f>
        <v>2403005</v>
      </c>
      <c r="C2050" s="2005" t="str">
        <f>IFERROR(__xludf.DUMMYFUNCTION("""COMPUTED_VALUE"""),"Cartouche")</f>
        <v>Cartouche</v>
      </c>
      <c r="D2050" s="2005" t="str">
        <f>IFERROR(__xludf.DUMMYFUNCTION("""COMPUTED_VALUE"""),"LC3237M")</f>
        <v>LC3237M</v>
      </c>
      <c r="E2050" s="2005" t="str">
        <f>IFERROR(__xludf.DUMMYFUNCTION("""COMPUTED_VALUE"""),"BROTHER")</f>
        <v>BROTHER</v>
      </c>
      <c r="F2050" s="2005" t="str">
        <f>IFERROR(__xludf.DUMMYFUNCTION("""COMPUTED_VALUE"""),"H")</f>
        <v>H</v>
      </c>
      <c r="G2050" s="2005" t="str">
        <f>IFERROR(__xludf.DUMMYFUNCTION("""COMPUTED_VALUE"""),"NN")</f>
        <v>NN</v>
      </c>
      <c r="H2050" s="2005">
        <f>IFERROR(__xludf.DUMMYFUNCTION("""COMPUTED_VALUE"""),31.49)</f>
        <v>31.49</v>
      </c>
      <c r="I2050">
        <f>IFERROR(__xludf.DUMMYFUNCTION("""COMPUTED_VALUE"""),31.49)</f>
        <v>31.49</v>
      </c>
      <c r="BD2050" s="2006"/>
      <c r="LL2050" s="2007"/>
      <c r="LM2050" s="2007"/>
      <c r="MX2050" s="2007"/>
      <c r="ND2050" s="2007"/>
    </row>
    <row r="2051">
      <c r="A2051" s="2005">
        <f>IFERROR(__xludf.DUMMYFUNCTION("""COMPUTED_VALUE"""),1172114.0)</f>
        <v>1172114</v>
      </c>
      <c r="B2051" s="2005">
        <f>IFERROR(__xludf.DUMMYFUNCTION("""COMPUTED_VALUE"""),2403005.0)</f>
        <v>2403005</v>
      </c>
      <c r="C2051" s="2005" t="str">
        <f>IFERROR(__xludf.DUMMYFUNCTION("""COMPUTED_VALUE"""),"Cartouche")</f>
        <v>Cartouche</v>
      </c>
      <c r="D2051" s="2005" t="str">
        <f>IFERROR(__xludf.DUMMYFUNCTION("""COMPUTED_VALUE"""),"LC3239XLY")</f>
        <v>LC3239XLY</v>
      </c>
      <c r="E2051" s="2005" t="str">
        <f>IFERROR(__xludf.DUMMYFUNCTION("""COMPUTED_VALUE"""),"BROTHER")</f>
        <v>BROTHER</v>
      </c>
      <c r="F2051" s="2005" t="str">
        <f>IFERROR(__xludf.DUMMYFUNCTION("""COMPUTED_VALUE"""),"H")</f>
        <v>H</v>
      </c>
      <c r="G2051" s="2005" t="str">
        <f>IFERROR(__xludf.DUMMYFUNCTION("""COMPUTED_VALUE"""),"FR")</f>
        <v>FR</v>
      </c>
      <c r="H2051" s="2005">
        <f>IFERROR(__xludf.DUMMYFUNCTION("""COMPUTED_VALUE"""),82.99)</f>
        <v>82.99</v>
      </c>
      <c r="I2051" s="2005">
        <f>IFERROR(__xludf.DUMMYFUNCTION("""COMPUTED_VALUE"""),82.99)</f>
        <v>82.99</v>
      </c>
      <c r="BD2051" s="2006"/>
      <c r="LL2051" s="2008"/>
      <c r="LM2051" s="2007"/>
      <c r="MX2051" s="2008"/>
      <c r="ND2051" s="2007"/>
    </row>
    <row r="2052">
      <c r="A2052" s="2005">
        <f>IFERROR(__xludf.DUMMYFUNCTION("""COMPUTED_VALUE"""),1172120.0)</f>
        <v>1172120</v>
      </c>
      <c r="B2052" s="2005">
        <f>IFERROR(__xludf.DUMMYFUNCTION("""COMPUTED_VALUE"""),2705020.0)</f>
        <v>2705020</v>
      </c>
      <c r="C2052" s="2005" t="str">
        <f>IFERROR(__xludf.DUMMYFUNCTION("""COMPUTED_VALUE"""),"Ecran")</f>
        <v>Ecran</v>
      </c>
      <c r="D2052" s="2005" t="str">
        <f>IFERROR(__xludf.DUMMYFUNCTION("""COMPUTED_VALUE"""),"EZ-1 Black Support 1 ecran")</f>
        <v>EZ-1 Black Support 1 ecran</v>
      </c>
      <c r="E2052" s="2005" t="str">
        <f>IFERROR(__xludf.DUMMYFUNCTION("""COMPUTED_VALUE"""),"REKT")</f>
        <v>REKT</v>
      </c>
      <c r="F2052" s="2005" t="str">
        <f>IFERROR(__xludf.DUMMYFUNCTION("""COMPUTED_VALUE"""),"H")</f>
        <v>H</v>
      </c>
      <c r="G2052" s="2005" t="str">
        <f>IFERROR(__xludf.DUMMYFUNCTION("""COMPUTED_VALUE"""),"NN")</f>
        <v>NN</v>
      </c>
      <c r="H2052">
        <f>IFERROR(__xludf.DUMMYFUNCTION("""COMPUTED_VALUE"""),89.99)</f>
        <v>89.99</v>
      </c>
      <c r="I2052" s="2005">
        <f>IFERROR(__xludf.DUMMYFUNCTION("""COMPUTED_VALUE"""),89.99)</f>
        <v>89.99</v>
      </c>
      <c r="BD2052" s="2006"/>
      <c r="LL2052" s="2007"/>
      <c r="LM2052" s="2007"/>
      <c r="MX2052" s="2007"/>
      <c r="ND2052" s="2007"/>
    </row>
    <row r="2053">
      <c r="A2053" s="2005">
        <f>IFERROR(__xludf.DUMMYFUNCTION("""COMPUTED_VALUE"""),1172141.0)</f>
        <v>1172141</v>
      </c>
      <c r="B2053" s="2005">
        <f>IFERROR(__xludf.DUMMYFUNCTION("""COMPUTED_VALUE"""),1101005.0)</f>
        <v>1101005</v>
      </c>
      <c r="C2053" s="2005" t="str">
        <f>IFERROR(__xludf.DUMMYFUNCTION("""COMPUTED_VALUE"""),"Tél.")</f>
        <v>Tél.</v>
      </c>
      <c r="D2053" s="2005" t="str">
        <f>IFERROR(__xludf.DUMMYFUNCTION("""COMPUTED_VALUE"""),"XTRA 2355 Voice Duo")</f>
        <v>XTRA 2355 Voice Duo</v>
      </c>
      <c r="E2053" s="2005" t="str">
        <f>IFERROR(__xludf.DUMMYFUNCTION("""COMPUTED_VALUE"""),"SWISSVOICE")</f>
        <v>SWISSVOICE</v>
      </c>
      <c r="F2053" s="2005" t="str">
        <f>IFERROR(__xludf.DUMMYFUNCTION("""COMPUTED_VALUE"""),"E")</f>
        <v>E</v>
      </c>
      <c r="G2053" s="2005" t="str">
        <f>IFERROR(__xludf.DUMMYFUNCTION("""COMPUTED_VALUE"""),"AC")</f>
        <v>AC</v>
      </c>
      <c r="H2053" s="2005">
        <f>IFERROR(__xludf.DUMMYFUNCTION("""COMPUTED_VALUE"""),99.99)</f>
        <v>99.99</v>
      </c>
      <c r="I2053">
        <f>IFERROR(__xludf.DUMMYFUNCTION("""COMPUTED_VALUE"""),99.99)</f>
        <v>99.99</v>
      </c>
      <c r="BD2053" s="2006"/>
      <c r="LL2053" s="2007"/>
      <c r="LM2053" s="2007"/>
      <c r="MX2053" s="2007"/>
      <c r="ND2053" s="2007"/>
    </row>
    <row r="2054">
      <c r="A2054" s="2005">
        <f>IFERROR(__xludf.DUMMYFUNCTION("""COMPUTED_VALUE"""),1172142.0)</f>
        <v>1172142</v>
      </c>
      <c r="B2054" s="2005">
        <f>IFERROR(__xludf.DUMMYFUNCTION("""COMPUTED_VALUE"""),1101005.0)</f>
        <v>1101005</v>
      </c>
      <c r="C2054" s="2005" t="str">
        <f>IFERROR(__xludf.DUMMYFUNCTION("""COMPUTED_VALUE"""),"Tél.")</f>
        <v>Tél.</v>
      </c>
      <c r="D2054" s="2005" t="str">
        <f>IFERROR(__xludf.DUMMYFUNCTION("""COMPUTED_VALUE"""),"XTRA 3355 Combo Voice")</f>
        <v>XTRA 3355 Combo Voice</v>
      </c>
      <c r="E2054" s="2005" t="str">
        <f>IFERROR(__xludf.DUMMYFUNCTION("""COMPUTED_VALUE"""),"SWISSVOICE")</f>
        <v>SWISSVOICE</v>
      </c>
      <c r="F2054" s="2005" t="str">
        <f>IFERROR(__xludf.DUMMYFUNCTION("""COMPUTED_VALUE"""),"A")</f>
        <v>A</v>
      </c>
      <c r="G2054" s="2005" t="str">
        <f>IFERROR(__xludf.DUMMYFUNCTION("""COMPUTED_VALUE"""),"AC")</f>
        <v>AC</v>
      </c>
      <c r="H2054" s="2005">
        <f>IFERROR(__xludf.DUMMYFUNCTION("""COMPUTED_VALUE"""),99.99)</f>
        <v>99.99</v>
      </c>
      <c r="I2054" s="2005">
        <f>IFERROR(__xludf.DUMMYFUNCTION("""COMPUTED_VALUE"""),99.99)</f>
        <v>99.99</v>
      </c>
      <c r="BD2054" s="2006"/>
      <c r="LL2054" s="2007"/>
      <c r="LM2054" s="2007"/>
      <c r="MX2054" s="2007"/>
      <c r="ND2054" s="2007"/>
    </row>
    <row r="2055">
      <c r="A2055" s="2005">
        <f>IFERROR(__xludf.DUMMYFUNCTION("""COMPUTED_VALUE"""),1172143.0)</f>
        <v>1172143</v>
      </c>
      <c r="B2055" s="2005">
        <f>IFERROR(__xludf.DUMMYFUNCTION("""COMPUTED_VALUE"""),1101005.0)</f>
        <v>1101005</v>
      </c>
      <c r="C2055" s="2005" t="str">
        <f>IFERROR(__xludf.DUMMYFUNCTION("""COMPUTED_VALUE"""),"Combiné")</f>
        <v>Combiné</v>
      </c>
      <c r="D2055" s="2005" t="str">
        <f>IFERROR(__xludf.DUMMYFUNCTION("""COMPUTED_VALUE"""),"supplémentaire XTRA Handset")</f>
        <v>supplémentaire XTRA Handset</v>
      </c>
      <c r="E2055" s="2005" t="str">
        <f>IFERROR(__xludf.DUMMYFUNCTION("""COMPUTED_VALUE"""),"SWISSVOICE")</f>
        <v>SWISSVOICE</v>
      </c>
      <c r="F2055" s="2005" t="str">
        <f>IFERROR(__xludf.DUMMYFUNCTION("""COMPUTED_VALUE"""),"E")</f>
        <v>E</v>
      </c>
      <c r="G2055" s="2005" t="str">
        <f>IFERROR(__xludf.DUMMYFUNCTION("""COMPUTED_VALUE"""),"AC")</f>
        <v>AC</v>
      </c>
      <c r="H2055" s="2005">
        <f>IFERROR(__xludf.DUMMYFUNCTION("""COMPUTED_VALUE"""),39.99)</f>
        <v>39.99</v>
      </c>
      <c r="I2055">
        <f>IFERROR(__xludf.DUMMYFUNCTION("""COMPUTED_VALUE"""),39.99)</f>
        <v>39.99</v>
      </c>
      <c r="BD2055" s="2006"/>
      <c r="LL2055" s="2007"/>
      <c r="LM2055" s="2007"/>
      <c r="MX2055" s="2007"/>
      <c r="ND2055" s="2008"/>
    </row>
    <row r="2056">
      <c r="A2056" s="2005">
        <f>IFERROR(__xludf.DUMMYFUNCTION("""COMPUTED_VALUE"""),1172144.0)</f>
        <v>1172144</v>
      </c>
      <c r="B2056" s="2005">
        <f>IFERROR(__xludf.DUMMYFUNCTION("""COMPUTED_VALUE"""),2502012.0)</f>
        <v>2502012</v>
      </c>
      <c r="C2056" s="2005" t="str">
        <f>IFERROR(__xludf.DUMMYFUNCTION("""COMPUTED_VALUE"""),"Tablette Graph")</f>
        <v>Tablette Graph</v>
      </c>
      <c r="D2056" s="2005" t="str">
        <f>IFERROR(__xludf.DUMMYFUNCTION("""COMPUTED_VALUE"""),"CINTIQ PRO 16")</f>
        <v>CINTIQ PRO 16</v>
      </c>
      <c r="E2056" s="2005" t="str">
        <f>IFERROR(__xludf.DUMMYFUNCTION("""COMPUTED_VALUE"""),"WACOM")</f>
        <v>WACOM</v>
      </c>
      <c r="F2056" s="2005" t="str">
        <f>IFERROR(__xludf.DUMMYFUNCTION("""COMPUTED_VALUE"""),"H")</f>
        <v>H</v>
      </c>
      <c r="G2056" s="2005" t="str">
        <f>IFERROR(__xludf.DUMMYFUNCTION("""COMPUTED_VALUE"""),"AC")</f>
        <v>AC</v>
      </c>
      <c r="H2056" s="2005">
        <f>IFERROR(__xludf.DUMMYFUNCTION("""COMPUTED_VALUE"""),1599.99)</f>
        <v>1599.99</v>
      </c>
      <c r="I2056">
        <f>IFERROR(__xludf.DUMMYFUNCTION("""COMPUTED_VALUE"""),1599.99)</f>
        <v>1599.99</v>
      </c>
      <c r="BD2056" s="2006"/>
      <c r="LL2056" s="2007"/>
      <c r="LM2056" s="2007"/>
      <c r="MX2056" s="2007"/>
      <c r="ND2056" s="2007"/>
    </row>
    <row r="2057">
      <c r="A2057" s="2005">
        <f>IFERROR(__xludf.DUMMYFUNCTION("""COMPUTED_VALUE"""),1172145.0)</f>
        <v>1172145</v>
      </c>
      <c r="B2057" s="2005">
        <f>IFERROR(__xludf.DUMMYFUNCTION("""COMPUTED_VALUE"""),2403005.0)</f>
        <v>2403005</v>
      </c>
      <c r="C2057" s="2005" t="str">
        <f>IFERROR(__xludf.DUMMYFUNCTION("""COMPUTED_VALUE"""),"Cartouche")</f>
        <v>Cartouche</v>
      </c>
      <c r="D2057" s="2005" t="str">
        <f>IFERROR(__xludf.DUMMYFUNCTION("""COMPUTED_VALUE"""),"LC3213C")</f>
        <v>LC3213C</v>
      </c>
      <c r="E2057" s="2005" t="str">
        <f>IFERROR(__xludf.DUMMYFUNCTION("""COMPUTED_VALUE"""),"BROTHER")</f>
        <v>BROTHER</v>
      </c>
      <c r="F2057" s="2005" t="str">
        <f>IFERROR(__xludf.DUMMYFUNCTION("""COMPUTED_VALUE"""),"H")</f>
        <v>H</v>
      </c>
      <c r="G2057" s="2005" t="str">
        <f>IFERROR(__xludf.DUMMYFUNCTION("""COMPUTED_VALUE"""),"NN")</f>
        <v>NN</v>
      </c>
      <c r="H2057" s="2005">
        <f>IFERROR(__xludf.DUMMYFUNCTION("""COMPUTED_VALUE"""),15.99)</f>
        <v>15.99</v>
      </c>
      <c r="I2057">
        <f>IFERROR(__xludf.DUMMYFUNCTION("""COMPUTED_VALUE"""),15.99)</f>
        <v>15.99</v>
      </c>
      <c r="BD2057" s="2006"/>
      <c r="LL2057" s="2007"/>
      <c r="LM2057" s="2007"/>
      <c r="MX2057" s="2007"/>
      <c r="ND2057" s="2007"/>
    </row>
    <row r="2058">
      <c r="A2058" s="2005">
        <f>IFERROR(__xludf.DUMMYFUNCTION("""COMPUTED_VALUE"""),1172146.0)</f>
        <v>1172146</v>
      </c>
      <c r="B2058" s="2005">
        <f>IFERROR(__xludf.DUMMYFUNCTION("""COMPUTED_VALUE"""),2403005.0)</f>
        <v>2403005</v>
      </c>
      <c r="C2058" s="2005" t="str">
        <f>IFERROR(__xludf.DUMMYFUNCTION("""COMPUTED_VALUE"""),"Cartouche")</f>
        <v>Cartouche</v>
      </c>
      <c r="D2058" s="2005" t="str">
        <f>IFERROR(__xludf.DUMMYFUNCTION("""COMPUTED_VALUE"""),"LC3237C")</f>
        <v>LC3237C</v>
      </c>
      <c r="E2058" s="2005" t="str">
        <f>IFERROR(__xludf.DUMMYFUNCTION("""COMPUTED_VALUE"""),"BROTHER")</f>
        <v>BROTHER</v>
      </c>
      <c r="F2058" s="2005" t="str">
        <f>IFERROR(__xludf.DUMMYFUNCTION("""COMPUTED_VALUE"""),"H")</f>
        <v>H</v>
      </c>
      <c r="G2058" s="2005" t="str">
        <f>IFERROR(__xludf.DUMMYFUNCTION("""COMPUTED_VALUE"""),"FR")</f>
        <v>FR</v>
      </c>
      <c r="H2058" s="2005">
        <f>IFERROR(__xludf.DUMMYFUNCTION("""COMPUTED_VALUE"""),24.99)</f>
        <v>24.99</v>
      </c>
      <c r="I2058" s="2005">
        <f>IFERROR(__xludf.DUMMYFUNCTION("""COMPUTED_VALUE"""),24.99)</f>
        <v>24.99</v>
      </c>
      <c r="BD2058" s="2006"/>
      <c r="LL2058" s="2007"/>
      <c r="LM2058" s="2007"/>
      <c r="MX2058" s="2007"/>
      <c r="ND2058" s="2007"/>
    </row>
    <row r="2059">
      <c r="A2059" s="2005">
        <f>IFERROR(__xludf.DUMMYFUNCTION("""COMPUTED_VALUE"""),1172147.0)</f>
        <v>1172147</v>
      </c>
      <c r="B2059" s="2005">
        <f>IFERROR(__xludf.DUMMYFUNCTION("""COMPUTED_VALUE"""),2403005.0)</f>
        <v>2403005</v>
      </c>
      <c r="C2059" s="2005" t="str">
        <f>IFERROR(__xludf.DUMMYFUNCTION("""COMPUTED_VALUE"""),"Cartouche")</f>
        <v>Cartouche</v>
      </c>
      <c r="D2059" s="2005" t="str">
        <f>IFERROR(__xludf.DUMMYFUNCTION("""COMPUTED_VALUE"""),"LC3239XLM")</f>
        <v>LC3239XLM</v>
      </c>
      <c r="E2059" s="2005" t="str">
        <f>IFERROR(__xludf.DUMMYFUNCTION("""COMPUTED_VALUE"""),"BROTHER")</f>
        <v>BROTHER</v>
      </c>
      <c r="F2059" s="2005" t="str">
        <f>IFERROR(__xludf.DUMMYFUNCTION("""COMPUTED_VALUE"""),"H")</f>
        <v>H</v>
      </c>
      <c r="G2059" s="2005" t="str">
        <f>IFERROR(__xludf.DUMMYFUNCTION("""COMPUTED_VALUE"""),"FR")</f>
        <v>FR</v>
      </c>
      <c r="H2059">
        <f>IFERROR(__xludf.DUMMYFUNCTION("""COMPUTED_VALUE"""),82.99)</f>
        <v>82.99</v>
      </c>
      <c r="I2059" s="2005">
        <f>IFERROR(__xludf.DUMMYFUNCTION("""COMPUTED_VALUE"""),82.99)</f>
        <v>82.99</v>
      </c>
      <c r="BD2059" s="2006"/>
      <c r="LL2059" s="2007"/>
      <c r="LM2059" s="2007"/>
      <c r="MX2059" s="2007"/>
      <c r="ND2059" s="2007"/>
    </row>
    <row r="2060">
      <c r="A2060" s="2005">
        <f>IFERROR(__xludf.DUMMYFUNCTION("""COMPUTED_VALUE"""),1172148.0)</f>
        <v>1172148</v>
      </c>
      <c r="B2060" s="2005">
        <f>IFERROR(__xludf.DUMMYFUNCTION("""COMPUTED_VALUE"""),2403010.0)</f>
        <v>2403010</v>
      </c>
      <c r="C2060" s="2005" t="str">
        <f>IFERROR(__xludf.DUMMYFUNCTION("""COMPUTED_VALUE"""),"Toner")</f>
        <v>Toner</v>
      </c>
      <c r="D2060" s="2005" t="str">
        <f>IFERROR(__xludf.DUMMYFUNCTION("""COMPUTED_VALUE"""),"TN247Y")</f>
        <v>TN247Y</v>
      </c>
      <c r="E2060" s="2005" t="str">
        <f>IFERROR(__xludf.DUMMYFUNCTION("""COMPUTED_VALUE"""),"BROTHER")</f>
        <v>BROTHER</v>
      </c>
      <c r="F2060" s="2005" t="str">
        <f>IFERROR(__xludf.DUMMYFUNCTION("""COMPUTED_VALUE"""),"H")</f>
        <v>H</v>
      </c>
      <c r="G2060" s="2005" t="str">
        <f>IFERROR(__xludf.DUMMYFUNCTION("""COMPUTED_VALUE"""),"NN")</f>
        <v>NN</v>
      </c>
      <c r="H2060" s="2005">
        <f>IFERROR(__xludf.DUMMYFUNCTION("""COMPUTED_VALUE"""),137.05)</f>
        <v>137.05</v>
      </c>
      <c r="I2060">
        <f>IFERROR(__xludf.DUMMYFUNCTION("""COMPUTED_VALUE"""),137.05)</f>
        <v>137.05</v>
      </c>
      <c r="BD2060" s="2006"/>
      <c r="LL2060" s="2008"/>
      <c r="LM2060" s="2007"/>
      <c r="MX2060" s="2007"/>
      <c r="ND2060" s="2008"/>
    </row>
    <row r="2061">
      <c r="A2061" s="2005">
        <f>IFERROR(__xludf.DUMMYFUNCTION("""COMPUTED_VALUE"""),1172218.0)</f>
        <v>1172218</v>
      </c>
      <c r="B2061" s="2005">
        <f>IFERROR(__xludf.DUMMYFUNCTION("""COMPUTED_VALUE"""),2202005.0)</f>
        <v>2202005</v>
      </c>
      <c r="C2061" s="2005" t="str">
        <f>IFERROR(__xludf.DUMMYFUNCTION("""COMPUTED_VALUE"""),"Multi Jet d'enc")</f>
        <v>Multi Jet d'enc</v>
      </c>
      <c r="D2061" s="2005" t="str">
        <f>IFERROR(__xludf.DUMMYFUNCTION("""COMPUTED_VALUE"""),"DeskJet 4122e éligible Instant Ink")</f>
        <v>DeskJet 4122e éligible Instant Ink</v>
      </c>
      <c r="E2061" s="2005" t="str">
        <f>IFERROR(__xludf.DUMMYFUNCTION("""COMPUTED_VALUE"""),"HP")</f>
        <v>HP</v>
      </c>
      <c r="F2061" s="2005" t="str">
        <f>IFERROR(__xludf.DUMMYFUNCTION("""COMPUTED_VALUE"""),"D")</f>
        <v>D</v>
      </c>
      <c r="G2061" s="2005" t="str">
        <f>IFERROR(__xludf.DUMMYFUNCTION("""COMPUTED_VALUE"""),"FR")</f>
        <v>FR</v>
      </c>
      <c r="H2061" s="2005">
        <f>IFERROR(__xludf.DUMMYFUNCTION("""COMPUTED_VALUE"""),79.99)</f>
        <v>79.99</v>
      </c>
      <c r="I2061" s="2005">
        <f>IFERROR(__xludf.DUMMYFUNCTION("""COMPUTED_VALUE"""),79.99)</f>
        <v>79.99</v>
      </c>
      <c r="BD2061" s="2006"/>
      <c r="LL2061" s="2007"/>
      <c r="LM2061" s="2007"/>
      <c r="MX2061" s="2007"/>
      <c r="ND2061" s="2007"/>
    </row>
    <row r="2062">
      <c r="A2062" s="2005">
        <f>IFERROR(__xludf.DUMMYFUNCTION("""COMPUTED_VALUE"""),1172219.0)</f>
        <v>1172219</v>
      </c>
      <c r="B2062" s="2005">
        <f>IFERROR(__xludf.DUMMYFUNCTION("""COMPUTED_VALUE"""),2202005.0)</f>
        <v>2202005</v>
      </c>
      <c r="C2062" s="2005" t="str">
        <f>IFERROR(__xludf.DUMMYFUNCTION("""COMPUTED_VALUE"""),"Multi Jet d'enc")</f>
        <v>Multi Jet d'enc</v>
      </c>
      <c r="D2062" s="2005" t="str">
        <f>IFERROR(__xludf.DUMMYFUNCTION("""COMPUTED_VALUE"""),"ENVY 6430e éligible Instant Ink")</f>
        <v>ENVY 6430e éligible Instant Ink</v>
      </c>
      <c r="E2062" s="2005" t="str">
        <f>IFERROR(__xludf.DUMMYFUNCTION("""COMPUTED_VALUE"""),"HP")</f>
        <v>HP</v>
      </c>
      <c r="F2062" s="2005" t="str">
        <f>IFERROR(__xludf.DUMMYFUNCTION("""COMPUTED_VALUE"""),"E")</f>
        <v>E</v>
      </c>
      <c r="G2062" s="2005" t="str">
        <f>IFERROR(__xludf.DUMMYFUNCTION("""COMPUTED_VALUE"""),"NN")</f>
        <v>NN</v>
      </c>
      <c r="H2062" s="2005">
        <f>IFERROR(__xludf.DUMMYFUNCTION("""COMPUTED_VALUE"""),119.99)</f>
        <v>119.99</v>
      </c>
      <c r="I2062" s="2005">
        <f>IFERROR(__xludf.DUMMYFUNCTION("""COMPUTED_VALUE"""),119.99)</f>
        <v>119.99</v>
      </c>
      <c r="BD2062" s="2006"/>
      <c r="LL2062" s="2007"/>
      <c r="LM2062" s="2007"/>
      <c r="MX2062" s="2007"/>
      <c r="ND2062" s="2007"/>
    </row>
    <row r="2063">
      <c r="A2063" s="2005">
        <f>IFERROR(__xludf.DUMMYFUNCTION("""COMPUTED_VALUE"""),1172220.0)</f>
        <v>1172220</v>
      </c>
      <c r="B2063" s="2005">
        <f>IFERROR(__xludf.DUMMYFUNCTION("""COMPUTED_VALUE"""),2202010.0)</f>
        <v>2202010</v>
      </c>
      <c r="C2063" s="2005" t="str">
        <f>IFERROR(__xludf.DUMMYFUNCTION("""COMPUTED_VALUE"""),"Multi Jet d'enc")</f>
        <v>Multi Jet d'enc</v>
      </c>
      <c r="D2063" s="2005" t="str">
        <f>IFERROR(__xludf.DUMMYFUNCTION("""COMPUTED_VALUE"""),"Smart Tank 7005")</f>
        <v>Smart Tank 7005</v>
      </c>
      <c r="E2063" s="2005" t="str">
        <f>IFERROR(__xludf.DUMMYFUNCTION("""COMPUTED_VALUE"""),"HP")</f>
        <v>HP</v>
      </c>
      <c r="F2063" s="2005" t="str">
        <f>IFERROR(__xludf.DUMMYFUNCTION("""COMPUTED_VALUE"""),"E")</f>
        <v>E</v>
      </c>
      <c r="G2063" s="2005" t="str">
        <f>IFERROR(__xludf.DUMMYFUNCTION("""COMPUTED_VALUE"""),"NN")</f>
        <v>NN</v>
      </c>
      <c r="H2063" s="2005">
        <f>IFERROR(__xludf.DUMMYFUNCTION("""COMPUTED_VALUE"""),329.99)</f>
        <v>329.99</v>
      </c>
      <c r="I2063" s="2005">
        <f>IFERROR(__xludf.DUMMYFUNCTION("""COMPUTED_VALUE"""),329.99)</f>
        <v>329.99</v>
      </c>
      <c r="BD2063" s="2006"/>
      <c r="LL2063" s="2007"/>
      <c r="LM2063" s="2007"/>
      <c r="MX2063" s="2007"/>
      <c r="ND2063" s="2007"/>
    </row>
    <row r="2064">
      <c r="A2064" s="2005">
        <f>IFERROR(__xludf.DUMMYFUNCTION("""COMPUTED_VALUE"""),1172237.0)</f>
        <v>1172237</v>
      </c>
      <c r="B2064" s="2005">
        <f>IFERROR(__xludf.DUMMYFUNCTION("""COMPUTED_VALUE"""),2403010.0)</f>
        <v>2403010</v>
      </c>
      <c r="C2064" s="2005" t="str">
        <f>IFERROR(__xludf.DUMMYFUNCTION("""COMPUTED_VALUE"""),"Toner")</f>
        <v>Toner</v>
      </c>
      <c r="D2064" s="2005" t="str">
        <f>IFERROR(__xludf.DUMMYFUNCTION("""COMPUTED_VALUE"""),"135A Noir")</f>
        <v>135A Noir</v>
      </c>
      <c r="E2064" s="2005" t="str">
        <f>IFERROR(__xludf.DUMMYFUNCTION("""COMPUTED_VALUE"""),"HP")</f>
        <v>HP</v>
      </c>
      <c r="F2064" s="2005" t="str">
        <f>IFERROR(__xludf.DUMMYFUNCTION("""COMPUTED_VALUE"""),"H")</f>
        <v>H</v>
      </c>
      <c r="G2064" s="2005" t="str">
        <f>IFERROR(__xludf.DUMMYFUNCTION("""COMPUTED_VALUE"""),"AC")</f>
        <v>AC</v>
      </c>
      <c r="H2064">
        <f>IFERROR(__xludf.DUMMYFUNCTION("""COMPUTED_VALUE"""),57.99)</f>
        <v>57.99</v>
      </c>
      <c r="I2064" s="2005">
        <f>IFERROR(__xludf.DUMMYFUNCTION("""COMPUTED_VALUE"""),57.99)</f>
        <v>57.99</v>
      </c>
      <c r="BD2064" s="2006"/>
      <c r="LL2064" s="2007"/>
      <c r="LM2064" s="2007"/>
      <c r="MX2064" s="2007"/>
      <c r="ND2064" s="2007"/>
    </row>
    <row r="2065">
      <c r="A2065" s="2005">
        <f>IFERROR(__xludf.DUMMYFUNCTION("""COMPUTED_VALUE"""),1172239.0)</f>
        <v>1172239</v>
      </c>
      <c r="B2065" s="2005">
        <f>IFERROR(__xludf.DUMMYFUNCTION("""COMPUTED_VALUE"""),2403005.0)</f>
        <v>2403005</v>
      </c>
      <c r="C2065" s="2005" t="str">
        <f>IFERROR(__xludf.DUMMYFUNCTION("""COMPUTED_VALUE"""),"Cartouche")</f>
        <v>Cartouche</v>
      </c>
      <c r="D2065" s="2005" t="str">
        <f>IFERROR(__xludf.DUMMYFUNCTION("""COMPUTED_VALUE"""),"LC3213BK")</f>
        <v>LC3213BK</v>
      </c>
      <c r="E2065" s="2005" t="str">
        <f>IFERROR(__xludf.DUMMYFUNCTION("""COMPUTED_VALUE"""),"BROTHER")</f>
        <v>BROTHER</v>
      </c>
      <c r="F2065" s="2005" t="str">
        <f>IFERROR(__xludf.DUMMYFUNCTION("""COMPUTED_VALUE"""),"H")</f>
        <v>H</v>
      </c>
      <c r="G2065" s="2005" t="str">
        <f>IFERROR(__xludf.DUMMYFUNCTION("""COMPUTED_VALUE"""),"AC")</f>
        <v>AC</v>
      </c>
      <c r="H2065" s="2005">
        <f>IFERROR(__xludf.DUMMYFUNCTION("""COMPUTED_VALUE"""),20.99)</f>
        <v>20.99</v>
      </c>
      <c r="I2065">
        <f>IFERROR(__xludf.DUMMYFUNCTION("""COMPUTED_VALUE"""),20.99)</f>
        <v>20.99</v>
      </c>
      <c r="BD2065" s="2006"/>
      <c r="LL2065" s="2007"/>
      <c r="LM2065" s="2007"/>
      <c r="MX2065" s="2007"/>
      <c r="ND2065" s="2007"/>
    </row>
    <row r="2066">
      <c r="A2066" s="2005">
        <f>IFERROR(__xludf.DUMMYFUNCTION("""COMPUTED_VALUE"""),1172240.0)</f>
        <v>1172240</v>
      </c>
      <c r="B2066" s="2005">
        <f>IFERROR(__xludf.DUMMYFUNCTION("""COMPUTED_VALUE"""),2403005.0)</f>
        <v>2403005</v>
      </c>
      <c r="C2066" s="2005" t="str">
        <f>IFERROR(__xludf.DUMMYFUNCTION("""COMPUTED_VALUE"""),"Cartouche")</f>
        <v>Cartouche</v>
      </c>
      <c r="D2066" s="2005" t="str">
        <f>IFERROR(__xludf.DUMMYFUNCTION("""COMPUTED_VALUE"""),"LC3237BK")</f>
        <v>LC3237BK</v>
      </c>
      <c r="E2066" s="2005" t="str">
        <f>IFERROR(__xludf.DUMMYFUNCTION("""COMPUTED_VALUE"""),"BROTHER")</f>
        <v>BROTHER</v>
      </c>
      <c r="F2066" s="2005" t="str">
        <f>IFERROR(__xludf.DUMMYFUNCTION("""COMPUTED_VALUE"""),"H")</f>
        <v>H</v>
      </c>
      <c r="G2066" s="2005" t="str">
        <f>IFERROR(__xludf.DUMMYFUNCTION("""COMPUTED_VALUE"""),"FR")</f>
        <v>FR</v>
      </c>
      <c r="H2066" s="2005">
        <f>IFERROR(__xludf.DUMMYFUNCTION("""COMPUTED_VALUE"""),34.99)</f>
        <v>34.99</v>
      </c>
      <c r="I2066" s="2005">
        <f>IFERROR(__xludf.DUMMYFUNCTION("""COMPUTED_VALUE"""),34.99)</f>
        <v>34.99</v>
      </c>
      <c r="BD2066" s="2006"/>
      <c r="LM2066" s="2007"/>
      <c r="MX2066" s="2007"/>
      <c r="ND2066" s="2007"/>
    </row>
    <row r="2067">
      <c r="A2067" s="2005">
        <f>IFERROR(__xludf.DUMMYFUNCTION("""COMPUTED_VALUE"""),1172241.0)</f>
        <v>1172241</v>
      </c>
      <c r="B2067" s="2005">
        <f>IFERROR(__xludf.DUMMYFUNCTION("""COMPUTED_VALUE"""),2403005.0)</f>
        <v>2403005</v>
      </c>
      <c r="C2067" s="2005" t="str">
        <f>IFERROR(__xludf.DUMMYFUNCTION("""COMPUTED_VALUE"""),"Cartouche")</f>
        <v>Cartouche</v>
      </c>
      <c r="D2067" s="2005" t="str">
        <f>IFERROR(__xludf.DUMMYFUNCTION("""COMPUTED_VALUE"""),"LC3213Y")</f>
        <v>LC3213Y</v>
      </c>
      <c r="E2067" s="2005" t="str">
        <f>IFERROR(__xludf.DUMMYFUNCTION("""COMPUTED_VALUE"""),"BROTHER")</f>
        <v>BROTHER</v>
      </c>
      <c r="F2067" s="2005" t="str">
        <f>IFERROR(__xludf.DUMMYFUNCTION("""COMPUTED_VALUE"""),"H")</f>
        <v>H</v>
      </c>
      <c r="G2067" s="2005" t="str">
        <f>IFERROR(__xludf.DUMMYFUNCTION("""COMPUTED_VALUE"""),"FR")</f>
        <v>FR</v>
      </c>
      <c r="H2067" s="2005">
        <f>IFERROR(__xludf.DUMMYFUNCTION("""COMPUTED_VALUE"""),15.99)</f>
        <v>15.99</v>
      </c>
      <c r="I2067" s="2005">
        <f>IFERROR(__xludf.DUMMYFUNCTION("""COMPUTED_VALUE"""),15.99)</f>
        <v>15.99</v>
      </c>
      <c r="BD2067" s="2006"/>
      <c r="LM2067" s="2007"/>
      <c r="MX2067" s="2007"/>
      <c r="ND2067" s="2007"/>
    </row>
    <row r="2068">
      <c r="A2068" s="2005">
        <f>IFERROR(__xludf.DUMMYFUNCTION("""COMPUTED_VALUE"""),1172242.0)</f>
        <v>1172242</v>
      </c>
      <c r="B2068" s="2005">
        <f>IFERROR(__xludf.DUMMYFUNCTION("""COMPUTED_VALUE"""),2403005.0)</f>
        <v>2403005</v>
      </c>
      <c r="C2068" s="2005" t="str">
        <f>IFERROR(__xludf.DUMMYFUNCTION("""COMPUTED_VALUE"""),"Cartouche")</f>
        <v>Cartouche</v>
      </c>
      <c r="D2068" s="2005" t="str">
        <f>IFERROR(__xludf.DUMMYFUNCTION("""COMPUTED_VALUE"""),"LC3239XLBK")</f>
        <v>LC3239XLBK</v>
      </c>
      <c r="E2068" s="2005" t="str">
        <f>IFERROR(__xludf.DUMMYFUNCTION("""COMPUTED_VALUE"""),"BROTHER")</f>
        <v>BROTHER</v>
      </c>
      <c r="F2068" s="2005" t="str">
        <f>IFERROR(__xludf.DUMMYFUNCTION("""COMPUTED_VALUE"""),"H")</f>
        <v>H</v>
      </c>
      <c r="G2068" s="2005" t="str">
        <f>IFERROR(__xludf.DUMMYFUNCTION("""COMPUTED_VALUE"""),"FR")</f>
        <v>FR</v>
      </c>
      <c r="H2068" s="2005">
        <f>IFERROR(__xludf.DUMMYFUNCTION("""COMPUTED_VALUE"""),88.99)</f>
        <v>88.99</v>
      </c>
      <c r="I2068" s="2005">
        <f>IFERROR(__xludf.DUMMYFUNCTION("""COMPUTED_VALUE"""),88.99)</f>
        <v>88.99</v>
      </c>
      <c r="BD2068" s="2006"/>
      <c r="LL2068" s="2007"/>
      <c r="LM2068" s="2007"/>
      <c r="MX2068" s="2007"/>
      <c r="ND2068" s="2008"/>
    </row>
    <row r="2069">
      <c r="A2069" s="2005">
        <f>IFERROR(__xludf.DUMMYFUNCTION("""COMPUTED_VALUE"""),1172243.0)</f>
        <v>1172243</v>
      </c>
      <c r="B2069" s="2005">
        <f>IFERROR(__xludf.DUMMYFUNCTION("""COMPUTED_VALUE"""),2403010.0)</f>
        <v>2403010</v>
      </c>
      <c r="C2069" s="2005" t="str">
        <f>IFERROR(__xludf.DUMMYFUNCTION("""COMPUTED_VALUE"""),"Toner")</f>
        <v>Toner</v>
      </c>
      <c r="D2069" s="2005" t="str">
        <f>IFERROR(__xludf.DUMMYFUNCTION("""COMPUTED_VALUE"""),"TN247C")</f>
        <v>TN247C</v>
      </c>
      <c r="E2069" s="2005" t="str">
        <f>IFERROR(__xludf.DUMMYFUNCTION("""COMPUTED_VALUE"""),"BROTHER")</f>
        <v>BROTHER</v>
      </c>
      <c r="F2069" s="2005" t="str">
        <f>IFERROR(__xludf.DUMMYFUNCTION("""COMPUTED_VALUE"""),"H")</f>
        <v>H</v>
      </c>
      <c r="G2069" s="2005" t="str">
        <f>IFERROR(__xludf.DUMMYFUNCTION("""COMPUTED_VALUE"""),"NN")</f>
        <v>NN</v>
      </c>
      <c r="H2069" s="2005">
        <f>IFERROR(__xludf.DUMMYFUNCTION("""COMPUTED_VALUE"""),137.05)</f>
        <v>137.05</v>
      </c>
      <c r="I2069" s="2005">
        <f>IFERROR(__xludf.DUMMYFUNCTION("""COMPUTED_VALUE"""),137.05)</f>
        <v>137.05</v>
      </c>
      <c r="BD2069" s="2006"/>
      <c r="LL2069" s="2008"/>
      <c r="LM2069" s="2007"/>
      <c r="MX2069" s="2007"/>
      <c r="ND2069" s="2008"/>
    </row>
    <row r="2070">
      <c r="A2070" s="2005">
        <f>IFERROR(__xludf.DUMMYFUNCTION("""COMPUTED_VALUE"""),1172245.0)</f>
        <v>1172245</v>
      </c>
      <c r="B2070" s="2005">
        <f>IFERROR(__xludf.DUMMYFUNCTION("""COMPUTED_VALUE"""),2202010.0)</f>
        <v>2202010</v>
      </c>
      <c r="C2070" s="2005" t="str">
        <f>IFERROR(__xludf.DUMMYFUNCTION("""COMPUTED_VALUE"""),"Multi Jet d'enc")</f>
        <v>Multi Jet d'enc</v>
      </c>
      <c r="D2070" s="2005" t="str">
        <f>IFERROR(__xludf.DUMMYFUNCTION("""COMPUTED_VALUE"""),"Smart Tank 7305")</f>
        <v>Smart Tank 7305</v>
      </c>
      <c r="E2070" s="2005" t="str">
        <f>IFERROR(__xludf.DUMMYFUNCTION("""COMPUTED_VALUE"""),"HP")</f>
        <v>HP</v>
      </c>
      <c r="F2070" s="2005" t="str">
        <f>IFERROR(__xludf.DUMMYFUNCTION("""COMPUTED_VALUE"""),"W")</f>
        <v>W</v>
      </c>
      <c r="G2070" s="2005" t="str">
        <f>IFERROR(__xludf.DUMMYFUNCTION("""COMPUTED_VALUE"""),"NN")</f>
        <v>NN</v>
      </c>
      <c r="H2070">
        <f>IFERROR(__xludf.DUMMYFUNCTION("""COMPUTED_VALUE"""),399.99)</f>
        <v>399.99</v>
      </c>
      <c r="I2070">
        <f>IFERROR(__xludf.DUMMYFUNCTION("""COMPUTED_VALUE"""),399.99)</f>
        <v>399.99</v>
      </c>
      <c r="BD2070" s="2006"/>
      <c r="LL2070" s="2008"/>
      <c r="LM2070" s="2007"/>
      <c r="MX2070" s="2007"/>
      <c r="ND2070" s="2008"/>
    </row>
    <row r="2071">
      <c r="A2071" s="2005">
        <f>IFERROR(__xludf.DUMMYFUNCTION("""COMPUTED_VALUE"""),1172246.0)</f>
        <v>1172246</v>
      </c>
      <c r="B2071" s="2005">
        <f>IFERROR(__xludf.DUMMYFUNCTION("""COMPUTED_VALUE"""),2202010.0)</f>
        <v>2202010</v>
      </c>
      <c r="C2071" s="2005" t="str">
        <f>IFERROR(__xludf.DUMMYFUNCTION("""COMPUTED_VALUE"""),"Multi Jet d'enc")</f>
        <v>Multi Jet d'enc</v>
      </c>
      <c r="D2071" s="2005" t="str">
        <f>IFERROR(__xludf.DUMMYFUNCTION("""COMPUTED_VALUE"""),"Smart Tank 7306")</f>
        <v>Smart Tank 7306</v>
      </c>
      <c r="E2071" s="2005" t="str">
        <f>IFERROR(__xludf.DUMMYFUNCTION("""COMPUTED_VALUE"""),"HP")</f>
        <v>HP</v>
      </c>
      <c r="F2071" s="2005" t="str">
        <f>IFERROR(__xludf.DUMMYFUNCTION("""COMPUTED_VALUE"""),"C")</f>
        <v>C</v>
      </c>
      <c r="G2071" s="2005" t="str">
        <f>IFERROR(__xludf.DUMMYFUNCTION("""COMPUTED_VALUE"""),"AC")</f>
        <v>AC</v>
      </c>
      <c r="H2071" s="2005">
        <f>IFERROR(__xludf.DUMMYFUNCTION("""COMPUTED_VALUE"""),399.99)</f>
        <v>399.99</v>
      </c>
      <c r="I2071" s="2005">
        <f>IFERROR(__xludf.DUMMYFUNCTION("""COMPUTED_VALUE"""),399.99)</f>
        <v>399.99</v>
      </c>
      <c r="BD2071" s="2006"/>
      <c r="LL2071" s="2008"/>
      <c r="LM2071" s="2007"/>
      <c r="MX2071" s="2007"/>
      <c r="ND2071" s="2008"/>
    </row>
    <row r="2072">
      <c r="A2072" s="2005">
        <f>IFERROR(__xludf.DUMMYFUNCTION("""COMPUTED_VALUE"""),1172251.0)</f>
        <v>1172251</v>
      </c>
      <c r="B2072" s="2005">
        <f>IFERROR(__xludf.DUMMYFUNCTION("""COMPUTED_VALUE"""),2403005.0)</f>
        <v>2403005</v>
      </c>
      <c r="C2072" s="2005" t="str">
        <f>IFERROR(__xludf.DUMMYFUNCTION("""COMPUTED_VALUE"""),"Cartouche")</f>
        <v>Cartouche</v>
      </c>
      <c r="D2072" s="2005" t="str">
        <f>IFERROR(__xludf.DUMMYFUNCTION("""COMPUTED_VALUE"""),"LC3239XLC")</f>
        <v>LC3239XLC</v>
      </c>
      <c r="E2072" s="2005" t="str">
        <f>IFERROR(__xludf.DUMMYFUNCTION("""COMPUTED_VALUE"""),"BROTHER")</f>
        <v>BROTHER</v>
      </c>
      <c r="F2072" s="2005" t="str">
        <f>IFERROR(__xludf.DUMMYFUNCTION("""COMPUTED_VALUE"""),"H")</f>
        <v>H</v>
      </c>
      <c r="G2072" s="2005" t="str">
        <f>IFERROR(__xludf.DUMMYFUNCTION("""COMPUTED_VALUE"""),"NN")</f>
        <v>NN</v>
      </c>
      <c r="H2072" s="2005">
        <f>IFERROR(__xludf.DUMMYFUNCTION("""COMPUTED_VALUE"""),80.99)</f>
        <v>80.99</v>
      </c>
      <c r="I2072" s="2005">
        <f>IFERROR(__xludf.DUMMYFUNCTION("""COMPUTED_VALUE"""),80.99)</f>
        <v>80.99</v>
      </c>
      <c r="BD2072" s="2006"/>
      <c r="LL2072" s="2007"/>
      <c r="LM2072" s="2007"/>
      <c r="MX2072" s="2007"/>
      <c r="ND2072" s="2008"/>
    </row>
    <row r="2073">
      <c r="A2073" s="2005">
        <f>IFERROR(__xludf.DUMMYFUNCTION("""COMPUTED_VALUE"""),1172252.0)</f>
        <v>1172252</v>
      </c>
      <c r="B2073" s="2005">
        <f>IFERROR(__xludf.DUMMYFUNCTION("""COMPUTED_VALUE"""),2403010.0)</f>
        <v>2403010</v>
      </c>
      <c r="C2073" s="2005" t="str">
        <f>IFERROR(__xludf.DUMMYFUNCTION("""COMPUTED_VALUE"""),"Toner")</f>
        <v>Toner</v>
      </c>
      <c r="D2073" s="2005" t="str">
        <f>IFERROR(__xludf.DUMMYFUNCTION("""COMPUTED_VALUE"""),"TN247M")</f>
        <v>TN247M</v>
      </c>
      <c r="E2073" s="2005" t="str">
        <f>IFERROR(__xludf.DUMMYFUNCTION("""COMPUTED_VALUE"""),"BROTHER")</f>
        <v>BROTHER</v>
      </c>
      <c r="F2073" s="2005" t="str">
        <f>IFERROR(__xludf.DUMMYFUNCTION("""COMPUTED_VALUE"""),"H")</f>
        <v>H</v>
      </c>
      <c r="G2073" s="2005" t="str">
        <f>IFERROR(__xludf.DUMMYFUNCTION("""COMPUTED_VALUE"""),"NN")</f>
        <v>NN</v>
      </c>
      <c r="H2073" s="2005">
        <f>IFERROR(__xludf.DUMMYFUNCTION("""COMPUTED_VALUE"""),137.05)</f>
        <v>137.05</v>
      </c>
      <c r="I2073" s="2005">
        <f>IFERROR(__xludf.DUMMYFUNCTION("""COMPUTED_VALUE"""),137.05)</f>
        <v>137.05</v>
      </c>
      <c r="BD2073" s="2006"/>
      <c r="LL2073" s="2007"/>
      <c r="LM2073" s="2007"/>
      <c r="MX2073" s="2007"/>
      <c r="ND2073" s="2008"/>
    </row>
    <row r="2074">
      <c r="A2074" s="2005">
        <f>IFERROR(__xludf.DUMMYFUNCTION("""COMPUTED_VALUE"""),1172253.0)</f>
        <v>1172253</v>
      </c>
      <c r="B2074" s="2005">
        <f>IFERROR(__xludf.DUMMYFUNCTION("""COMPUTED_VALUE"""),2502010.0)</f>
        <v>2502010</v>
      </c>
      <c r="C2074" s="2005" t="str">
        <f>IFERROR(__xludf.DUMMYFUNCTION("""COMPUTED_VALUE"""),"Souris")</f>
        <v>Souris</v>
      </c>
      <c r="D2074" s="2005" t="str">
        <f>IFERROR(__xludf.DUMMYFUNCTION("""COMPUTED_VALUE"""),"GR9300 éco-concue")</f>
        <v>GR9300 éco-concue</v>
      </c>
      <c r="E2074" s="2005" t="str">
        <f>IFERROR(__xludf.DUMMYFUNCTION("""COMPUTED_VALUE"""),"GREEN_E")</f>
        <v>GREEN_E</v>
      </c>
      <c r="F2074" s="2005" t="str">
        <f>IFERROR(__xludf.DUMMYFUNCTION("""COMPUTED_VALUE"""),"B")</f>
        <v>B</v>
      </c>
      <c r="G2074" s="2005" t="str">
        <f>IFERROR(__xludf.DUMMYFUNCTION("""COMPUTED_VALUE"""),"NN")</f>
        <v>NN</v>
      </c>
      <c r="H2074" s="2005">
        <f>IFERROR(__xludf.DUMMYFUNCTION("""COMPUTED_VALUE"""),14.99)</f>
        <v>14.99</v>
      </c>
      <c r="I2074" s="2005">
        <f>IFERROR(__xludf.DUMMYFUNCTION("""COMPUTED_VALUE"""),14.99)</f>
        <v>14.99</v>
      </c>
      <c r="BD2074" s="2006"/>
      <c r="LL2074" s="2007"/>
      <c r="LM2074" s="2007"/>
      <c r="MX2074" s="2007"/>
      <c r="ND2074" s="2008"/>
    </row>
    <row r="2075">
      <c r="A2075" s="2005">
        <f>IFERROR(__xludf.DUMMYFUNCTION("""COMPUTED_VALUE"""),1172259.0)</f>
        <v>1172259</v>
      </c>
      <c r="B2075" s="2005">
        <f>IFERROR(__xludf.DUMMYFUNCTION("""COMPUTED_VALUE"""),2503010.0)</f>
        <v>2503010</v>
      </c>
      <c r="C2075" s="2005" t="str">
        <f>IFERROR(__xludf.DUMMYFUNCTION("""COMPUTED_VALUE"""),"PACK")</f>
        <v>PACK</v>
      </c>
      <c r="D2075" s="2005" t="str">
        <f>IFERROR(__xludf.DUMMYFUNCTION("""COMPUTED_VALUE"""),"Télétravail 5 en 1")</f>
        <v>Télétravail 5 en 1</v>
      </c>
      <c r="E2075" s="2005" t="str">
        <f>IFERROR(__xludf.DUMMYFUNCTION("""COMPUTED_VALUE"""),"MOBILITY LAB")</f>
        <v>MOBILITY LAB</v>
      </c>
      <c r="F2075" s="2005" t="str">
        <f>IFERROR(__xludf.DUMMYFUNCTION("""COMPUTED_VALUE"""),"C")</f>
        <v>C</v>
      </c>
      <c r="G2075" s="2005" t="str">
        <f>IFERROR(__xludf.DUMMYFUNCTION("""COMPUTED_VALUE"""),"FF")</f>
        <v>FF</v>
      </c>
      <c r="H2075" s="2005">
        <f>IFERROR(__xludf.DUMMYFUNCTION("""COMPUTED_VALUE"""),29.99)</f>
        <v>29.99</v>
      </c>
      <c r="I2075" s="2005">
        <f>IFERROR(__xludf.DUMMYFUNCTION("""COMPUTED_VALUE"""),29.99)</f>
        <v>29.99</v>
      </c>
      <c r="BD2075" s="2006"/>
      <c r="LL2075" s="2007"/>
      <c r="LM2075" s="2007"/>
      <c r="MX2075" s="2007"/>
      <c r="ND2075" s="2008"/>
    </row>
    <row r="2076">
      <c r="A2076" s="2005">
        <f>IFERROR(__xludf.DUMMYFUNCTION("""COMPUTED_VALUE"""),1172276.0)</f>
        <v>1172276</v>
      </c>
      <c r="B2076" s="2005">
        <f>IFERROR(__xludf.DUMMYFUNCTION("""COMPUTED_VALUE"""),2403010.0)</f>
        <v>2403010</v>
      </c>
      <c r="C2076" s="2005" t="str">
        <f>IFERROR(__xludf.DUMMYFUNCTION("""COMPUTED_VALUE"""),"Toner")</f>
        <v>Toner</v>
      </c>
      <c r="D2076" s="2005" t="str">
        <f>IFERROR(__xludf.DUMMYFUNCTION("""COMPUTED_VALUE"""),"135X Noir grande capacité")</f>
        <v>135X Noir grande capacité</v>
      </c>
      <c r="E2076" s="2005" t="str">
        <f>IFERROR(__xludf.DUMMYFUNCTION("""COMPUTED_VALUE"""),"HP")</f>
        <v>HP</v>
      </c>
      <c r="F2076" s="2005" t="str">
        <f>IFERROR(__xludf.DUMMYFUNCTION("""COMPUTED_VALUE"""),"H")</f>
        <v>H</v>
      </c>
      <c r="G2076" s="2005" t="str">
        <f>IFERROR(__xludf.DUMMYFUNCTION("""COMPUTED_VALUE"""),"AC")</f>
        <v>AC</v>
      </c>
      <c r="H2076" s="2005">
        <f>IFERROR(__xludf.DUMMYFUNCTION("""COMPUTED_VALUE"""),94.99)</f>
        <v>94.99</v>
      </c>
      <c r="I2076" s="2005">
        <f>IFERROR(__xludf.DUMMYFUNCTION("""COMPUTED_VALUE"""),94.99)</f>
        <v>94.99</v>
      </c>
      <c r="BD2076" s="2006"/>
      <c r="LL2076" s="2008"/>
      <c r="LM2076" s="2007"/>
      <c r="MX2076" s="2007"/>
      <c r="ND2076" s="2008"/>
    </row>
    <row r="2077">
      <c r="A2077" s="2005">
        <f>IFERROR(__xludf.DUMMYFUNCTION("""COMPUTED_VALUE"""),1172327.0)</f>
        <v>1172327</v>
      </c>
      <c r="B2077" s="2005">
        <f>IFERROR(__xludf.DUMMYFUNCTION("""COMPUTED_VALUE"""),1103010.0)</f>
        <v>1103010</v>
      </c>
      <c r="C2077" s="2005" t="str">
        <f>IFERROR(__xludf.DUMMYFUNCTION("""COMPUTED_VALUE"""),"Pack")</f>
        <v>Pack</v>
      </c>
      <c r="D2077" s="2005" t="str">
        <f>IFERROR(__xludf.DUMMYFUNCTION("""COMPUTED_VALUE"""),"D285 Blanc et Noir")</f>
        <v>D285 Blanc et Noir</v>
      </c>
      <c r="E2077" s="2005" t="str">
        <f>IFERROR(__xludf.DUMMYFUNCTION("""COMPUTED_VALUE"""),"ALCATEL")</f>
        <v>ALCATEL</v>
      </c>
      <c r="F2077" s="2005" t="str">
        <f>IFERROR(__xludf.DUMMYFUNCTION("""COMPUTED_VALUE"""),"B")</f>
        <v>B</v>
      </c>
      <c r="G2077" s="2005" t="str">
        <f>IFERROR(__xludf.DUMMYFUNCTION("""COMPUTED_VALUE"""),"NN")</f>
        <v>NN</v>
      </c>
      <c r="H2077" s="2005">
        <f>IFERROR(__xludf.DUMMYFUNCTION("""COMPUTED_VALUE"""),39.99)</f>
        <v>39.99</v>
      </c>
      <c r="I2077" s="2005">
        <f>IFERROR(__xludf.DUMMYFUNCTION("""COMPUTED_VALUE"""),39.99)</f>
        <v>39.99</v>
      </c>
      <c r="BD2077" s="2006"/>
      <c r="LL2077" s="2007"/>
      <c r="LM2077" s="2007"/>
      <c r="MX2077" s="2007"/>
      <c r="ND2077" s="2007"/>
    </row>
    <row r="2078">
      <c r="A2078" s="2005">
        <f>IFERROR(__xludf.DUMMYFUNCTION("""COMPUTED_VALUE"""),1172328.0)</f>
        <v>1172328</v>
      </c>
      <c r="B2078" s="2005">
        <f>IFERROR(__xludf.DUMMYFUNCTION("""COMPUTED_VALUE"""),1103010.0)</f>
        <v>1103010</v>
      </c>
      <c r="C2078" s="2005" t="str">
        <f>IFERROR(__xludf.DUMMYFUNCTION("""COMPUTED_VALUE"""),"Pack")</f>
        <v>Pack</v>
      </c>
      <c r="D2078" s="2005" t="str">
        <f>IFERROR(__xludf.DUMMYFUNCTION("""COMPUTED_VALUE"""),"D285 Blanc/ Noir et Turquoise")</f>
        <v>D285 Blanc/ Noir et Turquoise</v>
      </c>
      <c r="E2078" s="2005" t="str">
        <f>IFERROR(__xludf.DUMMYFUNCTION("""COMPUTED_VALUE"""),"ALCATEL")</f>
        <v>ALCATEL</v>
      </c>
      <c r="F2078" s="2005" t="str">
        <f>IFERROR(__xludf.DUMMYFUNCTION("""COMPUTED_VALUE"""),"B")</f>
        <v>B</v>
      </c>
      <c r="G2078" s="2005" t="str">
        <f>IFERROR(__xludf.DUMMYFUNCTION("""COMPUTED_VALUE"""),"NN")</f>
        <v>NN</v>
      </c>
      <c r="H2078" s="2005">
        <f>IFERROR(__xludf.DUMMYFUNCTION("""COMPUTED_VALUE"""),59.89)</f>
        <v>59.89</v>
      </c>
      <c r="I2078" s="2005">
        <f>IFERROR(__xludf.DUMMYFUNCTION("""COMPUTED_VALUE"""),59.89)</f>
        <v>59.89</v>
      </c>
      <c r="BD2078" s="2006"/>
      <c r="LL2078" s="2008"/>
      <c r="LM2078" s="2007"/>
      <c r="MX2078" s="2007"/>
      <c r="ND2078" s="2008"/>
    </row>
    <row r="2079">
      <c r="A2079" s="2005">
        <f>IFERROR(__xludf.DUMMYFUNCTION("""COMPUTED_VALUE"""),1172355.0)</f>
        <v>1172355</v>
      </c>
      <c r="B2079" s="2005">
        <f>IFERROR(__xludf.DUMMYFUNCTION("""COMPUTED_VALUE"""),1103010.0)</f>
        <v>1103010</v>
      </c>
      <c r="C2079" s="2005" t="str">
        <f>IFERROR(__xludf.DUMMYFUNCTION("""COMPUTED_VALUE"""),"Pack")</f>
        <v>Pack</v>
      </c>
      <c r="D2079" s="2005" t="str">
        <f>IFERROR(__xludf.DUMMYFUNCTION("""COMPUTED_VALUE"""),"F630 Grey")</f>
        <v>F630 Grey</v>
      </c>
      <c r="E2079" s="2005" t="str">
        <f>IFERROR(__xludf.DUMMYFUNCTION("""COMPUTED_VALUE"""),"ALCATEL")</f>
        <v>ALCATEL</v>
      </c>
      <c r="F2079" s="2005" t="str">
        <f>IFERROR(__xludf.DUMMYFUNCTION("""COMPUTED_VALUE"""),"H")</f>
        <v>H</v>
      </c>
      <c r="G2079" s="2005" t="str">
        <f>IFERROR(__xludf.DUMMYFUNCTION("""COMPUTED_VALUE"""),"NN")</f>
        <v>NN</v>
      </c>
      <c r="H2079" s="2005">
        <f>IFERROR(__xludf.DUMMYFUNCTION("""COMPUTED_VALUE"""),24.99)</f>
        <v>24.99</v>
      </c>
      <c r="I2079" s="2005">
        <f>IFERROR(__xludf.DUMMYFUNCTION("""COMPUTED_VALUE"""),24.99)</f>
        <v>24.99</v>
      </c>
      <c r="LL2079" s="2007"/>
      <c r="LM2079" s="2007"/>
    </row>
    <row r="2080">
      <c r="A2080" s="2005">
        <f>IFERROR(__xludf.DUMMYFUNCTION("""COMPUTED_VALUE"""),1172356.0)</f>
        <v>1172356</v>
      </c>
      <c r="B2080" s="2005">
        <f>IFERROR(__xludf.DUMMYFUNCTION("""COMPUTED_VALUE"""),1103010.0)</f>
        <v>1103010</v>
      </c>
      <c r="C2080" s="2005" t="str">
        <f>IFERROR(__xludf.DUMMYFUNCTION("""COMPUTED_VALUE"""),"Pack")</f>
        <v>Pack</v>
      </c>
      <c r="D2080" s="2005" t="str">
        <f>IFERROR(__xludf.DUMMYFUNCTION("""COMPUTED_VALUE"""),"F630 Bleu")</f>
        <v>F630 Bleu</v>
      </c>
      <c r="E2080" s="2005" t="str">
        <f>IFERROR(__xludf.DUMMYFUNCTION("""COMPUTED_VALUE"""),"ALCATEL")</f>
        <v>ALCATEL</v>
      </c>
      <c r="F2080" s="2005" t="str">
        <f>IFERROR(__xludf.DUMMYFUNCTION("""COMPUTED_VALUE"""),"C")</f>
        <v>C</v>
      </c>
      <c r="G2080" s="2005" t="str">
        <f>IFERROR(__xludf.DUMMYFUNCTION("""COMPUTED_VALUE"""),"NN")</f>
        <v>NN</v>
      </c>
      <c r="H2080" s="2005">
        <f>IFERROR(__xludf.DUMMYFUNCTION("""COMPUTED_VALUE"""),54.99)</f>
        <v>54.99</v>
      </c>
      <c r="I2080" s="2005">
        <f>IFERROR(__xludf.DUMMYFUNCTION("""COMPUTED_VALUE"""),54.99)</f>
        <v>54.99</v>
      </c>
      <c r="BD2080" s="2006"/>
      <c r="LL2080" s="2007"/>
      <c r="LM2080" s="2007"/>
      <c r="MX2080" s="2007"/>
      <c r="ND2080" s="2008"/>
    </row>
    <row r="2081">
      <c r="A2081" s="2005">
        <f>IFERROR(__xludf.DUMMYFUNCTION("""COMPUTED_VALUE"""),1172357.0)</f>
        <v>1172357</v>
      </c>
      <c r="B2081" s="2005">
        <f>IFERROR(__xludf.DUMMYFUNCTION("""COMPUTED_VALUE"""),1103010.0)</f>
        <v>1103010</v>
      </c>
      <c r="C2081" s="2005" t="str">
        <f>IFERROR(__xludf.DUMMYFUNCTION("""COMPUTED_VALUE"""),"Pack")</f>
        <v>Pack</v>
      </c>
      <c r="D2081" s="2005" t="str">
        <f>IFERROR(__xludf.DUMMYFUNCTION("""COMPUTED_VALUE"""),"F630 Grey Voice Trio")</f>
        <v>F630 Grey Voice Trio</v>
      </c>
      <c r="E2081" s="2005" t="str">
        <f>IFERROR(__xludf.DUMMYFUNCTION("""COMPUTED_VALUE"""),"ALCATEL")</f>
        <v>ALCATEL</v>
      </c>
      <c r="F2081" s="2005" t="str">
        <f>IFERROR(__xludf.DUMMYFUNCTION("""COMPUTED_VALUE"""),"C")</f>
        <v>C</v>
      </c>
      <c r="G2081" s="2005" t="str">
        <f>IFERROR(__xludf.DUMMYFUNCTION("""COMPUTED_VALUE"""),"NN")</f>
        <v>NN</v>
      </c>
      <c r="H2081" s="2005">
        <f>IFERROR(__xludf.DUMMYFUNCTION("""COMPUTED_VALUE"""),69.99)</f>
        <v>69.99</v>
      </c>
      <c r="I2081" s="2005">
        <f>IFERROR(__xludf.DUMMYFUNCTION("""COMPUTED_VALUE"""),69.99)</f>
        <v>69.99</v>
      </c>
      <c r="BD2081" s="2006"/>
      <c r="LL2081" s="2007"/>
      <c r="LM2081" s="2007"/>
      <c r="MX2081" s="2007"/>
      <c r="ND2081" s="2007"/>
    </row>
    <row r="2082">
      <c r="A2082" s="2005">
        <f>IFERROR(__xludf.DUMMYFUNCTION("""COMPUTED_VALUE"""),1172396.0)</f>
        <v>1172396</v>
      </c>
      <c r="B2082" s="2005">
        <f>IFERROR(__xludf.DUMMYFUNCTION("""COMPUTED_VALUE"""),2502010.0)</f>
        <v>2502010</v>
      </c>
      <c r="C2082" s="2005" t="str">
        <f>IFERROR(__xludf.DUMMYFUNCTION("""COMPUTED_VALUE"""),"Souris")</f>
        <v>Souris</v>
      </c>
      <c r="D2082" s="2005" t="str">
        <f>IFERROR(__xludf.DUMMYFUNCTION("""COMPUTED_VALUE"""),"MX ANYWHERE 2S")</f>
        <v>MX ANYWHERE 2S</v>
      </c>
      <c r="E2082" s="2005" t="str">
        <f>IFERROR(__xludf.DUMMYFUNCTION("""COMPUTED_VALUE"""),"LOGITECH")</f>
        <v>LOGITECH</v>
      </c>
      <c r="F2082" s="2005" t="str">
        <f>IFERROR(__xludf.DUMMYFUNCTION("""COMPUTED_VALUE"""),"W")</f>
        <v>W</v>
      </c>
      <c r="G2082" s="2005" t="str">
        <f>IFERROR(__xludf.DUMMYFUNCTION("""COMPUTED_VALUE"""),"FR")</f>
        <v>FR</v>
      </c>
      <c r="H2082" s="2005">
        <f>IFERROR(__xludf.DUMMYFUNCTION("""COMPUTED_VALUE"""),94.99)</f>
        <v>94.99</v>
      </c>
      <c r="I2082" s="2005">
        <f>IFERROR(__xludf.DUMMYFUNCTION("""COMPUTED_VALUE"""),54.99)</f>
        <v>54.99</v>
      </c>
      <c r="BD2082" s="2006"/>
      <c r="LL2082" s="2007"/>
      <c r="LM2082" s="2007"/>
      <c r="MX2082" s="2007"/>
      <c r="ND2082" s="2008"/>
    </row>
    <row r="2083">
      <c r="A2083" s="2005">
        <f>IFERROR(__xludf.DUMMYFUNCTION("""COMPUTED_VALUE"""),1172443.0)</f>
        <v>1172443</v>
      </c>
      <c r="B2083" s="2005">
        <f>IFERROR(__xludf.DUMMYFUNCTION("""COMPUTED_VALUE"""),2403030.0)</f>
        <v>2403030</v>
      </c>
      <c r="C2083" s="2005" t="str">
        <f>IFERROR(__xludf.DUMMYFUNCTION("""COMPUTED_VALUE"""),"ESD")</f>
        <v>ESD</v>
      </c>
      <c r="D2083" s="2005" t="str">
        <f>IFERROR(__xludf.DUMMYFUNCTION("""COMPUTED_VALUE"""),"ReadyPrint Flex")</f>
        <v>ReadyPrint Flex</v>
      </c>
      <c r="E2083" s="2005" t="str">
        <f>IFERROR(__xludf.DUMMYFUNCTION("""COMPUTED_VALUE"""),"EPSON")</f>
        <v>EPSON</v>
      </c>
      <c r="F2083" s="2005" t="str">
        <f>IFERROR(__xludf.DUMMYFUNCTION("""COMPUTED_VALUE"""),"W")</f>
        <v>W</v>
      </c>
      <c r="G2083" s="2005" t="str">
        <f>IFERROR(__xludf.DUMMYFUNCTION("""COMPUTED_VALUE"""),"FI")</f>
        <v>FI</v>
      </c>
      <c r="H2083" s="2005">
        <f>IFERROR(__xludf.DUMMYFUNCTION("""COMPUTED_VALUE"""),5.0)</f>
        <v>5</v>
      </c>
      <c r="I2083" s="2005">
        <f>IFERROR(__xludf.DUMMYFUNCTION("""COMPUTED_VALUE"""),5.0)</f>
        <v>5</v>
      </c>
      <c r="BD2083" s="2006"/>
      <c r="LL2083" s="2008"/>
      <c r="LM2083" s="2007"/>
      <c r="MX2083" s="2007"/>
      <c r="ND2083" s="2008"/>
    </row>
    <row r="2084">
      <c r="A2084" s="2005">
        <f>IFERROR(__xludf.DUMMYFUNCTION("""COMPUTED_VALUE"""),1172445.0)</f>
        <v>1172445</v>
      </c>
      <c r="B2084" s="2005">
        <f>IFERROR(__xludf.DUMMYFUNCTION("""COMPUTED_VALUE"""),2403030.0)</f>
        <v>2403030</v>
      </c>
      <c r="C2084" s="2005" t="str">
        <f>IFERROR(__xludf.DUMMYFUNCTION("""COMPUTED_VALUE"""),"ESD")</f>
        <v>ESD</v>
      </c>
      <c r="D2084" s="2005" t="str">
        <f>IFERROR(__xludf.DUMMYFUNCTION("""COMPUTED_VALUE"""),"ReadyPrint EcoTank ET-2750U")</f>
        <v>ReadyPrint EcoTank ET-2750U</v>
      </c>
      <c r="E2084" s="2005" t="str">
        <f>IFERROR(__xludf.DUMMYFUNCTION("""COMPUTED_VALUE"""),"EPSON")</f>
        <v>EPSON</v>
      </c>
      <c r="F2084" s="2005" t="str">
        <f>IFERROR(__xludf.DUMMYFUNCTION("""COMPUTED_VALUE"""),"W")</f>
        <v>W</v>
      </c>
      <c r="G2084" s="2005" t="str">
        <f>IFERROR(__xludf.DUMMYFUNCTION("""COMPUTED_VALUE"""),"FI")</f>
        <v>FI</v>
      </c>
      <c r="H2084" s="2005">
        <f>IFERROR(__xludf.DUMMYFUNCTION("""COMPUTED_VALUE"""),79.99)</f>
        <v>79.99</v>
      </c>
      <c r="I2084" s="2005">
        <f>IFERROR(__xludf.DUMMYFUNCTION("""COMPUTED_VALUE"""),79.99)</f>
        <v>79.99</v>
      </c>
      <c r="BD2084" s="2006"/>
      <c r="LL2084" s="2007"/>
      <c r="LM2084" s="2008"/>
      <c r="MX2084" s="2007"/>
      <c r="ND2084" s="2008"/>
    </row>
    <row r="2085">
      <c r="A2085" s="2005">
        <f>IFERROR(__xludf.DUMMYFUNCTION("""COMPUTED_VALUE"""),1172467.0)</f>
        <v>1172467</v>
      </c>
      <c r="B2085" s="2005">
        <f>IFERROR(__xludf.DUMMYFUNCTION("""COMPUTED_VALUE"""),2403030.0)</f>
        <v>2403030</v>
      </c>
      <c r="C2085" s="2005" t="str">
        <f>IFERROR(__xludf.DUMMYFUNCTION("""COMPUTED_VALUE"""),"ESD")</f>
        <v>ESD</v>
      </c>
      <c r="D2085" s="2005" t="str">
        <f>IFERROR(__xludf.DUMMYFUNCTION("""COMPUTED_VALUE"""),"ReadyPrint EcoTank ET-4750U")</f>
        <v>ReadyPrint EcoTank ET-4750U</v>
      </c>
      <c r="E2085" s="2005" t="str">
        <f>IFERROR(__xludf.DUMMYFUNCTION("""COMPUTED_VALUE"""),"EPSON")</f>
        <v>EPSON</v>
      </c>
      <c r="F2085" s="2005" t="str">
        <f>IFERROR(__xludf.DUMMYFUNCTION("""COMPUTED_VALUE"""),"W")</f>
        <v>W</v>
      </c>
      <c r="G2085" s="2005" t="str">
        <f>IFERROR(__xludf.DUMMYFUNCTION("""COMPUTED_VALUE"""),"FI")</f>
        <v>FI</v>
      </c>
      <c r="H2085" s="2005">
        <f>IFERROR(__xludf.DUMMYFUNCTION("""COMPUTED_VALUE"""),129.99)</f>
        <v>129.99</v>
      </c>
      <c r="I2085" s="2005">
        <f>IFERROR(__xludf.DUMMYFUNCTION("""COMPUTED_VALUE"""),129.99)</f>
        <v>129.99</v>
      </c>
      <c r="BD2085" s="2006"/>
      <c r="LL2085" s="2008"/>
      <c r="LM2085" s="2008"/>
      <c r="MX2085" s="2007"/>
      <c r="ND2085" s="2008"/>
    </row>
    <row r="2086">
      <c r="A2086" s="2005">
        <f>IFERROR(__xludf.DUMMYFUNCTION("""COMPUTED_VALUE"""),1172483.0)</f>
        <v>1172483</v>
      </c>
      <c r="B2086" s="2005">
        <f>IFERROR(__xludf.DUMMYFUNCTION("""COMPUTED_VALUE"""),2202005.0)</f>
        <v>2202005</v>
      </c>
      <c r="C2086" s="2005" t="str">
        <f>IFERROR(__xludf.DUMMYFUNCTION("""COMPUTED_VALUE"""),"Multi Jet d'enc")</f>
        <v>Multi Jet d'enc</v>
      </c>
      <c r="D2086" s="2005" t="str">
        <f>IFERROR(__xludf.DUMMYFUNCTION("""COMPUTED_VALUE"""),"Envy 6022e éligible Instant Ink")</f>
        <v>Envy 6022e éligible Instant Ink</v>
      </c>
      <c r="E2086" s="2005" t="str">
        <f>IFERROR(__xludf.DUMMYFUNCTION("""COMPUTED_VALUE"""),"HP")</f>
        <v>HP</v>
      </c>
      <c r="F2086" s="2005" t="str">
        <f>IFERROR(__xludf.DUMMYFUNCTION("""COMPUTED_VALUE"""),"E")</f>
        <v>E</v>
      </c>
      <c r="G2086" s="2005" t="str">
        <f>IFERROR(__xludf.DUMMYFUNCTION("""COMPUTED_VALUE"""),"NN")</f>
        <v>NN</v>
      </c>
      <c r="H2086" s="2005">
        <f>IFERROR(__xludf.DUMMYFUNCTION("""COMPUTED_VALUE"""),99.99)</f>
        <v>99.99</v>
      </c>
      <c r="I2086" s="2005">
        <f>IFERROR(__xludf.DUMMYFUNCTION("""COMPUTED_VALUE"""),99.99)</f>
        <v>99.99</v>
      </c>
      <c r="LL2086" s="2007"/>
      <c r="LM2086" s="2007"/>
    </row>
    <row r="2087">
      <c r="A2087" s="2005">
        <f>IFERROR(__xludf.DUMMYFUNCTION("""COMPUTED_VALUE"""),1172507.0)</f>
        <v>1172507</v>
      </c>
      <c r="B2087" s="2005">
        <f>IFERROR(__xludf.DUMMYFUNCTION("""COMPUTED_VALUE"""),2502012.0)</f>
        <v>2502012</v>
      </c>
      <c r="C2087" s="2005" t="str">
        <f>IFERROR(__xludf.DUMMYFUNCTION("""COMPUTED_VALUE"""),"Support")</f>
        <v>Support</v>
      </c>
      <c r="D2087" s="2005" t="str">
        <f>IFERROR(__xludf.DUMMYFUNCTION("""COMPUTED_VALUE"""),"pour CINTIQ 16")</f>
        <v>pour CINTIQ 16</v>
      </c>
      <c r="E2087" s="2005" t="str">
        <f>IFERROR(__xludf.DUMMYFUNCTION("""COMPUTED_VALUE"""),"WACOM")</f>
        <v>WACOM</v>
      </c>
      <c r="F2087" s="2005" t="str">
        <f>IFERROR(__xludf.DUMMYFUNCTION("""COMPUTED_VALUE"""),"H")</f>
        <v>H</v>
      </c>
      <c r="G2087" s="2005" t="str">
        <f>IFERROR(__xludf.DUMMYFUNCTION("""COMPUTED_VALUE"""),"NN")</f>
        <v>NN</v>
      </c>
      <c r="H2087" s="2005">
        <f>IFERROR(__xludf.DUMMYFUNCTION("""COMPUTED_VALUE"""),99.99)</f>
        <v>99.99</v>
      </c>
      <c r="I2087" s="2005">
        <f>IFERROR(__xludf.DUMMYFUNCTION("""COMPUTED_VALUE"""),99.99)</f>
        <v>99.99</v>
      </c>
      <c r="LL2087" s="2007"/>
      <c r="LM2087" s="2007"/>
    </row>
    <row r="2088">
      <c r="A2088" s="2005">
        <f>IFERROR(__xludf.DUMMYFUNCTION("""COMPUTED_VALUE"""),1172613.0)</f>
        <v>1172613</v>
      </c>
      <c r="B2088" s="2005">
        <f>IFERROR(__xludf.DUMMYFUNCTION("""COMPUTED_VALUE"""),2705020.0)</f>
        <v>2705020</v>
      </c>
      <c r="C2088" s="2005" t="str">
        <f>IFERROR(__xludf.DUMMYFUNCTION("""COMPUTED_VALUE"""),"Ecran")</f>
        <v>Ecran</v>
      </c>
      <c r="D2088" s="2005" t="str">
        <f>IFERROR(__xludf.DUMMYFUNCTION("""COMPUTED_VALUE"""),"EZ-2 Black Support 2 ecran")</f>
        <v>EZ-2 Black Support 2 ecran</v>
      </c>
      <c r="E2088" s="2005" t="str">
        <f>IFERROR(__xludf.DUMMYFUNCTION("""COMPUTED_VALUE"""),"REKT")</f>
        <v>REKT</v>
      </c>
      <c r="F2088" s="2005" t="str">
        <f>IFERROR(__xludf.DUMMYFUNCTION("""COMPUTED_VALUE"""),"H")</f>
        <v>H</v>
      </c>
      <c r="G2088" s="2005" t="str">
        <f>IFERROR(__xludf.DUMMYFUNCTION("""COMPUTED_VALUE"""),"NN")</f>
        <v>NN</v>
      </c>
      <c r="H2088" s="2005">
        <f>IFERROR(__xludf.DUMMYFUNCTION("""COMPUTED_VALUE"""),129.99)</f>
        <v>129.99</v>
      </c>
      <c r="I2088" s="2005">
        <f>IFERROR(__xludf.DUMMYFUNCTION("""COMPUTED_VALUE"""),129.99)</f>
        <v>129.99</v>
      </c>
      <c r="BD2088" s="2006"/>
      <c r="LL2088" s="2007"/>
      <c r="LM2088" s="2007"/>
      <c r="MX2088" s="2007"/>
      <c r="ND2088" s="2007"/>
    </row>
    <row r="2089">
      <c r="A2089" s="2005">
        <f>IFERROR(__xludf.DUMMYFUNCTION("""COMPUTED_VALUE"""),1172614.0)</f>
        <v>1172614</v>
      </c>
      <c r="B2089" s="2005">
        <f>IFERROR(__xludf.DUMMYFUNCTION("""COMPUTED_VALUE"""),2706010.0)</f>
        <v>2706010</v>
      </c>
      <c r="C2089" s="2005" t="str">
        <f>IFERROR(__xludf.DUMMYFUNCTION("""COMPUTED_VALUE"""),"Siège")</f>
        <v>Siège</v>
      </c>
      <c r="D2089" s="2005" t="str">
        <f>IFERROR(__xludf.DUMMYFUNCTION("""COMPUTED_VALUE"""),"ergonomique RGo")</f>
        <v>ergonomique RGo</v>
      </c>
      <c r="E2089" s="2005" t="str">
        <f>IFERROR(__xludf.DUMMYFUNCTION("""COMPUTED_VALUE"""),"REKT")</f>
        <v>REKT</v>
      </c>
      <c r="F2089" s="2005" t="str">
        <f>IFERROR(__xludf.DUMMYFUNCTION("""COMPUTED_VALUE"""),"H")</f>
        <v>H</v>
      </c>
      <c r="G2089" s="2005" t="str">
        <f>IFERROR(__xludf.DUMMYFUNCTION("""COMPUTED_VALUE"""),"NN")</f>
        <v>NN</v>
      </c>
      <c r="H2089">
        <f>IFERROR(__xludf.DUMMYFUNCTION("""COMPUTED_VALUE"""),499.0)</f>
        <v>499</v>
      </c>
      <c r="I2089">
        <f>IFERROR(__xludf.DUMMYFUNCTION("""COMPUTED_VALUE"""),499.0)</f>
        <v>499</v>
      </c>
      <c r="LM2089" s="2007"/>
    </row>
    <row r="2090">
      <c r="A2090" s="2005">
        <f>IFERROR(__xludf.DUMMYFUNCTION("""COMPUTED_VALUE"""),1172696.0)</f>
        <v>1172696</v>
      </c>
      <c r="B2090" s="2005">
        <f>IFERROR(__xludf.DUMMYFUNCTION("""COMPUTED_VALUE"""),2705020.0)</f>
        <v>2705020</v>
      </c>
      <c r="C2090" s="2005" t="str">
        <f>IFERROR(__xludf.DUMMYFUNCTION("""COMPUTED_VALUE"""),"Ecran")</f>
        <v>Ecran</v>
      </c>
      <c r="D2090" s="2005" t="str">
        <f>IFERROR(__xludf.DUMMYFUNCTION("""COMPUTED_VALUE"""),"Supreme Duo bras articulé")</f>
        <v>Supreme Duo bras articulé</v>
      </c>
      <c r="E2090" s="2005" t="str">
        <f>IFERROR(__xludf.DUMMYFUNCTION("""COMPUTED_VALUE"""),"OPLITE")</f>
        <v>OPLITE</v>
      </c>
      <c r="F2090" s="2005" t="str">
        <f>IFERROR(__xludf.DUMMYFUNCTION("""COMPUTED_VALUE"""),"C")</f>
        <v>C</v>
      </c>
      <c r="G2090" s="2005" t="str">
        <f>IFERROR(__xludf.DUMMYFUNCTION("""COMPUTED_VALUE"""),"FF")</f>
        <v>FF</v>
      </c>
      <c r="H2090" s="2005">
        <f>IFERROR(__xludf.DUMMYFUNCTION("""COMPUTED_VALUE"""),189.99)</f>
        <v>189.99</v>
      </c>
      <c r="I2090" s="2005">
        <f>IFERROR(__xludf.DUMMYFUNCTION("""COMPUTED_VALUE"""),189.99)</f>
        <v>189.99</v>
      </c>
      <c r="LM2090" s="2007"/>
    </row>
    <row r="2091">
      <c r="A2091" s="2005">
        <f>IFERROR(__xludf.DUMMYFUNCTION("""COMPUTED_VALUE"""),1172698.0)</f>
        <v>1172698</v>
      </c>
      <c r="B2091" s="2005">
        <f>IFERROR(__xludf.DUMMYFUNCTION("""COMPUTED_VALUE"""),2705020.0)</f>
        <v>2705020</v>
      </c>
      <c r="C2091" s="2005" t="str">
        <f>IFERROR(__xludf.DUMMYFUNCTION("""COMPUTED_VALUE"""),"Ecran")</f>
        <v>Ecran</v>
      </c>
      <c r="D2091" s="2005" t="str">
        <f>IFERROR(__xludf.DUMMYFUNCTION("""COMPUTED_VALUE"""),"Supreme bras articulé")</f>
        <v>Supreme bras articulé</v>
      </c>
      <c r="E2091" s="2005" t="str">
        <f>IFERROR(__xludf.DUMMYFUNCTION("""COMPUTED_VALUE"""),"OPLITE")</f>
        <v>OPLITE</v>
      </c>
      <c r="F2091" s="2005" t="str">
        <f>IFERROR(__xludf.DUMMYFUNCTION("""COMPUTED_VALUE"""),"H")</f>
        <v>H</v>
      </c>
      <c r="G2091" s="2005" t="str">
        <f>IFERROR(__xludf.DUMMYFUNCTION("""COMPUTED_VALUE"""),"NN")</f>
        <v>NN</v>
      </c>
      <c r="H2091" s="2005">
        <f>IFERROR(__xludf.DUMMYFUNCTION("""COMPUTED_VALUE"""),149.99)</f>
        <v>149.99</v>
      </c>
      <c r="I2091" s="2005">
        <f>IFERROR(__xludf.DUMMYFUNCTION("""COMPUTED_VALUE"""),149.99)</f>
        <v>149.99</v>
      </c>
      <c r="LM2091" s="2007"/>
    </row>
    <row r="2092">
      <c r="A2092" s="2005">
        <f>IFERROR(__xludf.DUMMYFUNCTION("""COMPUTED_VALUE"""),1172728.0)</f>
        <v>1172728</v>
      </c>
      <c r="B2092" s="2005">
        <f>IFERROR(__xludf.DUMMYFUNCTION("""COMPUTED_VALUE"""),2705020.0)</f>
        <v>2705020</v>
      </c>
      <c r="C2092" s="2005" t="str">
        <f>IFERROR(__xludf.DUMMYFUNCTION("""COMPUTED_VALUE"""),"Ecran")</f>
        <v>Ecran</v>
      </c>
      <c r="D2092" s="2005" t="str">
        <f>IFERROR(__xludf.DUMMYFUNCTION("""COMPUTED_VALUE"""),"EL-1 Black Support 1 ecran")</f>
        <v>EL-1 Black Support 1 ecran</v>
      </c>
      <c r="E2092" s="2005" t="str">
        <f>IFERROR(__xludf.DUMMYFUNCTION("""COMPUTED_VALUE"""),"REKT")</f>
        <v>REKT</v>
      </c>
      <c r="F2092" s="2005" t="str">
        <f>IFERROR(__xludf.DUMMYFUNCTION("""COMPUTED_VALUE"""),"H")</f>
        <v>H</v>
      </c>
      <c r="G2092" s="2005" t="str">
        <f>IFERROR(__xludf.DUMMYFUNCTION("""COMPUTED_VALUE"""),"NN")</f>
        <v>NN</v>
      </c>
      <c r="H2092" s="2005">
        <f>IFERROR(__xludf.DUMMYFUNCTION("""COMPUTED_VALUE"""),69.99)</f>
        <v>69.99</v>
      </c>
      <c r="I2092" s="2005">
        <f>IFERROR(__xludf.DUMMYFUNCTION("""COMPUTED_VALUE"""),69.99)</f>
        <v>69.99</v>
      </c>
      <c r="LM2092" s="2007"/>
    </row>
    <row r="2093">
      <c r="A2093" s="2005">
        <f>IFERROR(__xludf.DUMMYFUNCTION("""COMPUTED_VALUE"""),1172729.0)</f>
        <v>1172729</v>
      </c>
      <c r="B2093" s="2005">
        <f>IFERROR(__xludf.DUMMYFUNCTION("""COMPUTED_VALUE"""),2706005.0)</f>
        <v>2706005</v>
      </c>
      <c r="C2093" s="2005" t="str">
        <f>IFERROR(__xludf.DUMMYFUNCTION("""COMPUTED_VALUE"""),"Bureau")</f>
        <v>Bureau</v>
      </c>
      <c r="D2093" s="2005" t="str">
        <f>IFERROR(__xludf.DUMMYFUNCTION("""COMPUTED_VALUE"""),"Rdesk Mobile White")</f>
        <v>Rdesk Mobile White</v>
      </c>
      <c r="E2093" s="2005" t="str">
        <f>IFERROR(__xludf.DUMMYFUNCTION("""COMPUTED_VALUE"""),"REKT")</f>
        <v>REKT</v>
      </c>
      <c r="F2093" s="2005" t="str">
        <f>IFERROR(__xludf.DUMMYFUNCTION("""COMPUTED_VALUE"""),"H")</f>
        <v>H</v>
      </c>
      <c r="G2093" s="2005" t="str">
        <f>IFERROR(__xludf.DUMMYFUNCTION("""COMPUTED_VALUE"""),"NN")</f>
        <v>NN</v>
      </c>
      <c r="H2093" s="2005">
        <f>IFERROR(__xludf.DUMMYFUNCTION("""COMPUTED_VALUE"""),249.99)</f>
        <v>249.99</v>
      </c>
      <c r="I2093" s="2005">
        <f>IFERROR(__xludf.DUMMYFUNCTION("""COMPUTED_VALUE"""),249.99)</f>
        <v>249.99</v>
      </c>
      <c r="BD2093" s="2006"/>
      <c r="LL2093" s="2007"/>
      <c r="LM2093" s="2007"/>
      <c r="MX2093" s="2007"/>
      <c r="ND2093" s="2007"/>
    </row>
    <row r="2094">
      <c r="A2094" s="2005">
        <f>IFERROR(__xludf.DUMMYFUNCTION("""COMPUTED_VALUE"""),1172733.0)</f>
        <v>1172733</v>
      </c>
      <c r="B2094" s="2005">
        <f>IFERROR(__xludf.DUMMYFUNCTION("""COMPUTED_VALUE"""),2403005.0)</f>
        <v>2403005</v>
      </c>
      <c r="C2094" s="2005" t="str">
        <f>IFERROR(__xludf.DUMMYFUNCTION("""COMPUTED_VALUE"""),"Cartouche")</f>
        <v>Cartouche</v>
      </c>
      <c r="D2094" s="2005" t="str">
        <f>IFERROR(__xludf.DUMMYFUNCTION("""COMPUTED_VALUE"""),"LC426BK noire")</f>
        <v>LC426BK noire</v>
      </c>
      <c r="E2094" s="2005" t="str">
        <f>IFERROR(__xludf.DUMMYFUNCTION("""COMPUTED_VALUE"""),"BROTHER")</f>
        <v>BROTHER</v>
      </c>
      <c r="F2094" s="2005" t="str">
        <f>IFERROR(__xludf.DUMMYFUNCTION("""COMPUTED_VALUE"""),"E")</f>
        <v>E</v>
      </c>
      <c r="G2094" s="2005" t="str">
        <f>IFERROR(__xludf.DUMMYFUNCTION("""COMPUTED_VALUE"""),"NN")</f>
        <v>NN</v>
      </c>
      <c r="H2094" s="2005">
        <f>IFERROR(__xludf.DUMMYFUNCTION("""COMPUTED_VALUE"""),32.51)</f>
        <v>32.51</v>
      </c>
      <c r="I2094" s="2005">
        <f>IFERROR(__xludf.DUMMYFUNCTION("""COMPUTED_VALUE"""),32.51)</f>
        <v>32.51</v>
      </c>
      <c r="LM2094" s="2007"/>
    </row>
    <row r="2095">
      <c r="A2095" s="2005">
        <f>IFERROR(__xludf.DUMMYFUNCTION("""COMPUTED_VALUE"""),1172734.0)</f>
        <v>1172734</v>
      </c>
      <c r="B2095" s="2005">
        <f>IFERROR(__xludf.DUMMYFUNCTION("""COMPUTED_VALUE"""),2403005.0)</f>
        <v>2403005</v>
      </c>
      <c r="C2095" s="2005" t="str">
        <f>IFERROR(__xludf.DUMMYFUNCTION("""COMPUTED_VALUE"""),"Cartouche")</f>
        <v>Cartouche</v>
      </c>
      <c r="D2095" s="2005" t="str">
        <f>IFERROR(__xludf.DUMMYFUNCTION("""COMPUTED_VALUE"""),"LC426C Cyan")</f>
        <v>LC426C Cyan</v>
      </c>
      <c r="E2095" s="2005" t="str">
        <f>IFERROR(__xludf.DUMMYFUNCTION("""COMPUTED_VALUE"""),"BROTHER")</f>
        <v>BROTHER</v>
      </c>
      <c r="F2095" s="2005" t="str">
        <f>IFERROR(__xludf.DUMMYFUNCTION("""COMPUTED_VALUE"""),"E")</f>
        <v>E</v>
      </c>
      <c r="G2095" s="2005" t="str">
        <f>IFERROR(__xludf.DUMMYFUNCTION("""COMPUTED_VALUE"""),"NN")</f>
        <v>NN</v>
      </c>
      <c r="H2095">
        <f>IFERROR(__xludf.DUMMYFUNCTION("""COMPUTED_VALUE"""),25.01)</f>
        <v>25.01</v>
      </c>
      <c r="I2095">
        <f>IFERROR(__xludf.DUMMYFUNCTION("""COMPUTED_VALUE"""),25.01)</f>
        <v>25.01</v>
      </c>
      <c r="LM2095" s="2007"/>
    </row>
    <row r="2096">
      <c r="A2096" s="2005">
        <f>IFERROR(__xludf.DUMMYFUNCTION("""COMPUTED_VALUE"""),1172735.0)</f>
        <v>1172735</v>
      </c>
      <c r="B2096" s="2005">
        <f>IFERROR(__xludf.DUMMYFUNCTION("""COMPUTED_VALUE"""),2403005.0)</f>
        <v>2403005</v>
      </c>
      <c r="C2096" s="2005" t="str">
        <f>IFERROR(__xludf.DUMMYFUNCTION("""COMPUTED_VALUE"""),"Cartouche")</f>
        <v>Cartouche</v>
      </c>
      <c r="D2096" s="2005" t="str">
        <f>IFERROR(__xludf.DUMMYFUNCTION("""COMPUTED_VALUE"""),"LC426M Magenta")</f>
        <v>LC426M Magenta</v>
      </c>
      <c r="E2096" s="2005" t="str">
        <f>IFERROR(__xludf.DUMMYFUNCTION("""COMPUTED_VALUE"""),"BROTHER")</f>
        <v>BROTHER</v>
      </c>
      <c r="F2096" s="2005" t="str">
        <f>IFERROR(__xludf.DUMMYFUNCTION("""COMPUTED_VALUE"""),"E")</f>
        <v>E</v>
      </c>
      <c r="G2096" s="2005" t="str">
        <f>IFERROR(__xludf.DUMMYFUNCTION("""COMPUTED_VALUE"""),"NN")</f>
        <v>NN</v>
      </c>
      <c r="H2096">
        <f>IFERROR(__xludf.DUMMYFUNCTION("""COMPUTED_VALUE"""),25.01)</f>
        <v>25.01</v>
      </c>
      <c r="I2096">
        <f>IFERROR(__xludf.DUMMYFUNCTION("""COMPUTED_VALUE"""),25.01)</f>
        <v>25.01</v>
      </c>
      <c r="LM2096" s="2007"/>
    </row>
    <row r="2097">
      <c r="A2097" s="2005">
        <f>IFERROR(__xludf.DUMMYFUNCTION("""COMPUTED_VALUE"""),1172736.0)</f>
        <v>1172736</v>
      </c>
      <c r="B2097" s="2005">
        <f>IFERROR(__xludf.DUMMYFUNCTION("""COMPUTED_VALUE"""),2403005.0)</f>
        <v>2403005</v>
      </c>
      <c r="C2097" s="2005" t="str">
        <f>IFERROR(__xludf.DUMMYFUNCTION("""COMPUTED_VALUE"""),"Cartouche")</f>
        <v>Cartouche</v>
      </c>
      <c r="D2097" s="2005" t="str">
        <f>IFERROR(__xludf.DUMMYFUNCTION("""COMPUTED_VALUE"""),"LC426Y Jaune")</f>
        <v>LC426Y Jaune</v>
      </c>
      <c r="E2097" s="2005" t="str">
        <f>IFERROR(__xludf.DUMMYFUNCTION("""COMPUTED_VALUE"""),"BROTHER")</f>
        <v>BROTHER</v>
      </c>
      <c r="F2097" s="2005" t="str">
        <f>IFERROR(__xludf.DUMMYFUNCTION("""COMPUTED_VALUE"""),"E")</f>
        <v>E</v>
      </c>
      <c r="G2097" s="2005" t="str">
        <f>IFERROR(__xludf.DUMMYFUNCTION("""COMPUTED_VALUE"""),"FR")</f>
        <v>FR</v>
      </c>
      <c r="H2097" s="2005">
        <f>IFERROR(__xludf.DUMMYFUNCTION("""COMPUTED_VALUE"""),25.01)</f>
        <v>25.01</v>
      </c>
      <c r="I2097" s="2005">
        <f>IFERROR(__xludf.DUMMYFUNCTION("""COMPUTED_VALUE"""),25.01)</f>
        <v>25.01</v>
      </c>
      <c r="LM2097" s="2007"/>
    </row>
    <row r="2098">
      <c r="A2098" s="2005">
        <f>IFERROR(__xludf.DUMMYFUNCTION("""COMPUTED_VALUE"""),1172737.0)</f>
        <v>1172737</v>
      </c>
      <c r="B2098" s="2005">
        <f>IFERROR(__xludf.DUMMYFUNCTION("""COMPUTED_VALUE"""),2403005.0)</f>
        <v>2403005</v>
      </c>
      <c r="C2098" s="2005" t="str">
        <f>IFERROR(__xludf.DUMMYFUNCTION("""COMPUTED_VALUE"""),"Cartouche")</f>
        <v>Cartouche</v>
      </c>
      <c r="D2098" s="2005" t="str">
        <f>IFERROR(__xludf.DUMMYFUNCTION("""COMPUTED_VALUE"""),"LC426BK Noire XL")</f>
        <v>LC426BK Noire XL</v>
      </c>
      <c r="E2098" s="2005" t="str">
        <f>IFERROR(__xludf.DUMMYFUNCTION("""COMPUTED_VALUE"""),"BROTHER")</f>
        <v>BROTHER</v>
      </c>
      <c r="F2098" s="2005" t="str">
        <f>IFERROR(__xludf.DUMMYFUNCTION("""COMPUTED_VALUE"""),"E")</f>
        <v>E</v>
      </c>
      <c r="G2098" s="2005" t="str">
        <f>IFERROR(__xludf.DUMMYFUNCTION("""COMPUTED_VALUE"""),"NN")</f>
        <v>NN</v>
      </c>
      <c r="H2098">
        <f>IFERROR(__xludf.DUMMYFUNCTION("""COMPUTED_VALUE"""),60.01)</f>
        <v>60.01</v>
      </c>
      <c r="I2098">
        <f>IFERROR(__xludf.DUMMYFUNCTION("""COMPUTED_VALUE"""),60.01)</f>
        <v>60.01</v>
      </c>
      <c r="BD2098" s="2006"/>
      <c r="LL2098" s="2008"/>
      <c r="LM2098" s="2007"/>
      <c r="MX2098" s="2008"/>
      <c r="ND2098" s="2008"/>
    </row>
    <row r="2099">
      <c r="A2099" s="2005">
        <f>IFERROR(__xludf.DUMMYFUNCTION("""COMPUTED_VALUE"""),1172738.0)</f>
        <v>1172738</v>
      </c>
      <c r="B2099" s="2005">
        <f>IFERROR(__xludf.DUMMYFUNCTION("""COMPUTED_VALUE"""),2403005.0)</f>
        <v>2403005</v>
      </c>
      <c r="C2099" s="2005" t="str">
        <f>IFERROR(__xludf.DUMMYFUNCTION("""COMPUTED_VALUE"""),"Cartouche")</f>
        <v>Cartouche</v>
      </c>
      <c r="D2099" s="2005" t="str">
        <f>IFERROR(__xludf.DUMMYFUNCTION("""COMPUTED_VALUE"""),"LC426XLC Cyan")</f>
        <v>LC426XLC Cyan</v>
      </c>
      <c r="E2099" s="2005" t="str">
        <f>IFERROR(__xludf.DUMMYFUNCTION("""COMPUTED_VALUE"""),"BROTHER")</f>
        <v>BROTHER</v>
      </c>
      <c r="F2099" s="2005" t="str">
        <f>IFERROR(__xludf.DUMMYFUNCTION("""COMPUTED_VALUE"""),"E")</f>
        <v>E</v>
      </c>
      <c r="G2099" s="2005" t="str">
        <f>IFERROR(__xludf.DUMMYFUNCTION("""COMPUTED_VALUE"""),"FR")</f>
        <v>FR</v>
      </c>
      <c r="H2099" s="2005">
        <f>IFERROR(__xludf.DUMMYFUNCTION("""COMPUTED_VALUE"""),63.99)</f>
        <v>63.99</v>
      </c>
      <c r="I2099" s="2005">
        <f>IFERROR(__xludf.DUMMYFUNCTION("""COMPUTED_VALUE"""),63.99)</f>
        <v>63.99</v>
      </c>
      <c r="LM2099" s="2008"/>
    </row>
    <row r="2100">
      <c r="A2100" s="2005">
        <f>IFERROR(__xludf.DUMMYFUNCTION("""COMPUTED_VALUE"""),1172750.0)</f>
        <v>1172750</v>
      </c>
      <c r="B2100" s="2005">
        <f>IFERROR(__xludf.DUMMYFUNCTION("""COMPUTED_VALUE"""),2706005.0)</f>
        <v>2706005</v>
      </c>
      <c r="C2100" s="2005" t="str">
        <f>IFERROR(__xludf.DUMMYFUNCTION("""COMPUTED_VALUE"""),"Bureau")</f>
        <v>Bureau</v>
      </c>
      <c r="D2100" s="2005" t="str">
        <f>IFERROR(__xludf.DUMMYFUNCTION("""COMPUTED_VALUE"""),"Rdesk Mobile Black")</f>
        <v>Rdesk Mobile Black</v>
      </c>
      <c r="E2100" s="2005" t="str">
        <f>IFERROR(__xludf.DUMMYFUNCTION("""COMPUTED_VALUE"""),"REKT")</f>
        <v>REKT</v>
      </c>
      <c r="F2100" s="2005" t="str">
        <f>IFERROR(__xludf.DUMMYFUNCTION("""COMPUTED_VALUE"""),"H")</f>
        <v>H</v>
      </c>
      <c r="G2100" s="2005" t="str">
        <f>IFERROR(__xludf.DUMMYFUNCTION("""COMPUTED_VALUE"""),"NN")</f>
        <v>NN</v>
      </c>
      <c r="H2100" s="2005">
        <f>IFERROR(__xludf.DUMMYFUNCTION("""COMPUTED_VALUE"""),249.99)</f>
        <v>249.99</v>
      </c>
      <c r="I2100" s="2005">
        <f>IFERROR(__xludf.DUMMYFUNCTION("""COMPUTED_VALUE"""),249.99)</f>
        <v>249.99</v>
      </c>
      <c r="LM2100" s="2008"/>
    </row>
    <row r="2101">
      <c r="A2101" s="2005">
        <f>IFERROR(__xludf.DUMMYFUNCTION("""COMPUTED_VALUE"""),1172751.0)</f>
        <v>1172751</v>
      </c>
      <c r="B2101" s="2005">
        <f>IFERROR(__xludf.DUMMYFUNCTION("""COMPUTED_VALUE"""),2403005.0)</f>
        <v>2403005</v>
      </c>
      <c r="C2101" s="2005" t="str">
        <f>IFERROR(__xludf.DUMMYFUNCTION("""COMPUTED_VALUE"""),"Cartouche")</f>
        <v>Cartouche</v>
      </c>
      <c r="D2101" s="2005" t="str">
        <f>IFERROR(__xludf.DUMMYFUNCTION("""COMPUTED_VALUE"""),"LC426XLM Magenta")</f>
        <v>LC426XLM Magenta</v>
      </c>
      <c r="E2101" s="2005" t="str">
        <f>IFERROR(__xludf.DUMMYFUNCTION("""COMPUTED_VALUE"""),"BROTHER")</f>
        <v>BROTHER</v>
      </c>
      <c r="F2101" s="2005" t="str">
        <f>IFERROR(__xludf.DUMMYFUNCTION("""COMPUTED_VALUE"""),"E")</f>
        <v>E</v>
      </c>
      <c r="G2101" s="2005" t="str">
        <f>IFERROR(__xludf.DUMMYFUNCTION("""COMPUTED_VALUE"""),"FR")</f>
        <v>FR</v>
      </c>
      <c r="H2101" s="2005">
        <f>IFERROR(__xludf.DUMMYFUNCTION("""COMPUTED_VALUE"""),63.99)</f>
        <v>63.99</v>
      </c>
      <c r="I2101" s="2005">
        <f>IFERROR(__xludf.DUMMYFUNCTION("""COMPUTED_VALUE"""),63.99)</f>
        <v>63.99</v>
      </c>
      <c r="LM2101" s="2008"/>
    </row>
    <row r="2102">
      <c r="A2102" s="2005">
        <f>IFERROR(__xludf.DUMMYFUNCTION("""COMPUTED_VALUE"""),1172754.0)</f>
        <v>1172754</v>
      </c>
      <c r="B2102" s="2005">
        <f>IFERROR(__xludf.DUMMYFUNCTION("""COMPUTED_VALUE"""),2403005.0)</f>
        <v>2403005</v>
      </c>
      <c r="C2102" s="2005" t="str">
        <f>IFERROR(__xludf.DUMMYFUNCTION("""COMPUTED_VALUE"""),"Cartouche")</f>
        <v>Cartouche</v>
      </c>
      <c r="D2102" s="2005" t="str">
        <f>IFERROR(__xludf.DUMMYFUNCTION("""COMPUTED_VALUE"""),"LC426XLY Jaune")</f>
        <v>LC426XLY Jaune</v>
      </c>
      <c r="E2102" s="2005" t="str">
        <f>IFERROR(__xludf.DUMMYFUNCTION("""COMPUTED_VALUE"""),"BROTHER")</f>
        <v>BROTHER</v>
      </c>
      <c r="F2102" s="2005" t="str">
        <f>IFERROR(__xludf.DUMMYFUNCTION("""COMPUTED_VALUE"""),"E")</f>
        <v>E</v>
      </c>
      <c r="G2102" s="2005" t="str">
        <f>IFERROR(__xludf.DUMMYFUNCTION("""COMPUTED_VALUE"""),"FR")</f>
        <v>FR</v>
      </c>
      <c r="H2102">
        <f>IFERROR(__xludf.DUMMYFUNCTION("""COMPUTED_VALUE"""),63.99)</f>
        <v>63.99</v>
      </c>
      <c r="I2102">
        <f>IFERROR(__xludf.DUMMYFUNCTION("""COMPUTED_VALUE"""),63.99)</f>
        <v>63.99</v>
      </c>
      <c r="LM2102" s="2008"/>
    </row>
    <row r="2103">
      <c r="A2103" s="2005">
        <f>IFERROR(__xludf.DUMMYFUNCTION("""COMPUTED_VALUE"""),1172755.0)</f>
        <v>1172755</v>
      </c>
      <c r="B2103" s="2005">
        <f>IFERROR(__xludf.DUMMYFUNCTION("""COMPUTED_VALUE"""),2705020.0)</f>
        <v>2705020</v>
      </c>
      <c r="C2103" s="2005" t="str">
        <f>IFERROR(__xludf.DUMMYFUNCTION("""COMPUTED_VALUE"""),"Ecran")</f>
        <v>Ecran</v>
      </c>
      <c r="D2103" s="2005" t="str">
        <f>IFERROR(__xludf.DUMMYFUNCTION("""COMPUTED_VALUE"""),"EL-2 Black Support 2 ecran")</f>
        <v>EL-2 Black Support 2 ecran</v>
      </c>
      <c r="E2103" s="2005" t="str">
        <f>IFERROR(__xludf.DUMMYFUNCTION("""COMPUTED_VALUE"""),"REKT")</f>
        <v>REKT</v>
      </c>
      <c r="F2103" s="2005" t="str">
        <f>IFERROR(__xludf.DUMMYFUNCTION("""COMPUTED_VALUE"""),"H")</f>
        <v>H</v>
      </c>
      <c r="G2103" s="2005" t="str">
        <f>IFERROR(__xludf.DUMMYFUNCTION("""COMPUTED_VALUE"""),"NN")</f>
        <v>NN</v>
      </c>
      <c r="H2103">
        <f>IFERROR(__xludf.DUMMYFUNCTION("""COMPUTED_VALUE"""),99.99)</f>
        <v>99.99</v>
      </c>
      <c r="I2103">
        <f>IFERROR(__xludf.DUMMYFUNCTION("""COMPUTED_VALUE"""),99.99)</f>
        <v>99.99</v>
      </c>
      <c r="LM2103" s="2008"/>
    </row>
    <row r="2104">
      <c r="A2104">
        <f>IFERROR(__xludf.DUMMYFUNCTION("""COMPUTED_VALUE"""),1172756.0)</f>
        <v>1172756</v>
      </c>
      <c r="B2104">
        <f>IFERROR(__xludf.DUMMYFUNCTION("""COMPUTED_VALUE"""),2706005.0)</f>
        <v>2706005</v>
      </c>
      <c r="C2104" t="str">
        <f>IFERROR(__xludf.DUMMYFUNCTION("""COMPUTED_VALUE"""),"Bureau")</f>
        <v>Bureau</v>
      </c>
      <c r="D2104" t="str">
        <f>IFERROR(__xludf.DUMMYFUNCTION("""COMPUTED_VALUE"""),"Rdesk Mobile Sofa Edition Black")</f>
        <v>Rdesk Mobile Sofa Edition Black</v>
      </c>
      <c r="E2104" t="str">
        <f>IFERROR(__xludf.DUMMYFUNCTION("""COMPUTED_VALUE"""),"REKT")</f>
        <v>REKT</v>
      </c>
      <c r="F2104" t="str">
        <f>IFERROR(__xludf.DUMMYFUNCTION("""COMPUTED_VALUE"""),"H")</f>
        <v>H</v>
      </c>
      <c r="G2104" t="str">
        <f>IFERROR(__xludf.DUMMYFUNCTION("""COMPUTED_VALUE"""),"NN")</f>
        <v>NN</v>
      </c>
      <c r="H2104">
        <f>IFERROR(__xludf.DUMMYFUNCTION("""COMPUTED_VALUE"""),249.99)</f>
        <v>249.99</v>
      </c>
      <c r="I2104">
        <f>IFERROR(__xludf.DUMMYFUNCTION("""COMPUTED_VALUE"""),249.99)</f>
        <v>249.99</v>
      </c>
      <c r="LM2104" s="2008"/>
    </row>
    <row r="2105">
      <c r="A2105" s="2005">
        <f>IFERROR(__xludf.DUMMYFUNCTION("""COMPUTED_VALUE"""),1172761.0)</f>
        <v>1172761</v>
      </c>
      <c r="B2105" s="2005">
        <f>IFERROR(__xludf.DUMMYFUNCTION("""COMPUTED_VALUE"""),2706005.0)</f>
        <v>2706005</v>
      </c>
      <c r="C2105" s="2005" t="str">
        <f>IFERROR(__xludf.DUMMYFUNCTION("""COMPUTED_VALUE"""),"Bureau")</f>
        <v>Bureau</v>
      </c>
      <c r="D2105" s="2005" t="str">
        <f>IFERROR(__xludf.DUMMYFUNCTION("""COMPUTED_VALUE"""),"Rdesk Mobile Sofa Edition White")</f>
        <v>Rdesk Mobile Sofa Edition White</v>
      </c>
      <c r="E2105" s="2005" t="str">
        <f>IFERROR(__xludf.DUMMYFUNCTION("""COMPUTED_VALUE"""),"REKT")</f>
        <v>REKT</v>
      </c>
      <c r="F2105" s="2005" t="str">
        <f>IFERROR(__xludf.DUMMYFUNCTION("""COMPUTED_VALUE"""),"H")</f>
        <v>H</v>
      </c>
      <c r="G2105" s="2005" t="str">
        <f>IFERROR(__xludf.DUMMYFUNCTION("""COMPUTED_VALUE"""),"NN")</f>
        <v>NN</v>
      </c>
      <c r="H2105" s="2005">
        <f>IFERROR(__xludf.DUMMYFUNCTION("""COMPUTED_VALUE"""),249.99)</f>
        <v>249.99</v>
      </c>
      <c r="I2105" s="2005">
        <f>IFERROR(__xludf.DUMMYFUNCTION("""COMPUTED_VALUE"""),249.99)</f>
        <v>249.99</v>
      </c>
      <c r="LM2105" s="2008"/>
    </row>
    <row r="2106">
      <c r="A2106" s="2005">
        <f>IFERROR(__xludf.DUMMYFUNCTION("""COMPUTED_VALUE"""),1172771.0)</f>
        <v>1172771</v>
      </c>
      <c r="B2106" s="2005">
        <f>IFERROR(__xludf.DUMMYFUNCTION("""COMPUTED_VALUE"""),2706010.0)</f>
        <v>2706010</v>
      </c>
      <c r="C2106" s="2005" t="str">
        <f>IFERROR(__xludf.DUMMYFUNCTION("""COMPUTED_VALUE"""),"Fauteuil")</f>
        <v>Fauteuil</v>
      </c>
      <c r="D2106" s="2005" t="str">
        <f>IFERROR(__xludf.DUMMYFUNCTION("""COMPUTED_VALUE"""),"ergonomique RGo Max Business")</f>
        <v>ergonomique RGo Max Business</v>
      </c>
      <c r="E2106" s="2005" t="str">
        <f>IFERROR(__xludf.DUMMYFUNCTION("""COMPUTED_VALUE"""),"REKT")</f>
        <v>REKT</v>
      </c>
      <c r="F2106" s="2005" t="str">
        <f>IFERROR(__xludf.DUMMYFUNCTION("""COMPUTED_VALUE"""),"H")</f>
        <v>H</v>
      </c>
      <c r="G2106" s="2005" t="str">
        <f>IFERROR(__xludf.DUMMYFUNCTION("""COMPUTED_VALUE"""),"NN")</f>
        <v>NN</v>
      </c>
      <c r="H2106" s="2005">
        <f>IFERROR(__xludf.DUMMYFUNCTION("""COMPUTED_VALUE"""),699.0)</f>
        <v>699</v>
      </c>
      <c r="I2106" s="2005">
        <f>IFERROR(__xludf.DUMMYFUNCTION("""COMPUTED_VALUE"""),699.0)</f>
        <v>699</v>
      </c>
      <c r="LM2106" s="2008"/>
    </row>
    <row r="2107">
      <c r="A2107" s="2005">
        <f>IFERROR(__xludf.DUMMYFUNCTION("""COMPUTED_VALUE"""),1172820.0)</f>
        <v>1172820</v>
      </c>
      <c r="B2107" s="2005">
        <f>IFERROR(__xludf.DUMMYFUNCTION("""COMPUTED_VALUE"""),2503010.0)</f>
        <v>2503010</v>
      </c>
      <c r="C2107" s="2005" t="str">
        <f>IFERROR(__xludf.DUMMYFUNCTION("""COMPUTED_VALUE"""),"Casque micro")</f>
        <v>Casque micro</v>
      </c>
      <c r="D2107" s="2005" t="str">
        <f>IFERROR(__xludf.DUMMYFUNCTION("""COMPUTED_VALUE"""),"Connect 4H USB-C")</f>
        <v>Connect 4H USB-C</v>
      </c>
      <c r="E2107" s="2005" t="str">
        <f>IFERROR(__xludf.DUMMYFUNCTION("""COMPUTED_VALUE"""),"JABRA")</f>
        <v>JABRA</v>
      </c>
      <c r="F2107" s="2005" t="str">
        <f>IFERROR(__xludf.DUMMYFUNCTION("""COMPUTED_VALUE"""),"C")</f>
        <v>C</v>
      </c>
      <c r="G2107" s="2005" t="str">
        <f>IFERROR(__xludf.DUMMYFUNCTION("""COMPUTED_VALUE"""),"AC")</f>
        <v>AC</v>
      </c>
      <c r="H2107" s="2005">
        <f>IFERROR(__xludf.DUMMYFUNCTION("""COMPUTED_VALUE"""),99.99)</f>
        <v>99.99</v>
      </c>
      <c r="I2107" s="2005">
        <f>IFERROR(__xludf.DUMMYFUNCTION("""COMPUTED_VALUE"""),74.99)</f>
        <v>74.99</v>
      </c>
      <c r="BD2107" s="2006"/>
      <c r="LL2107" s="2007"/>
      <c r="LM2107" s="2008"/>
      <c r="MX2107" s="2007"/>
      <c r="ND2107" s="2008"/>
    </row>
    <row r="2108">
      <c r="A2108" s="2005">
        <f>IFERROR(__xludf.DUMMYFUNCTION("""COMPUTED_VALUE"""),1172914.0)</f>
        <v>1172914</v>
      </c>
      <c r="B2108" s="2005">
        <f>IFERROR(__xludf.DUMMYFUNCTION("""COMPUTED_VALUE"""),2502020.0)</f>
        <v>2502020</v>
      </c>
      <c r="C2108" s="2005" t="str">
        <f>IFERROR(__xludf.DUMMYFUNCTION("""COMPUTED_VALUE"""),"Webcam")</f>
        <v>Webcam</v>
      </c>
      <c r="D2108" s="2005" t="str">
        <f>IFERROR(__xludf.DUMMYFUNCTION("""COMPUTED_VALUE"""),"C920 Pro")</f>
        <v>C920 Pro</v>
      </c>
      <c r="E2108" s="2005" t="str">
        <f>IFERROR(__xludf.DUMMYFUNCTION("""COMPUTED_VALUE"""),"LOGITECH")</f>
        <v>LOGITECH</v>
      </c>
      <c r="F2108" s="2005" t="str">
        <f>IFERROR(__xludf.DUMMYFUNCTION("""COMPUTED_VALUE"""),"W")</f>
        <v>W</v>
      </c>
      <c r="G2108" s="2005" t="str">
        <f>IFERROR(__xludf.DUMMYFUNCTION("""COMPUTED_VALUE"""),"AC")</f>
        <v>AC</v>
      </c>
      <c r="H2108" s="2005">
        <f>IFERROR(__xludf.DUMMYFUNCTION("""COMPUTED_VALUE"""),109.99)</f>
        <v>109.99</v>
      </c>
      <c r="I2108" s="2005">
        <f>IFERROR(__xludf.DUMMYFUNCTION("""COMPUTED_VALUE"""),89.99)</f>
        <v>89.99</v>
      </c>
      <c r="BD2108" s="2006"/>
      <c r="LL2108" s="2008"/>
      <c r="LM2108" s="2008"/>
      <c r="MX2108" s="2007"/>
      <c r="ND2108" s="2008"/>
    </row>
    <row r="2109">
      <c r="A2109" s="2005">
        <f>IFERROR(__xludf.DUMMYFUNCTION("""COMPUTED_VALUE"""),1172917.0)</f>
        <v>1172917</v>
      </c>
      <c r="B2109" s="2005">
        <f>IFERROR(__xludf.DUMMYFUNCTION("""COMPUTED_VALUE"""),2503010.0)</f>
        <v>2503010</v>
      </c>
      <c r="C2109" s="2005" t="str">
        <f>IFERROR(__xludf.DUMMYFUNCTION("""COMPUTED_VALUE"""),"Haut Parleur")</f>
        <v>Haut Parleur</v>
      </c>
      <c r="D2109" s="2005" t="str">
        <f>IFERROR(__xludf.DUMMYFUNCTION("""COMPUTED_VALUE"""),"Connect 4S USB-A")</f>
        <v>Connect 4S USB-A</v>
      </c>
      <c r="E2109" s="2005" t="str">
        <f>IFERROR(__xludf.DUMMYFUNCTION("""COMPUTED_VALUE"""),"JABRA")</f>
        <v>JABRA</v>
      </c>
      <c r="F2109" s="2005" t="str">
        <f>IFERROR(__xludf.DUMMYFUNCTION("""COMPUTED_VALUE"""),"B")</f>
        <v>B</v>
      </c>
      <c r="G2109" s="2005" t="str">
        <f>IFERROR(__xludf.DUMMYFUNCTION("""COMPUTED_VALUE"""),"AC")</f>
        <v>AC</v>
      </c>
      <c r="H2109" s="2005">
        <f>IFERROR(__xludf.DUMMYFUNCTION("""COMPUTED_VALUE"""),129.99)</f>
        <v>129.99</v>
      </c>
      <c r="I2109" s="2005">
        <f>IFERROR(__xludf.DUMMYFUNCTION("""COMPUTED_VALUE"""),94.99)</f>
        <v>94.99</v>
      </c>
      <c r="BD2109" s="2006"/>
      <c r="LL2109" s="2007"/>
      <c r="LM2109" s="2008"/>
      <c r="MX2109" s="2007"/>
      <c r="ND2109" s="2008"/>
    </row>
    <row r="2110">
      <c r="A2110" s="2005">
        <f>IFERROR(__xludf.DUMMYFUNCTION("""COMPUTED_VALUE"""),1173092.0)</f>
        <v>1173092</v>
      </c>
      <c r="B2110" s="2005">
        <f>IFERROR(__xludf.DUMMYFUNCTION("""COMPUTED_VALUE"""),2502010.0)</f>
        <v>2502010</v>
      </c>
      <c r="C2110" s="2005" t="str">
        <f>IFERROR(__xludf.DUMMYFUNCTION("""COMPUTED_VALUE"""),"Souris")</f>
        <v>Souris</v>
      </c>
      <c r="D2110" s="2005" t="str">
        <f>IFERROR(__xludf.DUMMYFUNCTION("""COMPUTED_VALUE"""),"1000 Wired Mouse")</f>
        <v>1000 Wired Mouse</v>
      </c>
      <c r="E2110" s="2005" t="str">
        <f>IFERROR(__xludf.DUMMYFUNCTION("""COMPUTED_VALUE"""),"HP")</f>
        <v>HP</v>
      </c>
      <c r="F2110" s="2005" t="str">
        <f>IFERROR(__xludf.DUMMYFUNCTION("""COMPUTED_VALUE"""),"W")</f>
        <v>W</v>
      </c>
      <c r="G2110" s="2005" t="str">
        <f>IFERROR(__xludf.DUMMYFUNCTION("""COMPUTED_VALUE"""),"AC")</f>
        <v>AC</v>
      </c>
      <c r="H2110" s="2005">
        <f>IFERROR(__xludf.DUMMYFUNCTION("""COMPUTED_VALUE"""),12.99)</f>
        <v>12.99</v>
      </c>
      <c r="I2110" s="2005">
        <f>IFERROR(__xludf.DUMMYFUNCTION("""COMPUTED_VALUE"""),12.99)</f>
        <v>12.99</v>
      </c>
      <c r="BD2110" s="2006"/>
      <c r="LL2110" s="2007"/>
      <c r="LM2110" s="2008"/>
      <c r="MX2110" s="2008"/>
      <c r="ND2110" s="2008"/>
    </row>
    <row r="2111">
      <c r="A2111" s="2005">
        <f>IFERROR(__xludf.DUMMYFUNCTION("""COMPUTED_VALUE"""),1173093.0)</f>
        <v>1173093</v>
      </c>
      <c r="B2111" s="2005">
        <f>IFERROR(__xludf.DUMMYFUNCTION("""COMPUTED_VALUE"""),2502010.0)</f>
        <v>2502010</v>
      </c>
      <c r="C2111" s="2005" t="str">
        <f>IFERROR(__xludf.DUMMYFUNCTION("""COMPUTED_VALUE"""),"Souris")</f>
        <v>Souris</v>
      </c>
      <c r="D2111" s="2005" t="str">
        <f>IFERROR(__xludf.DUMMYFUNCTION("""COMPUTED_VALUE"""),"Z5000 Silver")</f>
        <v>Z5000 Silver</v>
      </c>
      <c r="E2111" s="2005" t="str">
        <f>IFERROR(__xludf.DUMMYFUNCTION("""COMPUTED_VALUE"""),"HP")</f>
        <v>HP</v>
      </c>
      <c r="F2111" s="2005" t="str">
        <f>IFERROR(__xludf.DUMMYFUNCTION("""COMPUTED_VALUE"""),"H")</f>
        <v>H</v>
      </c>
      <c r="G2111" s="2005" t="str">
        <f>IFERROR(__xludf.DUMMYFUNCTION("""COMPUTED_VALUE"""),"NN")</f>
        <v>NN</v>
      </c>
      <c r="H2111" s="2005">
        <f>IFERROR(__xludf.DUMMYFUNCTION("""COMPUTED_VALUE"""),44.99)</f>
        <v>44.99</v>
      </c>
      <c r="I2111" s="2005">
        <f>IFERROR(__xludf.DUMMYFUNCTION("""COMPUTED_VALUE"""),44.99)</f>
        <v>44.99</v>
      </c>
      <c r="BD2111" s="2006"/>
      <c r="LL2111" s="2007"/>
      <c r="LM2111" s="2008"/>
      <c r="MX2111" s="2007"/>
      <c r="ND2111" s="2007"/>
    </row>
    <row r="2112">
      <c r="A2112" s="2005">
        <f>IFERROR(__xludf.DUMMYFUNCTION("""COMPUTED_VALUE"""),1173166.0)</f>
        <v>1173166</v>
      </c>
      <c r="B2112" s="2005">
        <f>IFERROR(__xludf.DUMMYFUNCTION("""COMPUTED_VALUE"""),2201099.0)</f>
        <v>2201099</v>
      </c>
      <c r="C2112" s="2005" t="str">
        <f>IFERROR(__xludf.DUMMYFUNCTION("""COMPUTED_VALUE"""),"COFFRET")</f>
        <v>COFFRET</v>
      </c>
      <c r="D2112" s="2005" t="str">
        <f>IFERROR(__xludf.DUMMYFUNCTION("""COMPUTED_VALUE"""),"Machine JOY et Accessoires")</f>
        <v>Machine JOY et Accessoires</v>
      </c>
      <c r="E2112" s="2005" t="str">
        <f>IFERROR(__xludf.DUMMYFUNCTION("""COMPUTED_VALUE"""),"CRICUT")</f>
        <v>CRICUT</v>
      </c>
      <c r="F2112" s="2005" t="str">
        <f>IFERROR(__xludf.DUMMYFUNCTION("""COMPUTED_VALUE"""),"E")</f>
        <v>E</v>
      </c>
      <c r="G2112" s="2005" t="str">
        <f>IFERROR(__xludf.DUMMYFUNCTION("""COMPUTED_VALUE"""),"NN")</f>
        <v>NN</v>
      </c>
      <c r="H2112" s="2005">
        <f>IFERROR(__xludf.DUMMYFUNCTION("""COMPUTED_VALUE"""),282.91)</f>
        <v>282.91</v>
      </c>
      <c r="I2112" s="2005">
        <f>IFERROR(__xludf.DUMMYFUNCTION("""COMPUTED_VALUE"""),282.91)</f>
        <v>282.91</v>
      </c>
      <c r="BD2112" s="2006"/>
      <c r="LL2112" s="2008"/>
      <c r="LM2112" s="2008"/>
      <c r="MX2112" s="2008"/>
      <c r="ND2112" s="2008"/>
    </row>
    <row r="2113">
      <c r="A2113" s="2005">
        <f>IFERROR(__xludf.DUMMYFUNCTION("""COMPUTED_VALUE"""),1173641.0)</f>
        <v>1173641</v>
      </c>
      <c r="B2113" s="2005">
        <f>IFERROR(__xludf.DUMMYFUNCTION("""COMPUTED_VALUE"""),2502505.0)</f>
        <v>2502505</v>
      </c>
      <c r="C2113" s="2005" t="str">
        <f>IFERROR(__xludf.DUMMYFUNCTION("""COMPUTED_VALUE"""),"Tapis")</f>
        <v>Tapis</v>
      </c>
      <c r="D2113" s="2005" t="str">
        <f>IFERROR(__xludf.DUMMYFUNCTION("""COMPUTED_VALUE"""),"Mousse à mémoire de forme")</f>
        <v>Mousse à mémoire de forme</v>
      </c>
      <c r="E2113" s="2005" t="str">
        <f>IFERROR(__xludf.DUMMYFUNCTION("""COMPUTED_VALUE"""),"FELLOWES")</f>
        <v>FELLOWES</v>
      </c>
      <c r="F2113" s="2005" t="str">
        <f>IFERROR(__xludf.DUMMYFUNCTION("""COMPUTED_VALUE"""),"W")</f>
        <v>W</v>
      </c>
      <c r="G2113" s="2005" t="str">
        <f>IFERROR(__xludf.DUMMYFUNCTION("""COMPUTED_VALUE"""),"AC")</f>
        <v>AC</v>
      </c>
      <c r="H2113">
        <f>IFERROR(__xludf.DUMMYFUNCTION("""COMPUTED_VALUE"""),17.99)</f>
        <v>17.99</v>
      </c>
      <c r="I2113">
        <f>IFERROR(__xludf.DUMMYFUNCTION("""COMPUTED_VALUE"""),16.6)</f>
        <v>16.6</v>
      </c>
      <c r="BD2113" s="2006"/>
      <c r="LL2113" s="2007"/>
      <c r="LM2113" s="2008"/>
      <c r="MX2113" s="2007"/>
      <c r="ND2113" s="2008"/>
    </row>
    <row r="2114">
      <c r="A2114" s="2005">
        <f>IFERROR(__xludf.DUMMYFUNCTION("""COMPUTED_VALUE"""),1173642.0)</f>
        <v>1173642</v>
      </c>
      <c r="B2114" s="2005">
        <f>IFERROR(__xludf.DUMMYFUNCTION("""COMPUTED_VALUE"""),2502505.0)</f>
        <v>2502505</v>
      </c>
      <c r="C2114" s="2005" t="str">
        <f>IFERROR(__xludf.DUMMYFUNCTION("""COMPUTED_VALUE"""),"Tapis")</f>
        <v>Tapis</v>
      </c>
      <c r="D2114" s="2005" t="str">
        <f>IFERROR(__xludf.DUMMYFUNCTION("""COMPUTED_VALUE"""),"PlushTouch Noir antibactérien")</f>
        <v>PlushTouch Noir antibactérien</v>
      </c>
      <c r="E2114" s="2005" t="str">
        <f>IFERROR(__xludf.DUMMYFUNCTION("""COMPUTED_VALUE"""),"FELLOWES")</f>
        <v>FELLOWES</v>
      </c>
      <c r="F2114" s="2005" t="str">
        <f>IFERROR(__xludf.DUMMYFUNCTION("""COMPUTED_VALUE"""),"H")</f>
        <v>H</v>
      </c>
      <c r="G2114" s="2005" t="str">
        <f>IFERROR(__xludf.DUMMYFUNCTION("""COMPUTED_VALUE"""),"AC")</f>
        <v>AC</v>
      </c>
      <c r="H2114" s="2005">
        <f>IFERROR(__xludf.DUMMYFUNCTION("""COMPUTED_VALUE"""),19.99)</f>
        <v>19.99</v>
      </c>
      <c r="I2114" s="2005">
        <f>IFERROR(__xludf.DUMMYFUNCTION("""COMPUTED_VALUE"""),19.99)</f>
        <v>19.99</v>
      </c>
      <c r="BD2114" s="2006"/>
      <c r="LL2114" s="2008"/>
      <c r="LM2114" s="2008"/>
      <c r="MX2114" s="2007"/>
      <c r="ND2114" s="2008"/>
    </row>
    <row r="2115">
      <c r="A2115" s="2005">
        <f>IFERROR(__xludf.DUMMYFUNCTION("""COMPUTED_VALUE"""),1173764.0)</f>
        <v>1173764</v>
      </c>
      <c r="B2115" s="2005">
        <f>IFERROR(__xludf.DUMMYFUNCTION("""COMPUTED_VALUE"""),2502040.0)</f>
        <v>2502040</v>
      </c>
      <c r="C2115" s="2005" t="str">
        <f>IFERROR(__xludf.DUMMYFUNCTION("""COMPUTED_VALUE"""),"Gant")</f>
        <v>Gant</v>
      </c>
      <c r="D2115" s="2005" t="str">
        <f>IFERROR(__xludf.DUMMYFUNCTION("""COMPUTED_VALUE"""),"Drawing Glove")</f>
        <v>Drawing Glove</v>
      </c>
      <c r="E2115" s="2005" t="str">
        <f>IFERROR(__xludf.DUMMYFUNCTION("""COMPUTED_VALUE"""),"WACOM")</f>
        <v>WACOM</v>
      </c>
      <c r="F2115" s="2005" t="str">
        <f>IFERROR(__xludf.DUMMYFUNCTION("""COMPUTED_VALUE"""),"W")</f>
        <v>W</v>
      </c>
      <c r="G2115" s="2005" t="str">
        <f>IFERROR(__xludf.DUMMYFUNCTION("""COMPUTED_VALUE"""),"AC")</f>
        <v>AC</v>
      </c>
      <c r="H2115" s="2005">
        <f>IFERROR(__xludf.DUMMYFUNCTION("""COMPUTED_VALUE"""),9.99)</f>
        <v>9.99</v>
      </c>
      <c r="I2115">
        <f>IFERROR(__xludf.DUMMYFUNCTION("""COMPUTED_VALUE"""),9.99)</f>
        <v>9.99</v>
      </c>
      <c r="BD2115" s="2006"/>
      <c r="LL2115" s="2007"/>
      <c r="LM2115" s="2008"/>
      <c r="MX2115" s="2007"/>
      <c r="ND2115" s="2008"/>
    </row>
    <row r="2116">
      <c r="A2116" s="2005">
        <f>IFERROR(__xludf.DUMMYFUNCTION("""COMPUTED_VALUE"""),1174127.0)</f>
        <v>1174127</v>
      </c>
      <c r="B2116" s="2005">
        <f>IFERROR(__xludf.DUMMYFUNCTION("""COMPUTED_VALUE"""),1103010.0)</f>
        <v>1103010</v>
      </c>
      <c r="C2116" s="2005" t="str">
        <f>IFERROR(__xludf.DUMMYFUNCTION("""COMPUTED_VALUE"""),"Tél.")</f>
        <v>Tél.</v>
      </c>
      <c r="D2116" s="2005" t="str">
        <f>IFERROR(__xludf.DUMMYFUNCTION("""COMPUTED_VALUE"""),"AS405 NOIR")</f>
        <v>AS405 NOIR</v>
      </c>
      <c r="E2116" s="2005" t="str">
        <f>IFERROR(__xludf.DUMMYFUNCTION("""COMPUTED_VALUE"""),"GIGASET")</f>
        <v>GIGASET</v>
      </c>
      <c r="F2116" s="2005" t="str">
        <f>IFERROR(__xludf.DUMMYFUNCTION("""COMPUTED_VALUE"""),"B")</f>
        <v>B</v>
      </c>
      <c r="G2116" s="2005" t="str">
        <f>IFERROR(__xludf.DUMMYFUNCTION("""COMPUTED_VALUE"""),"NN")</f>
        <v>NN</v>
      </c>
      <c r="H2116" s="2005">
        <f>IFERROR(__xludf.DUMMYFUNCTION("""COMPUTED_VALUE"""),29.99)</f>
        <v>29.99</v>
      </c>
      <c r="I2116" s="2005">
        <f>IFERROR(__xludf.DUMMYFUNCTION("""COMPUTED_VALUE"""),29.99)</f>
        <v>29.99</v>
      </c>
      <c r="BD2116" s="2006"/>
      <c r="LL2116" s="2007"/>
      <c r="LM2116" s="2008"/>
      <c r="MX2116" s="2007"/>
      <c r="ND2116" s="2008"/>
    </row>
    <row r="2117">
      <c r="A2117" s="2005">
        <f>IFERROR(__xludf.DUMMYFUNCTION("""COMPUTED_VALUE"""),1174150.0)</f>
        <v>1174150</v>
      </c>
      <c r="B2117" s="2005">
        <f>IFERROR(__xludf.DUMMYFUNCTION("""COMPUTED_VALUE"""),2502505.0)</f>
        <v>2502505</v>
      </c>
      <c r="C2117" s="2005" t="str">
        <f>IFERROR(__xludf.DUMMYFUNCTION("""COMPUTED_VALUE"""),"Tapis")</f>
        <v>Tapis</v>
      </c>
      <c r="D2117" s="2005" t="str">
        <f>IFERROR(__xludf.DUMMYFUNCTION("""COMPUTED_VALUE"""),"souris - Graphite")</f>
        <v>souris - Graphite</v>
      </c>
      <c r="E2117" s="2005" t="str">
        <f>IFERROR(__xludf.DUMMYFUNCTION("""COMPUTED_VALUE"""),"LOGITECH")</f>
        <v>LOGITECH</v>
      </c>
      <c r="F2117" s="2005" t="str">
        <f>IFERROR(__xludf.DUMMYFUNCTION("""COMPUTED_VALUE"""),"W")</f>
        <v>W</v>
      </c>
      <c r="G2117" s="2005" t="str">
        <f>IFERROR(__xludf.DUMMYFUNCTION("""COMPUTED_VALUE"""),"AC")</f>
        <v>AC</v>
      </c>
      <c r="H2117">
        <f>IFERROR(__xludf.DUMMYFUNCTION("""COMPUTED_VALUE"""),12.99)</f>
        <v>12.99</v>
      </c>
      <c r="I2117">
        <f>IFERROR(__xludf.DUMMYFUNCTION("""COMPUTED_VALUE"""),8.36)</f>
        <v>8.36</v>
      </c>
      <c r="BD2117" s="2006"/>
      <c r="LL2117" s="2007"/>
      <c r="LM2117" s="2008"/>
      <c r="MX2117" s="2007"/>
      <c r="ND2117" s="2008"/>
    </row>
    <row r="2118">
      <c r="A2118" s="2005">
        <f>IFERROR(__xludf.DUMMYFUNCTION("""COMPUTED_VALUE"""),1174161.0)</f>
        <v>1174161</v>
      </c>
      <c r="B2118" s="2005">
        <f>IFERROR(__xludf.DUMMYFUNCTION("""COMPUTED_VALUE"""),2502505.0)</f>
        <v>2502505</v>
      </c>
      <c r="C2118" s="2005" t="str">
        <f>IFERROR(__xludf.DUMMYFUNCTION("""COMPUTED_VALUE"""),"Tapis")</f>
        <v>Tapis</v>
      </c>
      <c r="D2118" s="2005" t="str">
        <f>IFERROR(__xludf.DUMMYFUNCTION("""COMPUTED_VALUE"""),"souris - Rose")</f>
        <v>souris - Rose</v>
      </c>
      <c r="E2118" s="2005" t="str">
        <f>IFERROR(__xludf.DUMMYFUNCTION("""COMPUTED_VALUE"""),"LOGITECH")</f>
        <v>LOGITECH</v>
      </c>
      <c r="F2118" s="2005" t="str">
        <f>IFERROR(__xludf.DUMMYFUNCTION("""COMPUTED_VALUE"""),"H")</f>
        <v>H</v>
      </c>
      <c r="G2118" s="2005" t="str">
        <f>IFERROR(__xludf.DUMMYFUNCTION("""COMPUTED_VALUE"""),"NN")</f>
        <v>NN</v>
      </c>
      <c r="H2118" s="2005">
        <f>IFERROR(__xludf.DUMMYFUNCTION("""COMPUTED_VALUE"""),12.99)</f>
        <v>12.99</v>
      </c>
      <c r="I2118" s="2005">
        <f>IFERROR(__xludf.DUMMYFUNCTION("""COMPUTED_VALUE"""),12.99)</f>
        <v>12.99</v>
      </c>
      <c r="BD2118" s="2006"/>
      <c r="LL2118" s="2007"/>
      <c r="LM2118" s="2008"/>
      <c r="MX2118" s="2007"/>
      <c r="ND2118" s="2008"/>
    </row>
    <row r="2119">
      <c r="A2119" s="2005">
        <f>IFERROR(__xludf.DUMMYFUNCTION("""COMPUTED_VALUE"""),1174170.0)</f>
        <v>1174170</v>
      </c>
      <c r="B2119" s="2005">
        <f>IFERROR(__xludf.DUMMYFUNCTION("""COMPUTED_VALUE"""),2705020.0)</f>
        <v>2705020</v>
      </c>
      <c r="C2119" s="2005" t="str">
        <f>IFERROR(__xludf.DUMMYFUNCTION("""COMPUTED_VALUE"""),"Syst. position")</f>
        <v>Syst. position</v>
      </c>
      <c r="D2119" s="2005" t="str">
        <f>IFERROR(__xludf.DUMMYFUNCTION("""COMPUTED_VALUE"""),"Repose pieds")</f>
        <v>Repose pieds</v>
      </c>
      <c r="E2119" s="2005" t="str">
        <f>IFERROR(__xludf.DUMMYFUNCTION("""COMPUTED_VALUE"""),"TARGUS")</f>
        <v>TARGUS</v>
      </c>
      <c r="F2119" s="2005" t="str">
        <f>IFERROR(__xludf.DUMMYFUNCTION("""COMPUTED_VALUE"""),"H")</f>
        <v>H</v>
      </c>
      <c r="G2119" s="2005" t="str">
        <f>IFERROR(__xludf.DUMMYFUNCTION("""COMPUTED_VALUE"""),"NN")</f>
        <v>NN</v>
      </c>
      <c r="H2119">
        <f>IFERROR(__xludf.DUMMYFUNCTION("""COMPUTED_VALUE"""),39.99)</f>
        <v>39.99</v>
      </c>
      <c r="I2119">
        <f>IFERROR(__xludf.DUMMYFUNCTION("""COMPUTED_VALUE"""),39.99)</f>
        <v>39.99</v>
      </c>
      <c r="BD2119" s="2006"/>
      <c r="LL2119" s="2007"/>
      <c r="LM2119" s="2008"/>
      <c r="MX2119" s="2007"/>
      <c r="ND2119" s="2008"/>
    </row>
    <row r="2120">
      <c r="A2120" s="2005">
        <f>IFERROR(__xludf.DUMMYFUNCTION("""COMPUTED_VALUE"""),1174185.0)</f>
        <v>1174185</v>
      </c>
      <c r="B2120" s="2005">
        <f>IFERROR(__xludf.DUMMYFUNCTION("""COMPUTED_VALUE"""),2502505.0)</f>
        <v>2502505</v>
      </c>
      <c r="C2120" s="2005" t="str">
        <f>IFERROR(__xludf.DUMMYFUNCTION("""COMPUTED_VALUE"""),"Tapis")</f>
        <v>Tapis</v>
      </c>
      <c r="D2120" s="2005" t="str">
        <f>IFERROR(__xludf.DUMMYFUNCTION("""COMPUTED_VALUE"""),"souris - Bleu")</f>
        <v>souris - Bleu</v>
      </c>
      <c r="E2120" s="2005" t="str">
        <f>IFERROR(__xludf.DUMMYFUNCTION("""COMPUTED_VALUE"""),"LOGITECH")</f>
        <v>LOGITECH</v>
      </c>
      <c r="F2120" s="2005" t="str">
        <f>IFERROR(__xludf.DUMMYFUNCTION("""COMPUTED_VALUE"""),"H")</f>
        <v>H</v>
      </c>
      <c r="G2120" s="2005" t="str">
        <f>IFERROR(__xludf.DUMMYFUNCTION("""COMPUTED_VALUE"""),"FR")</f>
        <v>FR</v>
      </c>
      <c r="H2120" s="2005">
        <f>IFERROR(__xludf.DUMMYFUNCTION("""COMPUTED_VALUE"""),12.99)</f>
        <v>12.99</v>
      </c>
      <c r="I2120" s="2005">
        <f>IFERROR(__xludf.DUMMYFUNCTION("""COMPUTED_VALUE"""),12.99)</f>
        <v>12.99</v>
      </c>
      <c r="BD2120" s="2006"/>
      <c r="LL2120" s="2008"/>
      <c r="LM2120" s="2008"/>
      <c r="MX2120" s="2007"/>
      <c r="ND2120" s="2008"/>
    </row>
    <row r="2121">
      <c r="A2121" s="2005">
        <f>IFERROR(__xludf.DUMMYFUNCTION("""COMPUTED_VALUE"""),1174190.0)</f>
        <v>1174190</v>
      </c>
      <c r="B2121" s="2005">
        <f>IFERROR(__xludf.DUMMYFUNCTION("""COMPUTED_VALUE"""),2502505.0)</f>
        <v>2502505</v>
      </c>
      <c r="C2121" s="2005" t="str">
        <f>IFERROR(__xludf.DUMMYFUNCTION("""COMPUTED_VALUE"""),"Tapis")</f>
        <v>Tapis</v>
      </c>
      <c r="D2121" s="2005" t="str">
        <f>IFERROR(__xludf.DUMMYFUNCTION("""COMPUTED_VALUE"""),"sous-main - Graphite")</f>
        <v>sous-main - Graphite</v>
      </c>
      <c r="E2121" s="2005" t="str">
        <f>IFERROR(__xludf.DUMMYFUNCTION("""COMPUTED_VALUE"""),"LOGITECH")</f>
        <v>LOGITECH</v>
      </c>
      <c r="F2121" s="2005" t="str">
        <f>IFERROR(__xludf.DUMMYFUNCTION("""COMPUTED_VALUE"""),"W")</f>
        <v>W</v>
      </c>
      <c r="G2121" s="2005" t="str">
        <f>IFERROR(__xludf.DUMMYFUNCTION("""COMPUTED_VALUE"""),"AC")</f>
        <v>AC</v>
      </c>
      <c r="H2121">
        <f>IFERROR(__xludf.DUMMYFUNCTION("""COMPUTED_VALUE"""),21.99)</f>
        <v>21.99</v>
      </c>
      <c r="I2121" s="2005">
        <f>IFERROR(__xludf.DUMMYFUNCTION("""COMPUTED_VALUE"""),19.95)</f>
        <v>19.95</v>
      </c>
      <c r="BD2121" s="2006"/>
      <c r="LL2121" s="2008"/>
      <c r="LM2121" s="2008"/>
      <c r="MX2121" s="2007"/>
      <c r="ND2121" s="2008"/>
    </row>
    <row r="2122">
      <c r="A2122" s="2005">
        <f>IFERROR(__xludf.DUMMYFUNCTION("""COMPUTED_VALUE"""),1174192.0)</f>
        <v>1174192</v>
      </c>
      <c r="B2122" s="2005">
        <f>IFERROR(__xludf.DUMMYFUNCTION("""COMPUTED_VALUE"""),2502505.0)</f>
        <v>2502505</v>
      </c>
      <c r="C2122" s="2005" t="str">
        <f>IFERROR(__xludf.DUMMYFUNCTION("""COMPUTED_VALUE"""),"Tapis")</f>
        <v>Tapis</v>
      </c>
      <c r="D2122" s="2005" t="str">
        <f>IFERROR(__xludf.DUMMYFUNCTION("""COMPUTED_VALUE"""),"sous-main - Rose")</f>
        <v>sous-main - Rose</v>
      </c>
      <c r="E2122" s="2005" t="str">
        <f>IFERROR(__xludf.DUMMYFUNCTION("""COMPUTED_VALUE"""),"LOGITECH")</f>
        <v>LOGITECH</v>
      </c>
      <c r="F2122" s="2005" t="str">
        <f>IFERROR(__xludf.DUMMYFUNCTION("""COMPUTED_VALUE"""),"H")</f>
        <v>H</v>
      </c>
      <c r="G2122" s="2005" t="str">
        <f>IFERROR(__xludf.DUMMYFUNCTION("""COMPUTED_VALUE"""),"AC")</f>
        <v>AC</v>
      </c>
      <c r="H2122" s="2005">
        <f>IFERROR(__xludf.DUMMYFUNCTION("""COMPUTED_VALUE"""),21.99)</f>
        <v>21.99</v>
      </c>
      <c r="I2122" s="2005">
        <f>IFERROR(__xludf.DUMMYFUNCTION("""COMPUTED_VALUE"""),11.99)</f>
        <v>11.99</v>
      </c>
      <c r="BD2122" s="2006"/>
      <c r="LL2122" s="2008"/>
      <c r="LM2122" s="2008"/>
      <c r="MX2122" s="2007"/>
      <c r="ND2122" s="2008"/>
    </row>
    <row r="2123">
      <c r="A2123" s="2005">
        <f>IFERROR(__xludf.DUMMYFUNCTION("""COMPUTED_VALUE"""),1174194.0)</f>
        <v>1174194</v>
      </c>
      <c r="B2123" s="2005">
        <f>IFERROR(__xludf.DUMMYFUNCTION("""COMPUTED_VALUE"""),2502505.0)</f>
        <v>2502505</v>
      </c>
      <c r="C2123" s="2005" t="str">
        <f>IFERROR(__xludf.DUMMYFUNCTION("""COMPUTED_VALUE"""),"Tapis")</f>
        <v>Tapis</v>
      </c>
      <c r="D2123" s="2005" t="str">
        <f>IFERROR(__xludf.DUMMYFUNCTION("""COMPUTED_VALUE"""),"sous-main - Lavande")</f>
        <v>sous-main - Lavande</v>
      </c>
      <c r="E2123" s="2005" t="str">
        <f>IFERROR(__xludf.DUMMYFUNCTION("""COMPUTED_VALUE"""),"LOGITECH")</f>
        <v>LOGITECH</v>
      </c>
      <c r="F2123" s="2005" t="str">
        <f>IFERROR(__xludf.DUMMYFUNCTION("""COMPUTED_VALUE"""),"H")</f>
        <v>H</v>
      </c>
      <c r="G2123" s="2005" t="str">
        <f>IFERROR(__xludf.DUMMYFUNCTION("""COMPUTED_VALUE"""),"AC")</f>
        <v>AC</v>
      </c>
      <c r="H2123" s="2005">
        <f>IFERROR(__xludf.DUMMYFUNCTION("""COMPUTED_VALUE"""),21.99)</f>
        <v>21.99</v>
      </c>
      <c r="I2123" s="2005">
        <f>IFERROR(__xludf.DUMMYFUNCTION("""COMPUTED_VALUE"""),14.5)</f>
        <v>14.5</v>
      </c>
      <c r="LL2123" s="2007"/>
      <c r="LM2123" s="2008"/>
    </row>
    <row r="2124">
      <c r="A2124" s="2005">
        <f>IFERROR(__xludf.DUMMYFUNCTION("""COMPUTED_VALUE"""),1174213.0)</f>
        <v>1174213</v>
      </c>
      <c r="B2124" s="2005">
        <f>IFERROR(__xludf.DUMMYFUNCTION("""COMPUTED_VALUE"""),2502015.0)</f>
        <v>2502015</v>
      </c>
      <c r="C2124" s="2005" t="str">
        <f>IFERROR(__xludf.DUMMYFUNCTION("""COMPUTED_VALUE"""),"Clavier+Souris")</f>
        <v>Clavier+Souris</v>
      </c>
      <c r="D2124" s="2005" t="str">
        <f>IFERROR(__xludf.DUMMYFUNCTION("""COMPUTED_VALUE"""),"MK235 sans fil silencieux")</f>
        <v>MK235 sans fil silencieux</v>
      </c>
      <c r="E2124" s="2005" t="str">
        <f>IFERROR(__xludf.DUMMYFUNCTION("""COMPUTED_VALUE"""),"LOGITECH")</f>
        <v>LOGITECH</v>
      </c>
      <c r="F2124" s="2005" t="str">
        <f>IFERROR(__xludf.DUMMYFUNCTION("""COMPUTED_VALUE"""),"W")</f>
        <v>W</v>
      </c>
      <c r="G2124" s="2005" t="str">
        <f>IFERROR(__xludf.DUMMYFUNCTION("""COMPUTED_VALUE"""),"AC")</f>
        <v>AC</v>
      </c>
      <c r="H2124" s="2005">
        <f>IFERROR(__xludf.DUMMYFUNCTION("""COMPUTED_VALUE"""),39.99)</f>
        <v>39.99</v>
      </c>
      <c r="I2124" s="2005">
        <f>IFERROR(__xludf.DUMMYFUNCTION("""COMPUTED_VALUE"""),27.99)</f>
        <v>27.99</v>
      </c>
      <c r="BD2124" s="2006"/>
      <c r="LL2124" s="2007"/>
      <c r="LM2124" s="2008"/>
      <c r="MX2124" s="2007"/>
      <c r="ND2124" s="2008"/>
    </row>
    <row r="2125">
      <c r="A2125" s="2005">
        <f>IFERROR(__xludf.DUMMYFUNCTION("""COMPUTED_VALUE"""),1174215.0)</f>
        <v>1174215</v>
      </c>
      <c r="B2125" s="2005">
        <f>IFERROR(__xludf.DUMMYFUNCTION("""COMPUTED_VALUE"""),2502015.0)</f>
        <v>2502015</v>
      </c>
      <c r="C2125" s="2005" t="str">
        <f>IFERROR(__xludf.DUMMYFUNCTION("""COMPUTED_VALUE"""),"Clavier")</f>
        <v>Clavier</v>
      </c>
      <c r="D2125" s="2005" t="str">
        <f>IFERROR(__xludf.DUMMYFUNCTION("""COMPUTED_VALUE"""),"MX Keys Plus")</f>
        <v>MX Keys Plus</v>
      </c>
      <c r="E2125" s="2005" t="str">
        <f>IFERROR(__xludf.DUMMYFUNCTION("""COMPUTED_VALUE"""),"LOGITECH")</f>
        <v>LOGITECH</v>
      </c>
      <c r="F2125" s="2005" t="str">
        <f>IFERROR(__xludf.DUMMYFUNCTION("""COMPUTED_VALUE"""),"W")</f>
        <v>W</v>
      </c>
      <c r="G2125" s="2005" t="str">
        <f>IFERROR(__xludf.DUMMYFUNCTION("""COMPUTED_VALUE"""),"FR")</f>
        <v>FR</v>
      </c>
      <c r="H2125" s="2005">
        <f>IFERROR(__xludf.DUMMYFUNCTION("""COMPUTED_VALUE"""),139.99)</f>
        <v>139.99</v>
      </c>
      <c r="I2125" s="2005">
        <f>IFERROR(__xludf.DUMMYFUNCTION("""COMPUTED_VALUE"""),139.99)</f>
        <v>139.99</v>
      </c>
      <c r="BD2125" s="2006"/>
      <c r="LL2125" s="2008"/>
      <c r="LM2125" s="2008"/>
      <c r="MX2125" s="2007"/>
      <c r="ND2125" s="2008"/>
    </row>
    <row r="2126">
      <c r="A2126" s="2005">
        <f>IFERROR(__xludf.DUMMYFUNCTION("""COMPUTED_VALUE"""),1174220.0)</f>
        <v>1174220</v>
      </c>
      <c r="B2126" s="2005">
        <f>IFERROR(__xludf.DUMMYFUNCTION("""COMPUTED_VALUE"""),2502024.0)</f>
        <v>2502024</v>
      </c>
      <c r="C2126" s="2005" t="str">
        <f>IFERROR(__xludf.DUMMYFUNCTION("""COMPUTED_VALUE"""),"Stylet")</f>
        <v>Stylet</v>
      </c>
      <c r="D2126" s="2005" t="str">
        <f>IFERROR(__xludf.DUMMYFUNCTION("""COMPUTED_VALUE"""),"actif pour Chromebook")</f>
        <v>actif pour Chromebook</v>
      </c>
      <c r="E2126" s="2005" t="str">
        <f>IFERROR(__xludf.DUMMYFUNCTION("""COMPUTED_VALUE"""),"TARGUS")</f>
        <v>TARGUS</v>
      </c>
      <c r="F2126" s="2005" t="str">
        <f>IFERROR(__xludf.DUMMYFUNCTION("""COMPUTED_VALUE"""),"H")</f>
        <v>H</v>
      </c>
      <c r="G2126" s="2005" t="str">
        <f>IFERROR(__xludf.DUMMYFUNCTION("""COMPUTED_VALUE"""),"NN")</f>
        <v>NN</v>
      </c>
      <c r="H2126" s="2005">
        <f>IFERROR(__xludf.DUMMYFUNCTION("""COMPUTED_VALUE"""),64.99)</f>
        <v>64.99</v>
      </c>
      <c r="I2126" s="2005">
        <f>IFERROR(__xludf.DUMMYFUNCTION("""COMPUTED_VALUE"""),64.99)</f>
        <v>64.99</v>
      </c>
      <c r="BD2126" s="2006"/>
      <c r="LL2126" s="2008"/>
      <c r="LM2126" s="2008"/>
      <c r="MX2126" s="2007"/>
      <c r="ND2126" s="2008"/>
    </row>
    <row r="2127">
      <c r="A2127" s="2005">
        <f>IFERROR(__xludf.DUMMYFUNCTION("""COMPUTED_VALUE"""),1174221.0)</f>
        <v>1174221</v>
      </c>
      <c r="B2127" s="2005">
        <f>IFERROR(__xludf.DUMMYFUNCTION("""COMPUTED_VALUE"""),2502024.0)</f>
        <v>2502024</v>
      </c>
      <c r="C2127" s="2005" t="str">
        <f>IFERROR(__xludf.DUMMYFUNCTION("""COMPUTED_VALUE"""),"Stylet")</f>
        <v>Stylet</v>
      </c>
      <c r="D2127" s="2005" t="str">
        <f>IFERROR(__xludf.DUMMYFUNCTION("""COMPUTED_VALUE"""),"actif antimicrobien pour iOS")</f>
        <v>actif antimicrobien pour iOS</v>
      </c>
      <c r="E2127" s="2005" t="str">
        <f>IFERROR(__xludf.DUMMYFUNCTION("""COMPUTED_VALUE"""),"TARGUS")</f>
        <v>TARGUS</v>
      </c>
      <c r="F2127" s="2005" t="str">
        <f>IFERROR(__xludf.DUMMYFUNCTION("""COMPUTED_VALUE"""),"H")</f>
        <v>H</v>
      </c>
      <c r="G2127" s="2005" t="str">
        <f>IFERROR(__xludf.DUMMYFUNCTION("""COMPUTED_VALUE"""),"NN")</f>
        <v>NN</v>
      </c>
      <c r="H2127" s="2005">
        <f>IFERROR(__xludf.DUMMYFUNCTION("""COMPUTED_VALUE"""),74.99)</f>
        <v>74.99</v>
      </c>
      <c r="I2127" s="2005">
        <f>IFERROR(__xludf.DUMMYFUNCTION("""COMPUTED_VALUE"""),74.99)</f>
        <v>74.99</v>
      </c>
      <c r="BD2127" s="2006"/>
      <c r="LL2127" s="2008"/>
      <c r="LM2127" s="2008"/>
      <c r="MX2127" s="2007"/>
      <c r="ND2127" s="2008"/>
    </row>
    <row r="2128">
      <c r="A2128" s="2005">
        <f>IFERROR(__xludf.DUMMYFUNCTION("""COMPUTED_VALUE"""),1174222.0)</f>
        <v>1174222</v>
      </c>
      <c r="B2128" s="2005">
        <f>IFERROR(__xludf.DUMMYFUNCTION("""COMPUTED_VALUE"""),2502015.0)</f>
        <v>2502015</v>
      </c>
      <c r="C2128" s="2005" t="str">
        <f>IFERROR(__xludf.DUMMYFUNCTION("""COMPUTED_VALUE"""),"Clavier")</f>
        <v>Clavier</v>
      </c>
      <c r="D2128" s="2005" t="str">
        <f>IFERROR(__xludf.DUMMYFUNCTION("""COMPUTED_VALUE"""),"Bluetooth Antimicrobien Pliable")</f>
        <v>Bluetooth Antimicrobien Pliable</v>
      </c>
      <c r="E2128" s="2005" t="str">
        <f>IFERROR(__xludf.DUMMYFUNCTION("""COMPUTED_VALUE"""),"TARGUS")</f>
        <v>TARGUS</v>
      </c>
      <c r="F2128" s="2005" t="str">
        <f>IFERROR(__xludf.DUMMYFUNCTION("""COMPUTED_VALUE"""),"W")</f>
        <v>W</v>
      </c>
      <c r="G2128" s="2005" t="str">
        <f>IFERROR(__xludf.DUMMYFUNCTION("""COMPUTED_VALUE"""),"NN")</f>
        <v>NN</v>
      </c>
      <c r="H2128" s="2005">
        <f>IFERROR(__xludf.DUMMYFUNCTION("""COMPUTED_VALUE"""),49.99)</f>
        <v>49.99</v>
      </c>
      <c r="I2128" s="2005">
        <f>IFERROR(__xludf.DUMMYFUNCTION("""COMPUTED_VALUE"""),49.99)</f>
        <v>49.99</v>
      </c>
      <c r="BD2128" s="2006"/>
      <c r="LL2128" s="2008"/>
      <c r="LM2128" s="2008"/>
      <c r="MX2128" s="2007"/>
      <c r="ND2128" s="2008"/>
    </row>
    <row r="2129">
      <c r="A2129" s="2005">
        <f>IFERROR(__xludf.DUMMYFUNCTION("""COMPUTED_VALUE"""),1174223.0)</f>
        <v>1174223</v>
      </c>
      <c r="B2129" s="2005">
        <f>IFERROR(__xludf.DUMMYFUNCTION("""COMPUTED_VALUE"""),2502015.0)</f>
        <v>2502015</v>
      </c>
      <c r="C2129" s="2005" t="str">
        <f>IFERROR(__xludf.DUMMYFUNCTION("""COMPUTED_VALUE"""),"Clavier")</f>
        <v>Clavier</v>
      </c>
      <c r="D2129" s="2005" t="str">
        <f>IFERROR(__xludf.DUMMYFUNCTION("""COMPUTED_VALUE"""),"Bluetooth Antimicrobien")</f>
        <v>Bluetooth Antimicrobien</v>
      </c>
      <c r="E2129" s="2005" t="str">
        <f>IFERROR(__xludf.DUMMYFUNCTION("""COMPUTED_VALUE"""),"TARGUS")</f>
        <v>TARGUS</v>
      </c>
      <c r="F2129" s="2005" t="str">
        <f>IFERROR(__xludf.DUMMYFUNCTION("""COMPUTED_VALUE"""),"H")</f>
        <v>H</v>
      </c>
      <c r="G2129" s="2005" t="str">
        <f>IFERROR(__xludf.DUMMYFUNCTION("""COMPUTED_VALUE"""),"NN")</f>
        <v>NN</v>
      </c>
      <c r="H2129" s="2005">
        <f>IFERROR(__xludf.DUMMYFUNCTION("""COMPUTED_VALUE"""),39.99)</f>
        <v>39.99</v>
      </c>
      <c r="I2129" s="2005">
        <f>IFERROR(__xludf.DUMMYFUNCTION("""COMPUTED_VALUE"""),39.99)</f>
        <v>39.99</v>
      </c>
      <c r="BD2129" s="2006"/>
      <c r="LL2129" s="2008"/>
      <c r="LM2129" s="2008"/>
      <c r="MX2129" s="2007"/>
      <c r="ND2129" s="2008"/>
    </row>
    <row r="2130">
      <c r="A2130" s="2005">
        <f>IFERROR(__xludf.DUMMYFUNCTION("""COMPUTED_VALUE"""),1174226.0)</f>
        <v>1174226</v>
      </c>
      <c r="B2130" s="2005">
        <f>IFERROR(__xludf.DUMMYFUNCTION("""COMPUTED_VALUE"""),2705020.0)</f>
        <v>2705020</v>
      </c>
      <c r="C2130" s="2005" t="str">
        <f>IFERROR(__xludf.DUMMYFUNCTION("""COMPUTED_VALUE"""),"Support")</f>
        <v>Support</v>
      </c>
      <c r="D2130" s="2005" t="str">
        <f>IFERROR(__xludf.DUMMYFUNCTION("""COMPUTED_VALUE"""),"pour écran avec tiroir")</f>
        <v>pour écran avec tiroir</v>
      </c>
      <c r="E2130" s="2005" t="str">
        <f>IFERROR(__xludf.DUMMYFUNCTION("""COMPUTED_VALUE"""),"TARGUS")</f>
        <v>TARGUS</v>
      </c>
      <c r="F2130" s="2005" t="str">
        <f>IFERROR(__xludf.DUMMYFUNCTION("""COMPUTED_VALUE"""),"H")</f>
        <v>H</v>
      </c>
      <c r="G2130" s="2005" t="str">
        <f>IFERROR(__xludf.DUMMYFUNCTION("""COMPUTED_VALUE"""),"NN")</f>
        <v>NN</v>
      </c>
      <c r="H2130" s="2005">
        <f>IFERROR(__xludf.DUMMYFUNCTION("""COMPUTED_VALUE"""),49.99)</f>
        <v>49.99</v>
      </c>
      <c r="I2130" s="2005">
        <f>IFERROR(__xludf.DUMMYFUNCTION("""COMPUTED_VALUE"""),49.99)</f>
        <v>49.99</v>
      </c>
      <c r="BD2130" s="2006"/>
      <c r="LL2130" s="2007"/>
      <c r="LM2130" s="2008"/>
      <c r="MX2130" s="2007"/>
      <c r="ND2130" s="2007"/>
    </row>
    <row r="2131">
      <c r="A2131" s="2005">
        <f>IFERROR(__xludf.DUMMYFUNCTION("""COMPUTED_VALUE"""),1174227.0)</f>
        <v>1174227</v>
      </c>
      <c r="B2131" s="2005">
        <f>IFERROR(__xludf.DUMMYFUNCTION("""COMPUTED_VALUE"""),2705020.0)</f>
        <v>2705020</v>
      </c>
      <c r="C2131" s="2005" t="str">
        <f>IFERROR(__xludf.DUMMYFUNCTION("""COMPUTED_VALUE"""),"Support")</f>
        <v>Support</v>
      </c>
      <c r="D2131" s="2005" t="str">
        <f>IFERROR(__xludf.DUMMYFUNCTION("""COMPUTED_VALUE"""),"pour PC portable M-Pro")</f>
        <v>pour PC portable M-Pro</v>
      </c>
      <c r="E2131" s="2005" t="str">
        <f>IFERROR(__xludf.DUMMYFUNCTION("""COMPUTED_VALUE"""),"TARGUS")</f>
        <v>TARGUS</v>
      </c>
      <c r="F2131" s="2005" t="str">
        <f>IFERROR(__xludf.DUMMYFUNCTION("""COMPUTED_VALUE"""),"H")</f>
        <v>H</v>
      </c>
      <c r="G2131" s="2005" t="str">
        <f>IFERROR(__xludf.DUMMYFUNCTION("""COMPUTED_VALUE"""),"NN")</f>
        <v>NN</v>
      </c>
      <c r="H2131" s="2005">
        <f>IFERROR(__xludf.DUMMYFUNCTION("""COMPUTED_VALUE"""),89.99)</f>
        <v>89.99</v>
      </c>
      <c r="I2131" s="2005">
        <f>IFERROR(__xludf.DUMMYFUNCTION("""COMPUTED_VALUE"""),89.99)</f>
        <v>89.99</v>
      </c>
      <c r="BD2131" s="2006"/>
      <c r="LL2131" s="2007"/>
      <c r="LM2131" s="2008"/>
      <c r="MX2131" s="2007"/>
      <c r="ND2131" s="2008"/>
    </row>
    <row r="2132">
      <c r="A2132" s="2005">
        <f>IFERROR(__xludf.DUMMYFUNCTION("""COMPUTED_VALUE"""),1174229.0)</f>
        <v>1174229</v>
      </c>
      <c r="B2132" s="2005">
        <f>IFERROR(__xludf.DUMMYFUNCTION("""COMPUTED_VALUE"""),2705020.0)</f>
        <v>2705020</v>
      </c>
      <c r="C2132" s="2005" t="str">
        <f>IFERROR(__xludf.DUMMYFUNCTION("""COMPUTED_VALUE"""),"Support")</f>
        <v>Support</v>
      </c>
      <c r="D2132" s="2005" t="str">
        <f>IFERROR(__xludf.DUMMYFUNCTION("""COMPUTED_VALUE"""),"pour ordinateur portable")</f>
        <v>pour ordinateur portable</v>
      </c>
      <c r="E2132" s="2005" t="str">
        <f>IFERROR(__xludf.DUMMYFUNCTION("""COMPUTED_VALUE"""),"TARGUS")</f>
        <v>TARGUS</v>
      </c>
      <c r="F2132" s="2005" t="str">
        <f>IFERROR(__xludf.DUMMYFUNCTION("""COMPUTED_VALUE"""),"H")</f>
        <v>H</v>
      </c>
      <c r="G2132" s="2005" t="str">
        <f>IFERROR(__xludf.DUMMYFUNCTION("""COMPUTED_VALUE"""),"NN")</f>
        <v>NN</v>
      </c>
      <c r="H2132" s="2005">
        <f>IFERROR(__xludf.DUMMYFUNCTION("""COMPUTED_VALUE"""),32.99)</f>
        <v>32.99</v>
      </c>
      <c r="I2132" s="2005">
        <f>IFERROR(__xludf.DUMMYFUNCTION("""COMPUTED_VALUE"""),32.99)</f>
        <v>32.99</v>
      </c>
      <c r="BD2132" s="2006"/>
      <c r="LL2132" s="2007"/>
      <c r="LM2132" s="2008"/>
      <c r="MX2132" s="2007"/>
      <c r="ND2132" s="2007"/>
    </row>
    <row r="2133">
      <c r="A2133" s="2005">
        <f>IFERROR(__xludf.DUMMYFUNCTION("""COMPUTED_VALUE"""),1174230.0)</f>
        <v>1174230</v>
      </c>
      <c r="B2133" s="2005">
        <f>IFERROR(__xludf.DUMMYFUNCTION("""COMPUTED_VALUE"""),2705020.0)</f>
        <v>2705020</v>
      </c>
      <c r="C2133" s="2005" t="str">
        <f>IFERROR(__xludf.DUMMYFUNCTION("""COMPUTED_VALUE"""),"Support")</f>
        <v>Support</v>
      </c>
      <c r="D2133" s="2005" t="str">
        <f>IFERROR(__xludf.DUMMYFUNCTION("""COMPUTED_VALUE"""),"pliable pour PC portable")</f>
        <v>pliable pour PC portable</v>
      </c>
      <c r="E2133" s="2005" t="str">
        <f>IFERROR(__xludf.DUMMYFUNCTION("""COMPUTED_VALUE"""),"TARGUS")</f>
        <v>TARGUS</v>
      </c>
      <c r="F2133" s="2005" t="str">
        <f>IFERROR(__xludf.DUMMYFUNCTION("""COMPUTED_VALUE"""),"H")</f>
        <v>H</v>
      </c>
      <c r="G2133" s="2005" t="str">
        <f>IFERROR(__xludf.DUMMYFUNCTION("""COMPUTED_VALUE"""),"NN")</f>
        <v>NN</v>
      </c>
      <c r="H2133" s="2005">
        <f>IFERROR(__xludf.DUMMYFUNCTION("""COMPUTED_VALUE"""),39.99)</f>
        <v>39.99</v>
      </c>
      <c r="I2133" s="2005">
        <f>IFERROR(__xludf.DUMMYFUNCTION("""COMPUTED_VALUE"""),39.99)</f>
        <v>39.99</v>
      </c>
      <c r="BD2133" s="2006"/>
      <c r="LL2133" s="2008"/>
      <c r="LM2133" s="2008"/>
      <c r="MX2133" s="2007"/>
      <c r="ND2133" s="2008"/>
    </row>
    <row r="2134">
      <c r="A2134" s="2005">
        <f>IFERROR(__xludf.DUMMYFUNCTION("""COMPUTED_VALUE"""),1174231.0)</f>
        <v>1174231</v>
      </c>
      <c r="B2134" s="2005">
        <f>IFERROR(__xludf.DUMMYFUNCTION("""COMPUTED_VALUE"""),2502515.0)</f>
        <v>2502515</v>
      </c>
      <c r="C2134" s="2005" t="str">
        <f>IFERROR(__xludf.DUMMYFUNCTION("""COMPUTED_VALUE"""),"Câble")</f>
        <v>Câble</v>
      </c>
      <c r="D2134" s="2005" t="str">
        <f>IFERROR(__xludf.DUMMYFUNCTION("""COMPUTED_VALUE"""),"Antivol universel")</f>
        <v>Antivol universel</v>
      </c>
      <c r="E2134" s="2005" t="str">
        <f>IFERROR(__xludf.DUMMYFUNCTION("""COMPUTED_VALUE"""),"TARGUS")</f>
        <v>TARGUS</v>
      </c>
      <c r="F2134" s="2005" t="str">
        <f>IFERROR(__xludf.DUMMYFUNCTION("""COMPUTED_VALUE"""),"H")</f>
        <v>H</v>
      </c>
      <c r="G2134" s="2005" t="str">
        <f>IFERROR(__xludf.DUMMYFUNCTION("""COMPUTED_VALUE"""),"NN")</f>
        <v>NN</v>
      </c>
      <c r="H2134">
        <f>IFERROR(__xludf.DUMMYFUNCTION("""COMPUTED_VALUE"""),39.99)</f>
        <v>39.99</v>
      </c>
      <c r="I2134" s="2005">
        <f>IFERROR(__xludf.DUMMYFUNCTION("""COMPUTED_VALUE"""),39.99)</f>
        <v>39.99</v>
      </c>
      <c r="BD2134" s="2006"/>
      <c r="LL2134" s="2008"/>
      <c r="LM2134" s="2008"/>
      <c r="MX2134" s="2007"/>
      <c r="ND2134" s="2008"/>
    </row>
    <row r="2135">
      <c r="A2135" s="2005">
        <f>IFERROR(__xludf.DUMMYFUNCTION("""COMPUTED_VALUE"""),1174232.0)</f>
        <v>1174232</v>
      </c>
      <c r="B2135" s="2005">
        <f>IFERROR(__xludf.DUMMYFUNCTION("""COMPUTED_VALUE"""),2502515.0)</f>
        <v>2502515</v>
      </c>
      <c r="C2135" s="2005" t="str">
        <f>IFERROR(__xludf.DUMMYFUNCTION("""COMPUTED_VALUE"""),"Câble")</f>
        <v>Câble</v>
      </c>
      <c r="D2135" s="2005" t="str">
        <f>IFERROR(__xludf.DUMMYFUNCTION("""COMPUTED_VALUE"""),"antivol avec code")</f>
        <v>antivol avec code</v>
      </c>
      <c r="E2135" s="2005" t="str">
        <f>IFERROR(__xludf.DUMMYFUNCTION("""COMPUTED_VALUE"""),"TARGUS")</f>
        <v>TARGUS</v>
      </c>
      <c r="F2135" s="2005" t="str">
        <f>IFERROR(__xludf.DUMMYFUNCTION("""COMPUTED_VALUE"""),"H")</f>
        <v>H</v>
      </c>
      <c r="G2135" s="2005" t="str">
        <f>IFERROR(__xludf.DUMMYFUNCTION("""COMPUTED_VALUE"""),"FR")</f>
        <v>FR</v>
      </c>
      <c r="H2135" s="2005">
        <f>IFERROR(__xludf.DUMMYFUNCTION("""COMPUTED_VALUE"""),49.99)</f>
        <v>49.99</v>
      </c>
      <c r="I2135" s="2005">
        <f>IFERROR(__xludf.DUMMYFUNCTION("""COMPUTED_VALUE"""),49.99)</f>
        <v>49.99</v>
      </c>
      <c r="BD2135" s="2006"/>
      <c r="LL2135" s="2008"/>
      <c r="LM2135" s="2008"/>
      <c r="MX2135" s="2008"/>
      <c r="ND2135" s="2008"/>
    </row>
    <row r="2136">
      <c r="A2136" s="2005">
        <f>IFERROR(__xludf.DUMMYFUNCTION("""COMPUTED_VALUE"""),1174233.0)</f>
        <v>1174233</v>
      </c>
      <c r="B2136" s="2005">
        <f>IFERROR(__xludf.DUMMYFUNCTION("""COMPUTED_VALUE"""),2705020.0)</f>
        <v>2705020</v>
      </c>
      <c r="C2136" s="2005" t="str">
        <f>IFERROR(__xludf.DUMMYFUNCTION("""COMPUTED_VALUE"""),"Support")</f>
        <v>Support</v>
      </c>
      <c r="D2136" s="2005" t="str">
        <f>IFERROR(__xludf.DUMMYFUNCTION("""COMPUTED_VALUE"""),"PC + tab souris incluse")</f>
        <v>PC + tab souris incluse</v>
      </c>
      <c r="E2136" s="2005" t="str">
        <f>IFERROR(__xludf.DUMMYFUNCTION("""COMPUTED_VALUE"""),"TARGUS")</f>
        <v>TARGUS</v>
      </c>
      <c r="F2136" s="2005" t="str">
        <f>IFERROR(__xludf.DUMMYFUNCTION("""COMPUTED_VALUE"""),"H")</f>
        <v>H</v>
      </c>
      <c r="G2136" s="2005" t="str">
        <f>IFERROR(__xludf.DUMMYFUNCTION("""COMPUTED_VALUE"""),"FR")</f>
        <v>FR</v>
      </c>
      <c r="H2136">
        <f>IFERROR(__xludf.DUMMYFUNCTION("""COMPUTED_VALUE"""),29.99)</f>
        <v>29.99</v>
      </c>
      <c r="I2136">
        <f>IFERROR(__xludf.DUMMYFUNCTION("""COMPUTED_VALUE"""),29.99)</f>
        <v>29.99</v>
      </c>
      <c r="BD2136" s="2006"/>
      <c r="LL2136" s="2007"/>
      <c r="LM2136" s="2008"/>
      <c r="MX2136" s="2007"/>
      <c r="ND2136" s="2007"/>
    </row>
    <row r="2137">
      <c r="A2137" s="2005">
        <f>IFERROR(__xludf.DUMMYFUNCTION("""COMPUTED_VALUE"""),1174360.0)</f>
        <v>1174360</v>
      </c>
      <c r="B2137" s="2005">
        <f>IFERROR(__xludf.DUMMYFUNCTION("""COMPUTED_VALUE"""),2202005.0)</f>
        <v>2202005</v>
      </c>
      <c r="C2137" s="2005" t="str">
        <f>IFERROR(__xludf.DUMMYFUNCTION("""COMPUTED_VALUE"""),"Multi Jet d'enc")</f>
        <v>Multi Jet d'enc</v>
      </c>
      <c r="D2137" s="2005" t="str">
        <f>IFERROR(__xludf.DUMMYFUNCTION("""COMPUTED_VALUE"""),"Envy 6030e éligible Instant Ink")</f>
        <v>Envy 6030e éligible Instant Ink</v>
      </c>
      <c r="E2137" s="2005" t="str">
        <f>IFERROR(__xludf.DUMMYFUNCTION("""COMPUTED_VALUE"""),"HP")</f>
        <v>HP</v>
      </c>
      <c r="F2137" s="2005" t="str">
        <f>IFERROR(__xludf.DUMMYFUNCTION("""COMPUTED_VALUE"""),"A")</f>
        <v>A</v>
      </c>
      <c r="G2137" s="2005" t="str">
        <f>IFERROR(__xludf.DUMMYFUNCTION("""COMPUTED_VALUE"""),"NN")</f>
        <v>NN</v>
      </c>
      <c r="H2137">
        <f>IFERROR(__xludf.DUMMYFUNCTION("""COMPUTED_VALUE"""),99.99)</f>
        <v>99.99</v>
      </c>
      <c r="I2137" s="2005">
        <f>IFERROR(__xludf.DUMMYFUNCTION("""COMPUTED_VALUE"""),99.99)</f>
        <v>99.99</v>
      </c>
      <c r="BD2137" s="2006"/>
      <c r="LL2137" s="2007"/>
      <c r="LM2137" s="2008"/>
      <c r="MX2137" s="2007"/>
      <c r="ND2137" s="2007"/>
    </row>
    <row r="2138">
      <c r="A2138" s="2005">
        <f>IFERROR(__xludf.DUMMYFUNCTION("""COMPUTED_VALUE"""),1174369.0)</f>
        <v>1174369</v>
      </c>
      <c r="B2138" s="2005">
        <f>IFERROR(__xludf.DUMMYFUNCTION("""COMPUTED_VALUE"""),2202005.0)</f>
        <v>2202005</v>
      </c>
      <c r="C2138" s="2005" t="str">
        <f>IFERROR(__xludf.DUMMYFUNCTION("""COMPUTED_VALUE"""),"Multi Jet d'enc")</f>
        <v>Multi Jet d'enc</v>
      </c>
      <c r="D2138" s="2005" t="str">
        <f>IFERROR(__xludf.DUMMYFUNCTION("""COMPUTED_VALUE"""),"OfficeJet 8012 éligible Instant Ink")</f>
        <v>OfficeJet 8012 éligible Instant Ink</v>
      </c>
      <c r="E2138" s="2005" t="str">
        <f>IFERROR(__xludf.DUMMYFUNCTION("""COMPUTED_VALUE"""),"HP")</f>
        <v>HP</v>
      </c>
      <c r="F2138" s="2005" t="str">
        <f>IFERROR(__xludf.DUMMYFUNCTION("""COMPUTED_VALUE"""),"H")</f>
        <v>H</v>
      </c>
      <c r="G2138" s="2005" t="str">
        <f>IFERROR(__xludf.DUMMYFUNCTION("""COMPUTED_VALUE"""),"NN")</f>
        <v>NN</v>
      </c>
      <c r="H2138" s="2005">
        <f>IFERROR(__xludf.DUMMYFUNCTION("""COMPUTED_VALUE"""),139.99)</f>
        <v>139.99</v>
      </c>
      <c r="I2138" s="2005">
        <f>IFERROR(__xludf.DUMMYFUNCTION("""COMPUTED_VALUE"""),139.99)</f>
        <v>139.99</v>
      </c>
      <c r="BD2138" s="2006"/>
      <c r="LL2138" s="2007"/>
      <c r="LM2138" s="2008"/>
      <c r="MX2138" s="2007"/>
      <c r="ND2138" s="2007"/>
    </row>
    <row r="2139">
      <c r="A2139" s="2005">
        <f>IFERROR(__xludf.DUMMYFUNCTION("""COMPUTED_VALUE"""),1174380.0)</f>
        <v>1174380</v>
      </c>
      <c r="B2139" s="2005">
        <f>IFERROR(__xludf.DUMMYFUNCTION("""COMPUTED_VALUE"""),2202010.0)</f>
        <v>2202010</v>
      </c>
      <c r="C2139" s="2005" t="str">
        <f>IFERROR(__xludf.DUMMYFUNCTION("""COMPUTED_VALUE"""),"Multi Jet d'enc")</f>
        <v>Multi Jet d'enc</v>
      </c>
      <c r="D2139" s="2005" t="str">
        <f>IFERROR(__xludf.DUMMYFUNCTION("""COMPUTED_VALUE"""),"Smart Tank Plus 7605")</f>
        <v>Smart Tank Plus 7605</v>
      </c>
      <c r="E2139" s="2005" t="str">
        <f>IFERROR(__xludf.DUMMYFUNCTION("""COMPUTED_VALUE"""),"HP")</f>
        <v>HP</v>
      </c>
      <c r="F2139" s="2005" t="str">
        <f>IFERROR(__xludf.DUMMYFUNCTION("""COMPUTED_VALUE"""),"H")</f>
        <v>H</v>
      </c>
      <c r="G2139" s="2005" t="str">
        <f>IFERROR(__xludf.DUMMYFUNCTION("""COMPUTED_VALUE"""),"AC")</f>
        <v>AC</v>
      </c>
      <c r="H2139">
        <f>IFERROR(__xludf.DUMMYFUNCTION("""COMPUTED_VALUE"""),449.99)</f>
        <v>449.99</v>
      </c>
      <c r="I2139">
        <f>IFERROR(__xludf.DUMMYFUNCTION("""COMPUTED_VALUE"""),449.99)</f>
        <v>449.99</v>
      </c>
      <c r="BD2139" s="2006"/>
      <c r="LL2139" s="2007"/>
      <c r="LM2139" s="2008"/>
      <c r="MX2139" s="2007"/>
      <c r="ND2139" s="2007"/>
    </row>
    <row r="2140">
      <c r="A2140" s="2005">
        <f>IFERROR(__xludf.DUMMYFUNCTION("""COMPUTED_VALUE"""),1174441.0)</f>
        <v>1174441</v>
      </c>
      <c r="B2140" s="2005">
        <f>IFERROR(__xludf.DUMMYFUNCTION("""COMPUTED_VALUE"""),2202005.0)</f>
        <v>2202005</v>
      </c>
      <c r="C2140" s="2005" t="str">
        <f>IFERROR(__xludf.DUMMYFUNCTION("""COMPUTED_VALUE"""),"Multi Jet d'enc")</f>
        <v>Multi Jet d'enc</v>
      </c>
      <c r="D2140" s="2005" t="str">
        <f>IFERROR(__xludf.DUMMYFUNCTION("""COMPUTED_VALUE"""),"Envy Inspire 7221e éligible Instant Ink")</f>
        <v>Envy Inspire 7221e éligible Instant Ink</v>
      </c>
      <c r="E2140" s="2005" t="str">
        <f>IFERROR(__xludf.DUMMYFUNCTION("""COMPUTED_VALUE"""),"HP")</f>
        <v>HP</v>
      </c>
      <c r="F2140" s="2005" t="str">
        <f>IFERROR(__xludf.DUMMYFUNCTION("""COMPUTED_VALUE"""),"B")</f>
        <v>B</v>
      </c>
      <c r="G2140" s="2005" t="str">
        <f>IFERROR(__xludf.DUMMYFUNCTION("""COMPUTED_VALUE"""),"AC")</f>
        <v>AC</v>
      </c>
      <c r="H2140" s="2005">
        <f>IFERROR(__xludf.DUMMYFUNCTION("""COMPUTED_VALUE"""),139.99)</f>
        <v>139.99</v>
      </c>
      <c r="I2140" s="2005">
        <f>IFERROR(__xludf.DUMMYFUNCTION("""COMPUTED_VALUE"""),139.99)</f>
        <v>139.99</v>
      </c>
      <c r="BD2140" s="2006"/>
      <c r="LL2140" s="2007"/>
      <c r="LM2140" s="2008"/>
      <c r="MX2140" s="2007"/>
      <c r="ND2140" s="2007"/>
    </row>
    <row r="2141">
      <c r="A2141" s="2005">
        <f>IFERROR(__xludf.DUMMYFUNCTION("""COMPUTED_VALUE"""),1174443.0)</f>
        <v>1174443</v>
      </c>
      <c r="B2141" s="2005">
        <f>IFERROR(__xludf.DUMMYFUNCTION("""COMPUTED_VALUE"""),2202005.0)</f>
        <v>2202005</v>
      </c>
      <c r="C2141" s="2005" t="str">
        <f>IFERROR(__xludf.DUMMYFUNCTION("""COMPUTED_VALUE"""),"Multi Jet d'enc")</f>
        <v>Multi Jet d'enc</v>
      </c>
      <c r="D2141" s="2005" t="str">
        <f>IFERROR(__xludf.DUMMYFUNCTION("""COMPUTED_VALUE"""),"Envy Inspire 7921e éligible Instant Ink")</f>
        <v>Envy Inspire 7921e éligible Instant Ink</v>
      </c>
      <c r="E2141" s="2005" t="str">
        <f>IFERROR(__xludf.DUMMYFUNCTION("""COMPUTED_VALUE"""),"HP")</f>
        <v>HP</v>
      </c>
      <c r="F2141" s="2005" t="str">
        <f>IFERROR(__xludf.DUMMYFUNCTION("""COMPUTED_VALUE"""),"C")</f>
        <v>C</v>
      </c>
      <c r="G2141" s="2005" t="str">
        <f>IFERROR(__xludf.DUMMYFUNCTION("""COMPUTED_VALUE"""),"NN")</f>
        <v>NN</v>
      </c>
      <c r="H2141" s="2005">
        <f>IFERROR(__xludf.DUMMYFUNCTION("""COMPUTED_VALUE"""),189.99)</f>
        <v>189.99</v>
      </c>
      <c r="I2141" s="2005">
        <f>IFERROR(__xludf.DUMMYFUNCTION("""COMPUTED_VALUE"""),189.99)</f>
        <v>189.99</v>
      </c>
      <c r="BD2141" s="2006"/>
      <c r="LL2141" s="2008"/>
      <c r="LM2141" s="2008"/>
      <c r="MX2141" s="2007"/>
      <c r="ND2141" s="2008"/>
    </row>
    <row r="2142">
      <c r="A2142" s="2005">
        <f>IFERROR(__xludf.DUMMYFUNCTION("""COMPUTED_VALUE"""),1174447.0)</f>
        <v>1174447</v>
      </c>
      <c r="B2142" s="2005">
        <f>IFERROR(__xludf.DUMMYFUNCTION("""COMPUTED_VALUE"""),2202008.0)</f>
        <v>2202008</v>
      </c>
      <c r="C2142" s="2005" t="str">
        <f>IFERROR(__xludf.DUMMYFUNCTION("""COMPUTED_VALUE"""),"Multi Laser")</f>
        <v>Multi Laser</v>
      </c>
      <c r="D2142" s="2005" t="str">
        <f>IFERROR(__xludf.DUMMYFUNCTION("""COMPUTED_VALUE"""),"LaserJet M140we éligible Instant Ink")</f>
        <v>LaserJet M140we éligible Instant Ink</v>
      </c>
      <c r="E2142" s="2005" t="str">
        <f>IFERROR(__xludf.DUMMYFUNCTION("""COMPUTED_VALUE"""),"HP")</f>
        <v>HP</v>
      </c>
      <c r="F2142" s="2005" t="str">
        <f>IFERROR(__xludf.DUMMYFUNCTION("""COMPUTED_VALUE"""),"D")</f>
        <v>D</v>
      </c>
      <c r="G2142" s="2005" t="str">
        <f>IFERROR(__xludf.DUMMYFUNCTION("""COMPUTED_VALUE"""),"FR")</f>
        <v>FR</v>
      </c>
      <c r="H2142" s="2005">
        <f>IFERROR(__xludf.DUMMYFUNCTION("""COMPUTED_VALUE"""),159.99)</f>
        <v>159.99</v>
      </c>
      <c r="I2142" s="2005">
        <f>IFERROR(__xludf.DUMMYFUNCTION("""COMPUTED_VALUE"""),154.99)</f>
        <v>154.99</v>
      </c>
      <c r="BD2142" s="2006"/>
      <c r="LL2142" s="2008"/>
      <c r="LM2142" s="2008"/>
      <c r="MX2142" s="2007"/>
      <c r="ND2142" s="2008"/>
    </row>
    <row r="2143">
      <c r="A2143" s="2005">
        <f>IFERROR(__xludf.DUMMYFUNCTION("""COMPUTED_VALUE"""),1174448.0)</f>
        <v>1174448</v>
      </c>
      <c r="B2143" s="2005">
        <f>IFERROR(__xludf.DUMMYFUNCTION("""COMPUTED_VALUE"""),2201020.0)</f>
        <v>2201020</v>
      </c>
      <c r="C2143" s="2005" t="str">
        <f>IFERROR(__xludf.DUMMYFUNCTION("""COMPUTED_VALUE"""),"Mono Laser")</f>
        <v>Mono Laser</v>
      </c>
      <c r="D2143" s="2005" t="str">
        <f>IFERROR(__xludf.DUMMYFUNCTION("""COMPUTED_VALUE"""),"LaserJet M110we éligible Instant Ink")</f>
        <v>LaserJet M110we éligible Instant Ink</v>
      </c>
      <c r="E2143" s="2005" t="str">
        <f>IFERROR(__xludf.DUMMYFUNCTION("""COMPUTED_VALUE"""),"HP")</f>
        <v>HP</v>
      </c>
      <c r="F2143" s="2005" t="str">
        <f>IFERROR(__xludf.DUMMYFUNCTION("""COMPUTED_VALUE"""),"C")</f>
        <v>C</v>
      </c>
      <c r="G2143" s="2005" t="str">
        <f>IFERROR(__xludf.DUMMYFUNCTION("""COMPUTED_VALUE"""),"FR")</f>
        <v>FR</v>
      </c>
      <c r="H2143" s="2005">
        <f>IFERROR(__xludf.DUMMYFUNCTION("""COMPUTED_VALUE"""),119.99)</f>
        <v>119.99</v>
      </c>
      <c r="I2143" s="2005">
        <f>IFERROR(__xludf.DUMMYFUNCTION("""COMPUTED_VALUE"""),119.99)</f>
        <v>119.99</v>
      </c>
      <c r="BD2143" s="2006"/>
      <c r="LL2143" s="2008"/>
      <c r="LM2143" s="2008"/>
      <c r="MX2143" s="2007"/>
      <c r="ND2143" s="2008"/>
    </row>
    <row r="2144">
      <c r="A2144" s="2005">
        <f>IFERROR(__xludf.DUMMYFUNCTION("""COMPUTED_VALUE"""),1174450.0)</f>
        <v>1174450</v>
      </c>
      <c r="B2144" s="2005">
        <f>IFERROR(__xludf.DUMMYFUNCTION("""COMPUTED_VALUE"""),2202008.0)</f>
        <v>2202008</v>
      </c>
      <c r="C2144" s="2005" t="str">
        <f>IFERROR(__xludf.DUMMYFUNCTION("""COMPUTED_VALUE"""),"Multi Laser")</f>
        <v>Multi Laser</v>
      </c>
      <c r="D2144" s="2005" t="str">
        <f>IFERROR(__xludf.DUMMYFUNCTION("""COMPUTED_VALUE"""),"HL-L5100DN")</f>
        <v>HL-L5100DN</v>
      </c>
      <c r="E2144" s="2005" t="str">
        <f>IFERROR(__xludf.DUMMYFUNCTION("""COMPUTED_VALUE"""),"BROTHER")</f>
        <v>BROTHER</v>
      </c>
      <c r="F2144" s="2005" t="str">
        <f>IFERROR(__xludf.DUMMYFUNCTION("""COMPUTED_VALUE"""),"W")</f>
        <v>W</v>
      </c>
      <c r="G2144" s="2005" t="str">
        <f>IFERROR(__xludf.DUMMYFUNCTION("""COMPUTED_VALUE"""),"NN")</f>
        <v>NN</v>
      </c>
      <c r="H2144" s="2005">
        <f>IFERROR(__xludf.DUMMYFUNCTION("""COMPUTED_VALUE"""),369.99)</f>
        <v>369.99</v>
      </c>
      <c r="I2144" s="2005">
        <f>IFERROR(__xludf.DUMMYFUNCTION("""COMPUTED_VALUE"""),369.99)</f>
        <v>369.99</v>
      </c>
      <c r="BD2144" s="2006"/>
      <c r="LL2144" s="2008"/>
      <c r="LM2144" s="2008"/>
      <c r="MX2144" s="2007"/>
      <c r="ND2144" s="2008"/>
    </row>
    <row r="2145">
      <c r="A2145" s="2005">
        <f>IFERROR(__xludf.DUMMYFUNCTION("""COMPUTED_VALUE"""),1174451.0)</f>
        <v>1174451</v>
      </c>
      <c r="B2145" s="2005">
        <f>IFERROR(__xludf.DUMMYFUNCTION("""COMPUTED_VALUE"""),2202008.0)</f>
        <v>2202008</v>
      </c>
      <c r="C2145" s="2005" t="str">
        <f>IFERROR(__xludf.DUMMYFUNCTION("""COMPUTED_VALUE"""),"Multi Laser")</f>
        <v>Multi Laser</v>
      </c>
      <c r="D2145" s="2005" t="str">
        <f>IFERROR(__xludf.DUMMYFUNCTION("""COMPUTED_VALUE"""),"HL-L8260CDW")</f>
        <v>HL-L8260CDW</v>
      </c>
      <c r="E2145" s="2005" t="str">
        <f>IFERROR(__xludf.DUMMYFUNCTION("""COMPUTED_VALUE"""),"BROTHER")</f>
        <v>BROTHER</v>
      </c>
      <c r="F2145" s="2005" t="str">
        <f>IFERROR(__xludf.DUMMYFUNCTION("""COMPUTED_VALUE"""),"H")</f>
        <v>H</v>
      </c>
      <c r="G2145" s="2005" t="str">
        <f>IFERROR(__xludf.DUMMYFUNCTION("""COMPUTED_VALUE"""),"AC")</f>
        <v>AC</v>
      </c>
      <c r="H2145" s="2005">
        <f>IFERROR(__xludf.DUMMYFUNCTION("""COMPUTED_VALUE"""),419.87)</f>
        <v>419.87</v>
      </c>
      <c r="I2145" s="2005">
        <f>IFERROR(__xludf.DUMMYFUNCTION("""COMPUTED_VALUE"""),419.87)</f>
        <v>419.87</v>
      </c>
      <c r="BD2145" s="2006"/>
      <c r="LL2145" s="2008"/>
      <c r="LM2145" s="2008"/>
      <c r="MX2145" s="2007"/>
      <c r="ND2145" s="2008"/>
    </row>
    <row r="2146">
      <c r="A2146" s="2005">
        <f>IFERROR(__xludf.DUMMYFUNCTION("""COMPUTED_VALUE"""),1174453.0)</f>
        <v>1174453</v>
      </c>
      <c r="B2146" s="2005">
        <f>IFERROR(__xludf.DUMMYFUNCTION("""COMPUTED_VALUE"""),2402045.0)</f>
        <v>2402045</v>
      </c>
      <c r="C2146" s="2005" t="str">
        <f>IFERROR(__xludf.DUMMYFUNCTION("""COMPUTED_VALUE"""),"Papier")</f>
        <v>Papier</v>
      </c>
      <c r="D2146" s="2005" t="str">
        <f>IFERROR(__xludf.DUMMYFUNCTION("""COMPUTED_VALUE"""),"Thermique A4 PAC411")</f>
        <v>Thermique A4 PAC411</v>
      </c>
      <c r="E2146" s="2005" t="str">
        <f>IFERROR(__xludf.DUMMYFUNCTION("""COMPUTED_VALUE"""),"BROTHER")</f>
        <v>BROTHER</v>
      </c>
      <c r="F2146" s="2005" t="str">
        <f>IFERROR(__xludf.DUMMYFUNCTION("""COMPUTED_VALUE"""),"W")</f>
        <v>W</v>
      </c>
      <c r="G2146" s="2005" t="str">
        <f>IFERROR(__xludf.DUMMYFUNCTION("""COMPUTED_VALUE"""),"AC")</f>
        <v>AC</v>
      </c>
      <c r="H2146" s="2005">
        <f>IFERROR(__xludf.DUMMYFUNCTION("""COMPUTED_VALUE"""),13.99)</f>
        <v>13.99</v>
      </c>
      <c r="I2146" s="2005">
        <f>IFERROR(__xludf.DUMMYFUNCTION("""COMPUTED_VALUE"""),11.99)</f>
        <v>11.99</v>
      </c>
      <c r="BD2146" s="2006"/>
      <c r="LL2146" s="2008"/>
      <c r="LM2146" s="2008"/>
      <c r="MX2146" s="2008"/>
      <c r="ND2146" s="2008"/>
    </row>
    <row r="2147">
      <c r="A2147" s="2005">
        <f>IFERROR(__xludf.DUMMYFUNCTION("""COMPUTED_VALUE"""),1174454.0)</f>
        <v>1174454</v>
      </c>
      <c r="B2147" s="2005">
        <f>IFERROR(__xludf.DUMMYFUNCTION("""COMPUTED_VALUE"""),2352505.0)</f>
        <v>2352505</v>
      </c>
      <c r="C2147" s="2005" t="str">
        <f>IFERROR(__xludf.DUMMYFUNCTION("""COMPUTED_VALUE"""),"Alimentation")</f>
        <v>Alimentation</v>
      </c>
      <c r="D2147" s="2005" t="str">
        <f>IFERROR(__xludf.DUMMYFUNCTION("""COMPUTED_VALUE"""),"Adaptateur secteur PJ PAAD600AEU")</f>
        <v>Adaptateur secteur PJ PAAD600AEU</v>
      </c>
      <c r="E2147" s="2005" t="str">
        <f>IFERROR(__xludf.DUMMYFUNCTION("""COMPUTED_VALUE"""),"BROTHER")</f>
        <v>BROTHER</v>
      </c>
      <c r="F2147" s="2005" t="str">
        <f>IFERROR(__xludf.DUMMYFUNCTION("""COMPUTED_VALUE"""),"W")</f>
        <v>W</v>
      </c>
      <c r="G2147" s="2005" t="str">
        <f>IFERROR(__xludf.DUMMYFUNCTION("""COMPUTED_VALUE"""),"AC")</f>
        <v>AC</v>
      </c>
      <c r="H2147" s="2005">
        <f>IFERROR(__xludf.DUMMYFUNCTION("""COMPUTED_VALUE"""),59.99)</f>
        <v>59.99</v>
      </c>
      <c r="I2147" s="2005">
        <f>IFERROR(__xludf.DUMMYFUNCTION("""COMPUTED_VALUE"""),47.8)</f>
        <v>47.8</v>
      </c>
      <c r="BD2147" s="2006"/>
      <c r="LL2147" s="2008"/>
      <c r="LM2147" s="2008"/>
      <c r="MX2147" s="2007"/>
      <c r="ND2147" s="2008"/>
    </row>
    <row r="2148">
      <c r="A2148">
        <f>IFERROR(__xludf.DUMMYFUNCTION("""COMPUTED_VALUE"""),1174455.0)</f>
        <v>1174455</v>
      </c>
      <c r="B2148">
        <f>IFERROR(__xludf.DUMMYFUNCTION("""COMPUTED_VALUE"""),2352505.0)</f>
        <v>2352505</v>
      </c>
      <c r="C2148" t="str">
        <f>IFERROR(__xludf.DUMMYFUNCTION("""COMPUTED_VALUE"""),"Batterie")</f>
        <v>Batterie</v>
      </c>
      <c r="D2148" t="str">
        <f>IFERROR(__xludf.DUMMYFUNCTION("""COMPUTED_VALUE"""),"Imprimante mobile PJ PABT002")</f>
        <v>Imprimante mobile PJ PABT002</v>
      </c>
      <c r="E2148" t="str">
        <f>IFERROR(__xludf.DUMMYFUNCTION("""COMPUTED_VALUE"""),"BROTHER")</f>
        <v>BROTHER</v>
      </c>
      <c r="F2148" t="str">
        <f>IFERROR(__xludf.DUMMYFUNCTION("""COMPUTED_VALUE"""),"W")</f>
        <v>W</v>
      </c>
      <c r="G2148" t="str">
        <f>IFERROR(__xludf.DUMMYFUNCTION("""COMPUTED_VALUE"""),"AC")</f>
        <v>AC</v>
      </c>
      <c r="H2148">
        <f>IFERROR(__xludf.DUMMYFUNCTION("""COMPUTED_VALUE"""),154.99)</f>
        <v>154.99</v>
      </c>
      <c r="I2148">
        <f>IFERROR(__xludf.DUMMYFUNCTION("""COMPUTED_VALUE"""),134.92)</f>
        <v>134.92</v>
      </c>
      <c r="BD2148" s="2006"/>
      <c r="LL2148" s="2008"/>
      <c r="LM2148" s="2008"/>
      <c r="MX2148" s="2007"/>
      <c r="ND2148" s="2008"/>
    </row>
    <row r="2149">
      <c r="A2149" s="2005">
        <f>IFERROR(__xludf.DUMMYFUNCTION("""COMPUTED_VALUE"""),1174866.0)</f>
        <v>1174866</v>
      </c>
      <c r="B2149" s="2005">
        <f>IFERROR(__xludf.DUMMYFUNCTION("""COMPUTED_VALUE"""),2203005.0)</f>
        <v>2203005</v>
      </c>
      <c r="C2149" s="2005" t="str">
        <f>IFERROR(__xludf.DUMMYFUNCTION("""COMPUTED_VALUE"""),"Scanner")</f>
        <v>Scanner</v>
      </c>
      <c r="D2149" s="2005" t="str">
        <f>IFERROR(__xludf.DUMMYFUNCTION("""COMPUTED_VALUE"""),"image FORMULA DR-C225 II - A4")</f>
        <v>image FORMULA DR-C225 II - A4</v>
      </c>
      <c r="E2149" s="2005" t="str">
        <f>IFERROR(__xludf.DUMMYFUNCTION("""COMPUTED_VALUE"""),"CANON")</f>
        <v>CANON</v>
      </c>
      <c r="F2149" s="2005" t="str">
        <f>IFERROR(__xludf.DUMMYFUNCTION("""COMPUTED_VALUE"""),"H")</f>
        <v>H</v>
      </c>
      <c r="G2149" s="2005" t="str">
        <f>IFERROR(__xludf.DUMMYFUNCTION("""COMPUTED_VALUE"""),"NN")</f>
        <v>NN</v>
      </c>
      <c r="H2149" s="2005">
        <f>IFERROR(__xludf.DUMMYFUNCTION("""COMPUTED_VALUE"""),584.99)</f>
        <v>584.99</v>
      </c>
      <c r="I2149" s="2005">
        <f>IFERROR(__xludf.DUMMYFUNCTION("""COMPUTED_VALUE"""),584.99)</f>
        <v>584.99</v>
      </c>
      <c r="BD2149" s="2006"/>
      <c r="LL2149" s="2007"/>
      <c r="LM2149" s="2008"/>
      <c r="MX2149" s="2007"/>
      <c r="ND2149" s="2007"/>
    </row>
    <row r="2150">
      <c r="A2150" s="2005">
        <f>IFERROR(__xludf.DUMMYFUNCTION("""COMPUTED_VALUE"""),1174867.0)</f>
        <v>1174867</v>
      </c>
      <c r="B2150" s="2005">
        <f>IFERROR(__xludf.DUMMYFUNCTION("""COMPUTED_VALUE"""),2502015.0)</f>
        <v>2502015</v>
      </c>
      <c r="C2150" s="2005" t="str">
        <f>IFERROR(__xludf.DUMMYFUNCTION("""COMPUTED_VALUE"""),"Clavier")</f>
        <v>Clavier</v>
      </c>
      <c r="D2150" s="2005" t="str">
        <f>IFERROR(__xludf.DUMMYFUNCTION("""COMPUTED_VALUE"""),"POP Keys Multidispositif-Blast jaune")</f>
        <v>POP Keys Multidispositif-Blast jaune</v>
      </c>
      <c r="E2150" s="2005" t="str">
        <f>IFERROR(__xludf.DUMMYFUNCTION("""COMPUTED_VALUE"""),"LOGITECH")</f>
        <v>LOGITECH</v>
      </c>
      <c r="F2150" s="2005" t="str">
        <f>IFERROR(__xludf.DUMMYFUNCTION("""COMPUTED_VALUE"""),"E")</f>
        <v>E</v>
      </c>
      <c r="G2150" s="2005" t="str">
        <f>IFERROR(__xludf.DUMMYFUNCTION("""COMPUTED_VALUE"""),"AC")</f>
        <v>AC</v>
      </c>
      <c r="H2150" s="2005">
        <f>IFERROR(__xludf.DUMMYFUNCTION("""COMPUTED_VALUE"""),109.99)</f>
        <v>109.99</v>
      </c>
      <c r="I2150" s="2005">
        <f>IFERROR(__xludf.DUMMYFUNCTION("""COMPUTED_VALUE"""),109.99)</f>
        <v>109.99</v>
      </c>
      <c r="BD2150" s="2006"/>
      <c r="LL2150" s="2008"/>
      <c r="LM2150" s="2008"/>
      <c r="MX2150" s="2007"/>
      <c r="ND2150" s="2008"/>
    </row>
    <row r="2151">
      <c r="A2151" s="2005">
        <f>IFERROR(__xludf.DUMMYFUNCTION("""COMPUTED_VALUE"""),1174870.0)</f>
        <v>1174870</v>
      </c>
      <c r="B2151" s="2005">
        <f>IFERROR(__xludf.DUMMYFUNCTION("""COMPUTED_VALUE"""),2502015.0)</f>
        <v>2502015</v>
      </c>
      <c r="C2151" s="2005" t="str">
        <f>IFERROR(__xludf.DUMMYFUNCTION("""COMPUTED_VALUE"""),"Clavier")</f>
        <v>Clavier</v>
      </c>
      <c r="D2151" s="2005" t="str">
        <f>IFERROR(__xludf.DUMMYFUNCTION("""COMPUTED_VALUE"""),"POP Keys Multidispositif-Heartbreaker")</f>
        <v>POP Keys Multidispositif-Heartbreaker</v>
      </c>
      <c r="E2151" s="2005" t="str">
        <f>IFERROR(__xludf.DUMMYFUNCTION("""COMPUTED_VALUE"""),"LOGITECH")</f>
        <v>LOGITECH</v>
      </c>
      <c r="F2151" s="2005" t="str">
        <f>IFERROR(__xludf.DUMMYFUNCTION("""COMPUTED_VALUE"""),"E")</f>
        <v>E</v>
      </c>
      <c r="G2151" s="2005" t="str">
        <f>IFERROR(__xludf.DUMMYFUNCTION("""COMPUTED_VALUE"""),"AC")</f>
        <v>AC</v>
      </c>
      <c r="H2151" s="2005">
        <f>IFERROR(__xludf.DUMMYFUNCTION("""COMPUTED_VALUE"""),109.99)</f>
        <v>109.99</v>
      </c>
      <c r="I2151" s="2005">
        <f>IFERROR(__xludf.DUMMYFUNCTION("""COMPUTED_VALUE"""),109.99)</f>
        <v>109.99</v>
      </c>
      <c r="BD2151" s="2006"/>
      <c r="LL2151" s="2008"/>
      <c r="LM2151" s="2007"/>
      <c r="MX2151" s="2007"/>
      <c r="ND2151" s="2008"/>
    </row>
    <row r="2152">
      <c r="A2152" s="2005">
        <f>IFERROR(__xludf.DUMMYFUNCTION("""COMPUTED_VALUE"""),1174881.0)</f>
        <v>1174881</v>
      </c>
      <c r="B2152" s="2005">
        <f>IFERROR(__xludf.DUMMYFUNCTION("""COMPUTED_VALUE"""),2502015.0)</f>
        <v>2502015</v>
      </c>
      <c r="C2152" s="2005" t="str">
        <f>IFERROR(__xludf.DUMMYFUNCTION("""COMPUTED_VALUE"""),"Clavier")</f>
        <v>Clavier</v>
      </c>
      <c r="D2152" s="2005" t="str">
        <f>IFERROR(__xludf.DUMMYFUNCTION("""COMPUTED_VALUE"""),"POP Keys Multidispositif-Daydream violet")</f>
        <v>POP Keys Multidispositif-Daydream violet</v>
      </c>
      <c r="E2152" s="2005" t="str">
        <f>IFERROR(__xludf.DUMMYFUNCTION("""COMPUTED_VALUE"""),"LOGITECH")</f>
        <v>LOGITECH</v>
      </c>
      <c r="F2152" s="2005" t="str">
        <f>IFERROR(__xludf.DUMMYFUNCTION("""COMPUTED_VALUE"""),"E")</f>
        <v>E</v>
      </c>
      <c r="G2152" s="2005" t="str">
        <f>IFERROR(__xludf.DUMMYFUNCTION("""COMPUTED_VALUE"""),"AC")</f>
        <v>AC</v>
      </c>
      <c r="H2152">
        <f>IFERROR(__xludf.DUMMYFUNCTION("""COMPUTED_VALUE"""),109.99)</f>
        <v>109.99</v>
      </c>
      <c r="I2152" s="2005">
        <f>IFERROR(__xludf.DUMMYFUNCTION("""COMPUTED_VALUE"""),109.99)</f>
        <v>109.99</v>
      </c>
      <c r="BD2152" s="2006"/>
      <c r="LL2152" s="2007"/>
      <c r="LM2152" s="2007"/>
      <c r="MX2152" s="2008"/>
      <c r="ND2152" s="2008"/>
    </row>
    <row r="2153">
      <c r="A2153" s="2005">
        <f>IFERROR(__xludf.DUMMYFUNCTION("""COMPUTED_VALUE"""),1175220.0)</f>
        <v>1175220</v>
      </c>
      <c r="B2153" s="2005">
        <f>IFERROR(__xludf.DUMMYFUNCTION("""COMPUTED_VALUE"""),2502010.0)</f>
        <v>2502010</v>
      </c>
      <c r="C2153" s="2005" t="str">
        <f>IFERROR(__xludf.DUMMYFUNCTION("""COMPUTED_VALUE"""),"Souris")</f>
        <v>Souris</v>
      </c>
      <c r="D2153" s="2005" t="str">
        <f>IFERROR(__xludf.DUMMYFUNCTION("""COMPUTED_VALUE"""),"POP Mouse Multidispositifs - Blast")</f>
        <v>POP Mouse Multidispositifs - Blast</v>
      </c>
      <c r="E2153" s="2005" t="str">
        <f>IFERROR(__xludf.DUMMYFUNCTION("""COMPUTED_VALUE"""),"LOGITECH")</f>
        <v>LOGITECH</v>
      </c>
      <c r="F2153" s="2005" t="str">
        <f>IFERROR(__xludf.DUMMYFUNCTION("""COMPUTED_VALUE"""),"E")</f>
        <v>E</v>
      </c>
      <c r="G2153" s="2005" t="str">
        <f>IFERROR(__xludf.DUMMYFUNCTION("""COMPUTED_VALUE"""),"AC")</f>
        <v>AC</v>
      </c>
      <c r="H2153">
        <f>IFERROR(__xludf.DUMMYFUNCTION("""COMPUTED_VALUE"""),39.99)</f>
        <v>39.99</v>
      </c>
      <c r="I2153">
        <f>IFERROR(__xludf.DUMMYFUNCTION("""COMPUTED_VALUE"""),39.99)</f>
        <v>39.99</v>
      </c>
      <c r="LM2153" s="2007"/>
    </row>
    <row r="2154">
      <c r="A2154" s="2005">
        <f>IFERROR(__xludf.DUMMYFUNCTION("""COMPUTED_VALUE"""),1175231.0)</f>
        <v>1175231</v>
      </c>
      <c r="B2154" s="2005">
        <f>IFERROR(__xludf.DUMMYFUNCTION("""COMPUTED_VALUE"""),2502010.0)</f>
        <v>2502010</v>
      </c>
      <c r="C2154" s="2005" t="str">
        <f>IFERROR(__xludf.DUMMYFUNCTION("""COMPUTED_VALUE"""),"Souris")</f>
        <v>Souris</v>
      </c>
      <c r="D2154" s="2005" t="str">
        <f>IFERROR(__xludf.DUMMYFUNCTION("""COMPUTED_VALUE"""),"POP Mouse Multidispositifs Heartbreaker")</f>
        <v>POP Mouse Multidispositifs Heartbreaker</v>
      </c>
      <c r="E2154" s="2005" t="str">
        <f>IFERROR(__xludf.DUMMYFUNCTION("""COMPUTED_VALUE"""),"LOGITECH")</f>
        <v>LOGITECH</v>
      </c>
      <c r="F2154" s="2005" t="str">
        <f>IFERROR(__xludf.DUMMYFUNCTION("""COMPUTED_VALUE"""),"E")</f>
        <v>E</v>
      </c>
      <c r="G2154" s="2005" t="str">
        <f>IFERROR(__xludf.DUMMYFUNCTION("""COMPUTED_VALUE"""),"FR")</f>
        <v>FR</v>
      </c>
      <c r="H2154" s="2005">
        <f>IFERROR(__xludf.DUMMYFUNCTION("""COMPUTED_VALUE"""),39.99)</f>
        <v>39.99</v>
      </c>
      <c r="I2154" s="2005">
        <f>IFERROR(__xludf.DUMMYFUNCTION("""COMPUTED_VALUE"""),39.99)</f>
        <v>39.99</v>
      </c>
      <c r="LM2154" s="2007"/>
    </row>
    <row r="2155">
      <c r="A2155" s="2005">
        <f>IFERROR(__xludf.DUMMYFUNCTION("""COMPUTED_VALUE"""),1175232.0)</f>
        <v>1175232</v>
      </c>
      <c r="B2155" s="2005">
        <f>IFERROR(__xludf.DUMMYFUNCTION("""COMPUTED_VALUE"""),2502010.0)</f>
        <v>2502010</v>
      </c>
      <c r="C2155" s="2005" t="str">
        <f>IFERROR(__xludf.DUMMYFUNCTION("""COMPUTED_VALUE"""),"Souris")</f>
        <v>Souris</v>
      </c>
      <c r="D2155" s="2005" t="str">
        <f>IFERROR(__xludf.DUMMYFUNCTION("""COMPUTED_VALUE"""),"POP Mouse Multidispositifs - Daydream")</f>
        <v>POP Mouse Multidispositifs - Daydream</v>
      </c>
      <c r="E2155" s="2005" t="str">
        <f>IFERROR(__xludf.DUMMYFUNCTION("""COMPUTED_VALUE"""),"LOGITECH")</f>
        <v>LOGITECH</v>
      </c>
      <c r="F2155" s="2005" t="str">
        <f>IFERROR(__xludf.DUMMYFUNCTION("""COMPUTED_VALUE"""),"E")</f>
        <v>E</v>
      </c>
      <c r="G2155" s="2005" t="str">
        <f>IFERROR(__xludf.DUMMYFUNCTION("""COMPUTED_VALUE"""),"FI")</f>
        <v>FI</v>
      </c>
      <c r="H2155" s="2005">
        <f>IFERROR(__xludf.DUMMYFUNCTION("""COMPUTED_VALUE"""),39.99)</f>
        <v>39.99</v>
      </c>
      <c r="I2155" s="2005">
        <f>IFERROR(__xludf.DUMMYFUNCTION("""COMPUTED_VALUE"""),39.99)</f>
        <v>39.99</v>
      </c>
      <c r="LM2155" s="2007"/>
    </row>
    <row r="2156">
      <c r="A2156" s="2005">
        <f>IFERROR(__xludf.DUMMYFUNCTION("""COMPUTED_VALUE"""),1175235.0)</f>
        <v>1175235</v>
      </c>
      <c r="B2156" s="2005">
        <f>IFERROR(__xludf.DUMMYFUNCTION("""COMPUTED_VALUE"""),2502010.0)</f>
        <v>2502010</v>
      </c>
      <c r="C2156" s="2005" t="str">
        <f>IFERROR(__xludf.DUMMYFUNCTION("""COMPUTED_VALUE"""),"Souris")</f>
        <v>Souris</v>
      </c>
      <c r="D2156" s="2005" t="str">
        <f>IFERROR(__xludf.DUMMYFUNCTION("""COMPUTED_VALUE"""),"Signature M650 Graphite")</f>
        <v>Signature M650 Graphite</v>
      </c>
      <c r="E2156" s="2005" t="str">
        <f>IFERROR(__xludf.DUMMYFUNCTION("""COMPUTED_VALUE"""),"LOGITECH")</f>
        <v>LOGITECH</v>
      </c>
      <c r="F2156" s="2005" t="str">
        <f>IFERROR(__xludf.DUMMYFUNCTION("""COMPUTED_VALUE"""),"C")</f>
        <v>C</v>
      </c>
      <c r="G2156" s="2005" t="str">
        <f>IFERROR(__xludf.DUMMYFUNCTION("""COMPUTED_VALUE"""),"AC")</f>
        <v>AC</v>
      </c>
      <c r="H2156" s="2005">
        <f>IFERROR(__xludf.DUMMYFUNCTION("""COMPUTED_VALUE"""),49.99)</f>
        <v>49.99</v>
      </c>
      <c r="I2156" s="2005">
        <f>IFERROR(__xludf.DUMMYFUNCTION("""COMPUTED_VALUE"""),39.99)</f>
        <v>39.99</v>
      </c>
      <c r="LM2156" s="2007"/>
    </row>
    <row r="2157">
      <c r="A2157" s="2005">
        <f>IFERROR(__xludf.DUMMYFUNCTION("""COMPUTED_VALUE"""),1175236.0)</f>
        <v>1175236</v>
      </c>
      <c r="B2157" s="2005">
        <f>IFERROR(__xludf.DUMMYFUNCTION("""COMPUTED_VALUE"""),2502010.0)</f>
        <v>2502010</v>
      </c>
      <c r="C2157" s="2005" t="str">
        <f>IFERROR(__xludf.DUMMYFUNCTION("""COMPUTED_VALUE"""),"Souris")</f>
        <v>Souris</v>
      </c>
      <c r="D2157" s="2005" t="str">
        <f>IFERROR(__xludf.DUMMYFUNCTION("""COMPUTED_VALUE"""),"Signature M650 Blanche")</f>
        <v>Signature M650 Blanche</v>
      </c>
      <c r="E2157" s="2005" t="str">
        <f>IFERROR(__xludf.DUMMYFUNCTION("""COMPUTED_VALUE"""),"LOGITECH")</f>
        <v>LOGITECH</v>
      </c>
      <c r="F2157" s="2005" t="str">
        <f>IFERROR(__xludf.DUMMYFUNCTION("""COMPUTED_VALUE"""),"E")</f>
        <v>E</v>
      </c>
      <c r="G2157" s="2005" t="str">
        <f>IFERROR(__xludf.DUMMYFUNCTION("""COMPUTED_VALUE"""),"AC")</f>
        <v>AC</v>
      </c>
      <c r="H2157" s="2005">
        <f>IFERROR(__xludf.DUMMYFUNCTION("""COMPUTED_VALUE"""),49.99)</f>
        <v>49.99</v>
      </c>
      <c r="I2157" s="2005">
        <f>IFERROR(__xludf.DUMMYFUNCTION("""COMPUTED_VALUE"""),49.99)</f>
        <v>49.99</v>
      </c>
      <c r="LM2157" s="2007"/>
    </row>
    <row r="2158">
      <c r="A2158" s="2005">
        <f>IFERROR(__xludf.DUMMYFUNCTION("""COMPUTED_VALUE"""),1175237.0)</f>
        <v>1175237</v>
      </c>
      <c r="B2158" s="2005">
        <f>IFERROR(__xludf.DUMMYFUNCTION("""COMPUTED_VALUE"""),2502010.0)</f>
        <v>2502010</v>
      </c>
      <c r="C2158" s="2005" t="str">
        <f>IFERROR(__xludf.DUMMYFUNCTION("""COMPUTED_VALUE"""),"Souris")</f>
        <v>Souris</v>
      </c>
      <c r="D2158" s="2005" t="str">
        <f>IFERROR(__xludf.DUMMYFUNCTION("""COMPUTED_VALUE"""),"Signature M650 Rose")</f>
        <v>Signature M650 Rose</v>
      </c>
      <c r="E2158" s="2005" t="str">
        <f>IFERROR(__xludf.DUMMYFUNCTION("""COMPUTED_VALUE"""),"LOGITECH")</f>
        <v>LOGITECH</v>
      </c>
      <c r="F2158" s="2005" t="str">
        <f>IFERROR(__xludf.DUMMYFUNCTION("""COMPUTED_VALUE"""),"E")</f>
        <v>E</v>
      </c>
      <c r="G2158" s="2005" t="str">
        <f>IFERROR(__xludf.DUMMYFUNCTION("""COMPUTED_VALUE"""),"AC")</f>
        <v>AC</v>
      </c>
      <c r="H2158" s="2005">
        <f>IFERROR(__xludf.DUMMYFUNCTION("""COMPUTED_VALUE"""),49.99)</f>
        <v>49.99</v>
      </c>
      <c r="I2158" s="2005">
        <f>IFERROR(__xludf.DUMMYFUNCTION("""COMPUTED_VALUE"""),49.99)</f>
        <v>49.99</v>
      </c>
      <c r="LM2158" s="2007"/>
    </row>
    <row r="2159">
      <c r="A2159" s="2005">
        <f>IFERROR(__xludf.DUMMYFUNCTION("""COMPUTED_VALUE"""),1175238.0)</f>
        <v>1175238</v>
      </c>
      <c r="B2159" s="2005">
        <f>IFERROR(__xludf.DUMMYFUNCTION("""COMPUTED_VALUE"""),2502010.0)</f>
        <v>2502010</v>
      </c>
      <c r="C2159" s="2005" t="str">
        <f>IFERROR(__xludf.DUMMYFUNCTION("""COMPUTED_VALUE"""),"Souris")</f>
        <v>Souris</v>
      </c>
      <c r="D2159" s="2005" t="str">
        <f>IFERROR(__xludf.DUMMYFUNCTION("""COMPUTED_VALUE"""),"Signature M650 L Graphite - grde taille")</f>
        <v>Signature M650 L Graphite - grde taille</v>
      </c>
      <c r="E2159" s="2005" t="str">
        <f>IFERROR(__xludf.DUMMYFUNCTION("""COMPUTED_VALUE"""),"LOGITECH")</f>
        <v>LOGITECH</v>
      </c>
      <c r="F2159" s="2005" t="str">
        <f>IFERROR(__xludf.DUMMYFUNCTION("""COMPUTED_VALUE"""),"E")</f>
        <v>E</v>
      </c>
      <c r="G2159" s="2005" t="str">
        <f>IFERROR(__xludf.DUMMYFUNCTION("""COMPUTED_VALUE"""),"AC")</f>
        <v>AC</v>
      </c>
      <c r="H2159" s="2005">
        <f>IFERROR(__xludf.DUMMYFUNCTION("""COMPUTED_VALUE"""),49.99)</f>
        <v>49.99</v>
      </c>
      <c r="I2159" s="2005">
        <f>IFERROR(__xludf.DUMMYFUNCTION("""COMPUTED_VALUE"""),49.99)</f>
        <v>49.99</v>
      </c>
      <c r="LM2159" s="2007"/>
    </row>
    <row r="2160">
      <c r="A2160" s="2005">
        <f>IFERROR(__xludf.DUMMYFUNCTION("""COMPUTED_VALUE"""),1175239.0)</f>
        <v>1175239</v>
      </c>
      <c r="B2160" s="2005">
        <f>IFERROR(__xludf.DUMMYFUNCTION("""COMPUTED_VALUE"""),2502010.0)</f>
        <v>2502010</v>
      </c>
      <c r="C2160" s="2005" t="str">
        <f>IFERROR(__xludf.DUMMYFUNCTION("""COMPUTED_VALUE"""),"Souris")</f>
        <v>Souris</v>
      </c>
      <c r="D2160" s="2005" t="str">
        <f>IFERROR(__xludf.DUMMYFUNCTION("""COMPUTED_VALUE"""),"Signature M650 L Blanche - grde taille")</f>
        <v>Signature M650 L Blanche - grde taille</v>
      </c>
      <c r="E2160" s="2005" t="str">
        <f>IFERROR(__xludf.DUMMYFUNCTION("""COMPUTED_VALUE"""),"LOGITECH")</f>
        <v>LOGITECH</v>
      </c>
      <c r="F2160" s="2005" t="str">
        <f>IFERROR(__xludf.DUMMYFUNCTION("""COMPUTED_VALUE"""),"E")</f>
        <v>E</v>
      </c>
      <c r="G2160" s="2005" t="str">
        <f>IFERROR(__xludf.DUMMYFUNCTION("""COMPUTED_VALUE"""),"AC")</f>
        <v>AC</v>
      </c>
      <c r="H2160" s="2005">
        <f>IFERROR(__xludf.DUMMYFUNCTION("""COMPUTED_VALUE"""),49.99)</f>
        <v>49.99</v>
      </c>
      <c r="I2160" s="2005">
        <f>IFERROR(__xludf.DUMMYFUNCTION("""COMPUTED_VALUE"""),43.99)</f>
        <v>43.99</v>
      </c>
      <c r="LM2160" s="2007"/>
    </row>
    <row r="2161">
      <c r="A2161" s="2005">
        <f>IFERROR(__xludf.DUMMYFUNCTION("""COMPUTED_VALUE"""),1175240.0)</f>
        <v>1175240</v>
      </c>
      <c r="B2161" s="2005">
        <f>IFERROR(__xludf.DUMMYFUNCTION("""COMPUTED_VALUE"""),2502010.0)</f>
        <v>2502010</v>
      </c>
      <c r="C2161" s="2005" t="str">
        <f>IFERROR(__xludf.DUMMYFUNCTION("""COMPUTED_VALUE"""),"Souris")</f>
        <v>Souris</v>
      </c>
      <c r="D2161" s="2005" t="str">
        <f>IFERROR(__xludf.DUMMYFUNCTION("""COMPUTED_VALUE"""),"Signature M650 L Rose - grde taille")</f>
        <v>Signature M650 L Rose - grde taille</v>
      </c>
      <c r="E2161" s="2005" t="str">
        <f>IFERROR(__xludf.DUMMYFUNCTION("""COMPUTED_VALUE"""),"LOGITECH")</f>
        <v>LOGITECH</v>
      </c>
      <c r="F2161" s="2005" t="str">
        <f>IFERROR(__xludf.DUMMYFUNCTION("""COMPUTED_VALUE"""),"E")</f>
        <v>E</v>
      </c>
      <c r="G2161" s="2005" t="str">
        <f>IFERROR(__xludf.DUMMYFUNCTION("""COMPUTED_VALUE"""),"AC")</f>
        <v>AC</v>
      </c>
      <c r="H2161" s="2005">
        <f>IFERROR(__xludf.DUMMYFUNCTION("""COMPUTED_VALUE"""),49.99)</f>
        <v>49.99</v>
      </c>
      <c r="I2161" s="2005">
        <f>IFERROR(__xludf.DUMMYFUNCTION("""COMPUTED_VALUE"""),49.99)</f>
        <v>49.99</v>
      </c>
      <c r="BD2161" s="2006"/>
      <c r="LL2161" s="2007"/>
      <c r="LM2161" s="2008"/>
      <c r="MX2161" s="2007"/>
      <c r="ND2161" s="2007"/>
    </row>
    <row r="2162">
      <c r="A2162" s="2005">
        <f>IFERROR(__xludf.DUMMYFUNCTION("""COMPUTED_VALUE"""),1175241.0)</f>
        <v>1175241</v>
      </c>
      <c r="B2162" s="2005">
        <f>IFERROR(__xludf.DUMMYFUNCTION("""COMPUTED_VALUE"""),2502010.0)</f>
        <v>2502010</v>
      </c>
      <c r="C2162" s="2005" t="str">
        <f>IFERROR(__xludf.DUMMYFUNCTION("""COMPUTED_VALUE"""),"Souris")</f>
        <v>Souris</v>
      </c>
      <c r="D2162" s="2005" t="str">
        <f>IFERROR(__xludf.DUMMYFUNCTION("""COMPUTED_VALUE"""),"Signature M650 L Left Graphite")</f>
        <v>Signature M650 L Left Graphite</v>
      </c>
      <c r="E2162" s="2005" t="str">
        <f>IFERROR(__xludf.DUMMYFUNCTION("""COMPUTED_VALUE"""),"LOGITECH")</f>
        <v>LOGITECH</v>
      </c>
      <c r="F2162" s="2005" t="str">
        <f>IFERROR(__xludf.DUMMYFUNCTION("""COMPUTED_VALUE"""),"W")</f>
        <v>W</v>
      </c>
      <c r="G2162" s="2005" t="str">
        <f>IFERROR(__xludf.DUMMYFUNCTION("""COMPUTED_VALUE"""),"AC")</f>
        <v>AC</v>
      </c>
      <c r="H2162" s="2005">
        <f>IFERROR(__xludf.DUMMYFUNCTION("""COMPUTED_VALUE"""),49.99)</f>
        <v>49.99</v>
      </c>
      <c r="I2162" s="2005">
        <f>IFERROR(__xludf.DUMMYFUNCTION("""COMPUTED_VALUE"""),44.95)</f>
        <v>44.95</v>
      </c>
      <c r="BD2162" s="2006"/>
      <c r="LL2162" s="2008"/>
      <c r="LM2162" s="2008"/>
      <c r="MX2162" s="2007"/>
      <c r="ND2162" s="2008"/>
    </row>
    <row r="2163">
      <c r="A2163" s="2005">
        <f>IFERROR(__xludf.DUMMYFUNCTION("""COMPUTED_VALUE"""),1175242.0)</f>
        <v>1175242</v>
      </c>
      <c r="B2163" s="2005">
        <f>IFERROR(__xludf.DUMMYFUNCTION("""COMPUTED_VALUE"""),2502010.0)</f>
        <v>2502010</v>
      </c>
      <c r="C2163" s="2005" t="str">
        <f>IFERROR(__xludf.DUMMYFUNCTION("""COMPUTED_VALUE"""),"Souris")</f>
        <v>Souris</v>
      </c>
      <c r="D2163" s="2005" t="str">
        <f>IFERROR(__xludf.DUMMYFUNCTION("""COMPUTED_VALUE"""),"Signature M650 L Left Blanche")</f>
        <v>Signature M650 L Left Blanche</v>
      </c>
      <c r="E2163" s="2005" t="str">
        <f>IFERROR(__xludf.DUMMYFUNCTION("""COMPUTED_VALUE"""),"LOGITECH")</f>
        <v>LOGITECH</v>
      </c>
      <c r="F2163" s="2005" t="str">
        <f>IFERROR(__xludf.DUMMYFUNCTION("""COMPUTED_VALUE"""),"W")</f>
        <v>W</v>
      </c>
      <c r="G2163" s="2005" t="str">
        <f>IFERROR(__xludf.DUMMYFUNCTION("""COMPUTED_VALUE"""),"NN")</f>
        <v>NN</v>
      </c>
      <c r="H2163" s="2005">
        <f>IFERROR(__xludf.DUMMYFUNCTION("""COMPUTED_VALUE"""),49.99)</f>
        <v>49.99</v>
      </c>
      <c r="I2163" s="2005">
        <f>IFERROR(__xludf.DUMMYFUNCTION("""COMPUTED_VALUE"""),49.99)</f>
        <v>49.99</v>
      </c>
      <c r="BD2163" s="2006"/>
      <c r="LL2163" s="2007"/>
      <c r="LM2163" s="2008"/>
      <c r="MX2163" s="2008"/>
      <c r="ND2163" s="2007"/>
    </row>
    <row r="2164">
      <c r="A2164" s="2005">
        <f>IFERROR(__xludf.DUMMYFUNCTION("""COMPUTED_VALUE"""),1175244.0)</f>
        <v>1175244</v>
      </c>
      <c r="B2164" s="2005">
        <f>IFERROR(__xludf.DUMMYFUNCTION("""COMPUTED_VALUE"""),2201010.0)</f>
        <v>2201010</v>
      </c>
      <c r="C2164" s="2005" t="str">
        <f>IFERROR(__xludf.DUMMYFUNCTION("""COMPUTED_VALUE"""),"Mono Jet d'encr")</f>
        <v>Mono Jet d'encr</v>
      </c>
      <c r="D2164" s="2005" t="str">
        <f>IFERROR(__xludf.DUMMYFUNCTION("""COMPUTED_VALUE"""),"PJ722")</f>
        <v>PJ722</v>
      </c>
      <c r="E2164" s="2005" t="str">
        <f>IFERROR(__xludf.DUMMYFUNCTION("""COMPUTED_VALUE"""),"BROTHER")</f>
        <v>BROTHER</v>
      </c>
      <c r="F2164" s="2005" t="str">
        <f>IFERROR(__xludf.DUMMYFUNCTION("""COMPUTED_VALUE"""),"W")</f>
        <v>W</v>
      </c>
      <c r="G2164" s="2005" t="str">
        <f>IFERROR(__xludf.DUMMYFUNCTION("""COMPUTED_VALUE"""),"NN")</f>
        <v>NN</v>
      </c>
      <c r="H2164">
        <f>IFERROR(__xludf.DUMMYFUNCTION("""COMPUTED_VALUE"""),489.99)</f>
        <v>489.99</v>
      </c>
      <c r="I2164">
        <f>IFERROR(__xludf.DUMMYFUNCTION("""COMPUTED_VALUE"""),489.99)</f>
        <v>489.99</v>
      </c>
      <c r="BD2164" s="2006"/>
      <c r="LL2164" s="2008"/>
      <c r="LM2164" s="2008"/>
      <c r="MX2164" s="2007"/>
      <c r="ND2164" s="2008"/>
    </row>
    <row r="2165">
      <c r="A2165" s="2005">
        <f>IFERROR(__xludf.DUMMYFUNCTION("""COMPUTED_VALUE"""),1175245.0)</f>
        <v>1175245</v>
      </c>
      <c r="B2165" s="2005">
        <f>IFERROR(__xludf.DUMMYFUNCTION("""COMPUTED_VALUE"""),2201010.0)</f>
        <v>2201010</v>
      </c>
      <c r="C2165" s="2005" t="str">
        <f>IFERROR(__xludf.DUMMYFUNCTION("""COMPUTED_VALUE"""),"Mono Jet d'encr")</f>
        <v>Mono Jet d'encr</v>
      </c>
      <c r="D2165" s="2005" t="str">
        <f>IFERROR(__xludf.DUMMYFUNCTION("""COMPUTED_VALUE"""),"PJ762")</f>
        <v>PJ762</v>
      </c>
      <c r="E2165" s="2005" t="str">
        <f>IFERROR(__xludf.DUMMYFUNCTION("""COMPUTED_VALUE"""),"BROTHER")</f>
        <v>BROTHER</v>
      </c>
      <c r="F2165" s="2005" t="str">
        <f>IFERROR(__xludf.DUMMYFUNCTION("""COMPUTED_VALUE"""),"W")</f>
        <v>W</v>
      </c>
      <c r="G2165" s="2005" t="str">
        <f>IFERROR(__xludf.DUMMYFUNCTION("""COMPUTED_VALUE"""),"NN")</f>
        <v>NN</v>
      </c>
      <c r="H2165" s="2005">
        <f>IFERROR(__xludf.DUMMYFUNCTION("""COMPUTED_VALUE"""),567.99)</f>
        <v>567.99</v>
      </c>
      <c r="I2165" s="2005">
        <f>IFERROR(__xludf.DUMMYFUNCTION("""COMPUTED_VALUE"""),567.99)</f>
        <v>567.99</v>
      </c>
      <c r="BD2165" s="2006"/>
      <c r="LL2165" s="2008"/>
      <c r="LM2165" s="2008"/>
      <c r="MX2165" s="2007"/>
      <c r="ND2165" s="2008"/>
    </row>
    <row r="2166">
      <c r="A2166" s="2005">
        <f>IFERROR(__xludf.DUMMYFUNCTION("""COMPUTED_VALUE"""),1175246.0)</f>
        <v>1175246</v>
      </c>
      <c r="B2166" s="2005">
        <f>IFERROR(__xludf.DUMMYFUNCTION("""COMPUTED_VALUE"""),2201010.0)</f>
        <v>2201010</v>
      </c>
      <c r="C2166" s="2005" t="str">
        <f>IFERROR(__xludf.DUMMYFUNCTION("""COMPUTED_VALUE"""),"Mono Jet d'encr")</f>
        <v>Mono Jet d'encr</v>
      </c>
      <c r="D2166" s="2005" t="str">
        <f>IFERROR(__xludf.DUMMYFUNCTION("""COMPUTED_VALUE"""),"PJ773")</f>
        <v>PJ773</v>
      </c>
      <c r="E2166" s="2005" t="str">
        <f>IFERROR(__xludf.DUMMYFUNCTION("""COMPUTED_VALUE"""),"BROTHER")</f>
        <v>BROTHER</v>
      </c>
      <c r="F2166" s="2005" t="str">
        <f>IFERROR(__xludf.DUMMYFUNCTION("""COMPUTED_VALUE"""),"W")</f>
        <v>W</v>
      </c>
      <c r="G2166" s="2005" t="str">
        <f>IFERROR(__xludf.DUMMYFUNCTION("""COMPUTED_VALUE"""),"NN")</f>
        <v>NN</v>
      </c>
      <c r="H2166" s="2005">
        <f>IFERROR(__xludf.DUMMYFUNCTION("""COMPUTED_VALUE"""),729.99)</f>
        <v>729.99</v>
      </c>
      <c r="I2166" s="2005">
        <f>IFERROR(__xludf.DUMMYFUNCTION("""COMPUTED_VALUE"""),729.99)</f>
        <v>729.99</v>
      </c>
      <c r="BD2166" s="2006"/>
      <c r="LL2166" s="2007"/>
      <c r="LM2166" s="2008"/>
      <c r="MX2166" s="2007"/>
      <c r="ND2166" s="2007"/>
    </row>
    <row r="2167">
      <c r="A2167" s="2005">
        <f>IFERROR(__xludf.DUMMYFUNCTION("""COMPUTED_VALUE"""),1175283.0)</f>
        <v>1175283</v>
      </c>
      <c r="B2167" s="2005">
        <f>IFERROR(__xludf.DUMMYFUNCTION("""COMPUTED_VALUE"""),2503010.0)</f>
        <v>2503010</v>
      </c>
      <c r="C2167" s="2005" t="str">
        <f>IFERROR(__xludf.DUMMYFUNCTION("""COMPUTED_VALUE"""),"Casque")</f>
        <v>Casque</v>
      </c>
      <c r="D2167" s="2005" t="str">
        <f>IFERROR(__xludf.DUMMYFUNCTION("""COMPUTED_VALUE"""),"PC 8 USB")</f>
        <v>PC 8 USB</v>
      </c>
      <c r="E2167" s="2005" t="str">
        <f>IFERROR(__xludf.DUMMYFUNCTION("""COMPUTED_VALUE"""),"EPOS")</f>
        <v>EPOS</v>
      </c>
      <c r="F2167" s="2005" t="str">
        <f>IFERROR(__xludf.DUMMYFUNCTION("""COMPUTED_VALUE"""),"W")</f>
        <v>W</v>
      </c>
      <c r="G2167" s="2005" t="str">
        <f>IFERROR(__xludf.DUMMYFUNCTION("""COMPUTED_VALUE"""),"FR")</f>
        <v>FR</v>
      </c>
      <c r="H2167" s="2005">
        <f>IFERROR(__xludf.DUMMYFUNCTION("""COMPUTED_VALUE"""),34.99)</f>
        <v>34.99</v>
      </c>
      <c r="I2167" s="2005">
        <f>IFERROR(__xludf.DUMMYFUNCTION("""COMPUTED_VALUE"""),29.88)</f>
        <v>29.88</v>
      </c>
      <c r="BD2167" s="2006"/>
      <c r="LL2167" s="2007"/>
      <c r="LM2167" s="2008"/>
      <c r="MX2167" s="2007"/>
      <c r="ND2167" s="2007"/>
    </row>
    <row r="2168">
      <c r="A2168" s="2005">
        <f>IFERROR(__xludf.DUMMYFUNCTION("""COMPUTED_VALUE"""),1175588.0)</f>
        <v>1175588</v>
      </c>
      <c r="B2168" s="2005">
        <f>IFERROR(__xludf.DUMMYFUNCTION("""COMPUTED_VALUE"""),2202005.0)</f>
        <v>2202005</v>
      </c>
      <c r="C2168" s="2005" t="str">
        <f>IFERROR(__xludf.DUMMYFUNCTION("""COMPUTED_VALUE"""),"Multi Jet d'enc")</f>
        <v>Multi Jet d'enc</v>
      </c>
      <c r="D2168" s="2005" t="str">
        <f>IFERROR(__xludf.DUMMYFUNCTION("""COMPUTED_VALUE"""),"Envy Inspire 7224e éligible Instant Ink")</f>
        <v>Envy Inspire 7224e éligible Instant Ink</v>
      </c>
      <c r="E2168" s="2005" t="str">
        <f>IFERROR(__xludf.DUMMYFUNCTION("""COMPUTED_VALUE"""),"HP")</f>
        <v>HP</v>
      </c>
      <c r="F2168" s="2005" t="str">
        <f>IFERROR(__xludf.DUMMYFUNCTION("""COMPUTED_VALUE"""),"B")</f>
        <v>B</v>
      </c>
      <c r="G2168" s="2005" t="str">
        <f>IFERROR(__xludf.DUMMYFUNCTION("""COMPUTED_VALUE"""),"AC")</f>
        <v>AC</v>
      </c>
      <c r="H2168" s="2005">
        <f>IFERROR(__xludf.DUMMYFUNCTION("""COMPUTED_VALUE"""),139.99)</f>
        <v>139.99</v>
      </c>
      <c r="I2168" s="2005">
        <f>IFERROR(__xludf.DUMMYFUNCTION("""COMPUTED_VALUE"""),139.99)</f>
        <v>139.99</v>
      </c>
      <c r="BD2168" s="2006"/>
      <c r="LL2168" s="2007"/>
      <c r="LM2168" s="2007"/>
      <c r="MX2168" s="2007"/>
      <c r="ND2168" s="2007"/>
    </row>
    <row r="2169">
      <c r="A2169" s="2005">
        <f>IFERROR(__xludf.DUMMYFUNCTION("""COMPUTED_VALUE"""),1175827.0)</f>
        <v>1175827</v>
      </c>
      <c r="B2169" s="2005">
        <f>IFERROR(__xludf.DUMMYFUNCTION("""COMPUTED_VALUE"""),2502024.0)</f>
        <v>2502024</v>
      </c>
      <c r="C2169" s="2005" t="str">
        <f>IFERROR(__xludf.DUMMYFUNCTION("""COMPUTED_VALUE"""),"Stylet")</f>
        <v>Stylet</v>
      </c>
      <c r="D2169" s="2005" t="str">
        <f>IFERROR(__xludf.DUMMYFUNCTION("""COMPUTED_VALUE"""),"S Pen S8 Noir")</f>
        <v>S Pen S8 Noir</v>
      </c>
      <c r="E2169" s="2005" t="str">
        <f>IFERROR(__xludf.DUMMYFUNCTION("""COMPUTED_VALUE"""),"SAMSUNG")</f>
        <v>SAMSUNG</v>
      </c>
      <c r="F2169" s="2005" t="str">
        <f>IFERROR(__xludf.DUMMYFUNCTION("""COMPUTED_VALUE"""),"W")</f>
        <v>W</v>
      </c>
      <c r="G2169" s="2005" t="str">
        <f>IFERROR(__xludf.DUMMYFUNCTION("""COMPUTED_VALUE"""),"NN")</f>
        <v>NN</v>
      </c>
      <c r="H2169" s="2005">
        <f>IFERROR(__xludf.DUMMYFUNCTION("""COMPUTED_VALUE"""),59.9)</f>
        <v>59.9</v>
      </c>
      <c r="I2169" s="2005">
        <f>IFERROR(__xludf.DUMMYFUNCTION("""COMPUTED_VALUE"""),59.9)</f>
        <v>59.9</v>
      </c>
      <c r="BD2169" s="2006"/>
      <c r="LL2169" s="2007"/>
      <c r="LM2169" s="2008"/>
      <c r="MX2169" s="2007"/>
      <c r="ND2169" s="2007"/>
    </row>
    <row r="2170">
      <c r="A2170" s="2005">
        <f>IFERROR(__xludf.DUMMYFUNCTION("""COMPUTED_VALUE"""),1176039.0)</f>
        <v>1176039</v>
      </c>
      <c r="B2170" s="2005">
        <f>IFERROR(__xludf.DUMMYFUNCTION("""COMPUTED_VALUE"""),2202005.0)</f>
        <v>2202005</v>
      </c>
      <c r="C2170" s="2005" t="str">
        <f>IFERROR(__xludf.DUMMYFUNCTION("""COMPUTED_VALUE"""),"Multi Jet d'enc")</f>
        <v>Multi Jet d'enc</v>
      </c>
      <c r="D2170" s="2005" t="str">
        <f>IFERROR(__xludf.DUMMYFUNCTION("""COMPUTED_VALUE"""),"Envy Inspire 7924e éligible Instant Ink")</f>
        <v>Envy Inspire 7924e éligible Instant Ink</v>
      </c>
      <c r="E2170" s="2005" t="str">
        <f>IFERROR(__xludf.DUMMYFUNCTION("""COMPUTED_VALUE"""),"HP")</f>
        <v>HP</v>
      </c>
      <c r="F2170" s="2005" t="str">
        <f>IFERROR(__xludf.DUMMYFUNCTION("""COMPUTED_VALUE"""),"A")</f>
        <v>A</v>
      </c>
      <c r="G2170" s="2005" t="str">
        <f>IFERROR(__xludf.DUMMYFUNCTION("""COMPUTED_VALUE"""),"AC")</f>
        <v>AC</v>
      </c>
      <c r="H2170">
        <f>IFERROR(__xludf.DUMMYFUNCTION("""COMPUTED_VALUE"""),159.99)</f>
        <v>159.99</v>
      </c>
      <c r="I2170">
        <f>IFERROR(__xludf.DUMMYFUNCTION("""COMPUTED_VALUE"""),159.99)</f>
        <v>159.99</v>
      </c>
      <c r="BD2170" s="2006"/>
      <c r="LL2170" s="2007"/>
      <c r="LM2170" s="2008"/>
      <c r="MX2170" s="2007"/>
      <c r="ND2170" s="2007"/>
    </row>
    <row r="2171">
      <c r="A2171" s="2005">
        <f>IFERROR(__xludf.DUMMYFUNCTION("""COMPUTED_VALUE"""),1176287.0)</f>
        <v>1176287</v>
      </c>
      <c r="B2171" s="2005">
        <f>IFERROR(__xludf.DUMMYFUNCTION("""COMPUTED_VALUE"""),2207005.0)</f>
        <v>2207005</v>
      </c>
      <c r="C2171" s="2005" t="str">
        <f>IFERROR(__xludf.DUMMYFUNCTION("""COMPUTED_VALUE"""),"Imprimante")</f>
        <v>Imprimante</v>
      </c>
      <c r="D2171" s="2005" t="str">
        <f>IFERROR(__xludf.DUMMYFUNCTION("""COMPUTED_VALUE"""),"3D Disco Ultimate")</f>
        <v>3D Disco Ultimate</v>
      </c>
      <c r="E2171" s="2005" t="str">
        <f>IFERROR(__xludf.DUMMYFUNCTION("""COMPUTED_VALUE"""),"DAGOMA")</f>
        <v>DAGOMA</v>
      </c>
      <c r="F2171" s="2005" t="str">
        <f>IFERROR(__xludf.DUMMYFUNCTION("""COMPUTED_VALUE"""),"W")</f>
        <v>W</v>
      </c>
      <c r="G2171" s="2005" t="str">
        <f>IFERROR(__xludf.DUMMYFUNCTION("""COMPUTED_VALUE"""),"NN")</f>
        <v>NN</v>
      </c>
      <c r="H2171" s="2005">
        <f>IFERROR(__xludf.DUMMYFUNCTION("""COMPUTED_VALUE"""),548.99)</f>
        <v>548.99</v>
      </c>
      <c r="I2171" s="2005">
        <f>IFERROR(__xludf.DUMMYFUNCTION("""COMPUTED_VALUE"""),548.99)</f>
        <v>548.99</v>
      </c>
      <c r="BD2171" s="2006"/>
      <c r="LL2171" s="2007"/>
      <c r="LM2171" s="2008"/>
      <c r="MX2171" s="2007"/>
      <c r="ND2171" s="2007"/>
    </row>
    <row r="2172">
      <c r="A2172" s="2005">
        <f>IFERROR(__xludf.DUMMYFUNCTION("""COMPUTED_VALUE"""),1176433.0)</f>
        <v>1176433</v>
      </c>
      <c r="B2172" s="2005">
        <f>IFERROR(__xludf.DUMMYFUNCTION("""COMPUTED_VALUE"""),2502010.0)</f>
        <v>2502010</v>
      </c>
      <c r="C2172" s="2005" t="str">
        <f>IFERROR(__xludf.DUMMYFUNCTION("""COMPUTED_VALUE"""),"Souris")</f>
        <v>Souris</v>
      </c>
      <c r="D2172" s="2005" t="str">
        <f>IFERROR(__xludf.DUMMYFUNCTION("""COMPUTED_VALUE"""),"Magic Mouse Noir")</f>
        <v>Magic Mouse Noir</v>
      </c>
      <c r="E2172" s="2005" t="str">
        <f>IFERROR(__xludf.DUMMYFUNCTION("""COMPUTED_VALUE"""),"APPLE")</f>
        <v>APPLE</v>
      </c>
      <c r="F2172" s="2005" t="str">
        <f>IFERROR(__xludf.DUMMYFUNCTION("""COMPUTED_VALUE"""),"D")</f>
        <v>D</v>
      </c>
      <c r="G2172" s="2005" t="str">
        <f>IFERROR(__xludf.DUMMYFUNCTION("""COMPUTED_VALUE"""),"AC")</f>
        <v>AC</v>
      </c>
      <c r="H2172" s="2005">
        <f>IFERROR(__xludf.DUMMYFUNCTION("""COMPUTED_VALUE"""),109.99)</f>
        <v>109.99</v>
      </c>
      <c r="I2172" s="2005">
        <f>IFERROR(__xludf.DUMMYFUNCTION("""COMPUTED_VALUE"""),109.99)</f>
        <v>109.99</v>
      </c>
      <c r="LL2172" s="2007"/>
      <c r="LM2172" s="2008"/>
    </row>
    <row r="2173">
      <c r="A2173" s="2005">
        <f>IFERROR(__xludf.DUMMYFUNCTION("""COMPUTED_VALUE"""),1176434.0)</f>
        <v>1176434</v>
      </c>
      <c r="B2173" s="2005">
        <f>IFERROR(__xludf.DUMMYFUNCTION("""COMPUTED_VALUE"""),2502010.0)</f>
        <v>2502010</v>
      </c>
      <c r="C2173" s="2005" t="str">
        <f>IFERROR(__xludf.DUMMYFUNCTION("""COMPUTED_VALUE"""),"Pavé Tactile")</f>
        <v>Pavé Tactile</v>
      </c>
      <c r="D2173" s="2005" t="str">
        <f>IFERROR(__xludf.DUMMYFUNCTION("""COMPUTED_VALUE"""),"Magic Trackpad Noir")</f>
        <v>Magic Trackpad Noir</v>
      </c>
      <c r="E2173" s="2005" t="str">
        <f>IFERROR(__xludf.DUMMYFUNCTION("""COMPUTED_VALUE"""),"APPLE")</f>
        <v>APPLE</v>
      </c>
      <c r="F2173" s="2005" t="str">
        <f>IFERROR(__xludf.DUMMYFUNCTION("""COMPUTED_VALUE"""),"W")</f>
        <v>W</v>
      </c>
      <c r="G2173" s="2005" t="str">
        <f>IFERROR(__xludf.DUMMYFUNCTION("""COMPUTED_VALUE"""),"AC")</f>
        <v>AC</v>
      </c>
      <c r="H2173">
        <f>IFERROR(__xludf.DUMMYFUNCTION("""COMPUTED_VALUE"""),155.0)</f>
        <v>155</v>
      </c>
      <c r="I2173" s="2005">
        <f>IFERROR(__xludf.DUMMYFUNCTION("""COMPUTED_VALUE"""),125.1)</f>
        <v>125.1</v>
      </c>
      <c r="BD2173" s="2006"/>
      <c r="LL2173" s="2007"/>
      <c r="LM2173" s="2008"/>
      <c r="MX2173" s="2007"/>
      <c r="ND2173" s="2007"/>
    </row>
    <row r="2174">
      <c r="A2174" s="2005">
        <f>IFERROR(__xludf.DUMMYFUNCTION("""COMPUTED_VALUE"""),1176467.0)</f>
        <v>1176467</v>
      </c>
      <c r="B2174" s="2005">
        <f>IFERROR(__xludf.DUMMYFUNCTION("""COMPUTED_VALUE"""),2502015.0)</f>
        <v>2502015</v>
      </c>
      <c r="C2174" s="2005" t="str">
        <f>IFERROR(__xludf.DUMMYFUNCTION("""COMPUTED_VALUE"""),"Clavier")</f>
        <v>Clavier</v>
      </c>
      <c r="D2174" s="2005" t="str">
        <f>IFERROR(__xludf.DUMMYFUNCTION("""COMPUTED_VALUE"""),"Magic Keyboard Touches Noires")</f>
        <v>Magic Keyboard Touches Noires</v>
      </c>
      <c r="E2174" s="2005" t="str">
        <f>IFERROR(__xludf.DUMMYFUNCTION("""COMPUTED_VALUE"""),"APPLE")</f>
        <v>APPLE</v>
      </c>
      <c r="F2174" s="2005" t="str">
        <f>IFERROR(__xludf.DUMMYFUNCTION("""COMPUTED_VALUE"""),"D")</f>
        <v>D</v>
      </c>
      <c r="G2174" s="2005" t="str">
        <f>IFERROR(__xludf.DUMMYFUNCTION("""COMPUTED_VALUE"""),"AC")</f>
        <v>AC</v>
      </c>
      <c r="H2174" s="2005">
        <f>IFERROR(__xludf.DUMMYFUNCTION("""COMPUTED_VALUE"""),205.0)</f>
        <v>205</v>
      </c>
      <c r="I2174" s="2005">
        <f>IFERROR(__xludf.DUMMYFUNCTION("""COMPUTED_VALUE"""),205.0)</f>
        <v>205</v>
      </c>
      <c r="BD2174" s="2006"/>
      <c r="LL2174" s="2007"/>
      <c r="LM2174" s="2008"/>
      <c r="MX2174" s="2007"/>
      <c r="ND2174" s="2007"/>
    </row>
    <row r="2175">
      <c r="A2175" s="2005">
        <f>IFERROR(__xludf.DUMMYFUNCTION("""COMPUTED_VALUE"""),1177037.0)</f>
        <v>1177037</v>
      </c>
      <c r="B2175" s="2005">
        <f>IFERROR(__xludf.DUMMYFUNCTION("""COMPUTED_VALUE"""),2502010.0)</f>
        <v>2502010</v>
      </c>
      <c r="C2175" s="2005" t="str">
        <f>IFERROR(__xludf.DUMMYFUNCTION("""COMPUTED_VALUE"""),"Présenteur")</f>
        <v>Présenteur</v>
      </c>
      <c r="D2175" s="2005" t="str">
        <f>IFERROR(__xludf.DUMMYFUNCTION("""COMPUTED_VALUE"""),"PR1100-R")</f>
        <v>PR1100-R</v>
      </c>
      <c r="E2175" s="2005" t="str">
        <f>IFERROR(__xludf.DUMMYFUNCTION("""COMPUTED_VALUE"""),"CANON")</f>
        <v>CANON</v>
      </c>
      <c r="F2175" s="2005" t="str">
        <f>IFERROR(__xludf.DUMMYFUNCTION("""COMPUTED_VALUE"""),"A")</f>
        <v>A</v>
      </c>
      <c r="G2175" s="2005" t="str">
        <f>IFERROR(__xludf.DUMMYFUNCTION("""COMPUTED_VALUE"""),"NN")</f>
        <v>NN</v>
      </c>
      <c r="H2175" s="2005">
        <f>IFERROR(__xludf.DUMMYFUNCTION("""COMPUTED_VALUE"""),33.0)</f>
        <v>33</v>
      </c>
      <c r="I2175" s="2005">
        <f>IFERROR(__xludf.DUMMYFUNCTION("""COMPUTED_VALUE"""),33.0)</f>
        <v>33</v>
      </c>
      <c r="BD2175" s="2006"/>
      <c r="LL2175" s="2007"/>
      <c r="LM2175" s="2008"/>
      <c r="MX2175" s="2008"/>
      <c r="ND2175" s="2007"/>
    </row>
    <row r="2176">
      <c r="A2176" s="2005">
        <f>IFERROR(__xludf.DUMMYFUNCTION("""COMPUTED_VALUE"""),1177046.0)</f>
        <v>1177046</v>
      </c>
      <c r="B2176" s="2005">
        <f>IFERROR(__xludf.DUMMYFUNCTION("""COMPUTED_VALUE"""),2202005.0)</f>
        <v>2202005</v>
      </c>
      <c r="C2176" s="2005" t="str">
        <f>IFERROR(__xludf.DUMMYFUNCTION("""COMPUTED_VALUE"""),"Multi Jet d'enc")</f>
        <v>Multi Jet d'enc</v>
      </c>
      <c r="D2176" s="2005" t="str">
        <f>IFERROR(__xludf.DUMMYFUNCTION("""COMPUTED_VALUE"""),"TS 5351a Blanche")</f>
        <v>TS 5351a Blanche</v>
      </c>
      <c r="E2176" s="2005" t="str">
        <f>IFERROR(__xludf.DUMMYFUNCTION("""COMPUTED_VALUE"""),"CANON")</f>
        <v>CANON</v>
      </c>
      <c r="F2176" s="2005" t="str">
        <f>IFERROR(__xludf.DUMMYFUNCTION("""COMPUTED_VALUE"""),"W")</f>
        <v>W</v>
      </c>
      <c r="G2176" s="2005" t="str">
        <f>IFERROR(__xludf.DUMMYFUNCTION("""COMPUTED_VALUE"""),"NN")</f>
        <v>NN</v>
      </c>
      <c r="H2176" s="2005">
        <f>IFERROR(__xludf.DUMMYFUNCTION("""COMPUTED_VALUE"""),114.99)</f>
        <v>114.99</v>
      </c>
      <c r="I2176" s="2005">
        <f>IFERROR(__xludf.DUMMYFUNCTION("""COMPUTED_VALUE"""),114.99)</f>
        <v>114.99</v>
      </c>
      <c r="BD2176" s="2006"/>
      <c r="LL2176" s="2007"/>
      <c r="LM2176" s="2008"/>
      <c r="MX2176" s="2007"/>
      <c r="ND2176" s="2007"/>
    </row>
    <row r="2177">
      <c r="A2177" s="2005">
        <f>IFERROR(__xludf.DUMMYFUNCTION("""COMPUTED_VALUE"""),1177047.0)</f>
        <v>1177047</v>
      </c>
      <c r="B2177" s="2005">
        <f>IFERROR(__xludf.DUMMYFUNCTION("""COMPUTED_VALUE"""),2202005.0)</f>
        <v>2202005</v>
      </c>
      <c r="C2177" s="2005" t="str">
        <f>IFERROR(__xludf.DUMMYFUNCTION("""COMPUTED_VALUE"""),"Multi Jet d'enc")</f>
        <v>Multi Jet d'enc</v>
      </c>
      <c r="D2177" s="2005" t="str">
        <f>IFERROR(__xludf.DUMMYFUNCTION("""COMPUTED_VALUE"""),"TS 7451a")</f>
        <v>TS 7451a</v>
      </c>
      <c r="E2177" s="2005" t="str">
        <f>IFERROR(__xludf.DUMMYFUNCTION("""COMPUTED_VALUE"""),"CANON")</f>
        <v>CANON</v>
      </c>
      <c r="F2177" s="2005" t="str">
        <f>IFERROR(__xludf.DUMMYFUNCTION("""COMPUTED_VALUE"""),"E")</f>
        <v>E</v>
      </c>
      <c r="G2177" s="2005" t="str">
        <f>IFERROR(__xludf.DUMMYFUNCTION("""COMPUTED_VALUE"""),"FI")</f>
        <v>FI</v>
      </c>
      <c r="H2177">
        <f>IFERROR(__xludf.DUMMYFUNCTION("""COMPUTED_VALUE"""),119.99)</f>
        <v>119.99</v>
      </c>
      <c r="I2177">
        <f>IFERROR(__xludf.DUMMYFUNCTION("""COMPUTED_VALUE"""),119.99)</f>
        <v>119.99</v>
      </c>
      <c r="BD2177" s="2006"/>
      <c r="LL2177" s="2007"/>
      <c r="LM2177" s="2008"/>
      <c r="MX2177" s="2007"/>
      <c r="ND2177" s="2007"/>
    </row>
    <row r="2178">
      <c r="A2178" s="2005">
        <f>IFERROR(__xludf.DUMMYFUNCTION("""COMPUTED_VALUE"""),1177048.0)</f>
        <v>1177048</v>
      </c>
      <c r="B2178" s="2005">
        <f>IFERROR(__xludf.DUMMYFUNCTION("""COMPUTED_VALUE"""),2202005.0)</f>
        <v>2202005</v>
      </c>
      <c r="C2178" s="2005" t="str">
        <f>IFERROR(__xludf.DUMMYFUNCTION("""COMPUTED_VALUE"""),"Multi Jet d'enc")</f>
        <v>Multi Jet d'enc</v>
      </c>
      <c r="D2178" s="2005" t="str">
        <f>IFERROR(__xludf.DUMMYFUNCTION("""COMPUTED_VALUE"""),"TS 6351a Blanche")</f>
        <v>TS 6351a Blanche</v>
      </c>
      <c r="E2178" s="2005" t="str">
        <f>IFERROR(__xludf.DUMMYFUNCTION("""COMPUTED_VALUE"""),"CANON")</f>
        <v>CANON</v>
      </c>
      <c r="F2178" s="2005" t="str">
        <f>IFERROR(__xludf.DUMMYFUNCTION("""COMPUTED_VALUE"""),"D")</f>
        <v>D</v>
      </c>
      <c r="G2178" s="2005" t="str">
        <f>IFERROR(__xludf.DUMMYFUNCTION("""COMPUTED_VALUE"""),"AC")</f>
        <v>AC</v>
      </c>
      <c r="H2178">
        <f>IFERROR(__xludf.DUMMYFUNCTION("""COMPUTED_VALUE"""),129.99)</f>
        <v>129.99</v>
      </c>
      <c r="I2178">
        <f>IFERROR(__xludf.DUMMYFUNCTION("""COMPUTED_VALUE"""),129.99)</f>
        <v>129.99</v>
      </c>
      <c r="BD2178" s="2006"/>
      <c r="LL2178" s="2007"/>
      <c r="LM2178" s="2008"/>
      <c r="MX2178" s="2007"/>
      <c r="ND2178" s="2007"/>
    </row>
    <row r="2179">
      <c r="A2179" s="2005">
        <f>IFERROR(__xludf.DUMMYFUNCTION("""COMPUTED_VALUE"""),1177049.0)</f>
        <v>1177049</v>
      </c>
      <c r="B2179" s="2005">
        <f>IFERROR(__xludf.DUMMYFUNCTION("""COMPUTED_VALUE"""),2201010.0)</f>
        <v>2201010</v>
      </c>
      <c r="C2179" s="2005" t="str">
        <f>IFERROR(__xludf.DUMMYFUNCTION("""COMPUTED_VALUE"""),"Mono Jet d'encr")</f>
        <v>Mono Jet d'encr</v>
      </c>
      <c r="D2179" s="2005" t="str">
        <f>IFERROR(__xludf.DUMMYFUNCTION("""COMPUTED_VALUE"""),"TS 705a")</f>
        <v>TS 705a</v>
      </c>
      <c r="E2179" s="2005" t="str">
        <f>IFERROR(__xludf.DUMMYFUNCTION("""COMPUTED_VALUE"""),"CANON")</f>
        <v>CANON</v>
      </c>
      <c r="F2179" s="2005" t="str">
        <f>IFERROR(__xludf.DUMMYFUNCTION("""COMPUTED_VALUE"""),"H")</f>
        <v>H</v>
      </c>
      <c r="G2179" s="2005" t="str">
        <f>IFERROR(__xludf.DUMMYFUNCTION("""COMPUTED_VALUE"""),"AC")</f>
        <v>AC</v>
      </c>
      <c r="H2179" s="2005">
        <f>IFERROR(__xludf.DUMMYFUNCTION("""COMPUTED_VALUE"""),99.99)</f>
        <v>99.99</v>
      </c>
      <c r="I2179" s="2005">
        <f>IFERROR(__xludf.DUMMYFUNCTION("""COMPUTED_VALUE"""),79.99)</f>
        <v>79.99</v>
      </c>
      <c r="BD2179" s="2006"/>
      <c r="LL2179" s="2007"/>
      <c r="LM2179" s="2008"/>
      <c r="MX2179" s="2007"/>
      <c r="ND2179" s="2007"/>
    </row>
    <row r="2180">
      <c r="A2180" s="2005">
        <f>IFERROR(__xludf.DUMMYFUNCTION("""COMPUTED_VALUE"""),1177203.0)</f>
        <v>1177203</v>
      </c>
      <c r="B2180" s="2005">
        <f>IFERROR(__xludf.DUMMYFUNCTION("""COMPUTED_VALUE"""),2203005.0)</f>
        <v>2203005</v>
      </c>
      <c r="C2180" s="2005" t="str">
        <f>IFERROR(__xludf.DUMMYFUNCTION("""COMPUTED_VALUE"""),"Scanner")</f>
        <v>Scanner</v>
      </c>
      <c r="D2180" s="2005" t="str">
        <f>IFERROR(__xludf.DUMMYFUNCTION("""COMPUTED_VALUE"""),"ScanSnap iX1300 Blanc")</f>
        <v>ScanSnap iX1300 Blanc</v>
      </c>
      <c r="E2180" s="2005" t="str">
        <f>IFERROR(__xludf.DUMMYFUNCTION("""COMPUTED_VALUE"""),"FUJITSU")</f>
        <v>FUJITSU</v>
      </c>
      <c r="F2180" s="2005" t="str">
        <f>IFERROR(__xludf.DUMMYFUNCTION("""COMPUTED_VALUE"""),"W")</f>
        <v>W</v>
      </c>
      <c r="G2180" s="2005" t="str">
        <f>IFERROR(__xludf.DUMMYFUNCTION("""COMPUTED_VALUE"""),"AC")</f>
        <v>AC</v>
      </c>
      <c r="H2180" s="2005">
        <f>IFERROR(__xludf.DUMMYFUNCTION("""COMPUTED_VALUE"""),359.99)</f>
        <v>359.99</v>
      </c>
      <c r="I2180">
        <f>IFERROR(__xludf.DUMMYFUNCTION("""COMPUTED_VALUE"""),359.99)</f>
        <v>359.99</v>
      </c>
      <c r="BD2180" s="2006"/>
      <c r="LL2180" s="2007"/>
      <c r="LM2180" s="2008"/>
      <c r="MX2180" s="2007"/>
      <c r="ND2180" s="2007"/>
    </row>
    <row r="2181">
      <c r="A2181" s="2005">
        <f>IFERROR(__xludf.DUMMYFUNCTION("""COMPUTED_VALUE"""),1177210.0)</f>
        <v>1177210</v>
      </c>
      <c r="B2181" s="2005">
        <f>IFERROR(__xludf.DUMMYFUNCTION("""COMPUTED_VALUE"""),2502010.0)</f>
        <v>2502010</v>
      </c>
      <c r="C2181" s="2005" t="str">
        <f>IFERROR(__xludf.DUMMYFUNCTION("""COMPUTED_VALUE"""),"Souris")</f>
        <v>Souris</v>
      </c>
      <c r="D2181" s="2005" t="str">
        <f>IFERROR(__xludf.DUMMYFUNCTION("""COMPUTED_VALUE"""),"VERTO")</f>
        <v>VERTO</v>
      </c>
      <c r="E2181" s="2005" t="str">
        <f>IFERROR(__xludf.DUMMYFUNCTION("""COMPUTED_VALUE"""),"TRUST")</f>
        <v>TRUST</v>
      </c>
      <c r="F2181" s="2005" t="str">
        <f>IFERROR(__xludf.DUMMYFUNCTION("""COMPUTED_VALUE"""),"W")</f>
        <v>W</v>
      </c>
      <c r="G2181" s="2005" t="str">
        <f>IFERROR(__xludf.DUMMYFUNCTION("""COMPUTED_VALUE"""),"NN")</f>
        <v>NN</v>
      </c>
      <c r="H2181" s="2005">
        <f>IFERROR(__xludf.DUMMYFUNCTION("""COMPUTED_VALUE"""),24.99)</f>
        <v>24.99</v>
      </c>
      <c r="I2181" s="2005">
        <f>IFERROR(__xludf.DUMMYFUNCTION("""COMPUTED_VALUE"""),24.99)</f>
        <v>24.99</v>
      </c>
      <c r="BD2181" s="2006"/>
      <c r="LL2181" s="2007"/>
      <c r="LM2181" s="2008"/>
      <c r="MX2181" s="2007"/>
      <c r="ND2181" s="2007"/>
    </row>
    <row r="2182">
      <c r="A2182" s="2005">
        <f>IFERROR(__xludf.DUMMYFUNCTION("""COMPUTED_VALUE"""),1177239.0)</f>
        <v>1177239</v>
      </c>
      <c r="B2182" s="2005">
        <f>IFERROR(__xludf.DUMMYFUNCTION("""COMPUTED_VALUE"""),2502015.0)</f>
        <v>2502015</v>
      </c>
      <c r="C2182" s="2005" t="str">
        <f>IFERROR(__xludf.DUMMYFUNCTION("""COMPUTED_VALUE"""),"Clavier")</f>
        <v>Clavier</v>
      </c>
      <c r="D2182" s="2005" t="str">
        <f>IFERROR(__xludf.DUMMYFUNCTION("""COMPUTED_VALUE"""),"DesignTouch MacWired Noir")</f>
        <v>DesignTouch MacWired Noir</v>
      </c>
      <c r="E2182" s="2005" t="str">
        <f>IFERROR(__xludf.DUMMYFUNCTION("""COMPUTED_VALUE"""),"MOBILITY LAB")</f>
        <v>MOBILITY LAB</v>
      </c>
      <c r="F2182" s="2005" t="str">
        <f>IFERROR(__xludf.DUMMYFUNCTION("""COMPUTED_VALUE"""),"W")</f>
        <v>W</v>
      </c>
      <c r="G2182" s="2005" t="str">
        <f>IFERROR(__xludf.DUMMYFUNCTION("""COMPUTED_VALUE"""),"NN")</f>
        <v>NN</v>
      </c>
      <c r="H2182" s="2005">
        <f>IFERROR(__xludf.DUMMYFUNCTION("""COMPUTED_VALUE"""),30.05)</f>
        <v>30.05</v>
      </c>
      <c r="I2182">
        <f>IFERROR(__xludf.DUMMYFUNCTION("""COMPUTED_VALUE"""),30.05)</f>
        <v>30.05</v>
      </c>
      <c r="BD2182" s="2006"/>
      <c r="LL2182" s="2007"/>
      <c r="LM2182" s="2008"/>
      <c r="MX2182" s="2007"/>
      <c r="ND2182" s="2007"/>
    </row>
    <row r="2183">
      <c r="A2183" s="2005">
        <f>IFERROR(__xludf.DUMMYFUNCTION("""COMPUTED_VALUE"""),1177251.0)</f>
        <v>1177251</v>
      </c>
      <c r="B2183" s="2005">
        <f>IFERROR(__xludf.DUMMYFUNCTION("""COMPUTED_VALUE"""),2502010.0)</f>
        <v>2502010</v>
      </c>
      <c r="C2183" s="2005" t="str">
        <f>IFERROR(__xludf.DUMMYFUNCTION("""COMPUTED_VALUE"""),"Souris")</f>
        <v>Souris</v>
      </c>
      <c r="D2183" s="2005" t="str">
        <f>IFERROR(__xludf.DUMMYFUNCTION("""COMPUTED_VALUE"""),"VERTO")</f>
        <v>VERTO</v>
      </c>
      <c r="E2183" s="2005" t="str">
        <f>IFERROR(__xludf.DUMMYFUNCTION("""COMPUTED_VALUE"""),"TRUST")</f>
        <v>TRUST</v>
      </c>
      <c r="F2183" s="2005" t="str">
        <f>IFERROR(__xludf.DUMMYFUNCTION("""COMPUTED_VALUE"""),"W")</f>
        <v>W</v>
      </c>
      <c r="G2183" s="2005" t="str">
        <f>IFERROR(__xludf.DUMMYFUNCTION("""COMPUTED_VALUE"""),"NN")</f>
        <v>NN</v>
      </c>
      <c r="H2183">
        <f>IFERROR(__xludf.DUMMYFUNCTION("""COMPUTED_VALUE"""),34.99)</f>
        <v>34.99</v>
      </c>
      <c r="I2183" s="2005">
        <f>IFERROR(__xludf.DUMMYFUNCTION("""COMPUTED_VALUE"""),34.99)</f>
        <v>34.99</v>
      </c>
      <c r="BD2183" s="2006"/>
      <c r="LL2183" s="2007"/>
      <c r="LM2183" s="2008"/>
      <c r="MX2183" s="2007"/>
      <c r="ND2183" s="2007"/>
    </row>
    <row r="2184">
      <c r="A2184" s="2005">
        <f>IFERROR(__xludf.DUMMYFUNCTION("""COMPUTED_VALUE"""),1177254.0)</f>
        <v>1177254</v>
      </c>
      <c r="B2184" s="2005">
        <f>IFERROR(__xludf.DUMMYFUNCTION("""COMPUTED_VALUE"""),2402005.0)</f>
        <v>2402005</v>
      </c>
      <c r="C2184" s="2005" t="str">
        <f>IFERROR(__xludf.DUMMYFUNCTION("""COMPUTED_VALUE"""),"Papier")</f>
        <v>Papier</v>
      </c>
      <c r="D2184" s="2005" t="str">
        <f>IFERROR(__xludf.DUMMYFUNCTION("""COMPUTED_VALUE"""),"A4 80GRS 500F BLACK LABEL")</f>
        <v>A4 80GRS 500F BLACK LABEL</v>
      </c>
      <c r="E2184" s="2005" t="str">
        <f>IFERROR(__xludf.DUMMYFUNCTION("""COMPUTED_VALUE"""),"CANON")</f>
        <v>CANON</v>
      </c>
      <c r="F2184" s="2005" t="str">
        <f>IFERROR(__xludf.DUMMYFUNCTION("""COMPUTED_VALUE"""),"C")</f>
        <v>C</v>
      </c>
      <c r="G2184" s="2005" t="str">
        <f>IFERROR(__xludf.DUMMYFUNCTION("""COMPUTED_VALUE"""),"FI")</f>
        <v>FI</v>
      </c>
      <c r="H2184">
        <f>IFERROR(__xludf.DUMMYFUNCTION("""COMPUTED_VALUE"""),7.99)</f>
        <v>7.99</v>
      </c>
      <c r="I2184">
        <f>IFERROR(__xludf.DUMMYFUNCTION("""COMPUTED_VALUE"""),7.99)</f>
        <v>7.99</v>
      </c>
      <c r="BD2184" s="2006"/>
      <c r="LL2184" s="2007"/>
      <c r="LM2184" s="2007"/>
      <c r="MX2184" s="2007"/>
      <c r="ND2184" s="2007"/>
    </row>
    <row r="2185">
      <c r="A2185" s="2005">
        <f>IFERROR(__xludf.DUMMYFUNCTION("""COMPUTED_VALUE"""),1177399.0)</f>
        <v>1177399</v>
      </c>
      <c r="B2185" s="2005">
        <f>IFERROR(__xludf.DUMMYFUNCTION("""COMPUTED_VALUE"""),2502010.0)</f>
        <v>2502010</v>
      </c>
      <c r="C2185" s="2005" t="str">
        <f>IFERROR(__xludf.DUMMYFUNCTION("""COMPUTED_VALUE"""),"Souris")</f>
        <v>Souris</v>
      </c>
      <c r="D2185" s="2005" t="str">
        <f>IFERROR(__xludf.DUMMYFUNCTION("""COMPUTED_VALUE"""),"Pebble M350 - Bleu / Gris")</f>
        <v>Pebble M350 - Bleu / Gris</v>
      </c>
      <c r="E2185" s="2005" t="str">
        <f>IFERROR(__xludf.DUMMYFUNCTION("""COMPUTED_VALUE"""),"LOGITECH")</f>
        <v>LOGITECH</v>
      </c>
      <c r="F2185" s="2005" t="str">
        <f>IFERROR(__xludf.DUMMYFUNCTION("""COMPUTED_VALUE"""),"W")</f>
        <v>W</v>
      </c>
      <c r="G2185" s="2005" t="str">
        <f>IFERROR(__xludf.DUMMYFUNCTION("""COMPUTED_VALUE"""),"NN")</f>
        <v>NN</v>
      </c>
      <c r="H2185" s="2005">
        <f>IFERROR(__xludf.DUMMYFUNCTION("""COMPUTED_VALUE"""),27.99)</f>
        <v>27.99</v>
      </c>
      <c r="I2185">
        <f>IFERROR(__xludf.DUMMYFUNCTION("""COMPUTED_VALUE"""),27.99)</f>
        <v>27.99</v>
      </c>
      <c r="BD2185" s="2006"/>
      <c r="LL2185" s="2007"/>
      <c r="LM2185" s="2007"/>
      <c r="MX2185" s="2007"/>
      <c r="ND2185" s="2007"/>
    </row>
    <row r="2186">
      <c r="A2186" s="2005">
        <f>IFERROR(__xludf.DUMMYFUNCTION("""COMPUTED_VALUE"""),1177400.0)</f>
        <v>1177400</v>
      </c>
      <c r="B2186" s="2005">
        <f>IFERROR(__xludf.DUMMYFUNCTION("""COMPUTED_VALUE"""),2502010.0)</f>
        <v>2502010</v>
      </c>
      <c r="C2186" s="2005" t="str">
        <f>IFERROR(__xludf.DUMMYFUNCTION("""COMPUTED_VALUE"""),"Souris")</f>
        <v>Souris</v>
      </c>
      <c r="D2186" s="2005" t="str">
        <f>IFERROR(__xludf.DUMMYFUNCTION("""COMPUTED_VALUE"""),"Pebble M350 - Eucalyptus")</f>
        <v>Pebble M350 - Eucalyptus</v>
      </c>
      <c r="E2186" s="2005" t="str">
        <f>IFERROR(__xludf.DUMMYFUNCTION("""COMPUTED_VALUE"""),"LOGITECH")</f>
        <v>LOGITECH</v>
      </c>
      <c r="F2186" s="2005" t="str">
        <f>IFERROR(__xludf.DUMMYFUNCTION("""COMPUTED_VALUE"""),"W")</f>
        <v>W</v>
      </c>
      <c r="G2186" s="2005" t="str">
        <f>IFERROR(__xludf.DUMMYFUNCTION("""COMPUTED_VALUE"""),"NN")</f>
        <v>NN</v>
      </c>
      <c r="H2186" s="2005">
        <f>IFERROR(__xludf.DUMMYFUNCTION("""COMPUTED_VALUE"""),27.99)</f>
        <v>27.99</v>
      </c>
      <c r="I2186">
        <f>IFERROR(__xludf.DUMMYFUNCTION("""COMPUTED_VALUE"""),27.99)</f>
        <v>27.99</v>
      </c>
      <c r="BD2186" s="2006"/>
      <c r="LL2186" s="2007"/>
      <c r="LM2186" s="2007"/>
      <c r="MX2186" s="2007"/>
      <c r="ND2186" s="2007"/>
    </row>
    <row r="2187">
      <c r="A2187" s="2005">
        <f>IFERROR(__xludf.DUMMYFUNCTION("""COMPUTED_VALUE"""),1177425.0)</f>
        <v>1177425</v>
      </c>
      <c r="B2187" s="2005">
        <f>IFERROR(__xludf.DUMMYFUNCTION("""COMPUTED_VALUE"""),2502015.0)</f>
        <v>2502015</v>
      </c>
      <c r="C2187" s="2005" t="str">
        <f>IFERROR(__xludf.DUMMYFUNCTION("""COMPUTED_VALUE"""),"Clavier")</f>
        <v>Clavier</v>
      </c>
      <c r="D2187" s="2005" t="str">
        <f>IFERROR(__xludf.DUMMYFUNCTION("""COMPUTED_VALUE"""),"Smart EJ-B3400 Noir Trio 500")</f>
        <v>Smart EJ-B3400 Noir Trio 500</v>
      </c>
      <c r="E2187" s="2005" t="str">
        <f>IFERROR(__xludf.DUMMYFUNCTION("""COMPUTED_VALUE"""),"SAMSUNG")</f>
        <v>SAMSUNG</v>
      </c>
      <c r="F2187" s="2005" t="str">
        <f>IFERROR(__xludf.DUMMYFUNCTION("""COMPUTED_VALUE"""),"W")</f>
        <v>W</v>
      </c>
      <c r="G2187" s="2005" t="str">
        <f>IFERROR(__xludf.DUMMYFUNCTION("""COMPUTED_VALUE"""),"NN")</f>
        <v>NN</v>
      </c>
      <c r="H2187" s="2005">
        <f>IFERROR(__xludf.DUMMYFUNCTION("""COMPUTED_VALUE"""),49.99)</f>
        <v>49.99</v>
      </c>
      <c r="I2187" s="2005">
        <f>IFERROR(__xludf.DUMMYFUNCTION("""COMPUTED_VALUE"""),49.99)</f>
        <v>49.99</v>
      </c>
      <c r="BD2187" s="2006"/>
      <c r="LL2187" s="2007"/>
      <c r="LM2187" s="2007"/>
      <c r="MX2187" s="2007"/>
      <c r="ND2187" s="2007"/>
    </row>
    <row r="2188">
      <c r="A2188" s="2005">
        <f>IFERROR(__xludf.DUMMYFUNCTION("""COMPUTED_VALUE"""),1177427.0)</f>
        <v>1177427</v>
      </c>
      <c r="B2188" s="2005">
        <f>IFERROR(__xludf.DUMMYFUNCTION("""COMPUTED_VALUE"""),2502015.0)</f>
        <v>2502015</v>
      </c>
      <c r="C2188" s="2005" t="str">
        <f>IFERROR(__xludf.DUMMYFUNCTION("""COMPUTED_VALUE"""),"Clavier")</f>
        <v>Clavier</v>
      </c>
      <c r="D2188" s="2005" t="str">
        <f>IFERROR(__xludf.DUMMYFUNCTION("""COMPUTED_VALUE"""),"Smart EJ-B3400 Blanc Trio 500")</f>
        <v>Smart EJ-B3400 Blanc Trio 500</v>
      </c>
      <c r="E2188" s="2005" t="str">
        <f>IFERROR(__xludf.DUMMYFUNCTION("""COMPUTED_VALUE"""),"SAMSUNG")</f>
        <v>SAMSUNG</v>
      </c>
      <c r="F2188" s="2005" t="str">
        <f>IFERROR(__xludf.DUMMYFUNCTION("""COMPUTED_VALUE"""),"W")</f>
        <v>W</v>
      </c>
      <c r="G2188" s="2005" t="str">
        <f>IFERROR(__xludf.DUMMYFUNCTION("""COMPUTED_VALUE"""),"NN")</f>
        <v>NN</v>
      </c>
      <c r="H2188" s="2005">
        <f>IFERROR(__xludf.DUMMYFUNCTION("""COMPUTED_VALUE"""),39.99)</f>
        <v>39.99</v>
      </c>
      <c r="I2188" s="2005">
        <f>IFERROR(__xludf.DUMMYFUNCTION("""COMPUTED_VALUE"""),39.99)</f>
        <v>39.99</v>
      </c>
      <c r="BD2188" s="2006"/>
      <c r="LL2188" s="2007"/>
      <c r="LM2188" s="2007"/>
      <c r="MX2188" s="2008"/>
      <c r="ND2188" s="2007"/>
    </row>
    <row r="2189">
      <c r="A2189" s="2005">
        <f>IFERROR(__xludf.DUMMYFUNCTION("""COMPUTED_VALUE"""),1177430.0)</f>
        <v>1177430</v>
      </c>
      <c r="B2189" s="2005">
        <f>IFERROR(__xludf.DUMMYFUNCTION("""COMPUTED_VALUE"""),2502015.0)</f>
        <v>2502015</v>
      </c>
      <c r="C2189" s="2005" t="str">
        <f>IFERROR(__xludf.DUMMYFUNCTION("""COMPUTED_VALUE"""),"Clavier")</f>
        <v>Clavier</v>
      </c>
      <c r="D2189" s="2005" t="str">
        <f>IFERROR(__xludf.DUMMYFUNCTION("""COMPUTED_VALUE"""),"KC 6000 slim blanc/argent")</f>
        <v>KC 6000 slim blanc/argent</v>
      </c>
      <c r="E2189" s="2005" t="str">
        <f>IFERROR(__xludf.DUMMYFUNCTION("""COMPUTED_VALUE"""),"CHERRY")</f>
        <v>CHERRY</v>
      </c>
      <c r="F2189" s="2005" t="str">
        <f>IFERROR(__xludf.DUMMYFUNCTION("""COMPUTED_VALUE"""),"W")</f>
        <v>W</v>
      </c>
      <c r="G2189" s="2005" t="str">
        <f>IFERROR(__xludf.DUMMYFUNCTION("""COMPUTED_VALUE"""),"AC")</f>
        <v>AC</v>
      </c>
      <c r="H2189" s="2005">
        <f>IFERROR(__xludf.DUMMYFUNCTION("""COMPUTED_VALUE"""),54.99)</f>
        <v>54.99</v>
      </c>
      <c r="I2189" s="2005">
        <f>IFERROR(__xludf.DUMMYFUNCTION("""COMPUTED_VALUE"""),47.89)</f>
        <v>47.89</v>
      </c>
      <c r="BD2189" s="2006"/>
      <c r="LL2189" s="2007"/>
      <c r="LM2189" s="2007"/>
      <c r="MX2189" s="2007"/>
      <c r="ND2189" s="2007"/>
    </row>
    <row r="2190">
      <c r="A2190" s="2005">
        <f>IFERROR(__xludf.DUMMYFUNCTION("""COMPUTED_VALUE"""),1177471.0)</f>
        <v>1177471</v>
      </c>
      <c r="B2190" s="2005">
        <f>IFERROR(__xludf.DUMMYFUNCTION("""COMPUTED_VALUE"""),2502015.0)</f>
        <v>2502015</v>
      </c>
      <c r="C2190" s="2005" t="str">
        <f>IFERROR(__xludf.DUMMYFUNCTION("""COMPUTED_VALUE"""),"Clavier")</f>
        <v>Clavier</v>
      </c>
      <c r="D2190" s="2005" t="str">
        <f>IFERROR(__xludf.DUMMYFUNCTION("""COMPUTED_VALUE"""),"KC 6000 slim noir")</f>
        <v>KC 6000 slim noir</v>
      </c>
      <c r="E2190" s="2005" t="str">
        <f>IFERROR(__xludf.DUMMYFUNCTION("""COMPUTED_VALUE"""),"CHERRY")</f>
        <v>CHERRY</v>
      </c>
      <c r="F2190" s="2005" t="str">
        <f>IFERROR(__xludf.DUMMYFUNCTION("""COMPUTED_VALUE"""),"W")</f>
        <v>W</v>
      </c>
      <c r="G2190" s="2005" t="str">
        <f>IFERROR(__xludf.DUMMYFUNCTION("""COMPUTED_VALUE"""),"NN")</f>
        <v>NN</v>
      </c>
      <c r="H2190" s="2005">
        <f>IFERROR(__xludf.DUMMYFUNCTION("""COMPUTED_VALUE"""),49.99)</f>
        <v>49.99</v>
      </c>
      <c r="I2190" s="2005">
        <f>IFERROR(__xludf.DUMMYFUNCTION("""COMPUTED_VALUE"""),49.99)</f>
        <v>49.99</v>
      </c>
      <c r="LL2190" s="2007"/>
      <c r="LM2190" s="2007"/>
    </row>
    <row r="2191">
      <c r="A2191" s="2005">
        <f>IFERROR(__xludf.DUMMYFUNCTION("""COMPUTED_VALUE"""),1177474.0)</f>
        <v>1177474</v>
      </c>
      <c r="B2191" s="2005">
        <f>IFERROR(__xludf.DUMMYFUNCTION("""COMPUTED_VALUE"""),2502015.0)</f>
        <v>2502015</v>
      </c>
      <c r="C2191" s="2005" t="str">
        <f>IFERROR(__xludf.DUMMYFUNCTION("""COMPUTED_VALUE"""),"Clavier")</f>
        <v>Clavier</v>
      </c>
      <c r="D2191" s="2005" t="str">
        <f>IFERROR(__xludf.DUMMYFUNCTION("""COMPUTED_VALUE"""),"KC 6000 slim Layout Mac blanc/argent")</f>
        <v>KC 6000 slim Layout Mac blanc/argent</v>
      </c>
      <c r="E2191" s="2005" t="str">
        <f>IFERROR(__xludf.DUMMYFUNCTION("""COMPUTED_VALUE"""),"CHERRY")</f>
        <v>CHERRY</v>
      </c>
      <c r="F2191" s="2005" t="str">
        <f>IFERROR(__xludf.DUMMYFUNCTION("""COMPUTED_VALUE"""),"W")</f>
        <v>W</v>
      </c>
      <c r="G2191" s="2005" t="str">
        <f>IFERROR(__xludf.DUMMYFUNCTION("""COMPUTED_VALUE"""),"NN")</f>
        <v>NN</v>
      </c>
      <c r="H2191">
        <f>IFERROR(__xludf.DUMMYFUNCTION("""COMPUTED_VALUE"""),44.99)</f>
        <v>44.99</v>
      </c>
      <c r="I2191">
        <f>IFERROR(__xludf.DUMMYFUNCTION("""COMPUTED_VALUE"""),44.99)</f>
        <v>44.99</v>
      </c>
      <c r="LM2191" s="2007"/>
    </row>
    <row r="2192">
      <c r="A2192" s="2005">
        <f>IFERROR(__xludf.DUMMYFUNCTION("""COMPUTED_VALUE"""),1177564.0)</f>
        <v>1177564</v>
      </c>
      <c r="B2192" s="2005">
        <f>IFERROR(__xludf.DUMMYFUNCTION("""COMPUTED_VALUE"""),2502020.0)</f>
        <v>2502020</v>
      </c>
      <c r="C2192" s="2005" t="str">
        <f>IFERROR(__xludf.DUMMYFUNCTION("""COMPUTED_VALUE"""),"Webcam")</f>
        <v>Webcam</v>
      </c>
      <c r="D2192" s="2005" t="str">
        <f>IFERROR(__xludf.DUMMYFUNCTION("""COMPUTED_VALUE"""),"Streamcam Graphite + Trepied Gorillapod")</f>
        <v>Streamcam Graphite + Trepied Gorillapod</v>
      </c>
      <c r="E2192" s="2005" t="str">
        <f>IFERROR(__xludf.DUMMYFUNCTION("""COMPUTED_VALUE"""),"LOGITECH")</f>
        <v>LOGITECH</v>
      </c>
      <c r="F2192" s="2005" t="str">
        <f>IFERROR(__xludf.DUMMYFUNCTION("""COMPUTED_VALUE"""),"C")</f>
        <v>C</v>
      </c>
      <c r="G2192" s="2005" t="str">
        <f>IFERROR(__xludf.DUMMYFUNCTION("""COMPUTED_VALUE"""),"NN")</f>
        <v>NN</v>
      </c>
      <c r="H2192" s="2005">
        <f>IFERROR(__xludf.DUMMYFUNCTION("""COMPUTED_VALUE"""),159.99)</f>
        <v>159.99</v>
      </c>
      <c r="I2192" s="2005">
        <f>IFERROR(__xludf.DUMMYFUNCTION("""COMPUTED_VALUE"""),159.99)</f>
        <v>159.99</v>
      </c>
      <c r="BD2192" s="2006"/>
      <c r="LL2192" s="2007"/>
      <c r="LM2192" s="2007"/>
      <c r="MX2192" s="2007"/>
      <c r="ND2192" s="2007"/>
    </row>
    <row r="2193">
      <c r="A2193" s="2005">
        <f>IFERROR(__xludf.DUMMYFUNCTION("""COMPUTED_VALUE"""),1177599.0)</f>
        <v>1177599</v>
      </c>
      <c r="B2193" s="2005">
        <f>IFERROR(__xludf.DUMMYFUNCTION("""COMPUTED_VALUE"""),2502015.0)</f>
        <v>2502015</v>
      </c>
      <c r="C2193" s="2005" t="str">
        <f>IFERROR(__xludf.DUMMYFUNCTION("""COMPUTED_VALUE"""),"Clavier")</f>
        <v>Clavier</v>
      </c>
      <c r="D2193" s="2005" t="str">
        <f>IFERROR(__xludf.DUMMYFUNCTION("""COMPUTED_VALUE"""),"Advance Fit noir")</f>
        <v>Advance Fit noir</v>
      </c>
      <c r="E2193" s="2005" t="str">
        <f>IFERROR(__xludf.DUMMYFUNCTION("""COMPUTED_VALUE"""),"KENSINGTON")</f>
        <v>KENSINGTON</v>
      </c>
      <c r="F2193" s="2005" t="str">
        <f>IFERROR(__xludf.DUMMYFUNCTION("""COMPUTED_VALUE"""),"W")</f>
        <v>W</v>
      </c>
      <c r="G2193" s="2005" t="str">
        <f>IFERROR(__xludf.DUMMYFUNCTION("""COMPUTED_VALUE"""),"AC")</f>
        <v>AC</v>
      </c>
      <c r="H2193" s="2005">
        <f>IFERROR(__xludf.DUMMYFUNCTION("""COMPUTED_VALUE"""),39.99)</f>
        <v>39.99</v>
      </c>
      <c r="I2193" s="2005">
        <f>IFERROR(__xludf.DUMMYFUNCTION("""COMPUTED_VALUE"""),26.74)</f>
        <v>26.74</v>
      </c>
      <c r="BD2193" s="2006"/>
      <c r="LL2193" s="2007"/>
      <c r="LM2193" s="2007"/>
      <c r="MX2193" s="2007"/>
      <c r="ND2193" s="2007"/>
    </row>
    <row r="2194">
      <c r="A2194" s="2005">
        <f>IFERROR(__xludf.DUMMYFUNCTION("""COMPUTED_VALUE"""),1177600.0)</f>
        <v>1177600</v>
      </c>
      <c r="B2194" s="2005">
        <f>IFERROR(__xludf.DUMMYFUNCTION("""COMPUTED_VALUE"""),2704515.0)</f>
        <v>2704515</v>
      </c>
      <c r="C2194" s="2005" t="str">
        <f>IFERROR(__xludf.DUMMYFUNCTION("""COMPUTED_VALUE"""),"Calc.")</f>
        <v>Calc.</v>
      </c>
      <c r="D2194" s="2005" t="str">
        <f>IFERROR(__xludf.DUMMYFUNCTION("""COMPUTED_VALUE"""),"Financière FC 100V-2")</f>
        <v>Financière FC 100V-2</v>
      </c>
      <c r="E2194" s="2005" t="str">
        <f>IFERROR(__xludf.DUMMYFUNCTION("""COMPUTED_VALUE"""),"CASIO")</f>
        <v>CASIO</v>
      </c>
      <c r="F2194" s="2005" t="str">
        <f>IFERROR(__xludf.DUMMYFUNCTION("""COMPUTED_VALUE"""),"W")</f>
        <v>W</v>
      </c>
      <c r="G2194" s="2005" t="str">
        <f>IFERROR(__xludf.DUMMYFUNCTION("""COMPUTED_VALUE"""),"NN")</f>
        <v>NN</v>
      </c>
      <c r="H2194" s="2005">
        <f>IFERROR(__xludf.DUMMYFUNCTION("""COMPUTED_VALUE"""),34.99)</f>
        <v>34.99</v>
      </c>
      <c r="I2194" s="2005">
        <f>IFERROR(__xludf.DUMMYFUNCTION("""COMPUTED_VALUE"""),34.99)</f>
        <v>34.99</v>
      </c>
      <c r="LL2194" s="2007"/>
      <c r="LM2194" s="2007"/>
    </row>
    <row r="2195">
      <c r="A2195" s="2005">
        <f>IFERROR(__xludf.DUMMYFUNCTION("""COMPUTED_VALUE"""),1177681.0)</f>
        <v>1177681</v>
      </c>
      <c r="B2195" s="2005">
        <f>IFERROR(__xludf.DUMMYFUNCTION("""COMPUTED_VALUE"""),2209805.0)</f>
        <v>2209805</v>
      </c>
      <c r="C2195" s="2005" t="str">
        <f>IFERROR(__xludf.DUMMYFUNCTION("""COMPUTED_VALUE"""),"Lot")</f>
        <v>Lot</v>
      </c>
      <c r="D2195" s="2005" t="str">
        <f>IFERROR(__xludf.DUMMYFUNCTION("""COMPUTED_VALUE"""),"Envy Inspire 7221e  + Carte Instant Ink")</f>
        <v>Envy Inspire 7221e  + Carte Instant Ink</v>
      </c>
      <c r="E2195" s="2005" t="str">
        <f>IFERROR(__xludf.DUMMYFUNCTION("""COMPUTED_VALUE"""),"HP")</f>
        <v>HP</v>
      </c>
      <c r="F2195" s="2005" t="str">
        <f>IFERROR(__xludf.DUMMYFUNCTION("""COMPUTED_VALUE"""),"H")</f>
        <v>H</v>
      </c>
      <c r="G2195" s="2005" t="str">
        <f>IFERROR(__xludf.DUMMYFUNCTION("""COMPUTED_VALUE"""),"AC")</f>
        <v>AC</v>
      </c>
      <c r="H2195" s="2005">
        <f>IFERROR(__xludf.DUMMYFUNCTION("""COMPUTED_VALUE"""),144.08)</f>
        <v>144.08</v>
      </c>
      <c r="I2195" s="2005">
        <f>IFERROR(__xludf.DUMMYFUNCTION("""COMPUTED_VALUE"""),144.08)</f>
        <v>144.08</v>
      </c>
      <c r="BD2195" s="2006"/>
      <c r="LL2195" s="2007"/>
      <c r="LM2195" s="2007"/>
      <c r="MX2195" s="2007"/>
      <c r="ND2195" s="2007"/>
    </row>
    <row r="2196">
      <c r="A2196" s="2005">
        <f>IFERROR(__xludf.DUMMYFUNCTION("""COMPUTED_VALUE"""),1177682.0)</f>
        <v>1177682</v>
      </c>
      <c r="B2196" s="2005">
        <f>IFERROR(__xludf.DUMMYFUNCTION("""COMPUTED_VALUE"""),2209805.0)</f>
        <v>2209805</v>
      </c>
      <c r="C2196" s="2005" t="str">
        <f>IFERROR(__xludf.DUMMYFUNCTION("""COMPUTED_VALUE"""),"Lot")</f>
        <v>Lot</v>
      </c>
      <c r="D2196" s="2005" t="str">
        <f>IFERROR(__xludf.DUMMYFUNCTION("""COMPUTED_VALUE"""),"Envy Inspire 7921e+ Carte Instant Ink")</f>
        <v>Envy Inspire 7921e+ Carte Instant Ink</v>
      </c>
      <c r="E2196" s="2005" t="str">
        <f>IFERROR(__xludf.DUMMYFUNCTION("""COMPUTED_VALUE"""),"HP")</f>
        <v>HP</v>
      </c>
      <c r="F2196" s="2005" t="str">
        <f>IFERROR(__xludf.DUMMYFUNCTION("""COMPUTED_VALUE"""),"H")</f>
        <v>H</v>
      </c>
      <c r="G2196" s="2005" t="str">
        <f>IFERROR(__xludf.DUMMYFUNCTION("""COMPUTED_VALUE"""),"NN")</f>
        <v>NN</v>
      </c>
      <c r="H2196" s="2005">
        <f>IFERROR(__xludf.DUMMYFUNCTION("""COMPUTED_VALUE"""),194.08)</f>
        <v>194.08</v>
      </c>
      <c r="I2196" s="2005">
        <f>IFERROR(__xludf.DUMMYFUNCTION("""COMPUTED_VALUE"""),194.08)</f>
        <v>194.08</v>
      </c>
      <c r="LL2196" s="2007"/>
      <c r="LM2196" s="2007"/>
    </row>
    <row r="2197">
      <c r="A2197" s="2005">
        <f>IFERROR(__xludf.DUMMYFUNCTION("""COMPUTED_VALUE"""),1177683.0)</f>
        <v>1177683</v>
      </c>
      <c r="B2197" s="2005">
        <f>IFERROR(__xludf.DUMMYFUNCTION("""COMPUTED_VALUE"""),2209805.0)</f>
        <v>2209805</v>
      </c>
      <c r="C2197" s="2005" t="str">
        <f>IFERROR(__xludf.DUMMYFUNCTION("""COMPUTED_VALUE"""),"Lot")</f>
        <v>Lot</v>
      </c>
      <c r="D2197" s="2005" t="str">
        <f>IFERROR(__xludf.DUMMYFUNCTION("""COMPUTED_VALUE"""),"Envy Inspire 7224e + Carte Instant Ink")</f>
        <v>Envy Inspire 7224e + Carte Instant Ink</v>
      </c>
      <c r="E2197" s="2005" t="str">
        <f>IFERROR(__xludf.DUMMYFUNCTION("""COMPUTED_VALUE"""),"HP")</f>
        <v>HP</v>
      </c>
      <c r="F2197" s="2005" t="str">
        <f>IFERROR(__xludf.DUMMYFUNCTION("""COMPUTED_VALUE"""),"H")</f>
        <v>H</v>
      </c>
      <c r="G2197" s="2005" t="str">
        <f>IFERROR(__xludf.DUMMYFUNCTION("""COMPUTED_VALUE"""),"AC")</f>
        <v>AC</v>
      </c>
      <c r="H2197" s="2005">
        <f>IFERROR(__xludf.DUMMYFUNCTION("""COMPUTED_VALUE"""),144.08)</f>
        <v>144.08</v>
      </c>
      <c r="I2197" s="2005">
        <f>IFERROR(__xludf.DUMMYFUNCTION("""COMPUTED_VALUE"""),144.08)</f>
        <v>144.08</v>
      </c>
      <c r="BD2197" s="2006"/>
      <c r="LL2197" s="2007"/>
      <c r="LM2197" s="2007"/>
      <c r="MX2197" s="2007"/>
      <c r="ND2197" s="2007"/>
    </row>
    <row r="2198">
      <c r="A2198" s="2005">
        <f>IFERROR(__xludf.DUMMYFUNCTION("""COMPUTED_VALUE"""),1177684.0)</f>
        <v>1177684</v>
      </c>
      <c r="B2198" s="2005">
        <f>IFERROR(__xludf.DUMMYFUNCTION("""COMPUTED_VALUE"""),2209805.0)</f>
        <v>2209805</v>
      </c>
      <c r="C2198" s="2005" t="str">
        <f>IFERROR(__xludf.DUMMYFUNCTION("""COMPUTED_VALUE"""),"Lot")</f>
        <v>Lot</v>
      </c>
      <c r="D2198" s="2005" t="str">
        <f>IFERROR(__xludf.DUMMYFUNCTION("""COMPUTED_VALUE"""),"Envy Inspire 7924e+ Carte Instant Ink")</f>
        <v>Envy Inspire 7924e+ Carte Instant Ink</v>
      </c>
      <c r="E2198" s="2005" t="str">
        <f>IFERROR(__xludf.DUMMYFUNCTION("""COMPUTED_VALUE"""),"HP")</f>
        <v>HP</v>
      </c>
      <c r="F2198" s="2005" t="str">
        <f>IFERROR(__xludf.DUMMYFUNCTION("""COMPUTED_VALUE"""),"H")</f>
        <v>H</v>
      </c>
      <c r="G2198" s="2005" t="str">
        <f>IFERROR(__xludf.DUMMYFUNCTION("""COMPUTED_VALUE"""),"AC")</f>
        <v>AC</v>
      </c>
      <c r="H2198" s="2005">
        <f>IFERROR(__xludf.DUMMYFUNCTION("""COMPUTED_VALUE"""),164.08)</f>
        <v>164.08</v>
      </c>
      <c r="I2198" s="2005">
        <f>IFERROR(__xludf.DUMMYFUNCTION("""COMPUTED_VALUE"""),164.08)</f>
        <v>164.08</v>
      </c>
      <c r="BD2198" s="2006"/>
      <c r="LL2198" s="2007"/>
      <c r="LM2198" s="2007"/>
      <c r="MX2198" s="2007"/>
      <c r="ND2198" s="2007"/>
    </row>
    <row r="2199">
      <c r="A2199" s="2005">
        <f>IFERROR(__xludf.DUMMYFUNCTION("""COMPUTED_VALUE"""),1177757.0)</f>
        <v>1177757</v>
      </c>
      <c r="B2199" s="2005">
        <f>IFERROR(__xludf.DUMMYFUNCTION("""COMPUTED_VALUE"""),2502015.0)</f>
        <v>2502015</v>
      </c>
      <c r="C2199" s="2005" t="str">
        <f>IFERROR(__xludf.DUMMYFUNCTION("""COMPUTED_VALUE"""),"Clavier")</f>
        <v>Clavier</v>
      </c>
      <c r="D2199" s="2005" t="str">
        <f>IFERROR(__xludf.DUMMYFUNCTION("""COMPUTED_VALUE"""),"filaire usb qwerty noir")</f>
        <v>filaire usb qwerty noir</v>
      </c>
      <c r="E2199" s="2005" t="str">
        <f>IFERROR(__xludf.DUMMYFUNCTION("""COMPUTED_VALUE"""),"V7")</f>
        <v>V7</v>
      </c>
      <c r="F2199" s="2005" t="str">
        <f>IFERROR(__xludf.DUMMYFUNCTION("""COMPUTED_VALUE"""),"W")</f>
        <v>W</v>
      </c>
      <c r="G2199" s="2005" t="str">
        <f>IFERROR(__xludf.DUMMYFUNCTION("""COMPUTED_VALUE"""),"NN")</f>
        <v>NN</v>
      </c>
      <c r="H2199" s="2005">
        <f>IFERROR(__xludf.DUMMYFUNCTION("""COMPUTED_VALUE"""),14.99)</f>
        <v>14.99</v>
      </c>
      <c r="I2199" s="2005">
        <f>IFERROR(__xludf.DUMMYFUNCTION("""COMPUTED_VALUE"""),14.99)</f>
        <v>14.99</v>
      </c>
      <c r="BD2199" s="2006"/>
      <c r="LL2199" s="2007"/>
      <c r="LM2199" s="2007"/>
      <c r="MX2199" s="2008"/>
      <c r="ND2199" s="2007"/>
    </row>
    <row r="2200">
      <c r="A2200" s="2005">
        <f>IFERROR(__xludf.DUMMYFUNCTION("""COMPUTED_VALUE"""),1177760.0)</f>
        <v>1177760</v>
      </c>
      <c r="B2200" s="2005">
        <f>IFERROR(__xludf.DUMMYFUNCTION("""COMPUTED_VALUE"""),2502015.0)</f>
        <v>2502015</v>
      </c>
      <c r="C2200" s="2005" t="str">
        <f>IFERROR(__xludf.DUMMYFUNCTION("""COMPUTED_VALUE"""),"Clavier")</f>
        <v>Clavier</v>
      </c>
      <c r="D2200" s="2005" t="str">
        <f>IFERROR(__xludf.DUMMYFUNCTION("""COMPUTED_VALUE"""),"filaire Primo / Taro")</f>
        <v>filaire Primo / Taro</v>
      </c>
      <c r="E2200" s="2005" t="str">
        <f>IFERROR(__xludf.DUMMYFUNCTION("""COMPUTED_VALUE"""),"TRUST")</f>
        <v>TRUST</v>
      </c>
      <c r="F2200" s="2005" t="str">
        <f>IFERROR(__xludf.DUMMYFUNCTION("""COMPUTED_VALUE"""),"W")</f>
        <v>W</v>
      </c>
      <c r="G2200" s="2005" t="str">
        <f>IFERROR(__xludf.DUMMYFUNCTION("""COMPUTED_VALUE"""),"AC")</f>
        <v>AC</v>
      </c>
      <c r="H2200" s="2005">
        <f>IFERROR(__xludf.DUMMYFUNCTION("""COMPUTED_VALUE"""),12.99)</f>
        <v>12.99</v>
      </c>
      <c r="I2200" s="2005">
        <f>IFERROR(__xludf.DUMMYFUNCTION("""COMPUTED_VALUE"""),12.99)</f>
        <v>12.99</v>
      </c>
      <c r="BD2200" s="2006"/>
      <c r="LL2200" s="2007"/>
      <c r="LM2200" s="2007"/>
      <c r="MX2200" s="2007"/>
      <c r="ND2200" s="2007"/>
    </row>
    <row r="2201">
      <c r="A2201" s="2005">
        <f>IFERROR(__xludf.DUMMYFUNCTION("""COMPUTED_VALUE"""),1177771.0)</f>
        <v>1177771</v>
      </c>
      <c r="B2201" s="2005">
        <f>IFERROR(__xludf.DUMMYFUNCTION("""COMPUTED_VALUE"""),2502015.0)</f>
        <v>2502015</v>
      </c>
      <c r="C2201" s="2005" t="str">
        <f>IFERROR(__xludf.DUMMYFUNCTION("""COMPUTED_VALUE"""),"Clavier+Souris")</f>
        <v>Clavier+Souris</v>
      </c>
      <c r="D2201" s="2005" t="str">
        <f>IFERROR(__xludf.DUMMYFUNCTION("""COMPUTED_VALUE"""),"silencieux ODY Set / YMO")</f>
        <v>silencieux ODY Set / YMO</v>
      </c>
      <c r="E2201" s="2005" t="str">
        <f>IFERROR(__xludf.DUMMYFUNCTION("""COMPUTED_VALUE"""),"TRUST")</f>
        <v>TRUST</v>
      </c>
      <c r="F2201" s="2005" t="str">
        <f>IFERROR(__xludf.DUMMYFUNCTION("""COMPUTED_VALUE"""),"W")</f>
        <v>W</v>
      </c>
      <c r="G2201" s="2005" t="str">
        <f>IFERROR(__xludf.DUMMYFUNCTION("""COMPUTED_VALUE"""),"AC")</f>
        <v>AC</v>
      </c>
      <c r="H2201" s="2005">
        <f>IFERROR(__xludf.DUMMYFUNCTION("""COMPUTED_VALUE"""),27.99)</f>
        <v>27.99</v>
      </c>
      <c r="I2201" s="2005">
        <f>IFERROR(__xludf.DUMMYFUNCTION("""COMPUTED_VALUE"""),24.99)</f>
        <v>24.99</v>
      </c>
      <c r="BD2201" s="2006"/>
      <c r="LL2201" s="2008"/>
      <c r="LM2201" s="2007"/>
      <c r="MX2201" s="2007"/>
      <c r="ND2201" s="2007"/>
    </row>
    <row r="2202">
      <c r="A2202" s="2005">
        <f>IFERROR(__xludf.DUMMYFUNCTION("""COMPUTED_VALUE"""),1177775.0)</f>
        <v>1177775</v>
      </c>
      <c r="B2202" s="2005">
        <f>IFERROR(__xludf.DUMMYFUNCTION("""COMPUTED_VALUE"""),2202010.0)</f>
        <v>2202010</v>
      </c>
      <c r="C2202" s="2005" t="str">
        <f>IFERROR(__xludf.DUMMYFUNCTION("""COMPUTED_VALUE"""),"Multi Jet d'enc")</f>
        <v>Multi Jet d'enc</v>
      </c>
      <c r="D2202" s="2005" t="str">
        <f>IFERROR(__xludf.DUMMYFUNCTION("""COMPUTED_VALUE"""),"Megatank G650")</f>
        <v>Megatank G650</v>
      </c>
      <c r="E2202" s="2005" t="str">
        <f>IFERROR(__xludf.DUMMYFUNCTION("""COMPUTED_VALUE"""),"CANON")</f>
        <v>CANON</v>
      </c>
      <c r="F2202" s="2005" t="str">
        <f>IFERROR(__xludf.DUMMYFUNCTION("""COMPUTED_VALUE"""),"D")</f>
        <v>D</v>
      </c>
      <c r="G2202" s="2005" t="str">
        <f>IFERROR(__xludf.DUMMYFUNCTION("""COMPUTED_VALUE"""),"AC")</f>
        <v>AC</v>
      </c>
      <c r="H2202">
        <f>IFERROR(__xludf.DUMMYFUNCTION("""COMPUTED_VALUE"""),329.99)</f>
        <v>329.99</v>
      </c>
      <c r="I2202">
        <f>IFERROR(__xludf.DUMMYFUNCTION("""COMPUTED_VALUE"""),329.99)</f>
        <v>329.99</v>
      </c>
      <c r="BD2202" s="2006"/>
      <c r="LL2202" s="2007"/>
      <c r="LM2202" s="2007"/>
      <c r="MX2202" s="2007"/>
      <c r="ND2202" s="2007"/>
    </row>
    <row r="2203">
      <c r="A2203" s="2005">
        <f>IFERROR(__xludf.DUMMYFUNCTION("""COMPUTED_VALUE"""),1177960.0)</f>
        <v>1177960</v>
      </c>
      <c r="B2203" s="2005">
        <f>IFERROR(__xludf.DUMMYFUNCTION("""COMPUTED_VALUE"""),2403006.0)</f>
        <v>2403006</v>
      </c>
      <c r="C2203" s="2005" t="str">
        <f>IFERROR(__xludf.DUMMYFUNCTION("""COMPUTED_VALUE"""),"Conso Plastif")</f>
        <v>Conso Plastif</v>
      </c>
      <c r="D2203" s="2005" t="str">
        <f>IFERROR(__xludf.DUMMYFUNCTION("""COMPUTED_VALUE"""),"Scan N Cut Support a lame standart")</f>
        <v>Scan N Cut Support a lame standart</v>
      </c>
      <c r="E2203" s="2005" t="str">
        <f>IFERROR(__xludf.DUMMYFUNCTION("""COMPUTED_VALUE"""),"BROTHER")</f>
        <v>BROTHER</v>
      </c>
      <c r="F2203" s="2005" t="str">
        <f>IFERROR(__xludf.DUMMYFUNCTION("""COMPUTED_VALUE"""),"W")</f>
        <v>W</v>
      </c>
      <c r="G2203" s="2005" t="str">
        <f>IFERROR(__xludf.DUMMYFUNCTION("""COMPUTED_VALUE"""),"NN")</f>
        <v>NN</v>
      </c>
      <c r="H2203" s="2005">
        <f>IFERROR(__xludf.DUMMYFUNCTION("""COMPUTED_VALUE"""),14.99)</f>
        <v>14.99</v>
      </c>
      <c r="I2203" s="2005">
        <f>IFERROR(__xludf.DUMMYFUNCTION("""COMPUTED_VALUE"""),14.99)</f>
        <v>14.99</v>
      </c>
      <c r="BD2203" s="2006"/>
      <c r="LL2203" s="2007"/>
      <c r="LM2203" s="2007"/>
      <c r="MX2203" s="2007"/>
      <c r="ND2203" s="2007"/>
    </row>
    <row r="2204">
      <c r="A2204" s="2005">
        <f>IFERROR(__xludf.DUMMYFUNCTION("""COMPUTED_VALUE"""),1178035.0)</f>
        <v>1178035</v>
      </c>
      <c r="B2204" s="2005">
        <f>IFERROR(__xludf.DUMMYFUNCTION("""COMPUTED_VALUE"""),2403006.0)</f>
        <v>2403006</v>
      </c>
      <c r="C2204" s="2005" t="str">
        <f>IFERROR(__xludf.DUMMYFUNCTION("""COMPUTED_VALUE"""),"Conso Plastif")</f>
        <v>Conso Plastif</v>
      </c>
      <c r="D2204" s="2005" t="str">
        <f>IFERROR(__xludf.DUMMYFUNCTION("""COMPUTED_VALUE"""),"Scan N Cut Support à lame profonde")</f>
        <v>Scan N Cut Support à lame profonde</v>
      </c>
      <c r="E2204" s="2005" t="str">
        <f>IFERROR(__xludf.DUMMYFUNCTION("""COMPUTED_VALUE"""),"BROTHER")</f>
        <v>BROTHER</v>
      </c>
      <c r="F2204" s="2005" t="str">
        <f>IFERROR(__xludf.DUMMYFUNCTION("""COMPUTED_VALUE"""),"W")</f>
        <v>W</v>
      </c>
      <c r="G2204" s="2005" t="str">
        <f>IFERROR(__xludf.DUMMYFUNCTION("""COMPUTED_VALUE"""),"NN")</f>
        <v>NN</v>
      </c>
      <c r="H2204" s="2005">
        <f>IFERROR(__xludf.DUMMYFUNCTION("""COMPUTED_VALUE"""),14.99)</f>
        <v>14.99</v>
      </c>
      <c r="I2204" s="2005">
        <f>IFERROR(__xludf.DUMMYFUNCTION("""COMPUTED_VALUE"""),14.99)</f>
        <v>14.99</v>
      </c>
      <c r="BD2204" s="2006"/>
      <c r="LL2204" s="2007"/>
      <c r="LM2204" s="2007"/>
      <c r="MX2204" s="2007"/>
      <c r="ND2204" s="2007"/>
    </row>
    <row r="2205">
      <c r="A2205" s="2005">
        <f>IFERROR(__xludf.DUMMYFUNCTION("""COMPUTED_VALUE"""),1178039.0)</f>
        <v>1178039</v>
      </c>
      <c r="B2205" s="2005">
        <f>IFERROR(__xludf.DUMMYFUNCTION("""COMPUTED_VALUE"""),2403006.0)</f>
        <v>2403006</v>
      </c>
      <c r="C2205" s="2005" t="str">
        <f>IFERROR(__xludf.DUMMYFUNCTION("""COMPUTED_VALUE"""),"Conso Plastif")</f>
        <v>Conso Plastif</v>
      </c>
      <c r="D2205" s="2005" t="str">
        <f>IFERROR(__xludf.DUMMYFUNCTION("""COMPUTED_VALUE"""),"Vinyle amovible noir")</f>
        <v>Vinyle amovible noir</v>
      </c>
      <c r="E2205" s="2005" t="str">
        <f>IFERROR(__xludf.DUMMYFUNCTION("""COMPUTED_VALUE"""),"CRICUT")</f>
        <v>CRICUT</v>
      </c>
      <c r="F2205" s="2005" t="str">
        <f>IFERROR(__xludf.DUMMYFUNCTION("""COMPUTED_VALUE"""),"E")</f>
        <v>E</v>
      </c>
      <c r="G2205" s="2005" t="str">
        <f>IFERROR(__xludf.DUMMYFUNCTION("""COMPUTED_VALUE"""),"AC")</f>
        <v>AC</v>
      </c>
      <c r="H2205" s="2005">
        <f>IFERROR(__xludf.DUMMYFUNCTION("""COMPUTED_VALUE"""),8.49)</f>
        <v>8.49</v>
      </c>
      <c r="I2205" s="2005">
        <f>IFERROR(__xludf.DUMMYFUNCTION("""COMPUTED_VALUE"""),6.53)</f>
        <v>6.53</v>
      </c>
      <c r="LL2205" s="2007"/>
      <c r="LM2205" s="2007"/>
    </row>
    <row r="2206">
      <c r="A2206" s="2005">
        <f>IFERROR(__xludf.DUMMYFUNCTION("""COMPUTED_VALUE"""),1178040.0)</f>
        <v>1178040</v>
      </c>
      <c r="B2206" s="2005">
        <f>IFERROR(__xludf.DUMMYFUNCTION("""COMPUTED_VALUE"""),2403006.0)</f>
        <v>2403006</v>
      </c>
      <c r="C2206" s="2005" t="str">
        <f>IFERROR(__xludf.DUMMYFUNCTION("""COMPUTED_VALUE"""),"Conso Plastif")</f>
        <v>Conso Plastif</v>
      </c>
      <c r="D2206" s="2005" t="str">
        <f>IFERROR(__xludf.DUMMYFUNCTION("""COMPUTED_VALUE"""),"Tasses ceramique blanches lot de 6")</f>
        <v>Tasses ceramique blanches lot de 6</v>
      </c>
      <c r="E2206" s="2005" t="str">
        <f>IFERROR(__xludf.DUMMYFUNCTION("""COMPUTED_VALUE"""),"CRICUT")</f>
        <v>CRICUT</v>
      </c>
      <c r="F2206" s="2005" t="str">
        <f>IFERROR(__xludf.DUMMYFUNCTION("""COMPUTED_VALUE"""),"H")</f>
        <v>H</v>
      </c>
      <c r="G2206" s="2005" t="str">
        <f>IFERROR(__xludf.DUMMYFUNCTION("""COMPUTED_VALUE"""),"NN")</f>
        <v>NN</v>
      </c>
      <c r="H2206" s="2005">
        <f>IFERROR(__xludf.DUMMYFUNCTION("""COMPUTED_VALUE"""),26.99)</f>
        <v>26.99</v>
      </c>
      <c r="I2206" s="2005">
        <f>IFERROR(__xludf.DUMMYFUNCTION("""COMPUTED_VALUE"""),20.76)</f>
        <v>20.76</v>
      </c>
      <c r="BD2206" s="2006"/>
      <c r="LL2206" s="2007"/>
      <c r="LM2206" s="2007"/>
      <c r="MX2206" s="2007"/>
      <c r="ND2206" s="2007"/>
    </row>
    <row r="2207">
      <c r="A2207" s="2005">
        <f>IFERROR(__xludf.DUMMYFUNCTION("""COMPUTED_VALUE"""),1178047.0)</f>
        <v>1178047</v>
      </c>
      <c r="B2207" s="2005">
        <f>IFERROR(__xludf.DUMMYFUNCTION("""COMPUTED_VALUE"""),2201099.0)</f>
        <v>2201099</v>
      </c>
      <c r="C2207" s="2005" t="str">
        <f>IFERROR(__xludf.DUMMYFUNCTION("""COMPUTED_VALUE"""),"Découpeuse")</f>
        <v>Découpeuse</v>
      </c>
      <c r="D2207" s="2005" t="str">
        <f>IFERROR(__xludf.DUMMYFUNCTION("""COMPUTED_VALUE"""),"Scan N Cut CM300")</f>
        <v>Scan N Cut CM300</v>
      </c>
      <c r="E2207" s="2005" t="str">
        <f>IFERROR(__xludf.DUMMYFUNCTION("""COMPUTED_VALUE"""),"BROTHER")</f>
        <v>BROTHER</v>
      </c>
      <c r="F2207" s="2005" t="str">
        <f>IFERROR(__xludf.DUMMYFUNCTION("""COMPUTED_VALUE"""),"W")</f>
        <v>W</v>
      </c>
      <c r="G2207" s="2005" t="str">
        <f>IFERROR(__xludf.DUMMYFUNCTION("""COMPUTED_VALUE"""),"AC")</f>
        <v>AC</v>
      </c>
      <c r="H2207" s="2005">
        <f>IFERROR(__xludf.DUMMYFUNCTION("""COMPUTED_VALUE"""),319.0)</f>
        <v>319</v>
      </c>
      <c r="I2207" s="2005">
        <f>IFERROR(__xludf.DUMMYFUNCTION("""COMPUTED_VALUE"""),295.97)</f>
        <v>295.97</v>
      </c>
      <c r="BD2207" s="2006"/>
      <c r="LL2207" s="2007"/>
      <c r="LM2207" s="2007"/>
      <c r="MX2207" s="2007"/>
      <c r="ND2207" s="2007"/>
    </row>
    <row r="2208">
      <c r="A2208" s="2005">
        <f>IFERROR(__xludf.DUMMYFUNCTION("""COMPUTED_VALUE"""),1178048.0)</f>
        <v>1178048</v>
      </c>
      <c r="B2208" s="2005">
        <f>IFERROR(__xludf.DUMMYFUNCTION("""COMPUTED_VALUE"""),2201099.0)</f>
        <v>2201099</v>
      </c>
      <c r="C2208" s="2005" t="str">
        <f>IFERROR(__xludf.DUMMYFUNCTION("""COMPUTED_VALUE"""),"Conso Plastif")</f>
        <v>Conso Plastif</v>
      </c>
      <c r="D2208" s="2005" t="str">
        <f>IFERROR(__xludf.DUMMYFUNCTION("""COMPUTED_VALUE"""),"Scan N Cut Support adhésif 30.5x30.5 cm")</f>
        <v>Scan N Cut Support adhésif 30.5x30.5 cm</v>
      </c>
      <c r="E2208" s="2005" t="str">
        <f>IFERROR(__xludf.DUMMYFUNCTION("""COMPUTED_VALUE"""),"BROTHER")</f>
        <v>BROTHER</v>
      </c>
      <c r="F2208" s="2005" t="str">
        <f>IFERROR(__xludf.DUMMYFUNCTION("""COMPUTED_VALUE"""),"W")</f>
        <v>W</v>
      </c>
      <c r="G2208" s="2005" t="str">
        <f>IFERROR(__xludf.DUMMYFUNCTION("""COMPUTED_VALUE"""),"AC")</f>
        <v>AC</v>
      </c>
      <c r="H2208" s="2005">
        <f>IFERROR(__xludf.DUMMYFUNCTION("""COMPUTED_VALUE"""),19.99)</f>
        <v>19.99</v>
      </c>
      <c r="I2208" s="2005">
        <f>IFERROR(__xludf.DUMMYFUNCTION("""COMPUTED_VALUE"""),19.99)</f>
        <v>19.99</v>
      </c>
      <c r="BD2208" s="2006"/>
      <c r="LL2208" s="2007"/>
      <c r="LM2208" s="2007"/>
      <c r="MX2208" s="2007"/>
      <c r="ND2208" s="2007"/>
    </row>
    <row r="2209">
      <c r="A2209" s="2005">
        <f>IFERROR(__xludf.DUMMYFUNCTION("""COMPUTED_VALUE"""),1178053.0)</f>
        <v>1178053</v>
      </c>
      <c r="B2209" s="2005">
        <f>IFERROR(__xludf.DUMMYFUNCTION("""COMPUTED_VALUE"""),2403006.0)</f>
        <v>2403006</v>
      </c>
      <c r="C2209" s="2005" t="str">
        <f>IFERROR(__xludf.DUMMYFUNCTION("""COMPUTED_VALUE"""),"Conso Plastif")</f>
        <v>Conso Plastif</v>
      </c>
      <c r="D2209" s="2005" t="str">
        <f>IFERROR(__xludf.DUMMYFUNCTION("""COMPUTED_VALUE"""),"Scan N Cut Lame decoupe profonde")</f>
        <v>Scan N Cut Lame decoupe profonde</v>
      </c>
      <c r="E2209" s="2005" t="str">
        <f>IFERROR(__xludf.DUMMYFUNCTION("""COMPUTED_VALUE"""),"BROTHER")</f>
        <v>BROTHER</v>
      </c>
      <c r="F2209" s="2005" t="str">
        <f>IFERROR(__xludf.DUMMYFUNCTION("""COMPUTED_VALUE"""),"W")</f>
        <v>W</v>
      </c>
      <c r="G2209" s="2005" t="str">
        <f>IFERROR(__xludf.DUMMYFUNCTION("""COMPUTED_VALUE"""),"AC")</f>
        <v>AC</v>
      </c>
      <c r="H2209" s="2005">
        <f>IFERROR(__xludf.DUMMYFUNCTION("""COMPUTED_VALUE"""),8.99)</f>
        <v>8.99</v>
      </c>
      <c r="I2209" s="2005">
        <f>IFERROR(__xludf.DUMMYFUNCTION("""COMPUTED_VALUE"""),8.99)</f>
        <v>8.99</v>
      </c>
      <c r="BD2209" s="2006"/>
      <c r="LM2209" s="2007"/>
      <c r="MX2209" s="2007"/>
      <c r="ND2209" s="2007"/>
    </row>
    <row r="2210">
      <c r="A2210" s="2005">
        <f>IFERROR(__xludf.DUMMYFUNCTION("""COMPUTED_VALUE"""),1178054.0)</f>
        <v>1178054</v>
      </c>
      <c r="B2210" s="2005">
        <f>IFERROR(__xludf.DUMMYFUNCTION("""COMPUTED_VALUE"""),2403006.0)</f>
        <v>2403006</v>
      </c>
      <c r="C2210" s="2005" t="str">
        <f>IFERROR(__xludf.DUMMYFUNCTION("""COMPUTED_VALUE"""),"Conso Plastif")</f>
        <v>Conso Plastif</v>
      </c>
      <c r="D2210" s="2005" t="str">
        <f>IFERROR(__xludf.DUMMYFUNCTION("""COMPUTED_VALUE"""),"Scan N Cut Feuille thermocollante p")</f>
        <v>Scan N Cut Feuille thermocollante p</v>
      </c>
      <c r="E2210" s="2005" t="str">
        <f>IFERROR(__xludf.DUMMYFUNCTION("""COMPUTED_VALUE"""),"BROTHER")</f>
        <v>BROTHER</v>
      </c>
      <c r="F2210" s="2005" t="str">
        <f>IFERROR(__xludf.DUMMYFUNCTION("""COMPUTED_VALUE"""),"W")</f>
        <v>W</v>
      </c>
      <c r="G2210" s="2005" t="str">
        <f>IFERROR(__xludf.DUMMYFUNCTION("""COMPUTED_VALUE"""),"NN")</f>
        <v>NN</v>
      </c>
      <c r="H2210" s="2005">
        <f>IFERROR(__xludf.DUMMYFUNCTION("""COMPUTED_VALUE"""),10.99)</f>
        <v>10.99</v>
      </c>
      <c r="I2210" s="2005">
        <f>IFERROR(__xludf.DUMMYFUNCTION("""COMPUTED_VALUE"""),10.99)</f>
        <v>10.99</v>
      </c>
      <c r="BD2210" s="2006"/>
      <c r="LM2210" s="2007"/>
      <c r="MX2210" s="2007"/>
      <c r="ND2210" s="2007"/>
    </row>
    <row r="2211">
      <c r="A2211" s="2005">
        <f>IFERROR(__xludf.DUMMYFUNCTION("""COMPUTED_VALUE"""),1178055.0)</f>
        <v>1178055</v>
      </c>
      <c r="B2211" s="2005">
        <f>IFERROR(__xludf.DUMMYFUNCTION("""COMPUTED_VALUE"""),2403006.0)</f>
        <v>2403006</v>
      </c>
      <c r="C2211" s="2005" t="str">
        <f>IFERROR(__xludf.DUMMYFUNCTION("""COMPUTED_VALUE"""),"Conso Plastif")</f>
        <v>Conso Plastif</v>
      </c>
      <c r="D2211" s="2005" t="str">
        <f>IFERROR(__xludf.DUMMYFUNCTION("""COMPUTED_VALUE"""),"Vinyle amovible blanc")</f>
        <v>Vinyle amovible blanc</v>
      </c>
      <c r="E2211" s="2005" t="str">
        <f>IFERROR(__xludf.DUMMYFUNCTION("""COMPUTED_VALUE"""),"CRICUT")</f>
        <v>CRICUT</v>
      </c>
      <c r="F2211" s="2005" t="str">
        <f>IFERROR(__xludf.DUMMYFUNCTION("""COMPUTED_VALUE"""),"E")</f>
        <v>E</v>
      </c>
      <c r="G2211" s="2005" t="str">
        <f>IFERROR(__xludf.DUMMYFUNCTION("""COMPUTED_VALUE"""),"AC")</f>
        <v>AC</v>
      </c>
      <c r="H2211" s="2005">
        <f>IFERROR(__xludf.DUMMYFUNCTION("""COMPUTED_VALUE"""),8.49)</f>
        <v>8.49</v>
      </c>
      <c r="I2211" s="2005">
        <f>IFERROR(__xludf.DUMMYFUNCTION("""COMPUTED_VALUE"""),6.53)</f>
        <v>6.53</v>
      </c>
      <c r="BD2211" s="2006"/>
      <c r="LM2211" s="2007"/>
      <c r="MX2211" s="2007"/>
      <c r="ND2211" s="2007"/>
    </row>
    <row r="2212">
      <c r="A2212" s="2005">
        <f>IFERROR(__xludf.DUMMYFUNCTION("""COMPUTED_VALUE"""),1178056.0)</f>
        <v>1178056</v>
      </c>
      <c r="B2212" s="2005">
        <f>IFERROR(__xludf.DUMMYFUNCTION("""COMPUTED_VALUE"""),2403006.0)</f>
        <v>2403006</v>
      </c>
      <c r="C2212" s="2005" t="str">
        <f>IFERROR(__xludf.DUMMYFUNCTION("""COMPUTED_VALUE"""),"Conso Plastif")</f>
        <v>Conso Plastif</v>
      </c>
      <c r="D2212" s="2005" t="str">
        <f>IFERROR(__xludf.DUMMYFUNCTION("""COMPUTED_VALUE"""),"Bande de transfert transparent")</f>
        <v>Bande de transfert transparent</v>
      </c>
      <c r="E2212" s="2005" t="str">
        <f>IFERROR(__xludf.DUMMYFUNCTION("""COMPUTED_VALUE"""),"CRICUT")</f>
        <v>CRICUT</v>
      </c>
      <c r="F2212" s="2005" t="str">
        <f>IFERROR(__xludf.DUMMYFUNCTION("""COMPUTED_VALUE"""),"E")</f>
        <v>E</v>
      </c>
      <c r="G2212" s="2005" t="str">
        <f>IFERROR(__xludf.DUMMYFUNCTION("""COMPUTED_VALUE"""),"AC")</f>
        <v>AC</v>
      </c>
      <c r="H2212" s="2005">
        <f>IFERROR(__xludf.DUMMYFUNCTION("""COMPUTED_VALUE"""),12.99)</f>
        <v>12.99</v>
      </c>
      <c r="I2212" s="2005">
        <f>IFERROR(__xludf.DUMMYFUNCTION("""COMPUTED_VALUE"""),9.99)</f>
        <v>9.99</v>
      </c>
      <c r="BD2212" s="2006"/>
      <c r="LL2212" s="2007"/>
      <c r="LM2212" s="2007"/>
      <c r="MX2212" s="2007"/>
      <c r="ND2212" s="2007"/>
    </row>
    <row r="2213">
      <c r="A2213" s="2005">
        <f>IFERROR(__xludf.DUMMYFUNCTION("""COMPUTED_VALUE"""),1178057.0)</f>
        <v>1178057</v>
      </c>
      <c r="B2213" s="2005">
        <f>IFERROR(__xludf.DUMMYFUNCTION("""COMPUTED_VALUE"""),2403006.0)</f>
        <v>2403006</v>
      </c>
      <c r="C2213" s="2005" t="str">
        <f>IFERROR(__xludf.DUMMYFUNCTION("""COMPUTED_VALUE"""),"Conso Plastif")</f>
        <v>Conso Plastif</v>
      </c>
      <c r="D2213" s="2005" t="str">
        <f>IFERROR(__xludf.DUMMYFUNCTION("""COMPUTED_VALUE"""),"2 feuilles papiers transfert limona")</f>
        <v>2 feuilles papiers transfert limona</v>
      </c>
      <c r="E2213" s="2005" t="str">
        <f>IFERROR(__xludf.DUMMYFUNCTION("""COMPUTED_VALUE"""),"CRICUT")</f>
        <v>CRICUT</v>
      </c>
      <c r="F2213" s="2005" t="str">
        <f>IFERROR(__xludf.DUMMYFUNCTION("""COMPUTED_VALUE"""),"D")</f>
        <v>D</v>
      </c>
      <c r="G2213" s="2005" t="str">
        <f>IFERROR(__xludf.DUMMYFUNCTION("""COMPUTED_VALUE"""),"AC")</f>
        <v>AC</v>
      </c>
      <c r="H2213" s="2005">
        <f>IFERROR(__xludf.DUMMYFUNCTION("""COMPUTED_VALUE"""),10.99)</f>
        <v>10.99</v>
      </c>
      <c r="I2213" s="2005">
        <f>IFERROR(__xludf.DUMMYFUNCTION("""COMPUTED_VALUE"""),8.45)</f>
        <v>8.45</v>
      </c>
      <c r="BD2213" s="2006"/>
      <c r="LL2213" s="2007"/>
      <c r="LM2213" s="2007"/>
      <c r="MX2213" s="2007"/>
      <c r="ND2213" s="2007"/>
    </row>
    <row r="2214">
      <c r="A2214" s="2005">
        <f>IFERROR(__xludf.DUMMYFUNCTION("""COMPUTED_VALUE"""),1178058.0)</f>
        <v>1178058</v>
      </c>
      <c r="B2214" s="2005">
        <f>IFERROR(__xludf.DUMMYFUNCTION("""COMPUTED_VALUE"""),2403006.0)</f>
        <v>2403006</v>
      </c>
      <c r="C2214" s="2005" t="str">
        <f>IFERROR(__xludf.DUMMYFUNCTION("""COMPUTED_VALUE"""),"Conso Plastif")</f>
        <v>Conso Plastif</v>
      </c>
      <c r="D2214" s="2005" t="str">
        <f>IFERROR(__xludf.DUMMYFUNCTION("""COMPUTED_VALUE"""),"Rouleau Vinyle Noir Mat")</f>
        <v>Rouleau Vinyle Noir Mat</v>
      </c>
      <c r="E2214" s="2005" t="str">
        <f>IFERROR(__xludf.DUMMYFUNCTION("""COMPUTED_VALUE"""),"CRICUT")</f>
        <v>CRICUT</v>
      </c>
      <c r="F2214" s="2005" t="str">
        <f>IFERROR(__xludf.DUMMYFUNCTION("""COMPUTED_VALUE"""),"E")</f>
        <v>E</v>
      </c>
      <c r="G2214" s="2005" t="str">
        <f>IFERROR(__xludf.DUMMYFUNCTION("""COMPUTED_VALUE"""),"AC")</f>
        <v>AC</v>
      </c>
      <c r="H2214" s="2005">
        <f>IFERROR(__xludf.DUMMYFUNCTION("""COMPUTED_VALUE"""),9.99)</f>
        <v>9.99</v>
      </c>
      <c r="I2214" s="2005">
        <f>IFERROR(__xludf.DUMMYFUNCTION("""COMPUTED_VALUE"""),7.68)</f>
        <v>7.68</v>
      </c>
      <c r="BD2214" s="2006"/>
      <c r="LL2214" s="2007"/>
      <c r="LM2214" s="2007"/>
      <c r="MX2214" s="2007"/>
      <c r="ND2214" s="2007"/>
    </row>
    <row r="2215">
      <c r="A2215" s="2005">
        <f>IFERROR(__xludf.DUMMYFUNCTION("""COMPUTED_VALUE"""),1178059.0)</f>
        <v>1178059</v>
      </c>
      <c r="B2215" s="2005">
        <f>IFERROR(__xludf.DUMMYFUNCTION("""COMPUTED_VALUE"""),2403006.0)</f>
        <v>2403006</v>
      </c>
      <c r="C2215" s="2005" t="str">
        <f>IFERROR(__xludf.DUMMYFUNCTION("""COMPUTED_VALUE"""),"Conso Plastif")</f>
        <v>Conso Plastif</v>
      </c>
      <c r="D2215" s="2005" t="str">
        <f>IFERROR(__xludf.DUMMYFUNCTION("""COMPUTED_VALUE"""),"Rouleau Vinyle or 30x120 cm")</f>
        <v>Rouleau Vinyle or 30x120 cm</v>
      </c>
      <c r="E2215" s="2005" t="str">
        <f>IFERROR(__xludf.DUMMYFUNCTION("""COMPUTED_VALUE"""),"CRICUT")</f>
        <v>CRICUT</v>
      </c>
      <c r="F2215" s="2005" t="str">
        <f>IFERROR(__xludf.DUMMYFUNCTION("""COMPUTED_VALUE"""),"E")</f>
        <v>E</v>
      </c>
      <c r="G2215" s="2005" t="str">
        <f>IFERROR(__xludf.DUMMYFUNCTION("""COMPUTED_VALUE"""),"AC")</f>
        <v>AC</v>
      </c>
      <c r="H2215" s="2005">
        <f>IFERROR(__xludf.DUMMYFUNCTION("""COMPUTED_VALUE"""),9.99)</f>
        <v>9.99</v>
      </c>
      <c r="I2215" s="2005">
        <f>IFERROR(__xludf.DUMMYFUNCTION("""COMPUTED_VALUE"""),7.68)</f>
        <v>7.68</v>
      </c>
      <c r="BD2215" s="2006"/>
      <c r="LL2215" s="2007"/>
      <c r="LM2215" s="2007"/>
      <c r="MX2215" s="2007"/>
      <c r="ND2215" s="2007"/>
    </row>
    <row r="2216">
      <c r="A2216" s="2005">
        <f>IFERROR(__xludf.DUMMYFUNCTION("""COMPUTED_VALUE"""),1178060.0)</f>
        <v>1178060</v>
      </c>
      <c r="B2216" s="2005">
        <f>IFERROR(__xludf.DUMMYFUNCTION("""COMPUTED_VALUE"""),2403006.0)</f>
        <v>2403006</v>
      </c>
      <c r="C2216" s="2005" t="str">
        <f>IFERROR(__xludf.DUMMYFUNCTION("""COMPUTED_VALUE"""),"Conso Plastif")</f>
        <v>Conso Plastif</v>
      </c>
      <c r="D2216" s="2005" t="str">
        <f>IFERROR(__xludf.DUMMYFUNCTION("""COMPUTED_VALUE"""),"Bande adhesive de transfert. 1.20m")</f>
        <v>Bande adhesive de transfert. 1.20m</v>
      </c>
      <c r="E2216" s="2005" t="str">
        <f>IFERROR(__xludf.DUMMYFUNCTION("""COMPUTED_VALUE"""),"CRICUT")</f>
        <v>CRICUT</v>
      </c>
      <c r="F2216" s="2005" t="str">
        <f>IFERROR(__xludf.DUMMYFUNCTION("""COMPUTED_VALUE"""),"E")</f>
        <v>E</v>
      </c>
      <c r="G2216" s="2005" t="str">
        <f>IFERROR(__xludf.DUMMYFUNCTION("""COMPUTED_VALUE"""),"AC")</f>
        <v>AC</v>
      </c>
      <c r="H2216" s="2005">
        <f>IFERROR(__xludf.DUMMYFUNCTION("""COMPUTED_VALUE"""),7.49)</f>
        <v>7.49</v>
      </c>
      <c r="I2216" s="2005">
        <f>IFERROR(__xludf.DUMMYFUNCTION("""COMPUTED_VALUE"""),5.76)</f>
        <v>5.76</v>
      </c>
      <c r="BD2216" s="2006"/>
      <c r="LL2216" s="2007"/>
      <c r="LM2216" s="2007"/>
      <c r="MX2216" s="2007"/>
      <c r="ND2216" s="2007"/>
    </row>
    <row r="2217">
      <c r="A2217" s="2005">
        <f>IFERROR(__xludf.DUMMYFUNCTION("""COMPUTED_VALUE"""),1178061.0)</f>
        <v>1178061</v>
      </c>
      <c r="B2217" s="2005">
        <f>IFERROR(__xludf.DUMMYFUNCTION("""COMPUTED_VALUE"""),2403006.0)</f>
        <v>2403006</v>
      </c>
      <c r="C2217" s="2005" t="str">
        <f>IFERROR(__xludf.DUMMYFUNCTION("""COMPUTED_VALUE"""),"Conso Plastif")</f>
        <v>Conso Plastif</v>
      </c>
      <c r="D2217" s="2005" t="str">
        <f>IFERROR(__xludf.DUMMYFUNCTION("""COMPUTED_VALUE"""),"Scan N Cut Lame decoupe standart")</f>
        <v>Scan N Cut Lame decoupe standart</v>
      </c>
      <c r="E2217" s="2005" t="str">
        <f>IFERROR(__xludf.DUMMYFUNCTION("""COMPUTED_VALUE"""),"BROTHER")</f>
        <v>BROTHER</v>
      </c>
      <c r="F2217" s="2005" t="str">
        <f>IFERROR(__xludf.DUMMYFUNCTION("""COMPUTED_VALUE"""),"W")</f>
        <v>W</v>
      </c>
      <c r="G2217" s="2005" t="str">
        <f>IFERROR(__xludf.DUMMYFUNCTION("""COMPUTED_VALUE"""),"AC")</f>
        <v>AC</v>
      </c>
      <c r="H2217" s="2005">
        <f>IFERROR(__xludf.DUMMYFUNCTION("""COMPUTED_VALUE"""),7.99)</f>
        <v>7.99</v>
      </c>
      <c r="I2217" s="2005">
        <f>IFERROR(__xludf.DUMMYFUNCTION("""COMPUTED_VALUE"""),7.99)</f>
        <v>7.99</v>
      </c>
      <c r="BD2217" s="2006"/>
      <c r="LL2217" s="2007"/>
      <c r="LM2217" s="2007"/>
      <c r="MX2217" s="2007"/>
      <c r="ND2217" s="2007"/>
    </row>
    <row r="2218">
      <c r="A2218" s="2005">
        <f>IFERROR(__xludf.DUMMYFUNCTION("""COMPUTED_VALUE"""),1178062.0)</f>
        <v>1178062</v>
      </c>
      <c r="B2218" s="2005">
        <f>IFERROR(__xludf.DUMMYFUNCTION("""COMPUTED_VALUE"""),2403006.0)</f>
        <v>2403006</v>
      </c>
      <c r="C2218" s="2005" t="str">
        <f>IFERROR(__xludf.DUMMYFUNCTION("""COMPUTED_VALUE"""),"Conso Plastif")</f>
        <v>Conso Plastif</v>
      </c>
      <c r="D2218" s="2005" t="str">
        <f>IFERROR(__xludf.DUMMYFUNCTION("""COMPUTED_VALUE"""),"Scan N Cut Support stylo universel")</f>
        <v>Scan N Cut Support stylo universel</v>
      </c>
      <c r="E2218" s="2005" t="str">
        <f>IFERROR(__xludf.DUMMYFUNCTION("""COMPUTED_VALUE"""),"BROTHER")</f>
        <v>BROTHER</v>
      </c>
      <c r="F2218" s="2005" t="str">
        <f>IFERROR(__xludf.DUMMYFUNCTION("""COMPUTED_VALUE"""),"W")</f>
        <v>W</v>
      </c>
      <c r="G2218" s="2005" t="str">
        <f>IFERROR(__xludf.DUMMYFUNCTION("""COMPUTED_VALUE"""),"NN")</f>
        <v>NN</v>
      </c>
      <c r="H2218">
        <f>IFERROR(__xludf.DUMMYFUNCTION("""COMPUTED_VALUE"""),17.99)</f>
        <v>17.99</v>
      </c>
      <c r="I2218">
        <f>IFERROR(__xludf.DUMMYFUNCTION("""COMPUTED_VALUE"""),17.99)</f>
        <v>17.99</v>
      </c>
      <c r="BD2218" s="2006"/>
      <c r="LL2218" s="2007"/>
      <c r="LM2218" s="2007"/>
      <c r="MX2218" s="2007"/>
      <c r="ND2218" s="2007"/>
    </row>
    <row r="2219">
      <c r="A2219" s="2005">
        <f>IFERROR(__xludf.DUMMYFUNCTION("""COMPUTED_VALUE"""),1178063.0)</f>
        <v>1178063</v>
      </c>
      <c r="B2219" s="2005">
        <f>IFERROR(__xludf.DUMMYFUNCTION("""COMPUTED_VALUE"""),2403006.0)</f>
        <v>2403006</v>
      </c>
      <c r="C2219" s="2005" t="str">
        <f>IFERROR(__xludf.DUMMYFUNCTION("""COMPUTED_VALUE"""),"Conso Plastif")</f>
        <v>Conso Plastif</v>
      </c>
      <c r="D2219" s="2005" t="str">
        <f>IFERROR(__xludf.DUMMYFUNCTION("""COMPUTED_VALUE"""),"5 stylos metalliques pointe moyenne")</f>
        <v>5 stylos metalliques pointe moyenne</v>
      </c>
      <c r="E2219" s="2005" t="str">
        <f>IFERROR(__xludf.DUMMYFUNCTION("""COMPUTED_VALUE"""),"CRICUT")</f>
        <v>CRICUT</v>
      </c>
      <c r="F2219" s="2005" t="str">
        <f>IFERROR(__xludf.DUMMYFUNCTION("""COMPUTED_VALUE"""),"H")</f>
        <v>H</v>
      </c>
      <c r="G2219" s="2005" t="str">
        <f>IFERROR(__xludf.DUMMYFUNCTION("""COMPUTED_VALUE"""),"FR")</f>
        <v>FR</v>
      </c>
      <c r="H2219" s="2005">
        <f>IFERROR(__xludf.DUMMYFUNCTION("""COMPUTED_VALUE"""),13.99)</f>
        <v>13.99</v>
      </c>
      <c r="I2219" s="2005">
        <f>IFERROR(__xludf.DUMMYFUNCTION("""COMPUTED_VALUE"""),10.76)</f>
        <v>10.76</v>
      </c>
      <c r="BD2219" s="2006"/>
      <c r="LL2219" s="2007"/>
      <c r="LM2219" s="2007"/>
      <c r="MX2219" s="2007"/>
      <c r="ND2219" s="2007"/>
    </row>
    <row r="2220">
      <c r="A2220" s="2005">
        <f>IFERROR(__xludf.DUMMYFUNCTION("""COMPUTED_VALUE"""),1178064.0)</f>
        <v>1178064</v>
      </c>
      <c r="B2220" s="2005">
        <f>IFERROR(__xludf.DUMMYFUNCTION("""COMPUTED_VALUE"""),2201099.0)</f>
        <v>2201099</v>
      </c>
      <c r="C2220" s="2005" t="str">
        <f>IFERROR(__xludf.DUMMYFUNCTION("""COMPUTED_VALUE"""),"Découpeuse")</f>
        <v>Découpeuse</v>
      </c>
      <c r="D2220" s="2005" t="str">
        <f>IFERROR(__xludf.DUMMYFUNCTION("""COMPUTED_VALUE"""),"Explore 3")</f>
        <v>Explore 3</v>
      </c>
      <c r="E2220" s="2005" t="str">
        <f>IFERROR(__xludf.DUMMYFUNCTION("""COMPUTED_VALUE"""),"CRICUT")</f>
        <v>CRICUT</v>
      </c>
      <c r="F2220" s="2005" t="str">
        <f>IFERROR(__xludf.DUMMYFUNCTION("""COMPUTED_VALUE"""),"H")</f>
        <v>H</v>
      </c>
      <c r="G2220" s="2005" t="str">
        <f>IFERROR(__xludf.DUMMYFUNCTION("""COMPUTED_VALUE"""),"AC")</f>
        <v>AC</v>
      </c>
      <c r="H2220" s="2005">
        <f>IFERROR(__xludf.DUMMYFUNCTION("""COMPUTED_VALUE"""),329.99)</f>
        <v>329.99</v>
      </c>
      <c r="I2220" s="2005">
        <f>IFERROR(__xludf.DUMMYFUNCTION("""COMPUTED_VALUE"""),299.0)</f>
        <v>299</v>
      </c>
      <c r="BD2220" s="2006"/>
      <c r="LL2220" s="2007"/>
      <c r="LM2220" s="2007"/>
      <c r="MX2220" s="2007"/>
      <c r="ND2220" s="2007"/>
    </row>
    <row r="2221">
      <c r="A2221" s="2005">
        <f>IFERROR(__xludf.DUMMYFUNCTION("""COMPUTED_VALUE"""),1178065.0)</f>
        <v>1178065</v>
      </c>
      <c r="B2221" s="2005">
        <f>IFERROR(__xludf.DUMMYFUNCTION("""COMPUTED_VALUE"""),2403006.0)</f>
        <v>2403006</v>
      </c>
      <c r="C2221" s="2005" t="str">
        <f>IFERROR(__xludf.DUMMYFUNCTION("""COMPUTED_VALUE"""),"Conso Plastif")</f>
        <v>Conso Plastif</v>
      </c>
      <c r="D2221" s="2005" t="str">
        <f>IFERROR(__xludf.DUMMYFUNCTION("""COMPUTED_VALUE"""),"Tasses ceramique blanches lot de 2")</f>
        <v>Tasses ceramique blanches lot de 2</v>
      </c>
      <c r="E2221" s="2005" t="str">
        <f>IFERROR(__xludf.DUMMYFUNCTION("""COMPUTED_VALUE"""),"CRICUT")</f>
        <v>CRICUT</v>
      </c>
      <c r="F2221" s="2005" t="str">
        <f>IFERROR(__xludf.DUMMYFUNCTION("""COMPUTED_VALUE"""),"H")</f>
        <v>H</v>
      </c>
      <c r="G2221" s="2005" t="str">
        <f>IFERROR(__xludf.DUMMYFUNCTION("""COMPUTED_VALUE"""),"NN")</f>
        <v>NN</v>
      </c>
      <c r="H2221" s="2005">
        <f>IFERROR(__xludf.DUMMYFUNCTION("""COMPUTED_VALUE"""),9.99)</f>
        <v>9.99</v>
      </c>
      <c r="I2221" s="2005">
        <f>IFERROR(__xludf.DUMMYFUNCTION("""COMPUTED_VALUE"""),7.68)</f>
        <v>7.68</v>
      </c>
      <c r="BD2221" s="2006"/>
      <c r="LL2221" s="2007"/>
      <c r="LM2221" s="2007"/>
      <c r="MX2221" s="2007"/>
      <c r="ND2221" s="2007"/>
    </row>
    <row r="2222">
      <c r="A2222" s="2005">
        <f>IFERROR(__xludf.DUMMYFUNCTION("""COMPUTED_VALUE"""),1178066.0)</f>
        <v>1178066</v>
      </c>
      <c r="B2222" s="2005">
        <f>IFERROR(__xludf.DUMMYFUNCTION("""COMPUTED_VALUE"""),2403006.0)</f>
        <v>2403006</v>
      </c>
      <c r="C2222" s="2005" t="str">
        <f>IFERROR(__xludf.DUMMYFUNCTION("""COMPUTED_VALUE"""),"Conso Plastif")</f>
        <v>Conso Plastif</v>
      </c>
      <c r="D2222" s="2005" t="str">
        <f>IFERROR(__xludf.DUMMYFUNCTION("""COMPUTED_VALUE"""),"Set d'outils essentiels 3 pieces")</f>
        <v>Set d'outils essentiels 3 pieces</v>
      </c>
      <c r="E2222" s="2005" t="str">
        <f>IFERROR(__xludf.DUMMYFUNCTION("""COMPUTED_VALUE"""),"CRICUT")</f>
        <v>CRICUT</v>
      </c>
      <c r="F2222" s="2005" t="str">
        <f>IFERROR(__xludf.DUMMYFUNCTION("""COMPUTED_VALUE"""),"E")</f>
        <v>E</v>
      </c>
      <c r="G2222" s="2005" t="str">
        <f>IFERROR(__xludf.DUMMYFUNCTION("""COMPUTED_VALUE"""),"AC")</f>
        <v>AC</v>
      </c>
      <c r="H2222" s="2005">
        <f>IFERROR(__xludf.DUMMYFUNCTION("""COMPUTED_VALUE"""),19.49)</f>
        <v>19.49</v>
      </c>
      <c r="I2222">
        <f>IFERROR(__xludf.DUMMYFUNCTION("""COMPUTED_VALUE"""),14.99)</f>
        <v>14.99</v>
      </c>
      <c r="BD2222" s="2006"/>
      <c r="LL2222" s="2007"/>
      <c r="LM2222" s="2007"/>
      <c r="MX2222" s="2007"/>
      <c r="ND2222" s="2007"/>
    </row>
    <row r="2223">
      <c r="A2223" s="2005">
        <f>IFERROR(__xludf.DUMMYFUNCTION("""COMPUTED_VALUE"""),1178067.0)</f>
        <v>1178067</v>
      </c>
      <c r="B2223" s="2005">
        <f>IFERROR(__xludf.DUMMYFUNCTION("""COMPUTED_VALUE"""),2403006.0)</f>
        <v>2403006</v>
      </c>
      <c r="C2223" s="2005" t="str">
        <f>IFERROR(__xludf.DUMMYFUNCTION("""COMPUTED_VALUE"""),"Conso Plastif")</f>
        <v>Conso Plastif</v>
      </c>
      <c r="D2223" s="2005" t="str">
        <f>IFERROR(__xludf.DUMMYFUNCTION("""COMPUTED_VALUE"""),"Rouleau Vinyle or brillant 30x120 c")</f>
        <v>Rouleau Vinyle or brillant 30x120 c</v>
      </c>
      <c r="E2223" s="2005" t="str">
        <f>IFERROR(__xludf.DUMMYFUNCTION("""COMPUTED_VALUE"""),"CRICUT")</f>
        <v>CRICUT</v>
      </c>
      <c r="F2223" s="2005" t="str">
        <f>IFERROR(__xludf.DUMMYFUNCTION("""COMPUTED_VALUE"""),"E")</f>
        <v>E</v>
      </c>
      <c r="G2223" s="2005" t="str">
        <f>IFERROR(__xludf.DUMMYFUNCTION("""COMPUTED_VALUE"""),"AC")</f>
        <v>AC</v>
      </c>
      <c r="H2223" s="2005">
        <f>IFERROR(__xludf.DUMMYFUNCTION("""COMPUTED_VALUE"""),9.99)</f>
        <v>9.99</v>
      </c>
      <c r="I2223" s="2005">
        <f>IFERROR(__xludf.DUMMYFUNCTION("""COMPUTED_VALUE"""),7.68)</f>
        <v>7.68</v>
      </c>
      <c r="BD2223" s="2006"/>
      <c r="LL2223" s="2007"/>
      <c r="LM2223" s="2007"/>
      <c r="MX2223" s="2007"/>
      <c r="ND2223" s="2007"/>
    </row>
    <row r="2224">
      <c r="A2224" s="2005">
        <f>IFERROR(__xludf.DUMMYFUNCTION("""COMPUTED_VALUE"""),1178068.0)</f>
        <v>1178068</v>
      </c>
      <c r="B2224" s="2005">
        <f>IFERROR(__xludf.DUMMYFUNCTION("""COMPUTED_VALUE"""),2403006.0)</f>
        <v>2403006</v>
      </c>
      <c r="C2224" s="2005" t="str">
        <f>IFERROR(__xludf.DUMMYFUNCTION("""COMPUTED_VALUE"""),"Conso Plastif")</f>
        <v>Conso Plastif</v>
      </c>
      <c r="D2224" s="2005" t="str">
        <f>IFERROR(__xludf.DUMMYFUNCTION("""COMPUTED_VALUE"""),"Thermocollant or paillettes")</f>
        <v>Thermocollant or paillettes</v>
      </c>
      <c r="E2224" s="2005" t="str">
        <f>IFERROR(__xludf.DUMMYFUNCTION("""COMPUTED_VALUE"""),"CRICUT")</f>
        <v>CRICUT</v>
      </c>
      <c r="F2224" s="2005" t="str">
        <f>IFERROR(__xludf.DUMMYFUNCTION("""COMPUTED_VALUE"""),"E")</f>
        <v>E</v>
      </c>
      <c r="G2224" s="2005" t="str">
        <f>IFERROR(__xludf.DUMMYFUNCTION("""COMPUTED_VALUE"""),"AC")</f>
        <v>AC</v>
      </c>
      <c r="H2224" s="2005">
        <f>IFERROR(__xludf.DUMMYFUNCTION("""COMPUTED_VALUE"""),10.99)</f>
        <v>10.99</v>
      </c>
      <c r="I2224" s="2005">
        <f>IFERROR(__xludf.DUMMYFUNCTION("""COMPUTED_VALUE"""),8.45)</f>
        <v>8.45</v>
      </c>
      <c r="BD2224" s="2006"/>
      <c r="LL2224" s="2008"/>
      <c r="LM2224" s="2007"/>
      <c r="MX2224" s="2007"/>
      <c r="ND2224" s="2007"/>
    </row>
    <row r="2225">
      <c r="A2225" s="2005">
        <f>IFERROR(__xludf.DUMMYFUNCTION("""COMPUTED_VALUE"""),1178070.0)</f>
        <v>1178070</v>
      </c>
      <c r="B2225" s="2005">
        <f>IFERROR(__xludf.DUMMYFUNCTION("""COMPUTED_VALUE"""),2201099.0)</f>
        <v>2201099</v>
      </c>
      <c r="C2225" s="2005" t="str">
        <f>IFERROR(__xludf.DUMMYFUNCTION("""COMPUTED_VALUE"""),"Imprimante")</f>
        <v>Imprimante</v>
      </c>
      <c r="D2225" s="2005" t="str">
        <f>IFERROR(__xludf.DUMMYFUNCTION("""COMPUTED_VALUE"""),"Imprimante étiquette SL42")</f>
        <v>Imprimante étiquette SL42</v>
      </c>
      <c r="E2225" s="2005" t="str">
        <f>IFERROR(__xludf.DUMMYFUNCTION("""COMPUTED_VALUE"""),"HPRT")</f>
        <v>HPRT</v>
      </c>
      <c r="F2225" s="2005" t="str">
        <f>IFERROR(__xludf.DUMMYFUNCTION("""COMPUTED_VALUE"""),"W")</f>
        <v>W</v>
      </c>
      <c r="G2225" s="2005" t="str">
        <f>IFERROR(__xludf.DUMMYFUNCTION("""COMPUTED_VALUE"""),"FR")</f>
        <v>FR</v>
      </c>
      <c r="H2225" s="2005">
        <f>IFERROR(__xludf.DUMMYFUNCTION("""COMPUTED_VALUE"""),159.99)</f>
        <v>159.99</v>
      </c>
      <c r="I2225" s="2005">
        <f>IFERROR(__xludf.DUMMYFUNCTION("""COMPUTED_VALUE"""),159.99)</f>
        <v>159.99</v>
      </c>
      <c r="LL2225" s="2007"/>
      <c r="LM2225" s="2007"/>
    </row>
    <row r="2226">
      <c r="A2226" s="2005">
        <f>IFERROR(__xludf.DUMMYFUNCTION("""COMPUTED_VALUE"""),1178071.0)</f>
        <v>1178071</v>
      </c>
      <c r="B2226" s="2005">
        <f>IFERROR(__xludf.DUMMYFUNCTION("""COMPUTED_VALUE"""),2403006.0)</f>
        <v>2403006</v>
      </c>
      <c r="C2226" s="2005" t="str">
        <f>IFERROR(__xludf.DUMMYFUNCTION("""COMPUTED_VALUE"""),"Conso Plastif")</f>
        <v>Conso Plastif</v>
      </c>
      <c r="D2226" s="2005" t="str">
        <f>IFERROR(__xludf.DUMMYFUNCTION("""COMPUTED_VALUE"""),"Scan N Cut Support adhesif faible a")</f>
        <v>Scan N Cut Support adhesif faible a</v>
      </c>
      <c r="E2226" s="2005" t="str">
        <f>IFERROR(__xludf.DUMMYFUNCTION("""COMPUTED_VALUE"""),"BROTHER")</f>
        <v>BROTHER</v>
      </c>
      <c r="F2226" s="2005" t="str">
        <f>IFERROR(__xludf.DUMMYFUNCTION("""COMPUTED_VALUE"""),"W")</f>
        <v>W</v>
      </c>
      <c r="G2226" s="2005" t="str">
        <f>IFERROR(__xludf.DUMMYFUNCTION("""COMPUTED_VALUE"""),"AC")</f>
        <v>AC</v>
      </c>
      <c r="H2226" s="2005">
        <f>IFERROR(__xludf.DUMMYFUNCTION("""COMPUTED_VALUE"""),14.99)</f>
        <v>14.99</v>
      </c>
      <c r="I2226" s="2005">
        <f>IFERROR(__xludf.DUMMYFUNCTION("""COMPUTED_VALUE"""),14.99)</f>
        <v>14.99</v>
      </c>
      <c r="BD2226" s="2006"/>
      <c r="LL2226" s="2007"/>
      <c r="LM2226" s="2007"/>
      <c r="MX2226" s="2007"/>
      <c r="ND2226" s="2007"/>
    </row>
    <row r="2227">
      <c r="A2227" s="2005">
        <f>IFERROR(__xludf.DUMMYFUNCTION("""COMPUTED_VALUE"""),1178072.0)</f>
        <v>1178072</v>
      </c>
      <c r="B2227" s="2005">
        <f>IFERROR(__xludf.DUMMYFUNCTION("""COMPUTED_VALUE"""),2403006.0)</f>
        <v>2403006</v>
      </c>
      <c r="C2227" s="2005" t="str">
        <f>IFERROR(__xludf.DUMMYFUNCTION("""COMPUTED_VALUE"""),"Conso Plastif")</f>
        <v>Conso Plastif</v>
      </c>
      <c r="D2227" s="2005" t="str">
        <f>IFERROR(__xludf.DUMMYFUNCTION("""COMPUTED_VALUE"""),"Scan N Cut Support stylo petit diam")</f>
        <v>Scan N Cut Support stylo petit diam</v>
      </c>
      <c r="E2227" s="2005" t="str">
        <f>IFERROR(__xludf.DUMMYFUNCTION("""COMPUTED_VALUE"""),"BROTHER")</f>
        <v>BROTHER</v>
      </c>
      <c r="F2227" s="2005" t="str">
        <f>IFERROR(__xludf.DUMMYFUNCTION("""COMPUTED_VALUE"""),"W")</f>
        <v>W</v>
      </c>
      <c r="G2227" s="2005" t="str">
        <f>IFERROR(__xludf.DUMMYFUNCTION("""COMPUTED_VALUE"""),"NN")</f>
        <v>NN</v>
      </c>
      <c r="H2227" s="2005">
        <f>IFERROR(__xludf.DUMMYFUNCTION("""COMPUTED_VALUE"""),17.99)</f>
        <v>17.99</v>
      </c>
      <c r="I2227" s="2005">
        <f>IFERROR(__xludf.DUMMYFUNCTION("""COMPUTED_VALUE"""),17.99)</f>
        <v>17.99</v>
      </c>
      <c r="BD2227" s="2006"/>
      <c r="LL2227" s="2007"/>
      <c r="LM2227" s="2007"/>
      <c r="MX2227" s="2007"/>
      <c r="ND2227" s="2007"/>
    </row>
    <row r="2228">
      <c r="A2228" s="2005">
        <f>IFERROR(__xludf.DUMMYFUNCTION("""COMPUTED_VALUE"""),1178076.0)</f>
        <v>1178076</v>
      </c>
      <c r="B2228" s="2005">
        <f>IFERROR(__xludf.DUMMYFUNCTION("""COMPUTED_VALUE"""),2403006.0)</f>
        <v>2403006</v>
      </c>
      <c r="C2228" s="2005" t="str">
        <f>IFERROR(__xludf.DUMMYFUNCTION("""COMPUTED_VALUE"""),"Conso Plastif")</f>
        <v>Conso Plastif</v>
      </c>
      <c r="D2228" s="2005" t="str">
        <f>IFERROR(__xludf.DUMMYFUNCTION("""COMPUTED_VALUE"""),"Rouleau Vinyle noir 33x90 cm")</f>
        <v>Rouleau Vinyle noir 33x90 cm</v>
      </c>
      <c r="E2228" s="2005" t="str">
        <f>IFERROR(__xludf.DUMMYFUNCTION("""COMPUTED_VALUE"""),"CRICUT")</f>
        <v>CRICUT</v>
      </c>
      <c r="F2228" s="2005" t="str">
        <f>IFERROR(__xludf.DUMMYFUNCTION("""COMPUTED_VALUE"""),"H")</f>
        <v>H</v>
      </c>
      <c r="G2228" s="2005" t="str">
        <f>IFERROR(__xludf.DUMMYFUNCTION("""COMPUTED_VALUE"""),"NN")</f>
        <v>NN</v>
      </c>
      <c r="H2228" s="2005">
        <f>IFERROR(__xludf.DUMMYFUNCTION("""COMPUTED_VALUE"""),9.99)</f>
        <v>9.99</v>
      </c>
      <c r="I2228" s="2005">
        <f>IFERROR(__xludf.DUMMYFUNCTION("""COMPUTED_VALUE"""),7.68)</f>
        <v>7.68</v>
      </c>
      <c r="BD2228" s="2006"/>
      <c r="LL2228" s="2007"/>
      <c r="LM2228" s="2007"/>
      <c r="MX2228" s="2007"/>
      <c r="ND2228" s="2007"/>
    </row>
    <row r="2229">
      <c r="A2229" s="2005">
        <f>IFERROR(__xludf.DUMMYFUNCTION("""COMPUTED_VALUE"""),1178077.0)</f>
        <v>1178077</v>
      </c>
      <c r="B2229" s="2005">
        <f>IFERROR(__xludf.DUMMYFUNCTION("""COMPUTED_VALUE"""),2201099.0)</f>
        <v>2201099</v>
      </c>
      <c r="C2229" s="2005" t="str">
        <f>IFERROR(__xludf.DUMMYFUNCTION("""COMPUTED_VALUE"""),"Découpeuse")</f>
        <v>Découpeuse</v>
      </c>
      <c r="D2229" s="2005" t="str">
        <f>IFERROR(__xludf.DUMMYFUNCTION("""COMPUTED_VALUE"""),"Maker 3")</f>
        <v>Maker 3</v>
      </c>
      <c r="E2229" s="2005" t="str">
        <f>IFERROR(__xludf.DUMMYFUNCTION("""COMPUTED_VALUE"""),"CRICUT")</f>
        <v>CRICUT</v>
      </c>
      <c r="F2229" s="2005" t="str">
        <f>IFERROR(__xludf.DUMMYFUNCTION("""COMPUTED_VALUE"""),"D")</f>
        <v>D</v>
      </c>
      <c r="G2229" s="2005" t="str">
        <f>IFERROR(__xludf.DUMMYFUNCTION("""COMPUTED_VALUE"""),"AC")</f>
        <v>AC</v>
      </c>
      <c r="H2229">
        <f>IFERROR(__xludf.DUMMYFUNCTION("""COMPUTED_VALUE"""),479.99)</f>
        <v>479.99</v>
      </c>
      <c r="I2229" s="2005">
        <f>IFERROR(__xludf.DUMMYFUNCTION("""COMPUTED_VALUE"""),479.99)</f>
        <v>479.99</v>
      </c>
      <c r="BD2229" s="2006"/>
      <c r="LL2229" s="2007"/>
      <c r="LM2229" s="2007"/>
      <c r="MX2229" s="2007"/>
      <c r="ND2229" s="2007"/>
    </row>
    <row r="2230">
      <c r="A2230" s="2005">
        <f>IFERROR(__xludf.DUMMYFUNCTION("""COMPUTED_VALUE"""),1178078.0)</f>
        <v>1178078</v>
      </c>
      <c r="B2230" s="2005">
        <f>IFERROR(__xludf.DUMMYFUNCTION("""COMPUTED_VALUE"""),2403006.0)</f>
        <v>2403006</v>
      </c>
      <c r="C2230" s="2005" t="str">
        <f>IFERROR(__xludf.DUMMYFUNCTION("""COMPUTED_VALUE"""),"Conso Plastif")</f>
        <v>Conso Plastif</v>
      </c>
      <c r="D2230" s="2005" t="str">
        <f>IFERROR(__xludf.DUMMYFUNCTION("""COMPUTED_VALUE"""),"2 feuilles papiers transfert pourpr")</f>
        <v>2 feuilles papiers transfert pourpr</v>
      </c>
      <c r="E2230" s="2005" t="str">
        <f>IFERROR(__xludf.DUMMYFUNCTION("""COMPUTED_VALUE"""),"CRICUT")</f>
        <v>CRICUT</v>
      </c>
      <c r="F2230" s="2005" t="str">
        <f>IFERROR(__xludf.DUMMYFUNCTION("""COMPUTED_VALUE"""),"E")</f>
        <v>E</v>
      </c>
      <c r="G2230" s="2005" t="str">
        <f>IFERROR(__xludf.DUMMYFUNCTION("""COMPUTED_VALUE"""),"AC")</f>
        <v>AC</v>
      </c>
      <c r="H2230" s="2005">
        <f>IFERROR(__xludf.DUMMYFUNCTION("""COMPUTED_VALUE"""),10.99)</f>
        <v>10.99</v>
      </c>
      <c r="I2230" s="2005">
        <f>IFERROR(__xludf.DUMMYFUNCTION("""COMPUTED_VALUE"""),8.45)</f>
        <v>8.45</v>
      </c>
      <c r="BD2230" s="2006"/>
      <c r="LL2230" s="2008"/>
      <c r="LM2230" s="2007"/>
      <c r="MX2230" s="2007"/>
      <c r="ND2230" s="2007"/>
    </row>
    <row r="2231">
      <c r="A2231" s="2005">
        <f>IFERROR(__xludf.DUMMYFUNCTION("""COMPUTED_VALUE"""),1178079.0)</f>
        <v>1178079</v>
      </c>
      <c r="B2231" s="2005">
        <f>IFERROR(__xludf.DUMMYFUNCTION("""COMPUTED_VALUE"""),2403006.0)</f>
        <v>2403006</v>
      </c>
      <c r="C2231" s="2005" t="str">
        <f>IFERROR(__xludf.DUMMYFUNCTION("""COMPUTED_VALUE"""),"Conso Plastif")</f>
        <v>Conso Plastif</v>
      </c>
      <c r="D2231" s="2005" t="str">
        <f>IFERROR(__xludf.DUMMYFUNCTION("""COMPUTED_VALUE"""),"Rouleau Vinyle blanc")</f>
        <v>Rouleau Vinyle blanc</v>
      </c>
      <c r="E2231" s="2005" t="str">
        <f>IFERROR(__xludf.DUMMYFUNCTION("""COMPUTED_VALUE"""),"CRICUT")</f>
        <v>CRICUT</v>
      </c>
      <c r="F2231" s="2005" t="str">
        <f>IFERROR(__xludf.DUMMYFUNCTION("""COMPUTED_VALUE"""),"D")</f>
        <v>D</v>
      </c>
      <c r="G2231" s="2005" t="str">
        <f>IFERROR(__xludf.DUMMYFUNCTION("""COMPUTED_VALUE"""),"AC")</f>
        <v>AC</v>
      </c>
      <c r="H2231" s="2005">
        <f>IFERROR(__xludf.DUMMYFUNCTION("""COMPUTED_VALUE"""),10.99)</f>
        <v>10.99</v>
      </c>
      <c r="I2231" s="2005">
        <f>IFERROR(__xludf.DUMMYFUNCTION("""COMPUTED_VALUE"""),8.45)</f>
        <v>8.45</v>
      </c>
      <c r="BD2231" s="2006"/>
      <c r="LL2231" s="2008"/>
      <c r="LM2231" s="2007"/>
      <c r="MX2231" s="2007"/>
      <c r="ND2231" s="2007"/>
    </row>
    <row r="2232">
      <c r="A2232" s="2005">
        <f>IFERROR(__xludf.DUMMYFUNCTION("""COMPUTED_VALUE"""),1178080.0)</f>
        <v>1178080</v>
      </c>
      <c r="B2232" s="2005">
        <f>IFERROR(__xludf.DUMMYFUNCTION("""COMPUTED_VALUE"""),2403006.0)</f>
        <v>2403006</v>
      </c>
      <c r="C2232" s="2005" t="str">
        <f>IFERROR(__xludf.DUMMYFUNCTION("""COMPUTED_VALUE"""),"Conso Plastif")</f>
        <v>Conso Plastif</v>
      </c>
      <c r="D2232" s="2005" t="str">
        <f>IFERROR(__xludf.DUMMYFUNCTION("""COMPUTED_VALUE"""),"Rouleau Vinyle blanc brillant 30x12")</f>
        <v>Rouleau Vinyle blanc brillant 30x12</v>
      </c>
      <c r="E2232" s="2005" t="str">
        <f>IFERROR(__xludf.DUMMYFUNCTION("""COMPUTED_VALUE"""),"CRICUT")</f>
        <v>CRICUT</v>
      </c>
      <c r="F2232" s="2005" t="str">
        <f>IFERROR(__xludf.DUMMYFUNCTION("""COMPUTED_VALUE"""),"E")</f>
        <v>E</v>
      </c>
      <c r="G2232" s="2005" t="str">
        <f>IFERROR(__xludf.DUMMYFUNCTION("""COMPUTED_VALUE"""),"AC")</f>
        <v>AC</v>
      </c>
      <c r="H2232" s="2005">
        <f>IFERROR(__xludf.DUMMYFUNCTION("""COMPUTED_VALUE"""),9.99)</f>
        <v>9.99</v>
      </c>
      <c r="I2232" s="2005">
        <f>IFERROR(__xludf.DUMMYFUNCTION("""COMPUTED_VALUE"""),7.68)</f>
        <v>7.68</v>
      </c>
      <c r="BD2232" s="2006"/>
      <c r="LL2232" s="2007"/>
      <c r="LM2232" s="2007"/>
      <c r="MX2232" s="2007"/>
      <c r="ND2232" s="2007"/>
    </row>
    <row r="2233">
      <c r="A2233" s="2005">
        <f>IFERROR(__xludf.DUMMYFUNCTION("""COMPUTED_VALUE"""),1178081.0)</f>
        <v>1178081</v>
      </c>
      <c r="B2233" s="2005">
        <f>IFERROR(__xludf.DUMMYFUNCTION("""COMPUTED_VALUE"""),2403006.0)</f>
        <v>2403006</v>
      </c>
      <c r="C2233" s="2005" t="str">
        <f>IFERROR(__xludf.DUMMYFUNCTION("""COMPUTED_VALUE"""),"Conso Plastif")</f>
        <v>Conso Plastif</v>
      </c>
      <c r="D2233" s="2005" t="str">
        <f>IFERROR(__xludf.DUMMYFUNCTION("""COMPUTED_VALUE"""),"Scan N Cut Feuille adhesive pour ti")</f>
        <v>Scan N Cut Feuille adhesive pour ti</v>
      </c>
      <c r="E2233" s="2005" t="str">
        <f>IFERROR(__xludf.DUMMYFUNCTION("""COMPUTED_VALUE"""),"BROTHER")</f>
        <v>BROTHER</v>
      </c>
      <c r="F2233" s="2005" t="str">
        <f>IFERROR(__xludf.DUMMYFUNCTION("""COMPUTED_VALUE"""),"W")</f>
        <v>W</v>
      </c>
      <c r="G2233" s="2005" t="str">
        <f>IFERROR(__xludf.DUMMYFUNCTION("""COMPUTED_VALUE"""),"NN")</f>
        <v>NN</v>
      </c>
      <c r="H2233">
        <f>IFERROR(__xludf.DUMMYFUNCTION("""COMPUTED_VALUE"""),21.99)</f>
        <v>21.99</v>
      </c>
      <c r="I2233">
        <f>IFERROR(__xludf.DUMMYFUNCTION("""COMPUTED_VALUE"""),21.99)</f>
        <v>21.99</v>
      </c>
      <c r="BD2233" s="2006"/>
      <c r="LL2233" s="2007"/>
      <c r="LM2233" s="2007"/>
      <c r="MX2233" s="2007"/>
      <c r="ND2233" s="2007"/>
    </row>
    <row r="2234">
      <c r="A2234" s="2005">
        <f>IFERROR(__xludf.DUMMYFUNCTION("""COMPUTED_VALUE"""),1178085.0)</f>
        <v>1178085</v>
      </c>
      <c r="B2234" s="2005">
        <f>IFERROR(__xludf.DUMMYFUNCTION("""COMPUTED_VALUE"""),2403006.0)</f>
        <v>2403006</v>
      </c>
      <c r="C2234" s="2005" t="str">
        <f>IFERROR(__xludf.DUMMYFUNCTION("""COMPUTED_VALUE"""),"Conso Plastif")</f>
        <v>Conso Plastif</v>
      </c>
      <c r="D2234" s="2005" t="str">
        <f>IFERROR(__xludf.DUMMYFUNCTION("""COMPUTED_VALUE"""),"Thermocollant bleu holografique")</f>
        <v>Thermocollant bleu holografique</v>
      </c>
      <c r="E2234" s="2005" t="str">
        <f>IFERROR(__xludf.DUMMYFUNCTION("""COMPUTED_VALUE"""),"CRICUT")</f>
        <v>CRICUT</v>
      </c>
      <c r="F2234" s="2005" t="str">
        <f>IFERROR(__xludf.DUMMYFUNCTION("""COMPUTED_VALUE"""),"E")</f>
        <v>E</v>
      </c>
      <c r="G2234" s="2005" t="str">
        <f>IFERROR(__xludf.DUMMYFUNCTION("""COMPUTED_VALUE"""),"AC")</f>
        <v>AC</v>
      </c>
      <c r="H2234" s="2005">
        <f>IFERROR(__xludf.DUMMYFUNCTION("""COMPUTED_VALUE"""),21.99)</f>
        <v>21.99</v>
      </c>
      <c r="I2234" s="2005">
        <f>IFERROR(__xludf.DUMMYFUNCTION("""COMPUTED_VALUE"""),16.92)</f>
        <v>16.92</v>
      </c>
      <c r="BD2234" s="2006"/>
      <c r="LL2234" s="2007"/>
      <c r="LM2234" s="2007"/>
      <c r="MX2234" s="2007"/>
      <c r="ND2234" s="2007"/>
    </row>
    <row r="2235">
      <c r="A2235" s="2005">
        <f>IFERROR(__xludf.DUMMYFUNCTION("""COMPUTED_VALUE"""),1178086.0)</f>
        <v>1178086</v>
      </c>
      <c r="B2235" s="2005">
        <f>IFERROR(__xludf.DUMMYFUNCTION("""COMPUTED_VALUE"""),2403006.0)</f>
        <v>2403006</v>
      </c>
      <c r="C2235" s="2005" t="str">
        <f>IFERROR(__xludf.DUMMYFUNCTION("""COMPUTED_VALUE"""),"Conso Plastif")</f>
        <v>Conso Plastif</v>
      </c>
      <c r="D2235" s="2005" t="str">
        <f>IFERROR(__xludf.DUMMYFUNCTION("""COMPUTED_VALUE"""),"Embout lame precision + base")</f>
        <v>Embout lame precision + base</v>
      </c>
      <c r="E2235" s="2005" t="str">
        <f>IFERROR(__xludf.DUMMYFUNCTION("""COMPUTED_VALUE"""),"CRICUT")</f>
        <v>CRICUT</v>
      </c>
      <c r="F2235" s="2005" t="str">
        <f>IFERROR(__xludf.DUMMYFUNCTION("""COMPUTED_VALUE"""),"H")</f>
        <v>H</v>
      </c>
      <c r="G2235" s="2005" t="str">
        <f>IFERROR(__xludf.DUMMYFUNCTION("""COMPUTED_VALUE"""),"AC")</f>
        <v>AC</v>
      </c>
      <c r="H2235">
        <f>IFERROR(__xludf.DUMMYFUNCTION("""COMPUTED_VALUE"""),47.99)</f>
        <v>47.99</v>
      </c>
      <c r="I2235">
        <f>IFERROR(__xludf.DUMMYFUNCTION("""COMPUTED_VALUE"""),36.92)</f>
        <v>36.92</v>
      </c>
      <c r="BD2235" s="2006"/>
      <c r="LL2235" s="2007"/>
      <c r="LM2235" s="2007"/>
      <c r="MX2235" s="2007"/>
      <c r="ND2235" s="2007"/>
    </row>
    <row r="2236">
      <c r="A2236" s="2005">
        <f>IFERROR(__xludf.DUMMYFUNCTION("""COMPUTED_VALUE"""),1178087.0)</f>
        <v>1178087</v>
      </c>
      <c r="B2236" s="2005">
        <f>IFERROR(__xludf.DUMMYFUNCTION("""COMPUTED_VALUE"""),2403006.0)</f>
        <v>2403006</v>
      </c>
      <c r="C2236" s="2005" t="str">
        <f>IFERROR(__xludf.DUMMYFUNCTION("""COMPUTED_VALUE"""),"Conso Plastif")</f>
        <v>Conso Plastif</v>
      </c>
      <c r="D2236" s="2005" t="str">
        <f>IFERROR(__xludf.DUMMYFUNCTION("""COMPUTED_VALUE"""),"2 feuilles papiers transfert noir")</f>
        <v>2 feuilles papiers transfert noir</v>
      </c>
      <c r="E2236" s="2005" t="str">
        <f>IFERROR(__xludf.DUMMYFUNCTION("""COMPUTED_VALUE"""),"CRICUT")</f>
        <v>CRICUT</v>
      </c>
      <c r="F2236" s="2005" t="str">
        <f>IFERROR(__xludf.DUMMYFUNCTION("""COMPUTED_VALUE"""),"D")</f>
        <v>D</v>
      </c>
      <c r="G2236" s="2005" t="str">
        <f>IFERROR(__xludf.DUMMYFUNCTION("""COMPUTED_VALUE"""),"AC")</f>
        <v>AC</v>
      </c>
      <c r="H2236">
        <f>IFERROR(__xludf.DUMMYFUNCTION("""COMPUTED_VALUE"""),10.99)</f>
        <v>10.99</v>
      </c>
      <c r="I2236">
        <f>IFERROR(__xludf.DUMMYFUNCTION("""COMPUTED_VALUE"""),8.45)</f>
        <v>8.45</v>
      </c>
      <c r="BD2236" s="2006"/>
      <c r="LL2236" s="2007"/>
      <c r="LM2236" s="2007"/>
      <c r="MX2236" s="2007"/>
      <c r="ND2236" s="2007"/>
    </row>
    <row r="2237">
      <c r="A2237" s="2005">
        <f>IFERROR(__xludf.DUMMYFUNCTION("""COMPUTED_VALUE"""),1178088.0)</f>
        <v>1178088</v>
      </c>
      <c r="B2237" s="2005">
        <f>IFERROR(__xludf.DUMMYFUNCTION("""COMPUTED_VALUE"""),2403006.0)</f>
        <v>2403006</v>
      </c>
      <c r="C2237" s="2005" t="str">
        <f>IFERROR(__xludf.DUMMYFUNCTION("""COMPUTED_VALUE"""),"Conso Plastif")</f>
        <v>Conso Plastif</v>
      </c>
      <c r="D2237" s="2005" t="str">
        <f>IFERROR(__xludf.DUMMYFUNCTION("""COMPUTED_VALUE"""),"Rouleau Vinyle argent brillant 30x1")</f>
        <v>Rouleau Vinyle argent brillant 30x1</v>
      </c>
      <c r="E2237" s="2005" t="str">
        <f>IFERROR(__xludf.DUMMYFUNCTION("""COMPUTED_VALUE"""),"CRICUT")</f>
        <v>CRICUT</v>
      </c>
      <c r="F2237" s="2005" t="str">
        <f>IFERROR(__xludf.DUMMYFUNCTION("""COMPUTED_VALUE"""),"E")</f>
        <v>E</v>
      </c>
      <c r="G2237" s="2005" t="str">
        <f>IFERROR(__xludf.DUMMYFUNCTION("""COMPUTED_VALUE"""),"AC")</f>
        <v>AC</v>
      </c>
      <c r="H2237" s="2005">
        <f>IFERROR(__xludf.DUMMYFUNCTION("""COMPUTED_VALUE"""),9.99)</f>
        <v>9.99</v>
      </c>
      <c r="I2237" s="2005">
        <f>IFERROR(__xludf.DUMMYFUNCTION("""COMPUTED_VALUE"""),7.68)</f>
        <v>7.68</v>
      </c>
      <c r="BD2237" s="2006"/>
      <c r="LL2237" s="2008"/>
      <c r="LM2237" s="2007"/>
      <c r="MX2237" s="2007"/>
      <c r="ND2237" s="2007"/>
    </row>
    <row r="2238">
      <c r="A2238" s="2005">
        <f>IFERROR(__xludf.DUMMYFUNCTION("""COMPUTED_VALUE"""),1178089.0)</f>
        <v>1178089</v>
      </c>
      <c r="B2238" s="2005">
        <f>IFERROR(__xludf.DUMMYFUNCTION("""COMPUTED_VALUE"""),2403006.0)</f>
        <v>2403006</v>
      </c>
      <c r="C2238" s="2005" t="str">
        <f>IFERROR(__xludf.DUMMYFUNCTION("""COMPUTED_VALUE"""),"Conso Plastif")</f>
        <v>Conso Plastif</v>
      </c>
      <c r="D2238" s="2005" t="str">
        <f>IFERROR(__xludf.DUMMYFUNCTION("""COMPUTED_VALUE"""),"3 marqueurs metalliques bleu argent")</f>
        <v>3 marqueurs metalliques bleu argent</v>
      </c>
      <c r="E2238" s="2005" t="str">
        <f>IFERROR(__xludf.DUMMYFUNCTION("""COMPUTED_VALUE"""),"CRICUT")</f>
        <v>CRICUT</v>
      </c>
      <c r="F2238" s="2005" t="str">
        <f>IFERROR(__xludf.DUMMYFUNCTION("""COMPUTED_VALUE"""),"E")</f>
        <v>E</v>
      </c>
      <c r="G2238" s="2005" t="str">
        <f>IFERROR(__xludf.DUMMYFUNCTION("""COMPUTED_VALUE"""),"AC")</f>
        <v>AC</v>
      </c>
      <c r="H2238" s="2005">
        <f>IFERROR(__xludf.DUMMYFUNCTION("""COMPUTED_VALUE"""),11.99)</f>
        <v>11.99</v>
      </c>
      <c r="I2238" s="2005">
        <f>IFERROR(__xludf.DUMMYFUNCTION("""COMPUTED_VALUE"""),9.22)</f>
        <v>9.22</v>
      </c>
      <c r="BD2238" s="2006"/>
      <c r="LL2238" s="2007"/>
      <c r="LM2238" s="2007"/>
      <c r="MX2238" s="2007"/>
      <c r="ND2238" s="2007"/>
    </row>
    <row r="2239">
      <c r="A2239" s="2005">
        <f>IFERROR(__xludf.DUMMYFUNCTION("""COMPUTED_VALUE"""),1178090.0)</f>
        <v>1178090</v>
      </c>
      <c r="B2239" s="2005">
        <f>IFERROR(__xludf.DUMMYFUNCTION("""COMPUTED_VALUE"""),2403006.0)</f>
        <v>2403006</v>
      </c>
      <c r="C2239" s="2005" t="str">
        <f>IFERROR(__xludf.DUMMYFUNCTION("""COMPUTED_VALUE"""),"Conso Plastif")</f>
        <v>Conso Plastif</v>
      </c>
      <c r="D2239" s="2005" t="str">
        <f>IFERROR(__xludf.DUMMYFUNCTION("""COMPUTED_VALUE"""),"Thermocollant noir mat")</f>
        <v>Thermocollant noir mat</v>
      </c>
      <c r="E2239" s="2005" t="str">
        <f>IFERROR(__xludf.DUMMYFUNCTION("""COMPUTED_VALUE"""),"CRICUT")</f>
        <v>CRICUT</v>
      </c>
      <c r="F2239" s="2005" t="str">
        <f>IFERROR(__xludf.DUMMYFUNCTION("""COMPUTED_VALUE"""),"E")</f>
        <v>E</v>
      </c>
      <c r="G2239" s="2005" t="str">
        <f>IFERROR(__xludf.DUMMYFUNCTION("""COMPUTED_VALUE"""),"AC")</f>
        <v>AC</v>
      </c>
      <c r="H2239" s="2005">
        <f>IFERROR(__xludf.DUMMYFUNCTION("""COMPUTED_VALUE"""),10.99)</f>
        <v>10.99</v>
      </c>
      <c r="I2239" s="2005">
        <f>IFERROR(__xludf.DUMMYFUNCTION("""COMPUTED_VALUE"""),8.45)</f>
        <v>8.45</v>
      </c>
      <c r="BD2239" s="2006"/>
      <c r="LL2239" s="2007"/>
      <c r="LM2239" s="2007"/>
      <c r="MX2239" s="2008"/>
      <c r="ND2239" s="2007"/>
    </row>
    <row r="2240">
      <c r="A2240" s="2005">
        <f>IFERROR(__xludf.DUMMYFUNCTION("""COMPUTED_VALUE"""),1178091.0)</f>
        <v>1178091</v>
      </c>
      <c r="B2240" s="2005">
        <f>IFERROR(__xludf.DUMMYFUNCTION("""COMPUTED_VALUE"""),2201099.0)</f>
        <v>2201099</v>
      </c>
      <c r="C2240" s="2005" t="str">
        <f>IFERROR(__xludf.DUMMYFUNCTION("""COMPUTED_VALUE"""),"Découpeuse")</f>
        <v>Découpeuse</v>
      </c>
      <c r="D2240" s="2005" t="str">
        <f>IFERROR(__xludf.DUMMYFUNCTION("""COMPUTED_VALUE"""),"Mugpress")</f>
        <v>Mugpress</v>
      </c>
      <c r="E2240" s="2005" t="str">
        <f>IFERROR(__xludf.DUMMYFUNCTION("""COMPUTED_VALUE"""),"CRICUT")</f>
        <v>CRICUT</v>
      </c>
      <c r="F2240" s="2005" t="str">
        <f>IFERROR(__xludf.DUMMYFUNCTION("""COMPUTED_VALUE"""),"H")</f>
        <v>H</v>
      </c>
      <c r="G2240" s="2005" t="str">
        <f>IFERROR(__xludf.DUMMYFUNCTION("""COMPUTED_VALUE"""),"AC")</f>
        <v>AC</v>
      </c>
      <c r="H2240">
        <f>IFERROR(__xludf.DUMMYFUNCTION("""COMPUTED_VALUE"""),199.99)</f>
        <v>199.99</v>
      </c>
      <c r="I2240">
        <f>IFERROR(__xludf.DUMMYFUNCTION("""COMPUTED_VALUE"""),199.99)</f>
        <v>199.99</v>
      </c>
      <c r="BD2240" s="2006"/>
      <c r="LL2240" s="2007"/>
      <c r="LM2240" s="2007"/>
      <c r="MX2240" s="2007"/>
      <c r="ND2240" s="2007"/>
    </row>
    <row r="2241">
      <c r="A2241" s="2005">
        <f>IFERROR(__xludf.DUMMYFUNCTION("""COMPUTED_VALUE"""),1178092.0)</f>
        <v>1178092</v>
      </c>
      <c r="B2241" s="2005">
        <f>IFERROR(__xludf.DUMMYFUNCTION("""COMPUTED_VALUE"""),2403006.0)</f>
        <v>2403006</v>
      </c>
      <c r="C2241" s="2005" t="str">
        <f>IFERROR(__xludf.DUMMYFUNCTION("""COMPUTED_VALUE"""),"Conso Plastif")</f>
        <v>Conso Plastif</v>
      </c>
      <c r="D2241" s="2005" t="str">
        <f>IFERROR(__xludf.DUMMYFUNCTION("""COMPUTED_VALUE"""),"Lame coupe profonde + base")</f>
        <v>Lame coupe profonde + base</v>
      </c>
      <c r="E2241" s="2005" t="str">
        <f>IFERROR(__xludf.DUMMYFUNCTION("""COMPUTED_VALUE"""),"CRICUT")</f>
        <v>CRICUT</v>
      </c>
      <c r="F2241" s="2005" t="str">
        <f>IFERROR(__xludf.DUMMYFUNCTION("""COMPUTED_VALUE"""),"H")</f>
        <v>H</v>
      </c>
      <c r="G2241" s="2005" t="str">
        <f>IFERROR(__xludf.DUMMYFUNCTION("""COMPUTED_VALUE"""),"AC")</f>
        <v>AC</v>
      </c>
      <c r="H2241" s="2005">
        <f>IFERROR(__xludf.DUMMYFUNCTION("""COMPUTED_VALUE"""),32.49)</f>
        <v>32.49</v>
      </c>
      <c r="I2241" s="2005">
        <f>IFERROR(__xludf.DUMMYFUNCTION("""COMPUTED_VALUE"""),24.99)</f>
        <v>24.99</v>
      </c>
      <c r="BD2241" s="2006"/>
      <c r="LL2241" s="2007"/>
      <c r="LM2241" s="2007"/>
      <c r="MX2241" s="2007"/>
      <c r="ND2241" s="2007"/>
    </row>
    <row r="2242">
      <c r="A2242" s="2005">
        <f>IFERROR(__xludf.DUMMYFUNCTION("""COMPUTED_VALUE"""),1178093.0)</f>
        <v>1178093</v>
      </c>
      <c r="B2242" s="2005">
        <f>IFERROR(__xludf.DUMMYFUNCTION("""COMPUTED_VALUE"""),2403006.0)</f>
        <v>2403006</v>
      </c>
      <c r="C2242" s="2005" t="str">
        <f>IFERROR(__xludf.DUMMYFUNCTION("""COMPUTED_VALUE"""),"Conso Plastif")</f>
        <v>Conso Plastif</v>
      </c>
      <c r="D2242" s="2005" t="str">
        <f>IFERROR(__xludf.DUMMYFUNCTION("""COMPUTED_VALUE"""),"3 tapis de coupe 30x60 cm")</f>
        <v>3 tapis de coupe 30x60 cm</v>
      </c>
      <c r="E2242" s="2005" t="str">
        <f>IFERROR(__xludf.DUMMYFUNCTION("""COMPUTED_VALUE"""),"CRICUT")</f>
        <v>CRICUT</v>
      </c>
      <c r="F2242" s="2005" t="str">
        <f>IFERROR(__xludf.DUMMYFUNCTION("""COMPUTED_VALUE"""),"H")</f>
        <v>H</v>
      </c>
      <c r="G2242" s="2005" t="str">
        <f>IFERROR(__xludf.DUMMYFUNCTION("""COMPUTED_VALUE"""),"AC")</f>
        <v>AC</v>
      </c>
      <c r="H2242" s="2005">
        <f>IFERROR(__xludf.DUMMYFUNCTION("""COMPUTED_VALUE"""),29.99)</f>
        <v>29.99</v>
      </c>
      <c r="I2242" s="2005">
        <f>IFERROR(__xludf.DUMMYFUNCTION("""COMPUTED_VALUE"""),23.07)</f>
        <v>23.07</v>
      </c>
      <c r="BD2242" s="2006"/>
      <c r="LL2242" s="2007"/>
      <c r="LM2242" s="2007"/>
      <c r="MX2242" s="2007"/>
      <c r="ND2242" s="2007"/>
    </row>
    <row r="2243">
      <c r="A2243" s="2005">
        <f>IFERROR(__xludf.DUMMYFUNCTION("""COMPUTED_VALUE"""),1178101.0)</f>
        <v>1178101</v>
      </c>
      <c r="B2243" s="2005">
        <f>IFERROR(__xludf.DUMMYFUNCTION("""COMPUTED_VALUE"""),2403006.0)</f>
        <v>2403006</v>
      </c>
      <c r="C2243" s="2005" t="str">
        <f>IFERROR(__xludf.DUMMYFUNCTION("""COMPUTED_VALUE"""),"Conso Plastif")</f>
        <v>Conso Plastif</v>
      </c>
      <c r="D2243" s="2005" t="str">
        <f>IFERROR(__xludf.DUMMYFUNCTION("""COMPUTED_VALUE"""),"Outil Transfert Foil 3 pointes 12 f")</f>
        <v>Outil Transfert Foil 3 pointes 12 f</v>
      </c>
      <c r="E2243" s="2005" t="str">
        <f>IFERROR(__xludf.DUMMYFUNCTION("""COMPUTED_VALUE"""),"CRICUT")</f>
        <v>CRICUT</v>
      </c>
      <c r="F2243" s="2005" t="str">
        <f>IFERROR(__xludf.DUMMYFUNCTION("""COMPUTED_VALUE"""),"E")</f>
        <v>E</v>
      </c>
      <c r="G2243" s="2005" t="str">
        <f>IFERROR(__xludf.DUMMYFUNCTION("""COMPUTED_VALUE"""),"AC")</f>
        <v>AC</v>
      </c>
      <c r="H2243" s="2005">
        <f>IFERROR(__xludf.DUMMYFUNCTION("""COMPUTED_VALUE"""),50.99)</f>
        <v>50.99</v>
      </c>
      <c r="I2243" s="2005">
        <f>IFERROR(__xludf.DUMMYFUNCTION("""COMPUTED_VALUE"""),39.22)</f>
        <v>39.22</v>
      </c>
      <c r="BD2243" s="2006"/>
      <c r="LL2243" s="2007"/>
      <c r="LM2243" s="2007"/>
      <c r="MX2243" s="2007"/>
      <c r="ND2243" s="2007"/>
    </row>
    <row r="2244">
      <c r="A2244" s="2005">
        <f>IFERROR(__xludf.DUMMYFUNCTION("""COMPUTED_VALUE"""),1178103.0)</f>
        <v>1178103</v>
      </c>
      <c r="B2244" s="2005">
        <f>IFERROR(__xludf.DUMMYFUNCTION("""COMPUTED_VALUE"""),2502010.0)</f>
        <v>2502010</v>
      </c>
      <c r="C2244" s="2005" t="str">
        <f>IFERROR(__xludf.DUMMYFUNCTION("""COMPUTED_VALUE"""),"Souris")</f>
        <v>Souris</v>
      </c>
      <c r="D2244" s="2005" t="str">
        <f>IFERROR(__xludf.DUMMYFUNCTION("""COMPUTED_VALUE"""),"premium sans fil + tapis chargeur")</f>
        <v>premium sans fil + tapis chargeur</v>
      </c>
      <c r="E2244" s="2005" t="str">
        <f>IFERROR(__xludf.DUMMYFUNCTION("""COMPUTED_VALUE"""),"MOBILITY LAB")</f>
        <v>MOBILITY LAB</v>
      </c>
      <c r="F2244" s="2005" t="str">
        <f>IFERROR(__xludf.DUMMYFUNCTION("""COMPUTED_VALUE"""),"W")</f>
        <v>W</v>
      </c>
      <c r="G2244" s="2005" t="str">
        <f>IFERROR(__xludf.DUMMYFUNCTION("""COMPUTED_VALUE"""),"NN")</f>
        <v>NN</v>
      </c>
      <c r="H2244" s="2005">
        <f>IFERROR(__xludf.DUMMYFUNCTION("""COMPUTED_VALUE"""),34.99)</f>
        <v>34.99</v>
      </c>
      <c r="I2244" s="2005">
        <f>IFERROR(__xludf.DUMMYFUNCTION("""COMPUTED_VALUE"""),30.24)</f>
        <v>30.24</v>
      </c>
      <c r="BD2244" s="2006"/>
      <c r="LL2244" s="2007"/>
      <c r="LM2244" s="2007"/>
      <c r="MX2244" s="2007"/>
      <c r="ND2244" s="2007"/>
    </row>
    <row r="2245">
      <c r="A2245" s="2005">
        <f>IFERROR(__xludf.DUMMYFUNCTION("""COMPUTED_VALUE"""),1178114.0)</f>
        <v>1178114</v>
      </c>
      <c r="B2245" s="2005">
        <f>IFERROR(__xludf.DUMMYFUNCTION("""COMPUTED_VALUE"""),2502015.0)</f>
        <v>2502015</v>
      </c>
      <c r="C2245" s="2005" t="str">
        <f>IFERROR(__xludf.DUMMYFUNCTION("""COMPUTED_VALUE"""),"Clavier")</f>
        <v>Clavier</v>
      </c>
      <c r="D2245" s="2005" t="str">
        <f>IFERROR(__xludf.DUMMYFUNCTION("""COMPUTED_VALUE"""),"combo design touch")</f>
        <v>combo design touch</v>
      </c>
      <c r="E2245" s="2005" t="str">
        <f>IFERROR(__xludf.DUMMYFUNCTION("""COMPUTED_VALUE"""),"MOBILITY LAB")</f>
        <v>MOBILITY LAB</v>
      </c>
      <c r="F2245" s="2005" t="str">
        <f>IFERROR(__xludf.DUMMYFUNCTION("""COMPUTED_VALUE"""),"W")</f>
        <v>W</v>
      </c>
      <c r="G2245" s="2005" t="str">
        <f>IFERROR(__xludf.DUMMYFUNCTION("""COMPUTED_VALUE"""),"NN")</f>
        <v>NN</v>
      </c>
      <c r="H2245" s="2005">
        <f>IFERROR(__xludf.DUMMYFUNCTION("""COMPUTED_VALUE"""),59.99)</f>
        <v>59.99</v>
      </c>
      <c r="I2245" s="2005">
        <f>IFERROR(__xludf.DUMMYFUNCTION("""COMPUTED_VALUE"""),59.99)</f>
        <v>59.99</v>
      </c>
      <c r="BD2245" s="2006"/>
      <c r="LL2245" s="2007"/>
      <c r="LM2245" s="2007"/>
      <c r="MX2245" s="2007"/>
      <c r="ND2245" s="2007"/>
    </row>
    <row r="2246">
      <c r="A2246" s="2005">
        <f>IFERROR(__xludf.DUMMYFUNCTION("""COMPUTED_VALUE"""),1178224.0)</f>
        <v>1178224</v>
      </c>
      <c r="B2246" s="2005">
        <f>IFERROR(__xludf.DUMMYFUNCTION("""COMPUTED_VALUE"""),2502010.0)</f>
        <v>2502010</v>
      </c>
      <c r="C2246" s="2005" t="str">
        <f>IFERROR(__xludf.DUMMYFUNCTION("""COMPUTED_VALUE"""),"Souris")</f>
        <v>Souris</v>
      </c>
      <c r="D2246" s="2005" t="str">
        <f>IFERROR(__xludf.DUMMYFUNCTION("""COMPUTED_VALUE"""),"Lift Ergonomique Silencieuse Graphite")</f>
        <v>Lift Ergonomique Silencieuse Graphite</v>
      </c>
      <c r="E2246" s="2005" t="str">
        <f>IFERROR(__xludf.DUMMYFUNCTION("""COMPUTED_VALUE"""),"LOGITECH")</f>
        <v>LOGITECH</v>
      </c>
      <c r="F2246" s="2005" t="str">
        <f>IFERROR(__xludf.DUMMYFUNCTION("""COMPUTED_VALUE"""),"A")</f>
        <v>A</v>
      </c>
      <c r="G2246" s="2005" t="str">
        <f>IFERROR(__xludf.DUMMYFUNCTION("""COMPUTED_VALUE"""),"AC")</f>
        <v>AC</v>
      </c>
      <c r="H2246" s="2005">
        <f>IFERROR(__xludf.DUMMYFUNCTION("""COMPUTED_VALUE"""),79.99)</f>
        <v>79.99</v>
      </c>
      <c r="I2246" s="2005">
        <f>IFERROR(__xludf.DUMMYFUNCTION("""COMPUTED_VALUE"""),79.99)</f>
        <v>79.99</v>
      </c>
      <c r="BD2246" s="2006"/>
      <c r="LL2246" s="2007"/>
      <c r="LM2246" s="2007"/>
      <c r="MX2246" s="2008"/>
      <c r="ND2246" s="2007"/>
    </row>
    <row r="2247">
      <c r="A2247" s="2005">
        <f>IFERROR(__xludf.DUMMYFUNCTION("""COMPUTED_VALUE"""),1178227.0)</f>
        <v>1178227</v>
      </c>
      <c r="B2247" s="2005">
        <f>IFERROR(__xludf.DUMMYFUNCTION("""COMPUTED_VALUE"""),2502010.0)</f>
        <v>2502010</v>
      </c>
      <c r="C2247" s="2005" t="str">
        <f>IFERROR(__xludf.DUMMYFUNCTION("""COMPUTED_VALUE"""),"Souris")</f>
        <v>Souris</v>
      </c>
      <c r="D2247" s="2005" t="str">
        <f>IFERROR(__xludf.DUMMYFUNCTION("""COMPUTED_VALUE"""),"Lift Ergonomique Silencieuse Rose")</f>
        <v>Lift Ergonomique Silencieuse Rose</v>
      </c>
      <c r="E2247" s="2005" t="str">
        <f>IFERROR(__xludf.DUMMYFUNCTION("""COMPUTED_VALUE"""),"LOGITECH")</f>
        <v>LOGITECH</v>
      </c>
      <c r="F2247" s="2005" t="str">
        <f>IFERROR(__xludf.DUMMYFUNCTION("""COMPUTED_VALUE"""),"W")</f>
        <v>W</v>
      </c>
      <c r="G2247" s="2005" t="str">
        <f>IFERROR(__xludf.DUMMYFUNCTION("""COMPUTED_VALUE"""),"FR")</f>
        <v>FR</v>
      </c>
      <c r="H2247">
        <f>IFERROR(__xludf.DUMMYFUNCTION("""COMPUTED_VALUE"""),79.99)</f>
        <v>79.99</v>
      </c>
      <c r="I2247">
        <f>IFERROR(__xludf.DUMMYFUNCTION("""COMPUTED_VALUE"""),59.35)</f>
        <v>59.35</v>
      </c>
      <c r="BD2247" s="2006"/>
      <c r="LL2247" s="2008"/>
      <c r="LM2247" s="2007"/>
      <c r="MX2247" s="2007"/>
      <c r="ND2247" s="2007"/>
    </row>
    <row r="2248">
      <c r="A2248" s="2005">
        <f>IFERROR(__xludf.DUMMYFUNCTION("""COMPUTED_VALUE"""),1178228.0)</f>
        <v>1178228</v>
      </c>
      <c r="B2248" s="2005">
        <f>IFERROR(__xludf.DUMMYFUNCTION("""COMPUTED_VALUE"""),2502010.0)</f>
        <v>2502010</v>
      </c>
      <c r="C2248" s="2005" t="str">
        <f>IFERROR(__xludf.DUMMYFUNCTION("""COMPUTED_VALUE"""),"Souris")</f>
        <v>Souris</v>
      </c>
      <c r="D2248" s="2005" t="str">
        <f>IFERROR(__xludf.DUMMYFUNCTION("""COMPUTED_VALUE"""),"Lift Ergonomique Silencieuse Blanche")</f>
        <v>Lift Ergonomique Silencieuse Blanche</v>
      </c>
      <c r="E2248" s="2005" t="str">
        <f>IFERROR(__xludf.DUMMYFUNCTION("""COMPUTED_VALUE"""),"LOGITECH")</f>
        <v>LOGITECH</v>
      </c>
      <c r="F2248" s="2005" t="str">
        <f>IFERROR(__xludf.DUMMYFUNCTION("""COMPUTED_VALUE"""),"E")</f>
        <v>E</v>
      </c>
      <c r="G2248" s="2005" t="str">
        <f>IFERROR(__xludf.DUMMYFUNCTION("""COMPUTED_VALUE"""),"AC")</f>
        <v>AC</v>
      </c>
      <c r="H2248" s="2005">
        <f>IFERROR(__xludf.DUMMYFUNCTION("""COMPUTED_VALUE"""),79.99)</f>
        <v>79.99</v>
      </c>
      <c r="I2248" s="2005">
        <f>IFERROR(__xludf.DUMMYFUNCTION("""COMPUTED_VALUE"""),79.99)</f>
        <v>79.99</v>
      </c>
      <c r="BD2248" s="2006"/>
      <c r="LL2248" s="2007"/>
      <c r="LM2248" s="2007"/>
      <c r="MX2248" s="2007"/>
      <c r="ND2248" s="2007"/>
    </row>
    <row r="2249">
      <c r="A2249" s="2005">
        <f>IFERROR(__xludf.DUMMYFUNCTION("""COMPUTED_VALUE"""),1178229.0)</f>
        <v>1178229</v>
      </c>
      <c r="B2249" s="2005">
        <f>IFERROR(__xludf.DUMMYFUNCTION("""COMPUTED_VALUE"""),2502010.0)</f>
        <v>2502010</v>
      </c>
      <c r="C2249" s="2005" t="str">
        <f>IFERROR(__xludf.DUMMYFUNCTION("""COMPUTED_VALUE"""),"Souris")</f>
        <v>Souris</v>
      </c>
      <c r="D2249" s="2005" t="str">
        <f>IFERROR(__xludf.DUMMYFUNCTION("""COMPUTED_VALUE"""),"Lift Ergonomique Gaucher Silencieuse")</f>
        <v>Lift Ergonomique Gaucher Silencieuse</v>
      </c>
      <c r="E2249" s="2005" t="str">
        <f>IFERROR(__xludf.DUMMYFUNCTION("""COMPUTED_VALUE"""),"LOGITECH")</f>
        <v>LOGITECH</v>
      </c>
      <c r="F2249" s="2005" t="str">
        <f>IFERROR(__xludf.DUMMYFUNCTION("""COMPUTED_VALUE"""),"E")</f>
        <v>E</v>
      </c>
      <c r="G2249" s="2005" t="str">
        <f>IFERROR(__xludf.DUMMYFUNCTION("""COMPUTED_VALUE"""),"AC")</f>
        <v>AC</v>
      </c>
      <c r="H2249" s="2005">
        <f>IFERROR(__xludf.DUMMYFUNCTION("""COMPUTED_VALUE"""),79.99)</f>
        <v>79.99</v>
      </c>
      <c r="I2249" s="2005">
        <f>IFERROR(__xludf.DUMMYFUNCTION("""COMPUTED_VALUE"""),79.99)</f>
        <v>79.99</v>
      </c>
      <c r="BD2249" s="2006"/>
      <c r="LL2249" s="2007"/>
      <c r="LM2249" s="2007"/>
      <c r="MX2249" s="2007"/>
      <c r="ND2249" s="2007"/>
    </row>
    <row r="2250">
      <c r="A2250" s="2005">
        <f>IFERROR(__xludf.DUMMYFUNCTION("""COMPUTED_VALUE"""),1178275.0)</f>
        <v>1178275</v>
      </c>
      <c r="B2250" s="2005">
        <f>IFERROR(__xludf.DUMMYFUNCTION("""COMPUTED_VALUE"""),2201099.0)</f>
        <v>2201099</v>
      </c>
      <c r="C2250" s="2005" t="str">
        <f>IFERROR(__xludf.DUMMYFUNCTION("""COMPUTED_VALUE"""),"Découpeuse")</f>
        <v>Découpeuse</v>
      </c>
      <c r="D2250" s="2005" t="str">
        <f>IFERROR(__xludf.DUMMYFUNCTION("""COMPUTED_VALUE"""),"Easypress Zen Mini")</f>
        <v>Easypress Zen Mini</v>
      </c>
      <c r="E2250" s="2005" t="str">
        <f>IFERROR(__xludf.DUMMYFUNCTION("""COMPUTED_VALUE"""),"CRICUT")</f>
        <v>CRICUT</v>
      </c>
      <c r="F2250" s="2005" t="str">
        <f>IFERROR(__xludf.DUMMYFUNCTION("""COMPUTED_VALUE"""),"D")</f>
        <v>D</v>
      </c>
      <c r="G2250" s="2005" t="str">
        <f>IFERROR(__xludf.DUMMYFUNCTION("""COMPUTED_VALUE"""),"AC")</f>
        <v>AC</v>
      </c>
      <c r="H2250">
        <f>IFERROR(__xludf.DUMMYFUNCTION("""COMPUTED_VALUE"""),64.99)</f>
        <v>64.99</v>
      </c>
      <c r="I2250" s="2005">
        <f>IFERROR(__xludf.DUMMYFUNCTION("""COMPUTED_VALUE"""),64.99)</f>
        <v>64.99</v>
      </c>
      <c r="BD2250" s="2006"/>
      <c r="LL2250" s="2007"/>
      <c r="LM2250" s="2007"/>
      <c r="MX2250" s="2007"/>
      <c r="ND2250" s="2007"/>
    </row>
    <row r="2251">
      <c r="A2251" s="2005">
        <f>IFERROR(__xludf.DUMMYFUNCTION("""COMPUTED_VALUE"""),1178276.0)</f>
        <v>1178276</v>
      </c>
      <c r="B2251" s="2005">
        <f>IFERROR(__xludf.DUMMYFUNCTION("""COMPUTED_VALUE"""),2201099.0)</f>
        <v>2201099</v>
      </c>
      <c r="C2251" s="2005" t="str">
        <f>IFERROR(__xludf.DUMMYFUNCTION("""COMPUTED_VALUE"""),"Découpeuse")</f>
        <v>Découpeuse</v>
      </c>
      <c r="D2251" s="2005" t="str">
        <f>IFERROR(__xludf.DUMMYFUNCTION("""COMPUTED_VALUE"""),"EasyPress 3 - Moyenne 23x23")</f>
        <v>EasyPress 3 - Moyenne 23x23</v>
      </c>
      <c r="E2251" s="2005" t="str">
        <f>IFERROR(__xludf.DUMMYFUNCTION("""COMPUTED_VALUE"""),"CRICUT")</f>
        <v>CRICUT</v>
      </c>
      <c r="F2251" s="2005" t="str">
        <f>IFERROR(__xludf.DUMMYFUNCTION("""COMPUTED_VALUE"""),"H")</f>
        <v>H</v>
      </c>
      <c r="G2251" s="2005" t="str">
        <f>IFERROR(__xludf.DUMMYFUNCTION("""COMPUTED_VALUE"""),"AC")</f>
        <v>AC</v>
      </c>
      <c r="H2251">
        <f>IFERROR(__xludf.DUMMYFUNCTION("""COMPUTED_VALUE"""),199.99)</f>
        <v>199.99</v>
      </c>
      <c r="I2251">
        <f>IFERROR(__xludf.DUMMYFUNCTION("""COMPUTED_VALUE"""),179.99)</f>
        <v>179.99</v>
      </c>
      <c r="BD2251" s="2006"/>
      <c r="LL2251" s="2007"/>
      <c r="LM2251" s="2007"/>
      <c r="MX2251" s="2007"/>
      <c r="ND2251" s="2007"/>
    </row>
    <row r="2252">
      <c r="A2252" s="2005">
        <f>IFERROR(__xludf.DUMMYFUNCTION("""COMPUTED_VALUE"""),1178277.0)</f>
        <v>1178277</v>
      </c>
      <c r="B2252" s="2005">
        <f>IFERROR(__xludf.DUMMYFUNCTION("""COMPUTED_VALUE"""),2201099.0)</f>
        <v>2201099</v>
      </c>
      <c r="C2252" s="2005" t="str">
        <f>IFERROR(__xludf.DUMMYFUNCTION("""COMPUTED_VALUE"""),"Découpeuse")</f>
        <v>Découpeuse</v>
      </c>
      <c r="D2252" s="2005" t="str">
        <f>IFERROR(__xludf.DUMMYFUNCTION("""COMPUTED_VALUE"""),"Presse à casquettes")</f>
        <v>Presse à casquettes</v>
      </c>
      <c r="E2252" s="2005" t="str">
        <f>IFERROR(__xludf.DUMMYFUNCTION("""COMPUTED_VALUE"""),"CRICUT")</f>
        <v>CRICUT</v>
      </c>
      <c r="F2252" s="2005" t="str">
        <f>IFERROR(__xludf.DUMMYFUNCTION("""COMPUTED_VALUE"""),"H")</f>
        <v>H</v>
      </c>
      <c r="G2252" s="2005" t="str">
        <f>IFERROR(__xludf.DUMMYFUNCTION("""COMPUTED_VALUE"""),"AC")</f>
        <v>AC</v>
      </c>
      <c r="H2252">
        <f>IFERROR(__xludf.DUMMYFUNCTION("""COMPUTED_VALUE"""),159.99)</f>
        <v>159.99</v>
      </c>
      <c r="I2252">
        <f>IFERROR(__xludf.DUMMYFUNCTION("""COMPUTED_VALUE"""),119.99)</f>
        <v>119.99</v>
      </c>
      <c r="BD2252" s="2006"/>
      <c r="LL2252" s="2007"/>
      <c r="LM2252" s="2007"/>
      <c r="MX2252" s="2007"/>
      <c r="ND2252" s="2007"/>
    </row>
    <row r="2253">
      <c r="A2253" s="2005">
        <f>IFERROR(__xludf.DUMMYFUNCTION("""COMPUTED_VALUE"""),1178278.0)</f>
        <v>1178278</v>
      </c>
      <c r="B2253" s="2005">
        <f>IFERROR(__xludf.DUMMYFUNCTION("""COMPUTED_VALUE"""),2201099.0)</f>
        <v>2201099</v>
      </c>
      <c r="C2253" s="2005" t="str">
        <f>IFERROR(__xludf.DUMMYFUNCTION("""COMPUTED_VALUE"""),"Découpeuse")</f>
        <v>Découpeuse</v>
      </c>
      <c r="D2253" s="2005" t="str">
        <f>IFERROR(__xludf.DUMMYFUNCTION("""COMPUTED_VALUE"""),"Autopresse - Pro")</f>
        <v>Autopresse - Pro</v>
      </c>
      <c r="E2253" s="2005" t="str">
        <f>IFERROR(__xludf.DUMMYFUNCTION("""COMPUTED_VALUE"""),"CRICUT")</f>
        <v>CRICUT</v>
      </c>
      <c r="F2253" s="2005" t="str">
        <f>IFERROR(__xludf.DUMMYFUNCTION("""COMPUTED_VALUE"""),"H")</f>
        <v>H</v>
      </c>
      <c r="G2253" s="2005" t="str">
        <f>IFERROR(__xludf.DUMMYFUNCTION("""COMPUTED_VALUE"""),"AC")</f>
        <v>AC</v>
      </c>
      <c r="H2253" s="2005">
        <f>IFERROR(__xludf.DUMMYFUNCTION("""COMPUTED_VALUE"""),1099.99)</f>
        <v>1099.99</v>
      </c>
      <c r="I2253" s="2005">
        <f>IFERROR(__xludf.DUMMYFUNCTION("""COMPUTED_VALUE"""),1099.99)</f>
        <v>1099.99</v>
      </c>
      <c r="BD2253" s="2006"/>
      <c r="LL2253" s="2008"/>
      <c r="LM2253" s="2007"/>
      <c r="MX2253" s="2007"/>
      <c r="ND2253" s="2007"/>
    </row>
    <row r="2254">
      <c r="A2254" s="2005">
        <f>IFERROR(__xludf.DUMMYFUNCTION("""COMPUTED_VALUE"""),1178306.0)</f>
        <v>1178306</v>
      </c>
      <c r="B2254" s="2005">
        <f>IFERROR(__xludf.DUMMYFUNCTION("""COMPUTED_VALUE"""),2503005.0)</f>
        <v>2503005</v>
      </c>
      <c r="C2254" s="2005" t="str">
        <f>IFERROR(__xludf.DUMMYFUNCTION("""COMPUTED_VALUE"""),"Enceinte")</f>
        <v>Enceinte</v>
      </c>
      <c r="D2254" s="2005" t="str">
        <f>IFERROR(__xludf.DUMMYFUNCTION("""COMPUTED_VALUE"""),"Leviathan V2")</f>
        <v>Leviathan V2</v>
      </c>
      <c r="E2254" s="2005" t="str">
        <f>IFERROR(__xludf.DUMMYFUNCTION("""COMPUTED_VALUE"""),"RAZER")</f>
        <v>RAZER</v>
      </c>
      <c r="F2254" s="2005" t="str">
        <f>IFERROR(__xludf.DUMMYFUNCTION("""COMPUTED_VALUE"""),"H")</f>
        <v>H</v>
      </c>
      <c r="G2254" s="2005" t="str">
        <f>IFERROR(__xludf.DUMMYFUNCTION("""COMPUTED_VALUE"""),"NN")</f>
        <v>NN</v>
      </c>
      <c r="H2254" s="2005">
        <f>IFERROR(__xludf.DUMMYFUNCTION("""COMPUTED_VALUE"""),281.09)</f>
        <v>281.09</v>
      </c>
      <c r="I2254" s="2005">
        <f>IFERROR(__xludf.DUMMYFUNCTION("""COMPUTED_VALUE"""),281.09)</f>
        <v>281.09</v>
      </c>
      <c r="BD2254" s="2006"/>
      <c r="LL2254" s="2007"/>
      <c r="LM2254" s="2007"/>
      <c r="MX2254" s="2007"/>
      <c r="ND2254" s="2007"/>
    </row>
    <row r="2255">
      <c r="A2255" s="2005">
        <f>IFERROR(__xludf.DUMMYFUNCTION("""COMPUTED_VALUE"""),1178658.0)</f>
        <v>1178658</v>
      </c>
      <c r="B2255" s="2005">
        <f>IFERROR(__xludf.DUMMYFUNCTION("""COMPUTED_VALUE"""),2202005.0)</f>
        <v>2202005</v>
      </c>
      <c r="C2255" s="2005" t="str">
        <f>IFERROR(__xludf.DUMMYFUNCTION("""COMPUTED_VALUE"""),"Multi Jet d'enc")</f>
        <v>Multi Jet d'enc</v>
      </c>
      <c r="D2255" s="2005" t="str">
        <f>IFERROR(__xludf.DUMMYFUNCTION("""COMPUTED_VALUE"""),"Deskjet 2710e éligible Instant Ink")</f>
        <v>Deskjet 2710e éligible Instant Ink</v>
      </c>
      <c r="E2255" s="2005" t="str">
        <f>IFERROR(__xludf.DUMMYFUNCTION("""COMPUTED_VALUE"""),"HP")</f>
        <v>HP</v>
      </c>
      <c r="F2255" s="2005" t="str">
        <f>IFERROR(__xludf.DUMMYFUNCTION("""COMPUTED_VALUE"""),"E")</f>
        <v>E</v>
      </c>
      <c r="G2255" s="2005" t="str">
        <f>IFERROR(__xludf.DUMMYFUNCTION("""COMPUTED_VALUE"""),"NN")</f>
        <v>NN</v>
      </c>
      <c r="H2255">
        <f>IFERROR(__xludf.DUMMYFUNCTION("""COMPUTED_VALUE"""),59.99)</f>
        <v>59.99</v>
      </c>
      <c r="I2255">
        <f>IFERROR(__xludf.DUMMYFUNCTION("""COMPUTED_VALUE"""),59.99)</f>
        <v>59.99</v>
      </c>
      <c r="BD2255" s="2006"/>
      <c r="LL2255" s="2007"/>
      <c r="LM2255" s="2007"/>
      <c r="MX2255" s="2007"/>
      <c r="ND2255" s="2007"/>
    </row>
    <row r="2256">
      <c r="A2256" s="2005">
        <f>IFERROR(__xludf.DUMMYFUNCTION("""COMPUTED_VALUE"""),1178949.0)</f>
        <v>1178949</v>
      </c>
      <c r="B2256" s="2005">
        <f>IFERROR(__xludf.DUMMYFUNCTION("""COMPUTED_VALUE"""),2403010.0)</f>
        <v>2403010</v>
      </c>
      <c r="C2256" s="2005" t="str">
        <f>IFERROR(__xludf.DUMMYFUNCTION("""COMPUTED_VALUE"""),"Toner")</f>
        <v>Toner</v>
      </c>
      <c r="D2256" s="2005" t="str">
        <f>IFERROR(__xludf.DUMMYFUNCTION("""COMPUTED_VALUE"""),"142A Noir")</f>
        <v>142A Noir</v>
      </c>
      <c r="E2256" s="2005" t="str">
        <f>IFERROR(__xludf.DUMMYFUNCTION("""COMPUTED_VALUE"""),"HP")</f>
        <v>HP</v>
      </c>
      <c r="F2256" s="2005" t="str">
        <f>IFERROR(__xludf.DUMMYFUNCTION("""COMPUTED_VALUE"""),"C")</f>
        <v>C</v>
      </c>
      <c r="G2256" s="2005" t="str">
        <f>IFERROR(__xludf.DUMMYFUNCTION("""COMPUTED_VALUE"""),"AC")</f>
        <v>AC</v>
      </c>
      <c r="H2256" s="2005">
        <f>IFERROR(__xludf.DUMMYFUNCTION("""COMPUTED_VALUE"""),57.99)</f>
        <v>57.99</v>
      </c>
      <c r="I2256" s="2005">
        <f>IFERROR(__xludf.DUMMYFUNCTION("""COMPUTED_VALUE"""),57.99)</f>
        <v>57.99</v>
      </c>
      <c r="BD2256" s="2006"/>
      <c r="LL2256" s="2007"/>
      <c r="LM2256" s="2007"/>
      <c r="MX2256" s="2007"/>
      <c r="ND2256" s="2007"/>
    </row>
    <row r="2257">
      <c r="A2257" s="2005">
        <f>IFERROR(__xludf.DUMMYFUNCTION("""COMPUTED_VALUE"""),1179022.0)</f>
        <v>1179022</v>
      </c>
      <c r="B2257" s="2005">
        <f>IFERROR(__xludf.DUMMYFUNCTION("""COMPUTED_VALUE"""),2502010.0)</f>
        <v>2502010</v>
      </c>
      <c r="C2257" s="2005" t="str">
        <f>IFERROR(__xludf.DUMMYFUNCTION("""COMPUTED_VALUE"""),"Souris")</f>
        <v>Souris</v>
      </c>
      <c r="D2257" s="2005" t="str">
        <f>IFERROR(__xludf.DUMMYFUNCTION("""COMPUTED_VALUE"""),"MX Anywhere 3 + pochette incluse")</f>
        <v>MX Anywhere 3 + pochette incluse</v>
      </c>
      <c r="E2257" s="2005" t="str">
        <f>IFERROR(__xludf.DUMMYFUNCTION("""COMPUTED_VALUE"""),"LOGITECH")</f>
        <v>LOGITECH</v>
      </c>
      <c r="F2257" s="2005" t="str">
        <f>IFERROR(__xludf.DUMMYFUNCTION("""COMPUTED_VALUE"""),"C")</f>
        <v>C</v>
      </c>
      <c r="G2257" s="2005" t="str">
        <f>IFERROR(__xludf.DUMMYFUNCTION("""COMPUTED_VALUE"""),"FF")</f>
        <v>FF</v>
      </c>
      <c r="H2257" s="2005">
        <f>IFERROR(__xludf.DUMMYFUNCTION("""COMPUTED_VALUE"""),99.99)</f>
        <v>99.99</v>
      </c>
      <c r="I2257" s="2005">
        <f>IFERROR(__xludf.DUMMYFUNCTION("""COMPUTED_VALUE"""),99.99)</f>
        <v>99.99</v>
      </c>
      <c r="BD2257" s="2006"/>
      <c r="LL2257" s="2007"/>
      <c r="LM2257" s="2007"/>
      <c r="MX2257" s="2007"/>
      <c r="ND2257" s="2007"/>
    </row>
    <row r="2258">
      <c r="A2258" s="2005">
        <f>IFERROR(__xludf.DUMMYFUNCTION("""COMPUTED_VALUE"""),1179039.0)</f>
        <v>1179039</v>
      </c>
      <c r="B2258" s="2005">
        <f>IFERROR(__xludf.DUMMYFUNCTION("""COMPUTED_VALUE"""),1103010.0)</f>
        <v>1103010</v>
      </c>
      <c r="C2258" s="2005" t="str">
        <f>IFERROR(__xludf.DUMMYFUNCTION("""COMPUTED_VALUE"""),"Tél.")</f>
        <v>Tél.</v>
      </c>
      <c r="D2258" s="2005" t="str">
        <f>IFERROR(__xludf.DUMMYFUNCTION("""COMPUTED_VALUE"""),"AS690 Noir")</f>
        <v>AS690 Noir</v>
      </c>
      <c r="E2258" s="2005" t="str">
        <f>IFERROR(__xludf.DUMMYFUNCTION("""COMPUTED_VALUE"""),"GIGASET")</f>
        <v>GIGASET</v>
      </c>
      <c r="F2258" s="2005" t="str">
        <f>IFERROR(__xludf.DUMMYFUNCTION("""COMPUTED_VALUE"""),"W")</f>
        <v>W</v>
      </c>
      <c r="G2258" s="2005" t="str">
        <f>IFERROR(__xludf.DUMMYFUNCTION("""COMPUTED_VALUE"""),"AC")</f>
        <v>AC</v>
      </c>
      <c r="H2258" s="2005">
        <f>IFERROR(__xludf.DUMMYFUNCTION("""COMPUTED_VALUE"""),34.99)</f>
        <v>34.99</v>
      </c>
      <c r="I2258" s="2005">
        <f>IFERROR(__xludf.DUMMYFUNCTION("""COMPUTED_VALUE"""),26.24)</f>
        <v>26.24</v>
      </c>
      <c r="BD2258" s="2006"/>
      <c r="LL2258" s="2007"/>
      <c r="LM2258" s="2007"/>
      <c r="MX2258" s="2007"/>
      <c r="ND2258" s="2007"/>
    </row>
    <row r="2259">
      <c r="A2259" s="2005">
        <f>IFERROR(__xludf.DUMMYFUNCTION("""COMPUTED_VALUE"""),1179040.0)</f>
        <v>1179040</v>
      </c>
      <c r="B2259" s="2005">
        <f>IFERROR(__xludf.DUMMYFUNCTION("""COMPUTED_VALUE"""),1103010.0)</f>
        <v>1103010</v>
      </c>
      <c r="C2259" s="2005" t="str">
        <f>IFERROR(__xludf.DUMMYFUNCTION("""COMPUTED_VALUE"""),"Tél.")</f>
        <v>Tél.</v>
      </c>
      <c r="D2259" s="2005" t="str">
        <f>IFERROR(__xludf.DUMMYFUNCTION("""COMPUTED_VALUE"""),"AS690A Noir")</f>
        <v>AS690A Noir</v>
      </c>
      <c r="E2259" s="2005" t="str">
        <f>IFERROR(__xludf.DUMMYFUNCTION("""COMPUTED_VALUE"""),"GIGASET")</f>
        <v>GIGASET</v>
      </c>
      <c r="F2259" s="2005" t="str">
        <f>IFERROR(__xludf.DUMMYFUNCTION("""COMPUTED_VALUE"""),"W")</f>
        <v>W</v>
      </c>
      <c r="G2259" s="2005" t="str">
        <f>IFERROR(__xludf.DUMMYFUNCTION("""COMPUTED_VALUE"""),"AC")</f>
        <v>AC</v>
      </c>
      <c r="H2259" s="2005">
        <f>IFERROR(__xludf.DUMMYFUNCTION("""COMPUTED_VALUE"""),45.99)</f>
        <v>45.99</v>
      </c>
      <c r="I2259" s="2005">
        <f>IFERROR(__xludf.DUMMYFUNCTION("""COMPUTED_VALUE"""),44.99)</f>
        <v>44.99</v>
      </c>
      <c r="BD2259" s="2006"/>
      <c r="LL2259" s="2007"/>
      <c r="LM2259" s="2007"/>
      <c r="MX2259" s="2007"/>
      <c r="ND2259" s="2007"/>
    </row>
    <row r="2260">
      <c r="A2260" s="2005">
        <f>IFERROR(__xludf.DUMMYFUNCTION("""COMPUTED_VALUE"""),1179081.0)</f>
        <v>1179081</v>
      </c>
      <c r="B2260" s="2005">
        <f>IFERROR(__xludf.DUMMYFUNCTION("""COMPUTED_VALUE"""),1103010.0)</f>
        <v>1103010</v>
      </c>
      <c r="C2260" s="2005" t="str">
        <f>IFERROR(__xludf.DUMMYFUNCTION("""COMPUTED_VALUE"""),"Tél.")</f>
        <v>Tél.</v>
      </c>
      <c r="D2260" s="2005" t="str">
        <f>IFERROR(__xludf.DUMMYFUNCTION("""COMPUTED_VALUE"""),"AS690 Blanc")</f>
        <v>AS690 Blanc</v>
      </c>
      <c r="E2260" s="2005" t="str">
        <f>IFERROR(__xludf.DUMMYFUNCTION("""COMPUTED_VALUE"""),"GIGASET")</f>
        <v>GIGASET</v>
      </c>
      <c r="F2260" s="2005" t="str">
        <f>IFERROR(__xludf.DUMMYFUNCTION("""COMPUTED_VALUE"""),"W")</f>
        <v>W</v>
      </c>
      <c r="G2260" s="2005" t="str">
        <f>IFERROR(__xludf.DUMMYFUNCTION("""COMPUTED_VALUE"""),"AC")</f>
        <v>AC</v>
      </c>
      <c r="H2260" s="2005">
        <f>IFERROR(__xludf.DUMMYFUNCTION("""COMPUTED_VALUE"""),34.99)</f>
        <v>34.99</v>
      </c>
      <c r="I2260">
        <f>IFERROR(__xludf.DUMMYFUNCTION("""COMPUTED_VALUE"""),26.24)</f>
        <v>26.24</v>
      </c>
      <c r="BD2260" s="2006"/>
      <c r="LL2260" s="2007"/>
      <c r="LM2260" s="2007"/>
      <c r="MX2260" s="2007"/>
      <c r="ND2260" s="2007"/>
    </row>
    <row r="2261">
      <c r="A2261" s="2005">
        <f>IFERROR(__xludf.DUMMYFUNCTION("""COMPUTED_VALUE"""),1179082.0)</f>
        <v>1179082</v>
      </c>
      <c r="B2261" s="2005">
        <f>IFERROR(__xludf.DUMMYFUNCTION("""COMPUTED_VALUE"""),1103010.0)</f>
        <v>1103010</v>
      </c>
      <c r="C2261" s="2005" t="str">
        <f>IFERROR(__xludf.DUMMYFUNCTION("""COMPUTED_VALUE"""),"Tél.")</f>
        <v>Tél.</v>
      </c>
      <c r="D2261" s="2005" t="str">
        <f>IFERROR(__xludf.DUMMYFUNCTION("""COMPUTED_VALUE"""),"AS690A Blanc")</f>
        <v>AS690A Blanc</v>
      </c>
      <c r="E2261" s="2005" t="str">
        <f>IFERROR(__xludf.DUMMYFUNCTION("""COMPUTED_VALUE"""),"GIGASET")</f>
        <v>GIGASET</v>
      </c>
      <c r="F2261" s="2005" t="str">
        <f>IFERROR(__xludf.DUMMYFUNCTION("""COMPUTED_VALUE"""),"W")</f>
        <v>W</v>
      </c>
      <c r="G2261" s="2005" t="str">
        <f>IFERROR(__xludf.DUMMYFUNCTION("""COMPUTED_VALUE"""),"AC")</f>
        <v>AC</v>
      </c>
      <c r="H2261" s="2005">
        <f>IFERROR(__xludf.DUMMYFUNCTION("""COMPUTED_VALUE"""),45.99)</f>
        <v>45.99</v>
      </c>
      <c r="I2261" s="2005">
        <f>IFERROR(__xludf.DUMMYFUNCTION("""COMPUTED_VALUE"""),45.99)</f>
        <v>45.99</v>
      </c>
      <c r="BD2261" s="2006"/>
      <c r="LL2261" s="2007"/>
      <c r="LM2261" s="2007"/>
      <c r="MX2261" s="2007"/>
      <c r="ND2261" s="2007"/>
    </row>
    <row r="2262">
      <c r="A2262" s="2005">
        <f>IFERROR(__xludf.DUMMYFUNCTION("""COMPUTED_VALUE"""),1179083.0)</f>
        <v>1179083</v>
      </c>
      <c r="B2262" s="2005">
        <f>IFERROR(__xludf.DUMMYFUNCTION("""COMPUTED_VALUE"""),1103010.0)</f>
        <v>1103010</v>
      </c>
      <c r="C2262" s="2005" t="str">
        <f>IFERROR(__xludf.DUMMYFUNCTION("""COMPUTED_VALUE"""),"Pack")</f>
        <v>Pack</v>
      </c>
      <c r="D2262" s="2005" t="str">
        <f>IFERROR(__xludf.DUMMYFUNCTION("""COMPUTED_VALUE"""),"AS690A Quattro Noir")</f>
        <v>AS690A Quattro Noir</v>
      </c>
      <c r="E2262" s="2005" t="str">
        <f>IFERROR(__xludf.DUMMYFUNCTION("""COMPUTED_VALUE"""),"GIGASET")</f>
        <v>GIGASET</v>
      </c>
      <c r="F2262" s="2005" t="str">
        <f>IFERROR(__xludf.DUMMYFUNCTION("""COMPUTED_VALUE"""),"W")</f>
        <v>W</v>
      </c>
      <c r="G2262" s="2005" t="str">
        <f>IFERROR(__xludf.DUMMYFUNCTION("""COMPUTED_VALUE"""),"NN")</f>
        <v>NN</v>
      </c>
      <c r="H2262">
        <f>IFERROR(__xludf.DUMMYFUNCTION("""COMPUTED_VALUE"""),99.99)</f>
        <v>99.99</v>
      </c>
      <c r="I2262">
        <f>IFERROR(__xludf.DUMMYFUNCTION("""COMPUTED_VALUE"""),99.99)</f>
        <v>99.99</v>
      </c>
      <c r="BD2262" s="2006"/>
      <c r="LL2262" s="2007"/>
      <c r="LM2262" s="2007"/>
      <c r="MX2262" s="2007"/>
      <c r="ND2262" s="2007"/>
    </row>
    <row r="2263">
      <c r="A2263" s="2005">
        <f>IFERROR(__xludf.DUMMYFUNCTION("""COMPUTED_VALUE"""),1179088.0)</f>
        <v>1179088</v>
      </c>
      <c r="B2263" s="2005">
        <f>IFERROR(__xludf.DUMMYFUNCTION("""COMPUTED_VALUE"""),2202010.0)</f>
        <v>2202010</v>
      </c>
      <c r="C2263" s="2005" t="str">
        <f>IFERROR(__xludf.DUMMYFUNCTION("""COMPUTED_VALUE"""),"Multi Jet d'enc")</f>
        <v>Multi Jet d'enc</v>
      </c>
      <c r="D2263" s="2005" t="str">
        <f>IFERROR(__xludf.DUMMYFUNCTION("""COMPUTED_VALUE"""),"Smart Tank Plus 7006")</f>
        <v>Smart Tank Plus 7006</v>
      </c>
      <c r="E2263" s="2005" t="str">
        <f>IFERROR(__xludf.DUMMYFUNCTION("""COMPUTED_VALUE"""),"HP")</f>
        <v>HP</v>
      </c>
      <c r="F2263" s="2005" t="str">
        <f>IFERROR(__xludf.DUMMYFUNCTION("""COMPUTED_VALUE"""),"H")</f>
        <v>H</v>
      </c>
      <c r="G2263" s="2005" t="str">
        <f>IFERROR(__xludf.DUMMYFUNCTION("""COMPUTED_VALUE"""),"AC")</f>
        <v>AC</v>
      </c>
      <c r="H2263" s="2005">
        <f>IFERROR(__xludf.DUMMYFUNCTION("""COMPUTED_VALUE"""),329.99)</f>
        <v>329.99</v>
      </c>
      <c r="I2263" s="2005">
        <f>IFERROR(__xludf.DUMMYFUNCTION("""COMPUTED_VALUE"""),329.0)</f>
        <v>329</v>
      </c>
      <c r="BD2263" s="2006"/>
      <c r="LL2263" s="2007"/>
      <c r="LM2263" s="2007"/>
      <c r="MX2263" s="2007"/>
      <c r="ND2263" s="2007"/>
    </row>
    <row r="2264">
      <c r="A2264" s="2005">
        <f>IFERROR(__xludf.DUMMYFUNCTION("""COMPUTED_VALUE"""),1179163.0)</f>
        <v>1179163</v>
      </c>
      <c r="B2264" s="2005">
        <f>IFERROR(__xludf.DUMMYFUNCTION("""COMPUTED_VALUE"""),2502040.0)</f>
        <v>2502040</v>
      </c>
      <c r="C2264" s="2005" t="str">
        <f>IFERROR(__xludf.DUMMYFUNCTION("""COMPUTED_VALUE"""),"Clé")</f>
        <v>Clé</v>
      </c>
      <c r="D2264" s="2005" t="str">
        <f>IFERROR(__xludf.DUMMYFUNCTION("""COMPUTED_VALUE"""),"4K Wireless Display Adapter")</f>
        <v>4K Wireless Display Adapter</v>
      </c>
      <c r="E2264" s="2005" t="str">
        <f>IFERROR(__xludf.DUMMYFUNCTION("""COMPUTED_VALUE"""),"MICROSOFT")</f>
        <v>MICROSOFT</v>
      </c>
      <c r="F2264" s="2005" t="str">
        <f>IFERROR(__xludf.DUMMYFUNCTION("""COMPUTED_VALUE"""),"W")</f>
        <v>W</v>
      </c>
      <c r="G2264" s="2005" t="str">
        <f>IFERROR(__xludf.DUMMYFUNCTION("""COMPUTED_VALUE"""),"NN")</f>
        <v>NN</v>
      </c>
      <c r="H2264" s="2005">
        <f>IFERROR(__xludf.DUMMYFUNCTION("""COMPUTED_VALUE"""),79.99)</f>
        <v>79.99</v>
      </c>
      <c r="I2264" s="2005">
        <f>IFERROR(__xludf.DUMMYFUNCTION("""COMPUTED_VALUE"""),79.99)</f>
        <v>79.99</v>
      </c>
      <c r="BD2264" s="2006"/>
      <c r="LL2264" s="2007"/>
      <c r="LM2264" s="2007"/>
      <c r="MX2264" s="2007"/>
      <c r="ND2264" s="2007"/>
    </row>
    <row r="2265">
      <c r="A2265" s="2005">
        <f>IFERROR(__xludf.DUMMYFUNCTION("""COMPUTED_VALUE"""),1179188.0)</f>
        <v>1179188</v>
      </c>
      <c r="B2265" s="2005">
        <f>IFERROR(__xludf.DUMMYFUNCTION("""COMPUTED_VALUE"""),2403006.0)</f>
        <v>2403006</v>
      </c>
      <c r="C2265" s="2005" t="str">
        <f>IFERROR(__xludf.DUMMYFUNCTION("""COMPUTED_VALUE"""),"Film")</f>
        <v>Film</v>
      </c>
      <c r="D2265" s="2005" t="str">
        <f>IFERROR(__xludf.DUMMYFUNCTION("""COMPUTED_VALUE"""),"Kit Smart Vinyl - 9 conso")</f>
        <v>Kit Smart Vinyl - 9 conso</v>
      </c>
      <c r="E2265" s="2005" t="str">
        <f>IFERROR(__xludf.DUMMYFUNCTION("""COMPUTED_VALUE"""),"CRICUT")</f>
        <v>CRICUT</v>
      </c>
      <c r="F2265" s="2005" t="str">
        <f>IFERROR(__xludf.DUMMYFUNCTION("""COMPUTED_VALUE"""),"H")</f>
        <v>H</v>
      </c>
      <c r="G2265" s="2005" t="str">
        <f>IFERROR(__xludf.DUMMYFUNCTION("""COMPUTED_VALUE"""),"NN")</f>
        <v>NN</v>
      </c>
      <c r="H2265" s="2005">
        <f>IFERROR(__xludf.DUMMYFUNCTION("""COMPUTED_VALUE"""),104.99)</f>
        <v>104.99</v>
      </c>
      <c r="I2265" s="2005">
        <f>IFERROR(__xludf.DUMMYFUNCTION("""COMPUTED_VALUE"""),104.99)</f>
        <v>104.99</v>
      </c>
      <c r="BD2265" s="2006"/>
      <c r="LL2265" s="2007"/>
      <c r="LM2265" s="2007"/>
      <c r="MX2265" s="2007"/>
      <c r="ND2265" s="2007"/>
    </row>
    <row r="2266">
      <c r="A2266" s="2005">
        <f>IFERROR(__xludf.DUMMYFUNCTION("""COMPUTED_VALUE"""),1179591.0)</f>
        <v>1179591</v>
      </c>
      <c r="B2266" s="2005">
        <f>IFERROR(__xludf.DUMMYFUNCTION("""COMPUTED_VALUE"""),2209805.0)</f>
        <v>2209805</v>
      </c>
      <c r="C2266" s="2005" t="str">
        <f>IFERROR(__xludf.DUMMYFUNCTION("""COMPUTED_VALUE"""),"Lot")</f>
        <v>Lot</v>
      </c>
      <c r="D2266" s="2005" t="str">
        <f>IFERROR(__xludf.DUMMYFUNCTION("""COMPUTED_VALUE"""),"MFC-1910W + cartouche TN1050")</f>
        <v>MFC-1910W + cartouche TN1050</v>
      </c>
      <c r="E2266" s="2005" t="str">
        <f>IFERROR(__xludf.DUMMYFUNCTION("""COMPUTED_VALUE"""),"BROTHER")</f>
        <v>BROTHER</v>
      </c>
      <c r="F2266" s="2005" t="str">
        <f>IFERROR(__xludf.DUMMYFUNCTION("""COMPUTED_VALUE"""),"H")</f>
        <v>H</v>
      </c>
      <c r="G2266" s="2005" t="str">
        <f>IFERROR(__xludf.DUMMYFUNCTION("""COMPUTED_VALUE"""),"AC")</f>
        <v>AC</v>
      </c>
      <c r="H2266" s="2005">
        <f>IFERROR(__xludf.DUMMYFUNCTION("""COMPUTED_VALUE"""),267.8)</f>
        <v>267.8</v>
      </c>
      <c r="I2266" s="2005">
        <f>IFERROR(__xludf.DUMMYFUNCTION("""COMPUTED_VALUE"""),267.8)</f>
        <v>267.8</v>
      </c>
      <c r="BD2266" s="2006"/>
      <c r="LL2266" s="2007"/>
      <c r="LM2266" s="2007"/>
      <c r="MX2266" s="2007"/>
      <c r="ND2266" s="2007"/>
    </row>
    <row r="2267">
      <c r="A2267" s="2005">
        <f>IFERROR(__xludf.DUMMYFUNCTION("""COMPUTED_VALUE"""),1179592.0)</f>
        <v>1179592</v>
      </c>
      <c r="B2267" s="2005">
        <f>IFERROR(__xludf.DUMMYFUNCTION("""COMPUTED_VALUE"""),2209805.0)</f>
        <v>2209805</v>
      </c>
      <c r="C2267" s="2005" t="str">
        <f>IFERROR(__xludf.DUMMYFUNCTION("""COMPUTED_VALUE"""),"Lot")</f>
        <v>Lot</v>
      </c>
      <c r="D2267" s="2005" t="str">
        <f>IFERROR(__xludf.DUMMYFUNCTION("""COMPUTED_VALUE"""),"HL-1212W + cartouche TN1050")</f>
        <v>HL-1212W + cartouche TN1050</v>
      </c>
      <c r="E2267" s="2005" t="str">
        <f>IFERROR(__xludf.DUMMYFUNCTION("""COMPUTED_VALUE"""),"BROTHER")</f>
        <v>BROTHER</v>
      </c>
      <c r="F2267" s="2005" t="str">
        <f>IFERROR(__xludf.DUMMYFUNCTION("""COMPUTED_VALUE"""),"H")</f>
        <v>H</v>
      </c>
      <c r="G2267" s="2005" t="str">
        <f>IFERROR(__xludf.DUMMYFUNCTION("""COMPUTED_VALUE"""),"AC")</f>
        <v>AC</v>
      </c>
      <c r="H2267" s="2005">
        <f>IFERROR(__xludf.DUMMYFUNCTION("""COMPUTED_VALUE"""),154.99)</f>
        <v>154.99</v>
      </c>
      <c r="I2267" s="2005">
        <f>IFERROR(__xludf.DUMMYFUNCTION("""COMPUTED_VALUE"""),154.99)</f>
        <v>154.99</v>
      </c>
      <c r="BD2267" s="2006"/>
      <c r="LL2267" s="2007"/>
      <c r="LM2267" s="2007"/>
      <c r="MX2267" s="2007"/>
      <c r="ND2267" s="2007"/>
    </row>
    <row r="2268">
      <c r="A2268" s="2005">
        <f>IFERROR(__xludf.DUMMYFUNCTION("""COMPUTED_VALUE"""),1179593.0)</f>
        <v>1179593</v>
      </c>
      <c r="B2268" s="2005">
        <f>IFERROR(__xludf.DUMMYFUNCTION("""COMPUTED_VALUE"""),2209805.0)</f>
        <v>2209805</v>
      </c>
      <c r="C2268" s="2005" t="str">
        <f>IFERROR(__xludf.DUMMYFUNCTION("""COMPUTED_VALUE"""),"Lot")</f>
        <v>Lot</v>
      </c>
      <c r="D2268" s="2005" t="str">
        <f>IFERROR(__xludf.DUMMYFUNCTION("""COMPUTED_VALUE"""),"HL-L5200DW + cartouche TN-3430")</f>
        <v>HL-L5200DW + cartouche TN-3430</v>
      </c>
      <c r="E2268" s="2005" t="str">
        <f>IFERROR(__xludf.DUMMYFUNCTION("""COMPUTED_VALUE"""),"BROTHER")</f>
        <v>BROTHER</v>
      </c>
      <c r="F2268" s="2005" t="str">
        <f>IFERROR(__xludf.DUMMYFUNCTION("""COMPUTED_VALUE"""),"W")</f>
        <v>W</v>
      </c>
      <c r="G2268" s="2005" t="str">
        <f>IFERROR(__xludf.DUMMYFUNCTION("""COMPUTED_VALUE"""),"NN")</f>
        <v>NN</v>
      </c>
      <c r="H2268" s="2005">
        <f>IFERROR(__xludf.DUMMYFUNCTION("""COMPUTED_VALUE"""),383.78)</f>
        <v>383.78</v>
      </c>
      <c r="I2268" s="2005">
        <f>IFERROR(__xludf.DUMMYFUNCTION("""COMPUTED_VALUE"""),383.78)</f>
        <v>383.78</v>
      </c>
      <c r="BD2268" s="2006"/>
      <c r="LL2268" s="2007"/>
      <c r="LM2268" s="2007"/>
      <c r="MX2268" s="2007"/>
      <c r="ND2268" s="2007"/>
    </row>
    <row r="2269">
      <c r="A2269" s="2005">
        <f>IFERROR(__xludf.DUMMYFUNCTION("""COMPUTED_VALUE"""),1179594.0)</f>
        <v>1179594</v>
      </c>
      <c r="B2269" s="2005">
        <f>IFERROR(__xludf.DUMMYFUNCTION("""COMPUTED_VALUE"""),2209805.0)</f>
        <v>2209805</v>
      </c>
      <c r="C2269" s="2005" t="str">
        <f>IFERROR(__xludf.DUMMYFUNCTION("""COMPUTED_VALUE"""),"Lot")</f>
        <v>Lot</v>
      </c>
      <c r="D2269" s="2005" t="str">
        <f>IFERROR(__xludf.DUMMYFUNCTION("""COMPUTED_VALUE"""),"HL-L5200DW + TN-3480")</f>
        <v>HL-L5200DW + TN-3480</v>
      </c>
      <c r="E2269" s="2005" t="str">
        <f>IFERROR(__xludf.DUMMYFUNCTION("""COMPUTED_VALUE"""),"BROTHER")</f>
        <v>BROTHER</v>
      </c>
      <c r="F2269" s="2005" t="str">
        <f>IFERROR(__xludf.DUMMYFUNCTION("""COMPUTED_VALUE"""),"W")</f>
        <v>W</v>
      </c>
      <c r="G2269" s="2005" t="str">
        <f>IFERROR(__xludf.DUMMYFUNCTION("""COMPUTED_VALUE"""),"NN")</f>
        <v>NN</v>
      </c>
      <c r="H2269" s="2005">
        <f>IFERROR(__xludf.DUMMYFUNCTION("""COMPUTED_VALUE"""),413.99)</f>
        <v>413.99</v>
      </c>
      <c r="I2269" s="2005">
        <f>IFERROR(__xludf.DUMMYFUNCTION("""COMPUTED_VALUE"""),413.99)</f>
        <v>413.99</v>
      </c>
      <c r="BD2269" s="2006"/>
      <c r="LL2269" s="2007"/>
      <c r="LM2269" s="2007"/>
      <c r="MX2269" s="2007"/>
      <c r="ND2269" s="2007"/>
    </row>
    <row r="2270">
      <c r="A2270" s="2005">
        <f>IFERROR(__xludf.DUMMYFUNCTION("""COMPUTED_VALUE"""),1179595.0)</f>
        <v>1179595</v>
      </c>
      <c r="B2270" s="2005">
        <f>IFERROR(__xludf.DUMMYFUNCTION("""COMPUTED_VALUE"""),2209805.0)</f>
        <v>2209805</v>
      </c>
      <c r="C2270" s="2005" t="str">
        <f>IFERROR(__xludf.DUMMYFUNCTION("""COMPUTED_VALUE"""),"Lot")</f>
        <v>Lot</v>
      </c>
      <c r="D2270" s="2005" t="str">
        <f>IFERROR(__xludf.DUMMYFUNCTION("""COMPUTED_VALUE"""),"MFC-L5750DW + cartouche TN-3430")</f>
        <v>MFC-L5750DW + cartouche TN-3430</v>
      </c>
      <c r="E2270" s="2005" t="str">
        <f>IFERROR(__xludf.DUMMYFUNCTION("""COMPUTED_VALUE"""),"BROTHER")</f>
        <v>BROTHER</v>
      </c>
      <c r="F2270" s="2005" t="str">
        <f>IFERROR(__xludf.DUMMYFUNCTION("""COMPUTED_VALUE"""),"H")</f>
        <v>H</v>
      </c>
      <c r="G2270" s="2005" t="str">
        <f>IFERROR(__xludf.DUMMYFUNCTION("""COMPUTED_VALUE"""),"NN")</f>
        <v>NN</v>
      </c>
      <c r="H2270" s="2005">
        <f>IFERROR(__xludf.DUMMYFUNCTION("""COMPUTED_VALUE"""),618.99)</f>
        <v>618.99</v>
      </c>
      <c r="I2270" s="2005">
        <f>IFERROR(__xludf.DUMMYFUNCTION("""COMPUTED_VALUE"""),618.99)</f>
        <v>618.99</v>
      </c>
      <c r="BD2270" s="2006"/>
      <c r="LL2270" s="2007"/>
      <c r="LM2270" s="2007"/>
      <c r="MX2270" s="2007"/>
      <c r="ND2270" s="2007"/>
    </row>
    <row r="2271">
      <c r="A2271" s="2005">
        <f>IFERROR(__xludf.DUMMYFUNCTION("""COMPUTED_VALUE"""),1179596.0)</f>
        <v>1179596</v>
      </c>
      <c r="B2271" s="2005">
        <f>IFERROR(__xludf.DUMMYFUNCTION("""COMPUTED_VALUE"""),2209805.0)</f>
        <v>2209805</v>
      </c>
      <c r="C2271" s="2005" t="str">
        <f>IFERROR(__xludf.DUMMYFUNCTION("""COMPUTED_VALUE"""),"Lot")</f>
        <v>Lot</v>
      </c>
      <c r="D2271" s="2005" t="str">
        <f>IFERROR(__xludf.DUMMYFUNCTION("""COMPUTED_VALUE"""),"MFC-L5750DW + TN-3486")</f>
        <v>MFC-L5750DW + TN-3486</v>
      </c>
      <c r="E2271" s="2005" t="str">
        <f>IFERROR(__xludf.DUMMYFUNCTION("""COMPUTED_VALUE"""),"BROTHER")</f>
        <v>BROTHER</v>
      </c>
      <c r="F2271" s="2005" t="str">
        <f>IFERROR(__xludf.DUMMYFUNCTION("""COMPUTED_VALUE"""),"H")</f>
        <v>H</v>
      </c>
      <c r="G2271" s="2005" t="str">
        <f>IFERROR(__xludf.DUMMYFUNCTION("""COMPUTED_VALUE"""),"NN")</f>
        <v>NN</v>
      </c>
      <c r="H2271" s="2005">
        <f>IFERROR(__xludf.DUMMYFUNCTION("""COMPUTED_VALUE"""),824.58)</f>
        <v>824.58</v>
      </c>
      <c r="I2271" s="2005">
        <f>IFERROR(__xludf.DUMMYFUNCTION("""COMPUTED_VALUE"""),824.58)</f>
        <v>824.58</v>
      </c>
      <c r="BD2271" s="2006"/>
      <c r="LL2271" s="2007"/>
      <c r="LM2271" s="2007"/>
      <c r="MX2271" s="2007"/>
      <c r="ND2271" s="2007"/>
    </row>
    <row r="2272">
      <c r="A2272" s="2005">
        <f>IFERROR(__xludf.DUMMYFUNCTION("""COMPUTED_VALUE"""),1179597.0)</f>
        <v>1179597</v>
      </c>
      <c r="B2272" s="2005">
        <f>IFERROR(__xludf.DUMMYFUNCTION("""COMPUTED_VALUE"""),2209805.0)</f>
        <v>2209805</v>
      </c>
      <c r="C2272" s="2005" t="str">
        <f>IFERROR(__xludf.DUMMYFUNCTION("""COMPUTED_VALUE"""),"Lot")</f>
        <v>Lot</v>
      </c>
      <c r="D2272" s="2005" t="str">
        <f>IFERROR(__xludf.DUMMYFUNCTION("""COMPUTED_VALUE"""),"MFC-J5730DW + cartouche LC3219 Noire XL")</f>
        <v>MFC-J5730DW + cartouche LC3219 Noire XL</v>
      </c>
      <c r="E2272" s="2005" t="str">
        <f>IFERROR(__xludf.DUMMYFUNCTION("""COMPUTED_VALUE"""),"BROTHER")</f>
        <v>BROTHER</v>
      </c>
      <c r="F2272" s="2005" t="str">
        <f>IFERROR(__xludf.DUMMYFUNCTION("""COMPUTED_VALUE"""),"H")</f>
        <v>H</v>
      </c>
      <c r="G2272" s="2005" t="str">
        <f>IFERROR(__xludf.DUMMYFUNCTION("""COMPUTED_VALUE"""),"NN")</f>
        <v>NN</v>
      </c>
      <c r="H2272" s="2005">
        <f>IFERROR(__xludf.DUMMYFUNCTION("""COMPUTED_VALUE"""),297.99)</f>
        <v>297.99</v>
      </c>
      <c r="I2272" s="2005">
        <f>IFERROR(__xludf.DUMMYFUNCTION("""COMPUTED_VALUE"""),297.99)</f>
        <v>297.99</v>
      </c>
      <c r="BD2272" s="2006"/>
      <c r="LL2272" s="2007"/>
      <c r="LM2272" s="2007"/>
      <c r="MX2272" s="2007"/>
      <c r="ND2272" s="2007"/>
    </row>
    <row r="2273">
      <c r="A2273" s="2005">
        <f>IFERROR(__xludf.DUMMYFUNCTION("""COMPUTED_VALUE"""),1179895.0)</f>
        <v>1179895</v>
      </c>
      <c r="B2273" s="2005">
        <f>IFERROR(__xludf.DUMMYFUNCTION("""COMPUTED_VALUE"""),2202010.0)</f>
        <v>2202010</v>
      </c>
      <c r="C2273" s="2005" t="str">
        <f>IFERROR(__xludf.DUMMYFUNCTION("""COMPUTED_VALUE"""),"Multi Jet d'enc")</f>
        <v>Multi Jet d'enc</v>
      </c>
      <c r="D2273" s="2005" t="str">
        <f>IFERROR(__xludf.DUMMYFUNCTION("""COMPUTED_VALUE"""),"smart MFC-J6940DW")</f>
        <v>smart MFC-J6940DW</v>
      </c>
      <c r="E2273" s="2005" t="str">
        <f>IFERROR(__xludf.DUMMYFUNCTION("""COMPUTED_VALUE"""),"BROTHER")</f>
        <v>BROTHER</v>
      </c>
      <c r="F2273" s="2005" t="str">
        <f>IFERROR(__xludf.DUMMYFUNCTION("""COMPUTED_VALUE"""),"H")</f>
        <v>H</v>
      </c>
      <c r="G2273" s="2005" t="str">
        <f>IFERROR(__xludf.DUMMYFUNCTION("""COMPUTED_VALUE"""),"AC")</f>
        <v>AC</v>
      </c>
      <c r="H2273" s="2005">
        <f>IFERROR(__xludf.DUMMYFUNCTION("""COMPUTED_VALUE"""),454.8)</f>
        <v>454.8</v>
      </c>
      <c r="I2273" s="2005">
        <f>IFERROR(__xludf.DUMMYFUNCTION("""COMPUTED_VALUE"""),454.8)</f>
        <v>454.8</v>
      </c>
      <c r="BD2273" s="2006"/>
      <c r="LL2273" s="2007"/>
      <c r="LM2273" s="2007"/>
      <c r="MX2273" s="2007"/>
      <c r="ND2273" s="2007"/>
    </row>
    <row r="2274">
      <c r="A2274" s="2005">
        <f>IFERROR(__xludf.DUMMYFUNCTION("""COMPUTED_VALUE"""),1179896.0)</f>
        <v>1179896</v>
      </c>
      <c r="B2274" s="2005">
        <f>IFERROR(__xludf.DUMMYFUNCTION("""COMPUTED_VALUE"""),2202010.0)</f>
        <v>2202010</v>
      </c>
      <c r="C2274" s="2005" t="str">
        <f>IFERROR(__xludf.DUMMYFUNCTION("""COMPUTED_VALUE"""),"Multi Jet d'enc")</f>
        <v>Multi Jet d'enc</v>
      </c>
      <c r="D2274" s="2005" t="str">
        <f>IFERROR(__xludf.DUMMYFUNCTION("""COMPUTED_VALUE"""),"smart MFC-J5740DW")</f>
        <v>smart MFC-J5740DW</v>
      </c>
      <c r="E2274" s="2005" t="str">
        <f>IFERROR(__xludf.DUMMYFUNCTION("""COMPUTED_VALUE"""),"BROTHER")</f>
        <v>BROTHER</v>
      </c>
      <c r="F2274" s="2005" t="str">
        <f>IFERROR(__xludf.DUMMYFUNCTION("""COMPUTED_VALUE"""),"W")</f>
        <v>W</v>
      </c>
      <c r="G2274" s="2005" t="str">
        <f>IFERROR(__xludf.DUMMYFUNCTION("""COMPUTED_VALUE"""),"AC")</f>
        <v>AC</v>
      </c>
      <c r="H2274" s="2005">
        <f>IFERROR(__xludf.DUMMYFUNCTION("""COMPUTED_VALUE"""),370.8)</f>
        <v>370.8</v>
      </c>
      <c r="I2274" s="2005">
        <f>IFERROR(__xludf.DUMMYFUNCTION("""COMPUTED_VALUE"""),299.95)</f>
        <v>299.95</v>
      </c>
      <c r="BD2274" s="2006"/>
      <c r="LL2274" s="2008"/>
      <c r="LM2274" s="2007"/>
      <c r="MX2274" s="2007"/>
      <c r="ND2274" s="2007"/>
    </row>
    <row r="2275">
      <c r="A2275" s="2005">
        <f>IFERROR(__xludf.DUMMYFUNCTION("""COMPUTED_VALUE"""),1179897.0)</f>
        <v>1179897</v>
      </c>
      <c r="B2275" s="2005">
        <f>IFERROR(__xludf.DUMMYFUNCTION("""COMPUTED_VALUE"""),2202010.0)</f>
        <v>2202010</v>
      </c>
      <c r="C2275" s="2005" t="str">
        <f>IFERROR(__xludf.DUMMYFUNCTION("""COMPUTED_VALUE"""),"Multi Jet d'enc")</f>
        <v>Multi Jet d'enc</v>
      </c>
      <c r="D2275" s="2005" t="str">
        <f>IFERROR(__xludf.DUMMYFUNCTION("""COMPUTED_VALUE"""),"MFC-J6540DW")</f>
        <v>MFC-J6540DW</v>
      </c>
      <c r="E2275" s="2005" t="str">
        <f>IFERROR(__xludf.DUMMYFUNCTION("""COMPUTED_VALUE"""),"BROTHER")</f>
        <v>BROTHER</v>
      </c>
      <c r="F2275" s="2005" t="str">
        <f>IFERROR(__xludf.DUMMYFUNCTION("""COMPUTED_VALUE"""),"H")</f>
        <v>H</v>
      </c>
      <c r="G2275" s="2005" t="str">
        <f>IFERROR(__xludf.DUMMYFUNCTION("""COMPUTED_VALUE"""),"FR")</f>
        <v>FR</v>
      </c>
      <c r="H2275" s="2005">
        <f>IFERROR(__xludf.DUMMYFUNCTION("""COMPUTED_VALUE"""),358.8)</f>
        <v>358.8</v>
      </c>
      <c r="I2275" s="2005">
        <f>IFERROR(__xludf.DUMMYFUNCTION("""COMPUTED_VALUE"""),306.99)</f>
        <v>306.99</v>
      </c>
      <c r="BD2275" s="2006"/>
      <c r="LL2275" s="2007"/>
      <c r="LM2275" s="2007"/>
      <c r="MX2275" s="2007"/>
      <c r="ND2275" s="2007"/>
    </row>
    <row r="2276">
      <c r="A2276" s="2005">
        <f>IFERROR(__xludf.DUMMYFUNCTION("""COMPUTED_VALUE"""),1179898.0)</f>
        <v>1179898</v>
      </c>
      <c r="B2276" s="2005">
        <f>IFERROR(__xludf.DUMMYFUNCTION("""COMPUTED_VALUE"""),2202005.0)</f>
        <v>2202005</v>
      </c>
      <c r="C2276" s="2005" t="str">
        <f>IFERROR(__xludf.DUMMYFUNCTION("""COMPUTED_VALUE"""),"Multi Jet d'enc")</f>
        <v>Multi Jet d'enc</v>
      </c>
      <c r="D2276" s="2005" t="str">
        <f>IFERROR(__xludf.DUMMYFUNCTION("""COMPUTED_VALUE"""),"smart MFC-J5345DW")</f>
        <v>smart MFC-J5345DW</v>
      </c>
      <c r="E2276" s="2005" t="str">
        <f>IFERROR(__xludf.DUMMYFUNCTION("""COMPUTED_VALUE"""),"BROTHER")</f>
        <v>BROTHER</v>
      </c>
      <c r="F2276" s="2005" t="str">
        <f>IFERROR(__xludf.DUMMYFUNCTION("""COMPUTED_VALUE"""),"H")</f>
        <v>H</v>
      </c>
      <c r="G2276" s="2005" t="str">
        <f>IFERROR(__xludf.DUMMYFUNCTION("""COMPUTED_VALUE"""),"AC")</f>
        <v>AC</v>
      </c>
      <c r="H2276" s="2005">
        <f>IFERROR(__xludf.DUMMYFUNCTION("""COMPUTED_VALUE"""),286.8)</f>
        <v>286.8</v>
      </c>
      <c r="I2276" s="2005">
        <f>IFERROR(__xludf.DUMMYFUNCTION("""COMPUTED_VALUE"""),209.99)</f>
        <v>209.99</v>
      </c>
      <c r="BD2276" s="2006"/>
      <c r="LL2276" s="2007"/>
      <c r="LM2276" s="2007"/>
      <c r="MX2276" s="2007"/>
      <c r="ND2276" s="2007"/>
    </row>
    <row r="2277">
      <c r="A2277" s="2005">
        <f>IFERROR(__xludf.DUMMYFUNCTION("""COMPUTED_VALUE"""),1179899.0)</f>
        <v>1179899</v>
      </c>
      <c r="B2277" s="2005">
        <f>IFERROR(__xludf.DUMMYFUNCTION("""COMPUTED_VALUE"""),2203005.0)</f>
        <v>2203005</v>
      </c>
      <c r="C2277" s="2005" t="str">
        <f>IFERROR(__xludf.DUMMYFUNCTION("""COMPUTED_VALUE"""),"Scanner")</f>
        <v>Scanner</v>
      </c>
      <c r="D2277" s="2005" t="str">
        <f>IFERROR(__xludf.DUMMYFUNCTION("""COMPUTED_VALUE"""),"ADS4300N")</f>
        <v>ADS4300N</v>
      </c>
      <c r="E2277" s="2005" t="str">
        <f>IFERROR(__xludf.DUMMYFUNCTION("""COMPUTED_VALUE"""),"BROTHER")</f>
        <v>BROTHER</v>
      </c>
      <c r="F2277" s="2005" t="str">
        <f>IFERROR(__xludf.DUMMYFUNCTION("""COMPUTED_VALUE"""),"W")</f>
        <v>W</v>
      </c>
      <c r="G2277" s="2005" t="str">
        <f>IFERROR(__xludf.DUMMYFUNCTION("""COMPUTED_VALUE"""),"AC")</f>
        <v>AC</v>
      </c>
      <c r="H2277" s="2005">
        <f>IFERROR(__xludf.DUMMYFUNCTION("""COMPUTED_VALUE"""),394.99)</f>
        <v>394.99</v>
      </c>
      <c r="I2277" s="2005">
        <f>IFERROR(__xludf.DUMMYFUNCTION("""COMPUTED_VALUE"""),359.95)</f>
        <v>359.95</v>
      </c>
      <c r="BD2277" s="2006"/>
      <c r="LL2277" s="2007"/>
      <c r="LM2277" s="2007"/>
      <c r="MX2277" s="2007"/>
      <c r="ND2277" s="2007"/>
    </row>
    <row r="2278">
      <c r="A2278" s="2005">
        <f>IFERROR(__xludf.DUMMYFUNCTION("""COMPUTED_VALUE"""),1179900.0)</f>
        <v>1179900</v>
      </c>
      <c r="B2278" s="2005">
        <f>IFERROR(__xludf.DUMMYFUNCTION("""COMPUTED_VALUE"""),2203005.0)</f>
        <v>2203005</v>
      </c>
      <c r="C2278" s="2005" t="str">
        <f>IFERROR(__xludf.DUMMYFUNCTION("""COMPUTED_VALUE"""),"Scanner")</f>
        <v>Scanner</v>
      </c>
      <c r="D2278" s="2005" t="str">
        <f>IFERROR(__xludf.DUMMYFUNCTION("""COMPUTED_VALUE"""),"ADS4700W")</f>
        <v>ADS4700W</v>
      </c>
      <c r="E2278" s="2005" t="str">
        <f>IFERROR(__xludf.DUMMYFUNCTION("""COMPUTED_VALUE"""),"BROTHER")</f>
        <v>BROTHER</v>
      </c>
      <c r="F2278" s="2005" t="str">
        <f>IFERROR(__xludf.DUMMYFUNCTION("""COMPUTED_VALUE"""),"H")</f>
        <v>H</v>
      </c>
      <c r="G2278" s="2005" t="str">
        <f>IFERROR(__xludf.DUMMYFUNCTION("""COMPUTED_VALUE"""),"AC")</f>
        <v>AC</v>
      </c>
      <c r="H2278" s="2005">
        <f>IFERROR(__xludf.DUMMYFUNCTION("""COMPUTED_VALUE"""),562.99)</f>
        <v>562.99</v>
      </c>
      <c r="I2278" s="2005">
        <f>IFERROR(__xludf.DUMMYFUNCTION("""COMPUTED_VALUE"""),499.94)</f>
        <v>499.94</v>
      </c>
      <c r="LL2278" s="2007"/>
      <c r="LM2278" s="2007"/>
    </row>
    <row r="2279">
      <c r="A2279" s="2005">
        <f>IFERROR(__xludf.DUMMYFUNCTION("""COMPUTED_VALUE"""),1179972.0)</f>
        <v>1179972</v>
      </c>
      <c r="B2279" s="2005">
        <f>IFERROR(__xludf.DUMMYFUNCTION("""COMPUTED_VALUE"""),1103010.0)</f>
        <v>1103010</v>
      </c>
      <c r="C2279" s="2005" t="str">
        <f>IFERROR(__xludf.DUMMYFUNCTION("""COMPUTED_VALUE"""),"Tél.")</f>
        <v>Tél.</v>
      </c>
      <c r="D2279" s="2005" t="str">
        <f>IFERROR(__xludf.DUMMYFUNCTION("""COMPUTED_VALUE"""),"AS690 Duo Noir")</f>
        <v>AS690 Duo Noir</v>
      </c>
      <c r="E2279" s="2005" t="str">
        <f>IFERROR(__xludf.DUMMYFUNCTION("""COMPUTED_VALUE"""),"GIGASET")</f>
        <v>GIGASET</v>
      </c>
      <c r="F2279" s="2005" t="str">
        <f>IFERROR(__xludf.DUMMYFUNCTION("""COMPUTED_VALUE"""),"W")</f>
        <v>W</v>
      </c>
      <c r="G2279" s="2005" t="str">
        <f>IFERROR(__xludf.DUMMYFUNCTION("""COMPUTED_VALUE"""),"AC")</f>
        <v>AC</v>
      </c>
      <c r="H2279">
        <f>IFERROR(__xludf.DUMMYFUNCTION("""COMPUTED_VALUE"""),55.99)</f>
        <v>55.99</v>
      </c>
      <c r="I2279">
        <f>IFERROR(__xludf.DUMMYFUNCTION("""COMPUTED_VALUE"""),41.99)</f>
        <v>41.99</v>
      </c>
      <c r="BD2279" s="2006"/>
      <c r="LL2279" s="2007"/>
      <c r="LM2279" s="2007"/>
      <c r="MX2279" s="2007"/>
      <c r="ND2279" s="2007"/>
    </row>
    <row r="2280">
      <c r="A2280" s="2005">
        <f>IFERROR(__xludf.DUMMYFUNCTION("""COMPUTED_VALUE"""),1179982.0)</f>
        <v>1179982</v>
      </c>
      <c r="B2280" s="2005">
        <f>IFERROR(__xludf.DUMMYFUNCTION("""COMPUTED_VALUE"""),1103010.0)</f>
        <v>1103010</v>
      </c>
      <c r="C2280" s="2005" t="str">
        <f>IFERROR(__xludf.DUMMYFUNCTION("""COMPUTED_VALUE"""),"Tél.")</f>
        <v>Tél.</v>
      </c>
      <c r="D2280" s="2005" t="str">
        <f>IFERROR(__xludf.DUMMYFUNCTION("""COMPUTED_VALUE"""),"AS690 A Duo Noir")</f>
        <v>AS690 A Duo Noir</v>
      </c>
      <c r="E2280" s="2005" t="str">
        <f>IFERROR(__xludf.DUMMYFUNCTION("""COMPUTED_VALUE"""),"GIGASET")</f>
        <v>GIGASET</v>
      </c>
      <c r="F2280" s="2005" t="str">
        <f>IFERROR(__xludf.DUMMYFUNCTION("""COMPUTED_VALUE"""),"W")</f>
        <v>W</v>
      </c>
      <c r="G2280" s="2005" t="str">
        <f>IFERROR(__xludf.DUMMYFUNCTION("""COMPUTED_VALUE"""),"AC")</f>
        <v>AC</v>
      </c>
      <c r="H2280" s="2005">
        <f>IFERROR(__xludf.DUMMYFUNCTION("""COMPUTED_VALUE"""),65.99)</f>
        <v>65.99</v>
      </c>
      <c r="I2280" s="2005">
        <f>IFERROR(__xludf.DUMMYFUNCTION("""COMPUTED_VALUE"""),64.0)</f>
        <v>64</v>
      </c>
      <c r="LL2280" s="2007"/>
      <c r="LM2280" s="2007"/>
    </row>
    <row r="2281">
      <c r="A2281" s="2005">
        <f>IFERROR(__xludf.DUMMYFUNCTION("""COMPUTED_VALUE"""),1179983.0)</f>
        <v>1179983</v>
      </c>
      <c r="B2281" s="2005">
        <f>IFERROR(__xludf.DUMMYFUNCTION("""COMPUTED_VALUE"""),1103010.0)</f>
        <v>1103010</v>
      </c>
      <c r="C2281" s="2005" t="str">
        <f>IFERROR(__xludf.DUMMYFUNCTION("""COMPUTED_VALUE"""),"Tél.")</f>
        <v>Tél.</v>
      </c>
      <c r="D2281" s="2005" t="str">
        <f>IFERROR(__xludf.DUMMYFUNCTION("""COMPUTED_VALUE"""),"AS690 Duo Blanc")</f>
        <v>AS690 Duo Blanc</v>
      </c>
      <c r="E2281" s="2005" t="str">
        <f>IFERROR(__xludf.DUMMYFUNCTION("""COMPUTED_VALUE"""),"GIGASET")</f>
        <v>GIGASET</v>
      </c>
      <c r="F2281" s="2005" t="str">
        <f>IFERROR(__xludf.DUMMYFUNCTION("""COMPUTED_VALUE"""),"W")</f>
        <v>W</v>
      </c>
      <c r="G2281" s="2005" t="str">
        <f>IFERROR(__xludf.DUMMYFUNCTION("""COMPUTED_VALUE"""),"AC")</f>
        <v>AC</v>
      </c>
      <c r="H2281" s="2005">
        <f>IFERROR(__xludf.DUMMYFUNCTION("""COMPUTED_VALUE"""),55.99)</f>
        <v>55.99</v>
      </c>
      <c r="I2281" s="2005">
        <f>IFERROR(__xludf.DUMMYFUNCTION("""COMPUTED_VALUE"""),41.99)</f>
        <v>41.99</v>
      </c>
      <c r="BD2281" s="2006"/>
      <c r="LL2281" s="2007"/>
      <c r="LM2281" s="2007"/>
      <c r="MX2281" s="2007"/>
      <c r="ND2281" s="2007"/>
    </row>
    <row r="2282">
      <c r="A2282" s="2005">
        <f>IFERROR(__xludf.DUMMYFUNCTION("""COMPUTED_VALUE"""),1179986.0)</f>
        <v>1179986</v>
      </c>
      <c r="B2282" s="2005">
        <f>IFERROR(__xludf.DUMMYFUNCTION("""COMPUTED_VALUE"""),1103010.0)</f>
        <v>1103010</v>
      </c>
      <c r="C2282" s="2005" t="str">
        <f>IFERROR(__xludf.DUMMYFUNCTION("""COMPUTED_VALUE"""),"Tél.")</f>
        <v>Tél.</v>
      </c>
      <c r="D2282" s="2005" t="str">
        <f>IFERROR(__xludf.DUMMYFUNCTION("""COMPUTED_VALUE"""),"AS690A Duo Blanc")</f>
        <v>AS690A Duo Blanc</v>
      </c>
      <c r="E2282" s="2005" t="str">
        <f>IFERROR(__xludf.DUMMYFUNCTION("""COMPUTED_VALUE"""),"GIGASET")</f>
        <v>GIGASET</v>
      </c>
      <c r="F2282" s="2005" t="str">
        <f>IFERROR(__xludf.DUMMYFUNCTION("""COMPUTED_VALUE"""),"W")</f>
        <v>W</v>
      </c>
      <c r="G2282" s="2005" t="str">
        <f>IFERROR(__xludf.DUMMYFUNCTION("""COMPUTED_VALUE"""),"AC")</f>
        <v>AC</v>
      </c>
      <c r="H2282" s="2005">
        <f>IFERROR(__xludf.DUMMYFUNCTION("""COMPUTED_VALUE"""),65.99)</f>
        <v>65.99</v>
      </c>
      <c r="I2282" s="2005">
        <f>IFERROR(__xludf.DUMMYFUNCTION("""COMPUTED_VALUE"""),59.99)</f>
        <v>59.99</v>
      </c>
      <c r="LL2282" s="2007"/>
      <c r="LM2282" s="2007"/>
    </row>
    <row r="2283">
      <c r="A2283" s="2005">
        <f>IFERROR(__xludf.DUMMYFUNCTION("""COMPUTED_VALUE"""),1179987.0)</f>
        <v>1179987</v>
      </c>
      <c r="B2283" s="2005">
        <f>IFERROR(__xludf.DUMMYFUNCTION("""COMPUTED_VALUE"""),1103010.0)</f>
        <v>1103010</v>
      </c>
      <c r="C2283" s="2005" t="str">
        <f>IFERROR(__xludf.DUMMYFUNCTION("""COMPUTED_VALUE"""),"Pack")</f>
        <v>Pack</v>
      </c>
      <c r="D2283" s="2005" t="str">
        <f>IFERROR(__xludf.DUMMYFUNCTION("""COMPUTED_VALUE"""),"AS690 Trio Noir")</f>
        <v>AS690 Trio Noir</v>
      </c>
      <c r="E2283" s="2005" t="str">
        <f>IFERROR(__xludf.DUMMYFUNCTION("""COMPUTED_VALUE"""),"GIGASET")</f>
        <v>GIGASET</v>
      </c>
      <c r="F2283" s="2005" t="str">
        <f>IFERROR(__xludf.DUMMYFUNCTION("""COMPUTED_VALUE"""),"W")</f>
        <v>W</v>
      </c>
      <c r="G2283" s="2005" t="str">
        <f>IFERROR(__xludf.DUMMYFUNCTION("""COMPUTED_VALUE"""),"NN")</f>
        <v>NN</v>
      </c>
      <c r="H2283">
        <f>IFERROR(__xludf.DUMMYFUNCTION("""COMPUTED_VALUE"""),75.99)</f>
        <v>75.99</v>
      </c>
      <c r="I2283">
        <f>IFERROR(__xludf.DUMMYFUNCTION("""COMPUTED_VALUE"""),75.99)</f>
        <v>75.99</v>
      </c>
      <c r="LL2283" s="2007"/>
      <c r="LM2283" s="2007"/>
    </row>
    <row r="2284">
      <c r="A2284" s="2005">
        <f>IFERROR(__xludf.DUMMYFUNCTION("""COMPUTED_VALUE"""),1179989.0)</f>
        <v>1179989</v>
      </c>
      <c r="B2284" s="2005">
        <f>IFERROR(__xludf.DUMMYFUNCTION("""COMPUTED_VALUE"""),1103010.0)</f>
        <v>1103010</v>
      </c>
      <c r="C2284" s="2005" t="str">
        <f>IFERROR(__xludf.DUMMYFUNCTION("""COMPUTED_VALUE"""),"Pack")</f>
        <v>Pack</v>
      </c>
      <c r="D2284" s="2005" t="str">
        <f>IFERROR(__xludf.DUMMYFUNCTION("""COMPUTED_VALUE"""),"AS690 A Trio Noir")</f>
        <v>AS690 A Trio Noir</v>
      </c>
      <c r="E2284" s="2005" t="str">
        <f>IFERROR(__xludf.DUMMYFUNCTION("""COMPUTED_VALUE"""),"GIGASET")</f>
        <v>GIGASET</v>
      </c>
      <c r="F2284" s="2005" t="str">
        <f>IFERROR(__xludf.DUMMYFUNCTION("""COMPUTED_VALUE"""),"W")</f>
        <v>W</v>
      </c>
      <c r="G2284" s="2005" t="str">
        <f>IFERROR(__xludf.DUMMYFUNCTION("""COMPUTED_VALUE"""),"AC")</f>
        <v>AC</v>
      </c>
      <c r="H2284">
        <f>IFERROR(__xludf.DUMMYFUNCTION("""COMPUTED_VALUE"""),85.99)</f>
        <v>85.99</v>
      </c>
      <c r="I2284" s="2005">
        <f>IFERROR(__xludf.DUMMYFUNCTION("""COMPUTED_VALUE"""),85.99)</f>
        <v>85.99</v>
      </c>
      <c r="LL2284" s="2007"/>
      <c r="LM2284" s="2007"/>
    </row>
    <row r="2285">
      <c r="A2285" s="2005">
        <f>IFERROR(__xludf.DUMMYFUNCTION("""COMPUTED_VALUE"""),1179990.0)</f>
        <v>1179990</v>
      </c>
      <c r="B2285" s="2005">
        <f>IFERROR(__xludf.DUMMYFUNCTION("""COMPUTED_VALUE"""),1103010.0)</f>
        <v>1103010</v>
      </c>
      <c r="C2285" s="2005" t="str">
        <f>IFERROR(__xludf.DUMMYFUNCTION("""COMPUTED_VALUE"""),"Pack")</f>
        <v>Pack</v>
      </c>
      <c r="D2285" s="2005" t="str">
        <f>IFERROR(__xludf.DUMMYFUNCTION("""COMPUTED_VALUE"""),"AS690 Trio Blanc")</f>
        <v>AS690 Trio Blanc</v>
      </c>
      <c r="E2285" s="2005" t="str">
        <f>IFERROR(__xludf.DUMMYFUNCTION("""COMPUTED_VALUE"""),"GIGASET")</f>
        <v>GIGASET</v>
      </c>
      <c r="F2285" s="2005" t="str">
        <f>IFERROR(__xludf.DUMMYFUNCTION("""COMPUTED_VALUE"""),"W")</f>
        <v>W</v>
      </c>
      <c r="G2285" s="2005" t="str">
        <f>IFERROR(__xludf.DUMMYFUNCTION("""COMPUTED_VALUE"""),"AC")</f>
        <v>AC</v>
      </c>
      <c r="H2285" s="2005">
        <f>IFERROR(__xludf.DUMMYFUNCTION("""COMPUTED_VALUE"""),75.99)</f>
        <v>75.99</v>
      </c>
      <c r="I2285" s="2005">
        <f>IFERROR(__xludf.DUMMYFUNCTION("""COMPUTED_VALUE"""),67.99)</f>
        <v>67.99</v>
      </c>
      <c r="LL2285" s="2007"/>
      <c r="LM2285" s="2007"/>
    </row>
    <row r="2286">
      <c r="A2286" s="2005">
        <f>IFERROR(__xludf.DUMMYFUNCTION("""COMPUTED_VALUE"""),1180001.0)</f>
        <v>1180001</v>
      </c>
      <c r="B2286" s="2005">
        <f>IFERROR(__xludf.DUMMYFUNCTION("""COMPUTED_VALUE"""),1103010.0)</f>
        <v>1103010</v>
      </c>
      <c r="C2286" s="2005" t="str">
        <f>IFERROR(__xludf.DUMMYFUNCTION("""COMPUTED_VALUE"""),"Pack")</f>
        <v>Pack</v>
      </c>
      <c r="D2286" s="2005" t="str">
        <f>IFERROR(__xludf.DUMMYFUNCTION("""COMPUTED_VALUE"""),"AS690A Trio Blanc")</f>
        <v>AS690A Trio Blanc</v>
      </c>
      <c r="E2286" s="2005" t="str">
        <f>IFERROR(__xludf.DUMMYFUNCTION("""COMPUTED_VALUE"""),"GIGASET")</f>
        <v>GIGASET</v>
      </c>
      <c r="F2286" s="2005" t="str">
        <f>IFERROR(__xludf.DUMMYFUNCTION("""COMPUTED_VALUE"""),"W")</f>
        <v>W</v>
      </c>
      <c r="G2286" s="2005" t="str">
        <f>IFERROR(__xludf.DUMMYFUNCTION("""COMPUTED_VALUE"""),"AC")</f>
        <v>AC</v>
      </c>
      <c r="H2286" s="2005">
        <f>IFERROR(__xludf.DUMMYFUNCTION("""COMPUTED_VALUE"""),85.99)</f>
        <v>85.99</v>
      </c>
      <c r="I2286" s="2005">
        <f>IFERROR(__xludf.DUMMYFUNCTION("""COMPUTED_VALUE"""),85.99)</f>
        <v>85.99</v>
      </c>
      <c r="BD2286" s="2006"/>
      <c r="LL2286" s="2007"/>
      <c r="LM2286" s="2007"/>
      <c r="MX2286" s="2007"/>
      <c r="ND2286" s="2007"/>
    </row>
    <row r="2287">
      <c r="A2287" s="2005">
        <f>IFERROR(__xludf.DUMMYFUNCTION("""COMPUTED_VALUE"""),1180154.0)</f>
        <v>1180154</v>
      </c>
      <c r="B2287" s="2005">
        <f>IFERROR(__xludf.DUMMYFUNCTION("""COMPUTED_VALUE"""),2502020.0)</f>
        <v>2502020</v>
      </c>
      <c r="C2287" s="2005" t="str">
        <f>IFERROR(__xludf.DUMMYFUNCTION("""COMPUTED_VALUE"""),"Webcam")</f>
        <v>Webcam</v>
      </c>
      <c r="D2287" s="2005" t="str">
        <f>IFERROR(__xludf.DUMMYFUNCTION("""COMPUTED_VALUE"""),"C925e")</f>
        <v>C925e</v>
      </c>
      <c r="E2287" s="2005" t="str">
        <f>IFERROR(__xludf.DUMMYFUNCTION("""COMPUTED_VALUE"""),"LOGITECH")</f>
        <v>LOGITECH</v>
      </c>
      <c r="F2287" s="2005" t="str">
        <f>IFERROR(__xludf.DUMMYFUNCTION("""COMPUTED_VALUE"""),"W")</f>
        <v>W</v>
      </c>
      <c r="G2287" s="2005" t="str">
        <f>IFERROR(__xludf.DUMMYFUNCTION("""COMPUTED_VALUE"""),"NN")</f>
        <v>NN</v>
      </c>
      <c r="H2287" s="2005">
        <f>IFERROR(__xludf.DUMMYFUNCTION("""COMPUTED_VALUE"""),119.99)</f>
        <v>119.99</v>
      </c>
      <c r="I2287" s="2005">
        <f>IFERROR(__xludf.DUMMYFUNCTION("""COMPUTED_VALUE"""),111.85)</f>
        <v>111.85</v>
      </c>
      <c r="BD2287" s="2006"/>
      <c r="LL2287" s="2007"/>
      <c r="LM2287" s="2007"/>
      <c r="MX2287" s="2007"/>
      <c r="ND2287" s="2007"/>
    </row>
    <row r="2288">
      <c r="A2288" s="2005">
        <f>IFERROR(__xludf.DUMMYFUNCTION("""COMPUTED_VALUE"""),1180242.0)</f>
        <v>1180242</v>
      </c>
      <c r="B2288" s="2005">
        <f>IFERROR(__xludf.DUMMYFUNCTION("""COMPUTED_VALUE"""),2502010.0)</f>
        <v>2502010</v>
      </c>
      <c r="C2288" s="2005" t="str">
        <f>IFERROR(__xludf.DUMMYFUNCTION("""COMPUTED_VALUE"""),"Souris")</f>
        <v>Souris</v>
      </c>
      <c r="D2288" s="2005" t="str">
        <f>IFERROR(__xludf.DUMMYFUNCTION("""COMPUTED_VALUE"""),"MX Master 3s Graphite Ergonomique")</f>
        <v>MX Master 3s Graphite Ergonomique</v>
      </c>
      <c r="E2288" s="2005" t="str">
        <f>IFERROR(__xludf.DUMMYFUNCTION("""COMPUTED_VALUE"""),"LOGITECH")</f>
        <v>LOGITECH</v>
      </c>
      <c r="F2288" s="2005" t="str">
        <f>IFERROR(__xludf.DUMMYFUNCTION("""COMPUTED_VALUE"""),"A")</f>
        <v>A</v>
      </c>
      <c r="G2288" s="2005" t="str">
        <f>IFERROR(__xludf.DUMMYFUNCTION("""COMPUTED_VALUE"""),"AC")</f>
        <v>AC</v>
      </c>
      <c r="H2288" s="2005">
        <f>IFERROR(__xludf.DUMMYFUNCTION("""COMPUTED_VALUE"""),129.99)</f>
        <v>129.99</v>
      </c>
      <c r="I2288" s="2005">
        <f>IFERROR(__xludf.DUMMYFUNCTION("""COMPUTED_VALUE"""),129.99)</f>
        <v>129.99</v>
      </c>
      <c r="BD2288" s="2006"/>
      <c r="LL2288" s="2007"/>
      <c r="LM2288" s="2007"/>
      <c r="MX2288" s="2007"/>
      <c r="ND2288" s="2007"/>
    </row>
    <row r="2289">
      <c r="A2289" s="2005">
        <f>IFERROR(__xludf.DUMMYFUNCTION("""COMPUTED_VALUE"""),1180243.0)</f>
        <v>1180243</v>
      </c>
      <c r="B2289" s="2005">
        <f>IFERROR(__xludf.DUMMYFUNCTION("""COMPUTED_VALUE"""),2502010.0)</f>
        <v>2502010</v>
      </c>
      <c r="C2289" s="2005" t="str">
        <f>IFERROR(__xludf.DUMMYFUNCTION("""COMPUTED_VALUE"""),"Souris")</f>
        <v>Souris</v>
      </c>
      <c r="D2289" s="2005" t="str">
        <f>IFERROR(__xludf.DUMMYFUNCTION("""COMPUTED_VALUE"""),"MX Master 3s Gris pale Ergonomique")</f>
        <v>MX Master 3s Gris pale Ergonomique</v>
      </c>
      <c r="E2289" s="2005" t="str">
        <f>IFERROR(__xludf.DUMMYFUNCTION("""COMPUTED_VALUE"""),"LOGITECH")</f>
        <v>LOGITECH</v>
      </c>
      <c r="F2289" s="2005" t="str">
        <f>IFERROR(__xludf.DUMMYFUNCTION("""COMPUTED_VALUE"""),"W")</f>
        <v>W</v>
      </c>
      <c r="G2289" s="2005" t="str">
        <f>IFERROR(__xludf.DUMMYFUNCTION("""COMPUTED_VALUE"""),"AC")</f>
        <v>AC</v>
      </c>
      <c r="H2289" s="2005">
        <f>IFERROR(__xludf.DUMMYFUNCTION("""COMPUTED_VALUE"""),129.99)</f>
        <v>129.99</v>
      </c>
      <c r="I2289" s="2005">
        <f>IFERROR(__xludf.DUMMYFUNCTION("""COMPUTED_VALUE"""),98.1)</f>
        <v>98.1</v>
      </c>
      <c r="BD2289" s="2006"/>
      <c r="LL2289" s="2007"/>
      <c r="LM2289" s="2007"/>
      <c r="MX2289" s="2007"/>
      <c r="ND2289" s="2007"/>
    </row>
    <row r="2290">
      <c r="A2290" s="2005">
        <f>IFERROR(__xludf.DUMMYFUNCTION("""COMPUTED_VALUE"""),1180247.0)</f>
        <v>1180247</v>
      </c>
      <c r="B2290" s="2005">
        <f>IFERROR(__xludf.DUMMYFUNCTION("""COMPUTED_VALUE"""),2502015.0)</f>
        <v>2502015</v>
      </c>
      <c r="C2290" s="2005" t="str">
        <f>IFERROR(__xludf.DUMMYFUNCTION("""COMPUTED_VALUE"""),"Clavier")</f>
        <v>Clavier</v>
      </c>
      <c r="D2290" s="2005" t="str">
        <f>IFERROR(__xludf.DUMMYFUNCTION("""COMPUTED_VALUE"""),"MX Mechanical Rétroéclairé")</f>
        <v>MX Mechanical Rétroéclairé</v>
      </c>
      <c r="E2290" s="2005" t="str">
        <f>IFERROR(__xludf.DUMMYFUNCTION("""COMPUTED_VALUE"""),"LOGITECH")</f>
        <v>LOGITECH</v>
      </c>
      <c r="F2290" s="2005" t="str">
        <f>IFERROR(__xludf.DUMMYFUNCTION("""COMPUTED_VALUE"""),"C")</f>
        <v>C</v>
      </c>
      <c r="G2290" s="2005" t="str">
        <f>IFERROR(__xludf.DUMMYFUNCTION("""COMPUTED_VALUE"""),"AC")</f>
        <v>AC</v>
      </c>
      <c r="H2290" s="2005">
        <f>IFERROR(__xludf.DUMMYFUNCTION("""COMPUTED_VALUE"""),179.99)</f>
        <v>179.99</v>
      </c>
      <c r="I2290" s="2005">
        <f>IFERROR(__xludf.DUMMYFUNCTION("""COMPUTED_VALUE"""),179.99)</f>
        <v>179.99</v>
      </c>
      <c r="BD2290" s="2006"/>
      <c r="LL2290" s="2007"/>
      <c r="LM2290" s="2007"/>
      <c r="MX2290" s="2007"/>
      <c r="ND2290" s="2007"/>
    </row>
    <row r="2291">
      <c r="A2291" s="2005">
        <f>IFERROR(__xludf.DUMMYFUNCTION("""COMPUTED_VALUE"""),1180248.0)</f>
        <v>1180248</v>
      </c>
      <c r="B2291" s="2005">
        <f>IFERROR(__xludf.DUMMYFUNCTION("""COMPUTED_VALUE"""),2502015.0)</f>
        <v>2502015</v>
      </c>
      <c r="C2291" s="2005" t="str">
        <f>IFERROR(__xludf.DUMMYFUNCTION("""COMPUTED_VALUE"""),"Clavier")</f>
        <v>Clavier</v>
      </c>
      <c r="D2291" s="2005" t="str">
        <f>IFERROR(__xludf.DUMMYFUNCTION("""COMPUTED_VALUE"""),"MX Mechanical Mini Rétroéclairé")</f>
        <v>MX Mechanical Mini Rétroéclairé</v>
      </c>
      <c r="E2291" s="2005" t="str">
        <f>IFERROR(__xludf.DUMMYFUNCTION("""COMPUTED_VALUE"""),"LOGITECH")</f>
        <v>LOGITECH</v>
      </c>
      <c r="F2291" s="2005" t="str">
        <f>IFERROR(__xludf.DUMMYFUNCTION("""COMPUTED_VALUE"""),"W")</f>
        <v>W</v>
      </c>
      <c r="G2291" s="2005" t="str">
        <f>IFERROR(__xludf.DUMMYFUNCTION("""COMPUTED_VALUE"""),"AC")</f>
        <v>AC</v>
      </c>
      <c r="H2291" s="2005">
        <f>IFERROR(__xludf.DUMMYFUNCTION("""COMPUTED_VALUE"""),159.99)</f>
        <v>159.99</v>
      </c>
      <c r="I2291" s="2005">
        <f>IFERROR(__xludf.DUMMYFUNCTION("""COMPUTED_VALUE"""),119.99)</f>
        <v>119.99</v>
      </c>
      <c r="BD2291" s="2006"/>
      <c r="LL2291" s="2007"/>
      <c r="LM2291" s="2007"/>
      <c r="MX2291" s="2007"/>
      <c r="ND2291" s="2007"/>
    </row>
    <row r="2292">
      <c r="A2292" s="2005">
        <f>IFERROR(__xludf.DUMMYFUNCTION("""COMPUTED_VALUE"""),1180424.0)</f>
        <v>1180424</v>
      </c>
      <c r="B2292" s="2005">
        <f>IFERROR(__xludf.DUMMYFUNCTION("""COMPUTED_VALUE"""),2502015.0)</f>
        <v>2502015</v>
      </c>
      <c r="C2292" s="2005" t="str">
        <f>IFERROR(__xludf.DUMMYFUNCTION("""COMPUTED_VALUE"""),"Clavier")</f>
        <v>Clavier</v>
      </c>
      <c r="D2292" s="2005" t="str">
        <f>IFERROR(__xludf.DUMMYFUNCTION("""COMPUTED_VALUE"""),"Sans Fil Pour Smart TV")</f>
        <v>Sans Fil Pour Smart TV</v>
      </c>
      <c r="E2292" s="2005" t="str">
        <f>IFERROR(__xludf.DUMMYFUNCTION("""COMPUTED_VALUE"""),"MOBILITY LAB")</f>
        <v>MOBILITY LAB</v>
      </c>
      <c r="F2292" s="2005" t="str">
        <f>IFERROR(__xludf.DUMMYFUNCTION("""COMPUTED_VALUE"""),"W")</f>
        <v>W</v>
      </c>
      <c r="G2292" s="2005" t="str">
        <f>IFERROR(__xludf.DUMMYFUNCTION("""COMPUTED_VALUE"""),"NN")</f>
        <v>NN</v>
      </c>
      <c r="H2292" s="2005">
        <f>IFERROR(__xludf.DUMMYFUNCTION("""COMPUTED_VALUE"""),24.99)</f>
        <v>24.99</v>
      </c>
      <c r="I2292" s="2005">
        <f>IFERROR(__xludf.DUMMYFUNCTION("""COMPUTED_VALUE"""),24.99)</f>
        <v>24.99</v>
      </c>
      <c r="BD2292" s="2006"/>
      <c r="LL2292" s="2007"/>
      <c r="LM2292" s="2007"/>
      <c r="MX2292" s="2007"/>
      <c r="ND2292" s="2007"/>
    </row>
    <row r="2293">
      <c r="A2293" s="2005">
        <f>IFERROR(__xludf.DUMMYFUNCTION("""COMPUTED_VALUE"""),1180425.0)</f>
        <v>1180425</v>
      </c>
      <c r="B2293" s="2005">
        <f>IFERROR(__xludf.DUMMYFUNCTION("""COMPUTED_VALUE"""),2502015.0)</f>
        <v>2502015</v>
      </c>
      <c r="C2293" s="2005" t="str">
        <f>IFERROR(__xludf.DUMMYFUNCTION("""COMPUTED_VALUE"""),"Clavier")</f>
        <v>Clavier</v>
      </c>
      <c r="D2293" s="2005" t="str">
        <f>IFERROR(__xludf.DUMMYFUNCTION("""COMPUTED_VALUE"""),"Wireless eco USB-A Noir")</f>
        <v>Wireless eco USB-A Noir</v>
      </c>
      <c r="E2293" s="2005" t="str">
        <f>IFERROR(__xludf.DUMMYFUNCTION("""COMPUTED_VALUE"""),"GREEN_E")</f>
        <v>GREEN_E</v>
      </c>
      <c r="F2293" s="2005" t="str">
        <f>IFERROR(__xludf.DUMMYFUNCTION("""COMPUTED_VALUE"""),"W")</f>
        <v>W</v>
      </c>
      <c r="G2293" s="2005" t="str">
        <f>IFERROR(__xludf.DUMMYFUNCTION("""COMPUTED_VALUE"""),"NN")</f>
        <v>NN</v>
      </c>
      <c r="H2293" s="2005">
        <f>IFERROR(__xludf.DUMMYFUNCTION("""COMPUTED_VALUE"""),24.99)</f>
        <v>24.99</v>
      </c>
      <c r="I2293" s="2005">
        <f>IFERROR(__xludf.DUMMYFUNCTION("""COMPUTED_VALUE"""),24.99)</f>
        <v>24.99</v>
      </c>
      <c r="BD2293" s="2006"/>
      <c r="LL2293" s="2007"/>
      <c r="LM2293" s="2007"/>
      <c r="MX2293" s="2007"/>
      <c r="ND2293" s="2007"/>
    </row>
    <row r="2294">
      <c r="A2294" s="2005">
        <f>IFERROR(__xludf.DUMMYFUNCTION("""COMPUTED_VALUE"""),1180426.0)</f>
        <v>1180426</v>
      </c>
      <c r="B2294" s="2005">
        <f>IFERROR(__xludf.DUMMYFUNCTION("""COMPUTED_VALUE"""),2502015.0)</f>
        <v>2502015</v>
      </c>
      <c r="C2294" s="2005" t="str">
        <f>IFERROR(__xludf.DUMMYFUNCTION("""COMPUTED_VALUE"""),"Clavier")</f>
        <v>Clavier</v>
      </c>
      <c r="D2294" s="2005" t="str">
        <f>IFERROR(__xludf.DUMMYFUNCTION("""COMPUTED_VALUE"""),"Filaire eco USB-A Noir")</f>
        <v>Filaire eco USB-A Noir</v>
      </c>
      <c r="E2294" s="2005" t="str">
        <f>IFERROR(__xludf.DUMMYFUNCTION("""COMPUTED_VALUE"""),"GREEN_E")</f>
        <v>GREEN_E</v>
      </c>
      <c r="F2294" s="2005" t="str">
        <f>IFERROR(__xludf.DUMMYFUNCTION("""COMPUTED_VALUE"""),"W")</f>
        <v>W</v>
      </c>
      <c r="G2294" s="2005" t="str">
        <f>IFERROR(__xludf.DUMMYFUNCTION("""COMPUTED_VALUE"""),"NN")</f>
        <v>NN</v>
      </c>
      <c r="H2294" s="2005">
        <f>IFERROR(__xludf.DUMMYFUNCTION("""COMPUTED_VALUE"""),19.99)</f>
        <v>19.99</v>
      </c>
      <c r="I2294" s="2005">
        <f>IFERROR(__xludf.DUMMYFUNCTION("""COMPUTED_VALUE"""),19.99)</f>
        <v>19.99</v>
      </c>
      <c r="BD2294" s="2006"/>
      <c r="LL2294" s="2007"/>
      <c r="LM2294" s="2007"/>
      <c r="MX2294" s="2007"/>
      <c r="ND2294" s="2007"/>
    </row>
    <row r="2295">
      <c r="A2295" s="2005">
        <f>IFERROR(__xludf.DUMMYFUNCTION("""COMPUTED_VALUE"""),1180467.0)</f>
        <v>1180467</v>
      </c>
      <c r="B2295" s="2005">
        <f>IFERROR(__xludf.DUMMYFUNCTION("""COMPUTED_VALUE"""),2209805.0)</f>
        <v>2209805</v>
      </c>
      <c r="C2295" s="2005" t="str">
        <f>IFERROR(__xludf.DUMMYFUNCTION("""COMPUTED_VALUE"""),"Lot")</f>
        <v>Lot</v>
      </c>
      <c r="D2295" s="2005" t="str">
        <f>IFERROR(__xludf.DUMMYFUNCTION("""COMPUTED_VALUE"""),"MFC-J6930DW + LC3217 Noire")</f>
        <v>MFC-J6930DW + LC3217 Noire</v>
      </c>
      <c r="E2295" s="2005" t="str">
        <f>IFERROR(__xludf.DUMMYFUNCTION("""COMPUTED_VALUE"""),"BROTHER")</f>
        <v>BROTHER</v>
      </c>
      <c r="F2295" s="2005" t="str">
        <f>IFERROR(__xludf.DUMMYFUNCTION("""COMPUTED_VALUE"""),"W")</f>
        <v>W</v>
      </c>
      <c r="G2295" s="2005" t="str">
        <f>IFERROR(__xludf.DUMMYFUNCTION("""COMPUTED_VALUE"""),"NN")</f>
        <v>NN</v>
      </c>
      <c r="H2295">
        <f>IFERROR(__xludf.DUMMYFUNCTION("""COMPUTED_VALUE"""),391.99)</f>
        <v>391.99</v>
      </c>
      <c r="I2295">
        <f>IFERROR(__xludf.DUMMYFUNCTION("""COMPUTED_VALUE"""),391.99)</f>
        <v>391.99</v>
      </c>
      <c r="BD2295" s="2006"/>
      <c r="LL2295" s="2007"/>
      <c r="LM2295" s="2007"/>
      <c r="MX2295" s="2008"/>
      <c r="ND2295" s="2007"/>
    </row>
    <row r="2296">
      <c r="A2296" s="2005">
        <f>IFERROR(__xludf.DUMMYFUNCTION("""COMPUTED_VALUE"""),1180470.0)</f>
        <v>1180470</v>
      </c>
      <c r="B2296" s="2005">
        <f>IFERROR(__xludf.DUMMYFUNCTION("""COMPUTED_VALUE"""),2209805.0)</f>
        <v>2209805</v>
      </c>
      <c r="C2296" s="2005" t="str">
        <f>IFERROR(__xludf.DUMMYFUNCTION("""COMPUTED_VALUE"""),"Lot")</f>
        <v>Lot</v>
      </c>
      <c r="D2296" s="2005" t="str">
        <f>IFERROR(__xludf.DUMMYFUNCTION("""COMPUTED_VALUE"""),"MFC-J6530DW + cartouche LC3217 Noire")</f>
        <v>MFC-J6530DW + cartouche LC3217 Noire</v>
      </c>
      <c r="E2296" s="2005" t="str">
        <f>IFERROR(__xludf.DUMMYFUNCTION("""COMPUTED_VALUE"""),"BROTHER")</f>
        <v>BROTHER</v>
      </c>
      <c r="F2296" s="2005" t="str">
        <f>IFERROR(__xludf.DUMMYFUNCTION("""COMPUTED_VALUE"""),"H")</f>
        <v>H</v>
      </c>
      <c r="G2296" s="2005" t="str">
        <f>IFERROR(__xludf.DUMMYFUNCTION("""COMPUTED_VALUE"""),"NN")</f>
        <v>NN</v>
      </c>
      <c r="H2296" s="2005">
        <f>IFERROR(__xludf.DUMMYFUNCTION("""COMPUTED_VALUE"""),286.99)</f>
        <v>286.99</v>
      </c>
      <c r="I2296" s="2005">
        <f>IFERROR(__xludf.DUMMYFUNCTION("""COMPUTED_VALUE"""),286.99)</f>
        <v>286.99</v>
      </c>
      <c r="BD2296" s="2006"/>
      <c r="LL2296" s="2007"/>
      <c r="LM2296" s="2007"/>
      <c r="MX2296" s="2008"/>
      <c r="ND2296" s="2007"/>
    </row>
    <row r="2297">
      <c r="A2297" s="2005">
        <f>IFERROR(__xludf.DUMMYFUNCTION("""COMPUTED_VALUE"""),1180511.0)</f>
        <v>1180511</v>
      </c>
      <c r="B2297" s="2005">
        <f>IFERROR(__xludf.DUMMYFUNCTION("""COMPUTED_VALUE"""),2209805.0)</f>
        <v>2209805</v>
      </c>
      <c r="C2297" s="2005" t="str">
        <f>IFERROR(__xludf.DUMMYFUNCTION("""COMPUTED_VALUE"""),"Lot")</f>
        <v>Lot</v>
      </c>
      <c r="D2297" s="2005" t="str">
        <f>IFERROR(__xludf.DUMMYFUNCTION("""COMPUTED_VALUE"""),"MFC-L8690CDW + cartouche TN 421 Noire")</f>
        <v>MFC-L8690CDW + cartouche TN 421 Noire</v>
      </c>
      <c r="E2297" s="2005" t="str">
        <f>IFERROR(__xludf.DUMMYFUNCTION("""COMPUTED_VALUE"""),"BROTHER")</f>
        <v>BROTHER</v>
      </c>
      <c r="F2297" s="2005" t="str">
        <f>IFERROR(__xludf.DUMMYFUNCTION("""COMPUTED_VALUE"""),"H")</f>
        <v>H</v>
      </c>
      <c r="G2297" s="2005" t="str">
        <f>IFERROR(__xludf.DUMMYFUNCTION("""COMPUTED_VALUE"""),"AC")</f>
        <v>AC</v>
      </c>
      <c r="H2297" s="2005">
        <f>IFERROR(__xludf.DUMMYFUNCTION("""COMPUTED_VALUE"""),777.99)</f>
        <v>777.99</v>
      </c>
      <c r="I2297" s="2005">
        <f>IFERROR(__xludf.DUMMYFUNCTION("""COMPUTED_VALUE"""),777.99)</f>
        <v>777.99</v>
      </c>
      <c r="BD2297" s="2006"/>
      <c r="LL2297" s="2007"/>
      <c r="LM2297" s="2007"/>
      <c r="MX2297" s="2007"/>
      <c r="ND2297" s="2007"/>
    </row>
    <row r="2298">
      <c r="A2298" s="2005">
        <f>IFERROR(__xludf.DUMMYFUNCTION("""COMPUTED_VALUE"""),1180512.0)</f>
        <v>1180512</v>
      </c>
      <c r="B2298" s="2005">
        <f>IFERROR(__xludf.DUMMYFUNCTION("""COMPUTED_VALUE"""),2209805.0)</f>
        <v>2209805</v>
      </c>
      <c r="C2298" s="2005" t="str">
        <f>IFERROR(__xludf.DUMMYFUNCTION("""COMPUTED_VALUE"""),"Lot")</f>
        <v>Lot</v>
      </c>
      <c r="D2298" s="2005" t="str">
        <f>IFERROR(__xludf.DUMMYFUNCTION("""COMPUTED_VALUE"""),"DCP-L2530DW + TN2410 Noir")</f>
        <v>DCP-L2530DW + TN2410 Noir</v>
      </c>
      <c r="E2298" s="2005" t="str">
        <f>IFERROR(__xludf.DUMMYFUNCTION("""COMPUTED_VALUE"""),"BROTHER")</f>
        <v>BROTHER</v>
      </c>
      <c r="F2298" s="2005" t="str">
        <f>IFERROR(__xludf.DUMMYFUNCTION("""COMPUTED_VALUE"""),"E")</f>
        <v>E</v>
      </c>
      <c r="G2298" s="2005" t="str">
        <f>IFERROR(__xludf.DUMMYFUNCTION("""COMPUTED_VALUE"""),"FI")</f>
        <v>FI</v>
      </c>
      <c r="H2298" s="2005">
        <f>IFERROR(__xludf.DUMMYFUNCTION("""COMPUTED_VALUE"""),233.99)</f>
        <v>233.99</v>
      </c>
      <c r="I2298" s="2005">
        <f>IFERROR(__xludf.DUMMYFUNCTION("""COMPUTED_VALUE"""),233.99)</f>
        <v>233.99</v>
      </c>
      <c r="BD2298" s="2006"/>
      <c r="LL2298" s="2007"/>
      <c r="LM2298" s="2007"/>
      <c r="MX2298" s="2007"/>
      <c r="ND2298" s="2007"/>
    </row>
    <row r="2299">
      <c r="A2299" s="2005">
        <f>IFERROR(__xludf.DUMMYFUNCTION("""COMPUTED_VALUE"""),1180513.0)</f>
        <v>1180513</v>
      </c>
      <c r="B2299" s="2005">
        <f>IFERROR(__xludf.DUMMYFUNCTION("""COMPUTED_VALUE"""),2209805.0)</f>
        <v>2209805</v>
      </c>
      <c r="C2299" s="2005" t="str">
        <f>IFERROR(__xludf.DUMMYFUNCTION("""COMPUTED_VALUE"""),"Lot")</f>
        <v>Lot</v>
      </c>
      <c r="D2299" s="2005" t="str">
        <f>IFERROR(__xludf.DUMMYFUNCTION("""COMPUTED_VALUE"""),"HL-L2310D + Toner TN2410 Noir")</f>
        <v>HL-L2310D + Toner TN2410 Noir</v>
      </c>
      <c r="E2299" s="2005" t="str">
        <f>IFERROR(__xludf.DUMMYFUNCTION("""COMPUTED_VALUE"""),"BROTHER")</f>
        <v>BROTHER</v>
      </c>
      <c r="F2299" s="2005" t="str">
        <f>IFERROR(__xludf.DUMMYFUNCTION("""COMPUTED_VALUE"""),"H")</f>
        <v>H</v>
      </c>
      <c r="G2299" s="2005" t="str">
        <f>IFERROR(__xludf.DUMMYFUNCTION("""COMPUTED_VALUE"""),"FI")</f>
        <v>FI</v>
      </c>
      <c r="H2299" s="2005">
        <f>IFERROR(__xludf.DUMMYFUNCTION("""COMPUTED_VALUE"""),174.99)</f>
        <v>174.99</v>
      </c>
      <c r="I2299" s="2005">
        <f>IFERROR(__xludf.DUMMYFUNCTION("""COMPUTED_VALUE"""),174.99)</f>
        <v>174.99</v>
      </c>
      <c r="BD2299" s="2006"/>
      <c r="LL2299" s="2007"/>
      <c r="LM2299" s="2007"/>
      <c r="MX2299" s="2007"/>
      <c r="ND2299" s="2007"/>
    </row>
    <row r="2300">
      <c r="A2300" s="2005">
        <f>IFERROR(__xludf.DUMMYFUNCTION("""COMPUTED_VALUE"""),1180582.0)</f>
        <v>1180582</v>
      </c>
      <c r="B2300" s="2005">
        <f>IFERROR(__xludf.DUMMYFUNCTION("""COMPUTED_VALUE"""),2209805.0)</f>
        <v>2209805</v>
      </c>
      <c r="C2300" s="2005" t="str">
        <f>IFERROR(__xludf.DUMMYFUNCTION("""COMPUTED_VALUE"""),"Lot")</f>
        <v>Lot</v>
      </c>
      <c r="D2300" s="2005" t="str">
        <f>IFERROR(__xludf.DUMMYFUNCTION("""COMPUTED_VALUE"""),"MFC-L2730DW + Cartouche TN2410 Noire")</f>
        <v>MFC-L2730DW + Cartouche TN2410 Noire</v>
      </c>
      <c r="E2300" s="2005" t="str">
        <f>IFERROR(__xludf.DUMMYFUNCTION("""COMPUTED_VALUE"""),"BROTHER")</f>
        <v>BROTHER</v>
      </c>
      <c r="F2300" s="2005" t="str">
        <f>IFERROR(__xludf.DUMMYFUNCTION("""COMPUTED_VALUE"""),"H")</f>
        <v>H</v>
      </c>
      <c r="G2300" s="2005" t="str">
        <f>IFERROR(__xludf.DUMMYFUNCTION("""COMPUTED_VALUE"""),"AC")</f>
        <v>AC</v>
      </c>
      <c r="H2300" s="2005">
        <f>IFERROR(__xludf.DUMMYFUNCTION("""COMPUTED_VALUE"""),58.0)</f>
        <v>58</v>
      </c>
      <c r="I2300" s="2005">
        <f>IFERROR(__xludf.DUMMYFUNCTION("""COMPUTED_VALUE"""),58.0)</f>
        <v>58</v>
      </c>
      <c r="BD2300" s="2006"/>
      <c r="LL2300" s="2007"/>
      <c r="LM2300" s="2007"/>
      <c r="MX2300" s="2007"/>
      <c r="ND2300" s="2007"/>
    </row>
    <row r="2301">
      <c r="A2301" s="2005">
        <f>IFERROR(__xludf.DUMMYFUNCTION("""COMPUTED_VALUE"""),1180585.0)</f>
        <v>1180585</v>
      </c>
      <c r="B2301" s="2005">
        <f>IFERROR(__xludf.DUMMYFUNCTION("""COMPUTED_VALUE"""),2209805.0)</f>
        <v>2209805</v>
      </c>
      <c r="C2301" s="2005" t="str">
        <f>IFERROR(__xludf.DUMMYFUNCTION("""COMPUTED_VALUE"""),"Lot")</f>
        <v>Lot</v>
      </c>
      <c r="D2301" s="2005" t="str">
        <f>IFERROR(__xludf.DUMMYFUNCTION("""COMPUTED_VALUE"""),"DCP-1612WVB + Cartouche TN1050")</f>
        <v>DCP-1612WVB + Cartouche TN1050</v>
      </c>
      <c r="E2301" s="2005" t="str">
        <f>IFERROR(__xludf.DUMMYFUNCTION("""COMPUTED_VALUE"""),"BROTHER")</f>
        <v>BROTHER</v>
      </c>
      <c r="F2301" s="2005" t="str">
        <f>IFERROR(__xludf.DUMMYFUNCTION("""COMPUTED_VALUE"""),"H")</f>
        <v>H</v>
      </c>
      <c r="G2301" s="2005" t="str">
        <f>IFERROR(__xludf.DUMMYFUNCTION("""COMPUTED_VALUE"""),"AC")</f>
        <v>AC</v>
      </c>
      <c r="H2301" s="2005">
        <f>IFERROR(__xludf.DUMMYFUNCTION("""COMPUTED_VALUE"""),210.8)</f>
        <v>210.8</v>
      </c>
      <c r="I2301" s="2005">
        <f>IFERROR(__xludf.DUMMYFUNCTION("""COMPUTED_VALUE"""),210.8)</f>
        <v>210.8</v>
      </c>
      <c r="BD2301" s="2006"/>
      <c r="LL2301" s="2007"/>
      <c r="LM2301" s="2007"/>
      <c r="MX2301" s="2007"/>
      <c r="ND2301" s="2007"/>
    </row>
    <row r="2302">
      <c r="A2302" s="2005">
        <f>IFERROR(__xludf.DUMMYFUNCTION("""COMPUTED_VALUE"""),1180587.0)</f>
        <v>1180587</v>
      </c>
      <c r="B2302" s="2005">
        <f>IFERROR(__xludf.DUMMYFUNCTION("""COMPUTED_VALUE"""),2209805.0)</f>
        <v>2209805</v>
      </c>
      <c r="C2302" s="2005" t="str">
        <f>IFERROR(__xludf.DUMMYFUNCTION("""COMPUTED_VALUE"""),"Lot")</f>
        <v>Lot</v>
      </c>
      <c r="D2302" s="2005" t="str">
        <f>IFERROR(__xludf.DUMMYFUNCTION("""COMPUTED_VALUE"""),"MFC-L3710CW + Cartouche TN243 Noire")</f>
        <v>MFC-L3710CW + Cartouche TN243 Noire</v>
      </c>
      <c r="E2302" s="2005" t="str">
        <f>IFERROR(__xludf.DUMMYFUNCTION("""COMPUTED_VALUE"""),"BROTHER")</f>
        <v>BROTHER</v>
      </c>
      <c r="F2302" s="2005" t="str">
        <f>IFERROR(__xludf.DUMMYFUNCTION("""COMPUTED_VALUE"""),"H")</f>
        <v>H</v>
      </c>
      <c r="G2302" s="2005" t="str">
        <f>IFERROR(__xludf.DUMMYFUNCTION("""COMPUTED_VALUE"""),"FR")</f>
        <v>FR</v>
      </c>
      <c r="H2302" s="2005">
        <f>IFERROR(__xludf.DUMMYFUNCTION("""COMPUTED_VALUE"""),509.31)</f>
        <v>509.31</v>
      </c>
      <c r="I2302" s="2005">
        <f>IFERROR(__xludf.DUMMYFUNCTION("""COMPUTED_VALUE"""),509.31)</f>
        <v>509.31</v>
      </c>
      <c r="BD2302" s="2006"/>
      <c r="LL2302" s="2007"/>
      <c r="LM2302" s="2007"/>
      <c r="MX2302" s="2007"/>
      <c r="ND2302" s="2007"/>
    </row>
    <row r="2303">
      <c r="A2303" s="2005">
        <f>IFERROR(__xludf.DUMMYFUNCTION("""COMPUTED_VALUE"""),1180588.0)</f>
        <v>1180588</v>
      </c>
      <c r="B2303" s="2005">
        <f>IFERROR(__xludf.DUMMYFUNCTION("""COMPUTED_VALUE"""),2209805.0)</f>
        <v>2209805</v>
      </c>
      <c r="C2303" s="2005" t="str">
        <f>IFERROR(__xludf.DUMMYFUNCTION("""COMPUTED_VALUE"""),"Lot")</f>
        <v>Lot</v>
      </c>
      <c r="D2303" s="2005" t="str">
        <f>IFERROR(__xludf.DUMMYFUNCTION("""COMPUTED_VALUE"""),"HLL3230CDW + Cartouche TN243 Noire")</f>
        <v>HLL3230CDW + Cartouche TN243 Noire</v>
      </c>
      <c r="E2303" s="2005" t="str">
        <f>IFERROR(__xludf.DUMMYFUNCTION("""COMPUTED_VALUE"""),"BROTHER")</f>
        <v>BROTHER</v>
      </c>
      <c r="F2303" s="2005" t="str">
        <f>IFERROR(__xludf.DUMMYFUNCTION("""COMPUTED_VALUE"""),"H")</f>
        <v>H</v>
      </c>
      <c r="G2303" s="2005" t="str">
        <f>IFERROR(__xludf.DUMMYFUNCTION("""COMPUTED_VALUE"""),"NN")</f>
        <v>NN</v>
      </c>
      <c r="H2303" s="2005">
        <f>IFERROR(__xludf.DUMMYFUNCTION("""COMPUTED_VALUE"""),341.16)</f>
        <v>341.16</v>
      </c>
      <c r="I2303" s="2005">
        <f>IFERROR(__xludf.DUMMYFUNCTION("""COMPUTED_VALUE"""),341.16)</f>
        <v>341.16</v>
      </c>
      <c r="BD2303" s="2006"/>
      <c r="LL2303" s="2007"/>
      <c r="LM2303" s="2007"/>
      <c r="MX2303" s="2007"/>
      <c r="ND2303" s="2007"/>
    </row>
    <row r="2304">
      <c r="A2304" s="2005">
        <f>IFERROR(__xludf.DUMMYFUNCTION("""COMPUTED_VALUE"""),1180589.0)</f>
        <v>1180589</v>
      </c>
      <c r="B2304" s="2005">
        <f>IFERROR(__xludf.DUMMYFUNCTION("""COMPUTED_VALUE"""),2209805.0)</f>
        <v>2209805</v>
      </c>
      <c r="C2304" s="2005" t="str">
        <f>IFERROR(__xludf.DUMMYFUNCTION("""COMPUTED_VALUE"""),"Lot")</f>
        <v>Lot</v>
      </c>
      <c r="D2304" s="2005" t="str">
        <f>IFERROR(__xludf.DUMMYFUNCTION("""COMPUTED_VALUE"""),"MFC-L3730CDN + Cartouche TN243 Noire")</f>
        <v>MFC-L3730CDN + Cartouche TN243 Noire</v>
      </c>
      <c r="E2304" s="2005" t="str">
        <f>IFERROR(__xludf.DUMMYFUNCTION("""COMPUTED_VALUE"""),"BROTHER")</f>
        <v>BROTHER</v>
      </c>
      <c r="F2304" s="2005" t="str">
        <f>IFERROR(__xludf.DUMMYFUNCTION("""COMPUTED_VALUE"""),"H")</f>
        <v>H</v>
      </c>
      <c r="G2304" s="2005" t="str">
        <f>IFERROR(__xludf.DUMMYFUNCTION("""COMPUTED_VALUE"""),"NN")</f>
        <v>NN</v>
      </c>
      <c r="H2304">
        <f>IFERROR(__xludf.DUMMYFUNCTION("""COMPUTED_VALUE"""),509.31)</f>
        <v>509.31</v>
      </c>
      <c r="I2304">
        <f>IFERROR(__xludf.DUMMYFUNCTION("""COMPUTED_VALUE"""),509.31)</f>
        <v>509.31</v>
      </c>
      <c r="BD2304" s="2006"/>
      <c r="LL2304" s="2007"/>
      <c r="LM2304" s="2007"/>
      <c r="MX2304" s="2007"/>
      <c r="ND2304" s="2007"/>
    </row>
    <row r="2305">
      <c r="A2305" s="2005">
        <f>IFERROR(__xludf.DUMMYFUNCTION("""COMPUTED_VALUE"""),1180590.0)</f>
        <v>1180590</v>
      </c>
      <c r="B2305" s="2005">
        <f>IFERROR(__xludf.DUMMYFUNCTION("""COMPUTED_VALUE"""),2209805.0)</f>
        <v>2209805</v>
      </c>
      <c r="C2305" s="2005" t="str">
        <f>IFERROR(__xludf.DUMMYFUNCTION("""COMPUTED_VALUE"""),"Lot")</f>
        <v>Lot</v>
      </c>
      <c r="D2305" s="2005" t="str">
        <f>IFERROR(__xludf.DUMMYFUNCTION("""COMPUTED_VALUE"""),"HL-L3270CDW + Cartouche TN243 Noire")</f>
        <v>HL-L3270CDW + Cartouche TN243 Noire</v>
      </c>
      <c r="E2305" s="2005" t="str">
        <f>IFERROR(__xludf.DUMMYFUNCTION("""COMPUTED_VALUE"""),"BROTHER")</f>
        <v>BROTHER</v>
      </c>
      <c r="F2305" s="2005" t="str">
        <f>IFERROR(__xludf.DUMMYFUNCTION("""COMPUTED_VALUE"""),"H")</f>
        <v>H</v>
      </c>
      <c r="G2305" s="2005" t="str">
        <f>IFERROR(__xludf.DUMMYFUNCTION("""COMPUTED_VALUE"""),"AC")</f>
        <v>AC</v>
      </c>
      <c r="H2305">
        <f>IFERROR(__xludf.DUMMYFUNCTION("""COMPUTED_VALUE"""),398.16)</f>
        <v>398.16</v>
      </c>
      <c r="I2305">
        <f>IFERROR(__xludf.DUMMYFUNCTION("""COMPUTED_VALUE"""),322.16)</f>
        <v>322.16</v>
      </c>
      <c r="BD2305" s="2006"/>
      <c r="LL2305" s="2007"/>
      <c r="LM2305" s="2007"/>
      <c r="MX2305" s="2007"/>
      <c r="ND2305" s="2007"/>
    </row>
    <row r="2306">
      <c r="A2306" s="2005">
        <f>IFERROR(__xludf.DUMMYFUNCTION("""COMPUTED_VALUE"""),1180611.0)</f>
        <v>1180611</v>
      </c>
      <c r="B2306" s="2005">
        <f>IFERROR(__xludf.DUMMYFUNCTION("""COMPUTED_VALUE"""),2209805.0)</f>
        <v>2209805</v>
      </c>
      <c r="C2306" s="2005" t="str">
        <f>IFERROR(__xludf.DUMMYFUNCTION("""COMPUTED_VALUE"""),"Lot")</f>
        <v>Lot</v>
      </c>
      <c r="D2306" s="2005" t="str">
        <f>IFERROR(__xludf.DUMMYFUNCTION("""COMPUTED_VALUE"""),"MFC-L2710DW + Cartouche TN2410 Noire")</f>
        <v>MFC-L2710DW + Cartouche TN2410 Noire</v>
      </c>
      <c r="E2306" s="2005" t="str">
        <f>IFERROR(__xludf.DUMMYFUNCTION("""COMPUTED_VALUE"""),"BROTHER")</f>
        <v>BROTHER</v>
      </c>
      <c r="F2306" s="2005" t="str">
        <f>IFERROR(__xludf.DUMMYFUNCTION("""COMPUTED_VALUE"""),"H")</f>
        <v>H</v>
      </c>
      <c r="G2306" s="2005" t="str">
        <f>IFERROR(__xludf.DUMMYFUNCTION("""COMPUTED_VALUE"""),"AC")</f>
        <v>AC</v>
      </c>
      <c r="H2306" s="2005">
        <f>IFERROR(__xludf.DUMMYFUNCTION("""COMPUTED_VALUE"""),310.76)</f>
        <v>310.76</v>
      </c>
      <c r="I2306" s="2005">
        <f>IFERROR(__xludf.DUMMYFUNCTION("""COMPUTED_VALUE"""),310.76)</f>
        <v>310.76</v>
      </c>
      <c r="BD2306" s="2006"/>
      <c r="LL2306" s="2007"/>
      <c r="LM2306" s="2007"/>
      <c r="MX2306" s="2007"/>
      <c r="ND2306" s="2007"/>
    </row>
    <row r="2307">
      <c r="A2307" s="2005">
        <f>IFERROR(__xludf.DUMMYFUNCTION("""COMPUTED_VALUE"""),1180612.0)</f>
        <v>1180612</v>
      </c>
      <c r="B2307" s="2005">
        <f>IFERROR(__xludf.DUMMYFUNCTION("""COMPUTED_VALUE"""),2209805.0)</f>
        <v>2209805</v>
      </c>
      <c r="C2307" s="2005" t="str">
        <f>IFERROR(__xludf.DUMMYFUNCTION("""COMPUTED_VALUE"""),"Lot")</f>
        <v>Lot</v>
      </c>
      <c r="D2307" s="2005" t="str">
        <f>IFERROR(__xludf.DUMMYFUNCTION("""COMPUTED_VALUE"""),"DCPL2510D + Cartouche TN2410 Noire")</f>
        <v>DCPL2510D + Cartouche TN2410 Noire</v>
      </c>
      <c r="E2307" s="2005" t="str">
        <f>IFERROR(__xludf.DUMMYFUNCTION("""COMPUTED_VALUE"""),"BROTHER")</f>
        <v>BROTHER</v>
      </c>
      <c r="F2307" s="2005" t="str">
        <f>IFERROR(__xludf.DUMMYFUNCTION("""COMPUTED_VALUE"""),"H")</f>
        <v>H</v>
      </c>
      <c r="G2307" s="2005" t="str">
        <f>IFERROR(__xludf.DUMMYFUNCTION("""COMPUTED_VALUE"""),"NN")</f>
        <v>NN</v>
      </c>
      <c r="H2307" s="2005">
        <f>IFERROR(__xludf.DUMMYFUNCTION("""COMPUTED_VALUE"""),229.06)</f>
        <v>229.06</v>
      </c>
      <c r="I2307" s="2005">
        <f>IFERROR(__xludf.DUMMYFUNCTION("""COMPUTED_VALUE"""),229.06)</f>
        <v>229.06</v>
      </c>
      <c r="BD2307" s="2006"/>
      <c r="LL2307" s="2007"/>
      <c r="LM2307" s="2007"/>
      <c r="MX2307" s="2007"/>
      <c r="ND2307" s="2007"/>
    </row>
    <row r="2308">
      <c r="A2308" s="2005">
        <f>IFERROR(__xludf.DUMMYFUNCTION("""COMPUTED_VALUE"""),1180613.0)</f>
        <v>1180613</v>
      </c>
      <c r="B2308" s="2005">
        <f>IFERROR(__xludf.DUMMYFUNCTION("""COMPUTED_VALUE"""),2209805.0)</f>
        <v>2209805</v>
      </c>
      <c r="C2308" s="2005" t="str">
        <f>IFERROR(__xludf.DUMMYFUNCTION("""COMPUTED_VALUE"""),"Lot")</f>
        <v>Lot</v>
      </c>
      <c r="D2308" s="2005" t="str">
        <f>IFERROR(__xludf.DUMMYFUNCTION("""COMPUTED_VALUE"""),"DCP-L2550DN + Cartouche TN2410 Noire")</f>
        <v>DCP-L2550DN + Cartouche TN2410 Noire</v>
      </c>
      <c r="E2308" s="2005" t="str">
        <f>IFERROR(__xludf.DUMMYFUNCTION("""COMPUTED_VALUE"""),"BROTHER")</f>
        <v>BROTHER</v>
      </c>
      <c r="F2308" s="2005" t="str">
        <f>IFERROR(__xludf.DUMMYFUNCTION("""COMPUTED_VALUE"""),"H")</f>
        <v>H</v>
      </c>
      <c r="G2308" s="2005" t="str">
        <f>IFERROR(__xludf.DUMMYFUNCTION("""COMPUTED_VALUE"""),"AC")</f>
        <v>AC</v>
      </c>
      <c r="H2308" s="2005">
        <f>IFERROR(__xludf.DUMMYFUNCTION("""COMPUTED_VALUE"""),286.06)</f>
        <v>286.06</v>
      </c>
      <c r="I2308" s="2005">
        <f>IFERROR(__xludf.DUMMYFUNCTION("""COMPUTED_VALUE"""),252.81)</f>
        <v>252.81</v>
      </c>
      <c r="BD2308" s="2006"/>
      <c r="LL2308" s="2007"/>
      <c r="LM2308" s="2007"/>
      <c r="MX2308" s="2007"/>
      <c r="ND2308" s="2007"/>
    </row>
    <row r="2309">
      <c r="A2309" s="2005">
        <f>IFERROR(__xludf.DUMMYFUNCTION("""COMPUTED_VALUE"""),1180614.0)</f>
        <v>1180614</v>
      </c>
      <c r="B2309" s="2005">
        <f>IFERROR(__xludf.DUMMYFUNCTION("""COMPUTED_VALUE"""),2209805.0)</f>
        <v>2209805</v>
      </c>
      <c r="C2309" s="2005" t="str">
        <f>IFERROR(__xludf.DUMMYFUNCTION("""COMPUTED_VALUE"""),"Lot")</f>
        <v>Lot</v>
      </c>
      <c r="D2309" s="2005" t="str">
        <f>IFERROR(__xludf.DUMMYFUNCTION("""COMPUTED_VALUE"""),"MFCJ4535DW XL + Cartouche LC426BK Noire")</f>
        <v>MFCJ4535DW XL + Cartouche LC426BK Noire</v>
      </c>
      <c r="E2309" s="2005" t="str">
        <f>IFERROR(__xludf.DUMMYFUNCTION("""COMPUTED_VALUE"""),"BROTHER")</f>
        <v>BROTHER</v>
      </c>
      <c r="F2309" s="2005" t="str">
        <f>IFERROR(__xludf.DUMMYFUNCTION("""COMPUTED_VALUE"""),"H")</f>
        <v>H</v>
      </c>
      <c r="G2309" s="2005" t="str">
        <f>IFERROR(__xludf.DUMMYFUNCTION("""COMPUTED_VALUE"""),"NN")</f>
        <v>NN</v>
      </c>
      <c r="H2309" s="2005">
        <f>IFERROR(__xludf.DUMMYFUNCTION("""COMPUTED_VALUE"""),394.43)</f>
        <v>394.43</v>
      </c>
      <c r="I2309" s="2005">
        <f>IFERROR(__xludf.DUMMYFUNCTION("""COMPUTED_VALUE"""),394.43)</f>
        <v>394.43</v>
      </c>
      <c r="BD2309" s="2006"/>
      <c r="LL2309" s="2007"/>
      <c r="LM2309" s="2007"/>
      <c r="MX2309" s="2007"/>
      <c r="ND2309" s="2007"/>
    </row>
    <row r="2310">
      <c r="A2310" s="2005">
        <f>IFERROR(__xludf.DUMMYFUNCTION("""COMPUTED_VALUE"""),1180615.0)</f>
        <v>1180615</v>
      </c>
      <c r="B2310" s="2005">
        <f>IFERROR(__xludf.DUMMYFUNCTION("""COMPUTED_VALUE"""),2209805.0)</f>
        <v>2209805</v>
      </c>
      <c r="C2310" s="2005" t="str">
        <f>IFERROR(__xludf.DUMMYFUNCTION("""COMPUTED_VALUE"""),"Lot")</f>
        <v>Lot</v>
      </c>
      <c r="D2310" s="2005" t="str">
        <f>IFERROR(__xludf.DUMMYFUNCTION("""COMPUTED_VALUE"""),"MFC-J4540DW + Cartouche LC426BK Noire")</f>
        <v>MFC-J4540DW + Cartouche LC426BK Noire</v>
      </c>
      <c r="E2310" s="2005" t="str">
        <f>IFERROR(__xludf.DUMMYFUNCTION("""COMPUTED_VALUE"""),"BROTHER")</f>
        <v>BROTHER</v>
      </c>
      <c r="F2310" s="2005" t="str">
        <f>IFERROR(__xludf.DUMMYFUNCTION("""COMPUTED_VALUE"""),"H")</f>
        <v>H</v>
      </c>
      <c r="G2310" s="2005" t="str">
        <f>IFERROR(__xludf.DUMMYFUNCTION("""COMPUTED_VALUE"""),"NN")</f>
        <v>NN</v>
      </c>
      <c r="H2310" s="2005">
        <f>IFERROR(__xludf.DUMMYFUNCTION("""COMPUTED_VALUE"""),337.43)</f>
        <v>337.43</v>
      </c>
      <c r="I2310" s="2005">
        <f>IFERROR(__xludf.DUMMYFUNCTION("""COMPUTED_VALUE"""),225.7)</f>
        <v>225.7</v>
      </c>
      <c r="BD2310" s="2006"/>
      <c r="LL2310" s="2007"/>
      <c r="LM2310" s="2007"/>
      <c r="MX2310" s="2007"/>
      <c r="ND2310" s="2007"/>
    </row>
    <row r="2311">
      <c r="A2311" s="2005">
        <f>IFERROR(__xludf.DUMMYFUNCTION("""COMPUTED_VALUE"""),1180617.0)</f>
        <v>1180617</v>
      </c>
      <c r="B2311" s="2005">
        <f>IFERROR(__xludf.DUMMYFUNCTION("""COMPUTED_VALUE"""),2209805.0)</f>
        <v>2209805</v>
      </c>
      <c r="C2311" s="2005" t="str">
        <f>IFERROR(__xludf.DUMMYFUNCTION("""COMPUTED_VALUE"""),"Lot")</f>
        <v>Lot</v>
      </c>
      <c r="D2311" s="2005" t="str">
        <f>IFERROR(__xludf.DUMMYFUNCTION("""COMPUTED_VALUE"""),"MG 5750 Noir + PGI-570 Noire pigmentée")</f>
        <v>MG 5750 Noir + PGI-570 Noire pigmentée</v>
      </c>
      <c r="E2311" s="2005" t="str">
        <f>IFERROR(__xludf.DUMMYFUNCTION("""COMPUTED_VALUE"""),"CANON")</f>
        <v>CANON</v>
      </c>
      <c r="F2311" s="2005" t="str">
        <f>IFERROR(__xludf.DUMMYFUNCTION("""COMPUTED_VALUE"""),"H")</f>
        <v>H</v>
      </c>
      <c r="G2311" s="2005" t="str">
        <f>IFERROR(__xludf.DUMMYFUNCTION("""COMPUTED_VALUE"""),"NN")</f>
        <v>NN</v>
      </c>
      <c r="H2311" s="2005">
        <f>IFERROR(__xludf.DUMMYFUNCTION("""COMPUTED_VALUE"""),59.42)</f>
        <v>59.42</v>
      </c>
      <c r="I2311" s="2005">
        <f>IFERROR(__xludf.DUMMYFUNCTION("""COMPUTED_VALUE"""),59.42)</f>
        <v>59.42</v>
      </c>
      <c r="LL2311" s="2007"/>
      <c r="LM2311" s="2007"/>
    </row>
    <row r="2312">
      <c r="A2312" s="2005">
        <f>IFERROR(__xludf.DUMMYFUNCTION("""COMPUTED_VALUE"""),1180618.0)</f>
        <v>1180618</v>
      </c>
      <c r="B2312" s="2005">
        <f>IFERROR(__xludf.DUMMYFUNCTION("""COMPUTED_VALUE"""),2209805.0)</f>
        <v>2209805</v>
      </c>
      <c r="C2312" s="2005" t="str">
        <f>IFERROR(__xludf.DUMMYFUNCTION("""COMPUTED_VALUE"""),"Lot")</f>
        <v>Lot</v>
      </c>
      <c r="D2312" s="2005" t="str">
        <f>IFERROR(__xludf.DUMMYFUNCTION("""COMPUTED_VALUE"""),"TS 8150 Noir +  PGI-580 Noire pigmentée")</f>
        <v>TS 8150 Noir +  PGI-580 Noire pigmentée</v>
      </c>
      <c r="E2312" s="2005" t="str">
        <f>IFERROR(__xludf.DUMMYFUNCTION("""COMPUTED_VALUE"""),"CANON")</f>
        <v>CANON</v>
      </c>
      <c r="F2312" s="2005" t="str">
        <f>IFERROR(__xludf.DUMMYFUNCTION("""COMPUTED_VALUE"""),"H")</f>
        <v>H</v>
      </c>
      <c r="G2312" s="2005" t="str">
        <f>IFERROR(__xludf.DUMMYFUNCTION("""COMPUTED_VALUE"""),"NN")</f>
        <v>NN</v>
      </c>
      <c r="H2312" s="2005">
        <f>IFERROR(__xludf.DUMMYFUNCTION("""COMPUTED_VALUE"""),185.75)</f>
        <v>185.75</v>
      </c>
      <c r="I2312" s="2005">
        <f>IFERROR(__xludf.DUMMYFUNCTION("""COMPUTED_VALUE"""),185.75)</f>
        <v>185.75</v>
      </c>
      <c r="BD2312" s="2006"/>
      <c r="LL2312" s="2007"/>
      <c r="LM2312" s="2007"/>
      <c r="MX2312" s="2007"/>
      <c r="ND2312" s="2007"/>
    </row>
    <row r="2313">
      <c r="A2313" s="2005">
        <f>IFERROR(__xludf.DUMMYFUNCTION("""COMPUTED_VALUE"""),1180620.0)</f>
        <v>1180620</v>
      </c>
      <c r="B2313" s="2005">
        <f>IFERROR(__xludf.DUMMYFUNCTION("""COMPUTED_VALUE"""),2209805.0)</f>
        <v>2209805</v>
      </c>
      <c r="C2313" s="2005" t="str">
        <f>IFERROR(__xludf.DUMMYFUNCTION("""COMPUTED_VALUE"""),"Lot")</f>
        <v>Lot</v>
      </c>
      <c r="D2313" s="2005" t="str">
        <f>IFERROR(__xludf.DUMMYFUNCTION("""COMPUTED_VALUE"""),"Ix 6850 + PG550 Noire Pigmentée")</f>
        <v>Ix 6850 + PG550 Noire Pigmentée</v>
      </c>
      <c r="E2313" s="2005" t="str">
        <f>IFERROR(__xludf.DUMMYFUNCTION("""COMPUTED_VALUE"""),"CANON")</f>
        <v>CANON</v>
      </c>
      <c r="F2313" s="2005" t="str">
        <f>IFERROR(__xludf.DUMMYFUNCTION("""COMPUTED_VALUE"""),"H")</f>
        <v>H</v>
      </c>
      <c r="G2313" s="2005" t="str">
        <f>IFERROR(__xludf.DUMMYFUNCTION("""COMPUTED_VALUE"""),"AC")</f>
        <v>AC</v>
      </c>
      <c r="H2313" s="2005">
        <f>IFERROR(__xludf.DUMMYFUNCTION("""COMPUTED_VALUE"""),245.62)</f>
        <v>245.62</v>
      </c>
      <c r="I2313" s="2005">
        <f>IFERROR(__xludf.DUMMYFUNCTION("""COMPUTED_VALUE"""),245.62)</f>
        <v>245.62</v>
      </c>
      <c r="LL2313" s="2007"/>
      <c r="LM2313" s="2007"/>
    </row>
    <row r="2314">
      <c r="A2314" s="2005">
        <f>IFERROR(__xludf.DUMMYFUNCTION("""COMPUTED_VALUE"""),1180631.0)</f>
        <v>1180631</v>
      </c>
      <c r="B2314" s="2005">
        <f>IFERROR(__xludf.DUMMYFUNCTION("""COMPUTED_VALUE"""),2209805.0)</f>
        <v>2209805</v>
      </c>
      <c r="C2314" s="2005" t="str">
        <f>IFERROR(__xludf.DUMMYFUNCTION("""COMPUTED_VALUE"""),"Lot")</f>
        <v>Lot</v>
      </c>
      <c r="D2314" s="2005" t="str">
        <f>IFERROR(__xludf.DUMMYFUNCTION("""COMPUTED_VALUE"""),"TR 4550 noir + Cartouche PG 545 Noire")</f>
        <v>TR 4550 noir + Cartouche PG 545 Noire</v>
      </c>
      <c r="E2314" s="2005" t="str">
        <f>IFERROR(__xludf.DUMMYFUNCTION("""COMPUTED_VALUE"""),"CANON")</f>
        <v>CANON</v>
      </c>
      <c r="F2314" s="2005" t="str">
        <f>IFERROR(__xludf.DUMMYFUNCTION("""COMPUTED_VALUE"""),"H")</f>
        <v>H</v>
      </c>
      <c r="G2314" s="2005" t="str">
        <f>IFERROR(__xludf.DUMMYFUNCTION("""COMPUTED_VALUE"""),"NN")</f>
        <v>NN</v>
      </c>
      <c r="H2314" s="2005">
        <f>IFERROR(__xludf.DUMMYFUNCTION("""COMPUTED_VALUE"""),105.02)</f>
        <v>105.02</v>
      </c>
      <c r="I2314" s="2005">
        <f>IFERROR(__xludf.DUMMYFUNCTION("""COMPUTED_VALUE"""),105.02)</f>
        <v>105.02</v>
      </c>
      <c r="BD2314" s="2006"/>
      <c r="LM2314" s="2007"/>
      <c r="MX2314" s="2007"/>
      <c r="ND2314" s="2007"/>
    </row>
    <row r="2315">
      <c r="A2315" s="2005">
        <f>IFERROR(__xludf.DUMMYFUNCTION("""COMPUTED_VALUE"""),1180632.0)</f>
        <v>1180632</v>
      </c>
      <c r="B2315" s="2005">
        <f>IFERROR(__xludf.DUMMYFUNCTION("""COMPUTED_VALUE"""),2209805.0)</f>
        <v>2209805</v>
      </c>
      <c r="C2315" s="2005" t="str">
        <f>IFERROR(__xludf.DUMMYFUNCTION("""COMPUTED_VALUE"""),"Lot")</f>
        <v>Lot</v>
      </c>
      <c r="D2315" s="2005" t="str">
        <f>IFERROR(__xludf.DUMMYFUNCTION("""COMPUTED_VALUE"""),"MG 3650S NOIRE + Cartouche PG-540 Noire")</f>
        <v>MG 3650S NOIRE + Cartouche PG-540 Noire</v>
      </c>
      <c r="E2315" s="2005" t="str">
        <f>IFERROR(__xludf.DUMMYFUNCTION("""COMPUTED_VALUE"""),"CANON")</f>
        <v>CANON</v>
      </c>
      <c r="F2315" s="2005" t="str">
        <f>IFERROR(__xludf.DUMMYFUNCTION("""COMPUTED_VALUE"""),"H")</f>
        <v>H</v>
      </c>
      <c r="G2315" s="2005" t="str">
        <f>IFERROR(__xludf.DUMMYFUNCTION("""COMPUTED_VALUE"""),"AC")</f>
        <v>AC</v>
      </c>
      <c r="H2315" s="2005">
        <f>IFERROR(__xludf.DUMMYFUNCTION("""COMPUTED_VALUE"""),87.91)</f>
        <v>87.91</v>
      </c>
      <c r="I2315" s="2005">
        <f>IFERROR(__xludf.DUMMYFUNCTION("""COMPUTED_VALUE"""),87.91)</f>
        <v>87.91</v>
      </c>
      <c r="LL2315" s="2007"/>
      <c r="LM2315" s="2007"/>
    </row>
    <row r="2316">
      <c r="A2316" s="2005">
        <f>IFERROR(__xludf.DUMMYFUNCTION("""COMPUTED_VALUE"""),1180633.0)</f>
        <v>1180633</v>
      </c>
      <c r="B2316" s="2005">
        <f>IFERROR(__xludf.DUMMYFUNCTION("""COMPUTED_VALUE"""),2209805.0)</f>
        <v>2209805</v>
      </c>
      <c r="C2316" s="2005" t="str">
        <f>IFERROR(__xludf.DUMMYFUNCTION("""COMPUTED_VALUE"""),"Lot")</f>
        <v>Lot</v>
      </c>
      <c r="D2316" s="2005" t="str">
        <f>IFERROR(__xludf.DUMMYFUNCTION("""COMPUTED_VALUE"""),"TS 9550 NOIR + PGI-580 Noire pigmentée")</f>
        <v>TS 9550 NOIR + PGI-580 Noire pigmentée</v>
      </c>
      <c r="E2316" s="2005" t="str">
        <f>IFERROR(__xludf.DUMMYFUNCTION("""COMPUTED_VALUE"""),"CANON")</f>
        <v>CANON</v>
      </c>
      <c r="F2316" s="2005" t="str">
        <f>IFERROR(__xludf.DUMMYFUNCTION("""COMPUTED_VALUE"""),"H")</f>
        <v>H</v>
      </c>
      <c r="G2316" s="2005" t="str">
        <f>IFERROR(__xludf.DUMMYFUNCTION("""COMPUTED_VALUE"""),"NN")</f>
        <v>NN</v>
      </c>
      <c r="H2316" s="2005">
        <f>IFERROR(__xludf.DUMMYFUNCTION("""COMPUTED_VALUE"""),271.26)</f>
        <v>271.26</v>
      </c>
      <c r="I2316" s="2005">
        <f>IFERROR(__xludf.DUMMYFUNCTION("""COMPUTED_VALUE"""),271.26)</f>
        <v>271.26</v>
      </c>
      <c r="BD2316" s="2006"/>
      <c r="LL2316" s="2007"/>
      <c r="LM2316" s="2007"/>
      <c r="MX2316" s="2007"/>
      <c r="ND2316" s="2007"/>
    </row>
    <row r="2317">
      <c r="A2317" s="2005">
        <f>IFERROR(__xludf.DUMMYFUNCTION("""COMPUTED_VALUE"""),1180635.0)</f>
        <v>1180635</v>
      </c>
      <c r="B2317" s="2005">
        <f>IFERROR(__xludf.DUMMYFUNCTION("""COMPUTED_VALUE"""),2209805.0)</f>
        <v>2209805</v>
      </c>
      <c r="C2317" s="2005" t="str">
        <f>IFERROR(__xludf.DUMMYFUNCTION("""COMPUTED_VALUE"""),"Lot")</f>
        <v>Lot</v>
      </c>
      <c r="D2317" s="2005" t="str">
        <f>IFERROR(__xludf.DUMMYFUNCTION("""COMPUTED_VALUE"""),"TS 705 + PGI-580 Noire pigmentée")</f>
        <v>TS 705 + PGI-580 Noire pigmentée</v>
      </c>
      <c r="E2317" s="2005" t="str">
        <f>IFERROR(__xludf.DUMMYFUNCTION("""COMPUTED_VALUE"""),"CANON")</f>
        <v>CANON</v>
      </c>
      <c r="F2317" s="2005" t="str">
        <f>IFERROR(__xludf.DUMMYFUNCTION("""COMPUTED_VALUE"""),"H")</f>
        <v>H</v>
      </c>
      <c r="G2317" s="2005" t="str">
        <f>IFERROR(__xludf.DUMMYFUNCTION("""COMPUTED_VALUE"""),"NN")</f>
        <v>NN</v>
      </c>
      <c r="H2317" s="2005">
        <f>IFERROR(__xludf.DUMMYFUNCTION("""COMPUTED_VALUE"""),100.26)</f>
        <v>100.26</v>
      </c>
      <c r="I2317" s="2005">
        <f>IFERROR(__xludf.DUMMYFUNCTION("""COMPUTED_VALUE"""),100.26)</f>
        <v>100.26</v>
      </c>
      <c r="BD2317" s="2006"/>
      <c r="LL2317" s="2007"/>
      <c r="LM2317" s="2007"/>
      <c r="MX2317" s="2007"/>
      <c r="ND2317" s="2007"/>
    </row>
    <row r="2318">
      <c r="A2318" s="2005">
        <f>IFERROR(__xludf.DUMMYFUNCTION("""COMPUTED_VALUE"""),1180636.0)</f>
        <v>1180636</v>
      </c>
      <c r="B2318" s="2005">
        <f>IFERROR(__xludf.DUMMYFUNCTION("""COMPUTED_VALUE"""),2209805.0)</f>
        <v>2209805</v>
      </c>
      <c r="C2318" s="2005" t="str">
        <f>IFERROR(__xludf.DUMMYFUNCTION("""COMPUTED_VALUE"""),"Lot")</f>
        <v>Lot</v>
      </c>
      <c r="D2318" s="2005" t="str">
        <f>IFERROR(__xludf.DUMMYFUNCTION("""COMPUTED_VALUE"""),"TS 5350 noir + Cartouche PG560 Noire")</f>
        <v>TS 5350 noir + Cartouche PG560 Noire</v>
      </c>
      <c r="E2318" s="2005" t="str">
        <f>IFERROR(__xludf.DUMMYFUNCTION("""COMPUTED_VALUE"""),"CANON")</f>
        <v>CANON</v>
      </c>
      <c r="F2318" s="2005" t="str">
        <f>IFERROR(__xludf.DUMMYFUNCTION("""COMPUTED_VALUE"""),"H")</f>
        <v>H</v>
      </c>
      <c r="G2318" s="2005" t="str">
        <f>IFERROR(__xludf.DUMMYFUNCTION("""COMPUTED_VALUE"""),"NN")</f>
        <v>NN</v>
      </c>
      <c r="H2318" s="2005">
        <f>IFERROR(__xludf.DUMMYFUNCTION("""COMPUTED_VALUE"""),130.66)</f>
        <v>130.66</v>
      </c>
      <c r="I2318" s="2005">
        <f>IFERROR(__xludf.DUMMYFUNCTION("""COMPUTED_VALUE"""),130.66)</f>
        <v>130.66</v>
      </c>
      <c r="BD2318" s="2006"/>
      <c r="LL2318" s="2007"/>
      <c r="LM2318" s="2007"/>
      <c r="MX2318" s="2007"/>
      <c r="ND2318" s="2007"/>
    </row>
    <row r="2319">
      <c r="A2319" s="2005">
        <f>IFERROR(__xludf.DUMMYFUNCTION("""COMPUTED_VALUE"""),1180637.0)</f>
        <v>1180637</v>
      </c>
      <c r="B2319" s="2005">
        <f>IFERROR(__xludf.DUMMYFUNCTION("""COMPUTED_VALUE"""),2209805.0)</f>
        <v>2209805</v>
      </c>
      <c r="C2319" s="2005" t="str">
        <f>IFERROR(__xludf.DUMMYFUNCTION("""COMPUTED_VALUE"""),"Lot")</f>
        <v>Lot</v>
      </c>
      <c r="D2319" s="2005" t="str">
        <f>IFERROR(__xludf.DUMMYFUNCTION("""COMPUTED_VALUE"""),"TS 5351 Blanche + Cartouche PG560 Noire")</f>
        <v>TS 5351 Blanche + Cartouche PG560 Noire</v>
      </c>
      <c r="E2319" s="2005" t="str">
        <f>IFERROR(__xludf.DUMMYFUNCTION("""COMPUTED_VALUE"""),"CANON")</f>
        <v>CANON</v>
      </c>
      <c r="F2319" s="2005" t="str">
        <f>IFERROR(__xludf.DUMMYFUNCTION("""COMPUTED_VALUE"""),"H")</f>
        <v>H</v>
      </c>
      <c r="G2319" s="2005" t="str">
        <f>IFERROR(__xludf.DUMMYFUNCTION("""COMPUTED_VALUE"""),"NN")</f>
        <v>NN</v>
      </c>
      <c r="H2319" s="2005">
        <f>IFERROR(__xludf.DUMMYFUNCTION("""COMPUTED_VALUE"""),130.65)</f>
        <v>130.65</v>
      </c>
      <c r="I2319" s="2005">
        <f>IFERROR(__xludf.DUMMYFUNCTION("""COMPUTED_VALUE"""),130.65)</f>
        <v>130.65</v>
      </c>
      <c r="BD2319" s="2006"/>
      <c r="LL2319" s="2007"/>
      <c r="LM2319" s="2007"/>
      <c r="MX2319" s="2007"/>
      <c r="ND2319" s="2007"/>
    </row>
    <row r="2320">
      <c r="A2320" s="2005">
        <f>IFERROR(__xludf.DUMMYFUNCTION("""COMPUTED_VALUE"""),1180638.0)</f>
        <v>1180638</v>
      </c>
      <c r="B2320" s="2005">
        <f>IFERROR(__xludf.DUMMYFUNCTION("""COMPUTED_VALUE"""),2209805.0)</f>
        <v>2209805</v>
      </c>
      <c r="C2320" s="2005" t="str">
        <f>IFERROR(__xludf.DUMMYFUNCTION("""COMPUTED_VALUE"""),"Lot")</f>
        <v>Lot</v>
      </c>
      <c r="D2320" s="2005" t="str">
        <f>IFERROR(__xludf.DUMMYFUNCTION("""COMPUTED_VALUE"""),"TS 5352 rose + Cartouche PG560 Noire")</f>
        <v>TS 5352 rose + Cartouche PG560 Noire</v>
      </c>
      <c r="E2320" s="2005" t="str">
        <f>IFERROR(__xludf.DUMMYFUNCTION("""COMPUTED_VALUE"""),"CANON")</f>
        <v>CANON</v>
      </c>
      <c r="F2320" s="2005" t="str">
        <f>IFERROR(__xludf.DUMMYFUNCTION("""COMPUTED_VALUE"""),"H")</f>
        <v>H</v>
      </c>
      <c r="G2320" s="2005" t="str">
        <f>IFERROR(__xludf.DUMMYFUNCTION("""COMPUTED_VALUE"""),"NN")</f>
        <v>NN</v>
      </c>
      <c r="H2320" s="2005">
        <f>IFERROR(__xludf.DUMMYFUNCTION("""COMPUTED_VALUE"""),130.66)</f>
        <v>130.66</v>
      </c>
      <c r="I2320" s="2005">
        <f>IFERROR(__xludf.DUMMYFUNCTION("""COMPUTED_VALUE"""),130.66)</f>
        <v>130.66</v>
      </c>
      <c r="BD2320" s="2006"/>
      <c r="LL2320" s="2007"/>
      <c r="LM2320" s="2007"/>
      <c r="MX2320" s="2007"/>
      <c r="ND2320" s="2007"/>
    </row>
    <row r="2321">
      <c r="A2321" s="2005">
        <f>IFERROR(__xludf.DUMMYFUNCTION("""COMPUTED_VALUE"""),1180641.0)</f>
        <v>1180641</v>
      </c>
      <c r="B2321" s="2005">
        <f>IFERROR(__xludf.DUMMYFUNCTION("""COMPUTED_VALUE"""),2209805.0)</f>
        <v>2209805</v>
      </c>
      <c r="C2321" s="2005" t="str">
        <f>IFERROR(__xludf.DUMMYFUNCTION("""COMPUTED_VALUE"""),"Lot")</f>
        <v>Lot</v>
      </c>
      <c r="D2321" s="2005" t="str">
        <f>IFERROR(__xludf.DUMMYFUNCTION("""COMPUTED_VALUE"""),"TS 5351a Blanche + Cartouche PG560 Noire")</f>
        <v>TS 5351a Blanche + Cartouche PG560 Noire</v>
      </c>
      <c r="E2321" s="2005" t="str">
        <f>IFERROR(__xludf.DUMMYFUNCTION("""COMPUTED_VALUE"""),"CANON")</f>
        <v>CANON</v>
      </c>
      <c r="F2321" s="2005" t="str">
        <f>IFERROR(__xludf.DUMMYFUNCTION("""COMPUTED_VALUE"""),"H")</f>
        <v>H</v>
      </c>
      <c r="G2321" s="2005" t="str">
        <f>IFERROR(__xludf.DUMMYFUNCTION("""COMPUTED_VALUE"""),"NN")</f>
        <v>NN</v>
      </c>
      <c r="H2321" s="2005">
        <f>IFERROR(__xludf.DUMMYFUNCTION("""COMPUTED_VALUE"""),130.65)</f>
        <v>130.65</v>
      </c>
      <c r="I2321" s="2005">
        <f>IFERROR(__xludf.DUMMYFUNCTION("""COMPUTED_VALUE"""),130.65)</f>
        <v>130.65</v>
      </c>
      <c r="BD2321" s="2006"/>
      <c r="LL2321" s="2007"/>
      <c r="LM2321" s="2007"/>
      <c r="MX2321" s="2007"/>
      <c r="ND2321" s="2007"/>
    </row>
    <row r="2322">
      <c r="A2322" s="2005">
        <f>IFERROR(__xludf.DUMMYFUNCTION("""COMPUTED_VALUE"""),1180642.0)</f>
        <v>1180642</v>
      </c>
      <c r="B2322" s="2005">
        <f>IFERROR(__xludf.DUMMYFUNCTION("""COMPUTED_VALUE"""),2209805.0)</f>
        <v>2209805</v>
      </c>
      <c r="C2322" s="2005" t="str">
        <f>IFERROR(__xludf.DUMMYFUNCTION("""COMPUTED_VALUE"""),"Lot")</f>
        <v>Lot</v>
      </c>
      <c r="D2322" s="2005" t="str">
        <f>IFERROR(__xludf.DUMMYFUNCTION("""COMPUTED_VALUE"""),"TS 7451a + Cartouche PG560 Noire")</f>
        <v>TS 7451a + Cartouche PG560 Noire</v>
      </c>
      <c r="E2322" s="2005" t="str">
        <f>IFERROR(__xludf.DUMMYFUNCTION("""COMPUTED_VALUE"""),"CANON")</f>
        <v>CANON</v>
      </c>
      <c r="F2322" s="2005" t="str">
        <f>IFERROR(__xludf.DUMMYFUNCTION("""COMPUTED_VALUE"""),"H")</f>
        <v>H</v>
      </c>
      <c r="G2322" s="2005" t="str">
        <f>IFERROR(__xludf.DUMMYFUNCTION("""COMPUTED_VALUE"""),"FI")</f>
        <v>FI</v>
      </c>
      <c r="H2322">
        <f>IFERROR(__xludf.DUMMYFUNCTION("""COMPUTED_VALUE"""),142.47)</f>
        <v>142.47</v>
      </c>
      <c r="I2322">
        <f>IFERROR(__xludf.DUMMYFUNCTION("""COMPUTED_VALUE"""),142.47)</f>
        <v>142.47</v>
      </c>
      <c r="BD2322" s="2006"/>
      <c r="LL2322" s="2007"/>
      <c r="LM2322" s="2007"/>
      <c r="MX2322" s="2007"/>
      <c r="ND2322" s="2007"/>
    </row>
    <row r="2323">
      <c r="A2323" s="2005">
        <f>IFERROR(__xludf.DUMMYFUNCTION("""COMPUTED_VALUE"""),1180643.0)</f>
        <v>1180643</v>
      </c>
      <c r="B2323" s="2005">
        <f>IFERROR(__xludf.DUMMYFUNCTION("""COMPUTED_VALUE"""),2209805.0)</f>
        <v>2209805</v>
      </c>
      <c r="C2323" s="2005" t="str">
        <f>IFERROR(__xludf.DUMMYFUNCTION("""COMPUTED_VALUE"""),"Lot")</f>
        <v>Lot</v>
      </c>
      <c r="D2323" s="2005" t="str">
        <f>IFERROR(__xludf.DUMMYFUNCTION("""COMPUTED_VALUE"""),"TS 6351a Blanche+Cartouche PGI580 Noire")</f>
        <v>TS 6351a Blanche+Cartouche PGI580 Noire</v>
      </c>
      <c r="E2323" s="2005" t="str">
        <f>IFERROR(__xludf.DUMMYFUNCTION("""COMPUTED_VALUE"""),"CANON")</f>
        <v>CANON</v>
      </c>
      <c r="F2323" s="2005" t="str">
        <f>IFERROR(__xludf.DUMMYFUNCTION("""COMPUTED_VALUE"""),"H")</f>
        <v>H</v>
      </c>
      <c r="G2323" s="2005" t="str">
        <f>IFERROR(__xludf.DUMMYFUNCTION("""COMPUTED_VALUE"""),"AC")</f>
        <v>AC</v>
      </c>
      <c r="H2323">
        <f>IFERROR(__xludf.DUMMYFUNCTION("""COMPUTED_VALUE"""),138.25)</f>
        <v>138.25</v>
      </c>
      <c r="I2323">
        <f>IFERROR(__xludf.DUMMYFUNCTION("""COMPUTED_VALUE"""),138.25)</f>
        <v>138.25</v>
      </c>
      <c r="BD2323" s="2006"/>
      <c r="LL2323" s="2007"/>
      <c r="LM2323" s="2007"/>
      <c r="MX2323" s="2007"/>
      <c r="ND2323" s="2007"/>
    </row>
    <row r="2324">
      <c r="A2324" s="2005">
        <f>IFERROR(__xludf.DUMMYFUNCTION("""COMPUTED_VALUE"""),1180644.0)</f>
        <v>1180644</v>
      </c>
      <c r="B2324" s="2005">
        <f>IFERROR(__xludf.DUMMYFUNCTION("""COMPUTED_VALUE"""),2209805.0)</f>
        <v>2209805</v>
      </c>
      <c r="C2324" s="2005" t="str">
        <f>IFERROR(__xludf.DUMMYFUNCTION("""COMPUTED_VALUE"""),"Lot")</f>
        <v>Lot</v>
      </c>
      <c r="D2324" s="2005" t="str">
        <f>IFERROR(__xludf.DUMMYFUNCTION("""COMPUTED_VALUE"""),"TS 705a + PGI-580 Noire pigmentée")</f>
        <v>TS 705a + PGI-580 Noire pigmentée</v>
      </c>
      <c r="E2324" s="2005" t="str">
        <f>IFERROR(__xludf.DUMMYFUNCTION("""COMPUTED_VALUE"""),"CANON")</f>
        <v>CANON</v>
      </c>
      <c r="F2324" s="2005" t="str">
        <f>IFERROR(__xludf.DUMMYFUNCTION("""COMPUTED_VALUE"""),"H")</f>
        <v>H</v>
      </c>
      <c r="G2324" s="2005" t="str">
        <f>IFERROR(__xludf.DUMMYFUNCTION("""COMPUTED_VALUE"""),"AC")</f>
        <v>AC</v>
      </c>
      <c r="H2324" s="2005">
        <f>IFERROR(__xludf.DUMMYFUNCTION("""COMPUTED_VALUE"""),109.75)</f>
        <v>109.75</v>
      </c>
      <c r="I2324" s="2005">
        <f>IFERROR(__xludf.DUMMYFUNCTION("""COMPUTED_VALUE"""),90.75)</f>
        <v>90.75</v>
      </c>
      <c r="BD2324" s="2006"/>
      <c r="LL2324" s="2007"/>
      <c r="LM2324" s="2007"/>
      <c r="MX2324" s="2007"/>
      <c r="ND2324" s="2007"/>
    </row>
    <row r="2325">
      <c r="A2325" s="2005">
        <f>IFERROR(__xludf.DUMMYFUNCTION("""COMPUTED_VALUE"""),1180654.0)</f>
        <v>1180654</v>
      </c>
      <c r="B2325" s="2005">
        <f>IFERROR(__xludf.DUMMYFUNCTION("""COMPUTED_VALUE"""),2209805.0)</f>
        <v>2209805</v>
      </c>
      <c r="C2325" s="2005" t="str">
        <f>IFERROR(__xludf.DUMMYFUNCTION("""COMPUTED_VALUE"""),"Lot")</f>
        <v>Lot</v>
      </c>
      <c r="D2325" s="2005" t="str">
        <f>IFERROR(__xludf.DUMMYFUNCTION("""COMPUTED_VALUE"""),"EcoTank ET-14000 + Ecotank  Noir T664")</f>
        <v>EcoTank ET-14000 + Ecotank  Noir T664</v>
      </c>
      <c r="E2325" s="2005" t="str">
        <f>IFERROR(__xludf.DUMMYFUNCTION("""COMPUTED_VALUE"""),"EPSON")</f>
        <v>EPSON</v>
      </c>
      <c r="F2325" s="2005" t="str">
        <f>IFERROR(__xludf.DUMMYFUNCTION("""COMPUTED_VALUE"""),"H")</f>
        <v>H</v>
      </c>
      <c r="G2325" s="2005" t="str">
        <f>IFERROR(__xludf.DUMMYFUNCTION("""COMPUTED_VALUE"""),"NN")</f>
        <v>NN</v>
      </c>
      <c r="H2325" s="2005">
        <f>IFERROR(__xludf.DUMMYFUNCTION("""COMPUTED_VALUE"""),628.01)</f>
        <v>628.01</v>
      </c>
      <c r="I2325" s="2005">
        <f>IFERROR(__xludf.DUMMYFUNCTION("""COMPUTED_VALUE"""),628.01)</f>
        <v>628.01</v>
      </c>
      <c r="BD2325" s="2006"/>
      <c r="LL2325" s="2007"/>
      <c r="LM2325" s="2007"/>
      <c r="MX2325" s="2007"/>
      <c r="ND2325" s="2007"/>
    </row>
    <row r="2326">
      <c r="A2326" s="2005">
        <f>IFERROR(__xludf.DUMMYFUNCTION("""COMPUTED_VALUE"""),1180655.0)</f>
        <v>1180655</v>
      </c>
      <c r="B2326" s="2005">
        <f>IFERROR(__xludf.DUMMYFUNCTION("""COMPUTED_VALUE"""),2209805.0)</f>
        <v>2209805</v>
      </c>
      <c r="C2326" s="2005" t="str">
        <f>IFERROR(__xludf.DUMMYFUNCTION("""COMPUTED_VALUE"""),"Lot")</f>
        <v>Lot</v>
      </c>
      <c r="D2326" s="2005" t="str">
        <f>IFERROR(__xludf.DUMMYFUNCTION("""COMPUTED_VALUE"""),"EcoTank ET-2600 + Ecotank Noir T664")</f>
        <v>EcoTank ET-2600 + Ecotank Noir T664</v>
      </c>
      <c r="E2326" s="2005" t="str">
        <f>IFERROR(__xludf.DUMMYFUNCTION("""COMPUTED_VALUE"""),"EPSON")</f>
        <v>EPSON</v>
      </c>
      <c r="F2326" s="2005" t="str">
        <f>IFERROR(__xludf.DUMMYFUNCTION("""COMPUTED_VALUE"""),"H")</f>
        <v>H</v>
      </c>
      <c r="G2326" s="2005" t="str">
        <f>IFERROR(__xludf.DUMMYFUNCTION("""COMPUTED_VALUE"""),"NN")</f>
        <v>NN</v>
      </c>
      <c r="H2326" s="2005">
        <f>IFERROR(__xludf.DUMMYFUNCTION("""COMPUTED_VALUE"""),200.47)</f>
        <v>200.47</v>
      </c>
      <c r="I2326" s="2005">
        <f>IFERROR(__xludf.DUMMYFUNCTION("""COMPUTED_VALUE"""),200.47)</f>
        <v>200.47</v>
      </c>
      <c r="BD2326" s="2006"/>
      <c r="LL2326" s="2007"/>
      <c r="LM2326" s="2007"/>
      <c r="MX2326" s="2007"/>
      <c r="ND2326" s="2007"/>
    </row>
    <row r="2327">
      <c r="A2327" s="2005">
        <f>IFERROR(__xludf.DUMMYFUNCTION("""COMPUTED_VALUE"""),1180656.0)</f>
        <v>1180656</v>
      </c>
      <c r="B2327" s="2005">
        <f>IFERROR(__xludf.DUMMYFUNCTION("""COMPUTED_VALUE"""),2209805.0)</f>
        <v>2209805</v>
      </c>
      <c r="C2327" s="2005" t="str">
        <f>IFERROR(__xludf.DUMMYFUNCTION("""COMPUTED_VALUE"""),"Lot")</f>
        <v>Lot</v>
      </c>
      <c r="D2327" s="2005" t="str">
        <f>IFERROR(__xludf.DUMMYFUNCTION("""COMPUTED_VALUE"""),"XP 6100 + Cartouche 202 Noir XL")</f>
        <v>XP 6100 + Cartouche 202 Noir XL</v>
      </c>
      <c r="E2327" s="2005" t="str">
        <f>IFERROR(__xludf.DUMMYFUNCTION("""COMPUTED_VALUE"""),"EPSON")</f>
        <v>EPSON</v>
      </c>
      <c r="F2327" s="2005" t="str">
        <f>IFERROR(__xludf.DUMMYFUNCTION("""COMPUTED_VALUE"""),"H")</f>
        <v>H</v>
      </c>
      <c r="G2327" s="2005" t="str">
        <f>IFERROR(__xludf.DUMMYFUNCTION("""COMPUTED_VALUE"""),"NN")</f>
        <v>NN</v>
      </c>
      <c r="H2327" s="2005">
        <f>IFERROR(__xludf.DUMMYFUNCTION("""COMPUTED_VALUE"""),164.38)</f>
        <v>164.38</v>
      </c>
      <c r="I2327" s="2005">
        <f>IFERROR(__xludf.DUMMYFUNCTION("""COMPUTED_VALUE"""),164.38)</f>
        <v>164.38</v>
      </c>
      <c r="BD2327" s="2006"/>
      <c r="LL2327" s="2007"/>
      <c r="LM2327" s="2007"/>
      <c r="MX2327" s="2007"/>
      <c r="ND2327" s="2007"/>
    </row>
    <row r="2328">
      <c r="A2328" s="2005">
        <f>IFERROR(__xludf.DUMMYFUNCTION("""COMPUTED_VALUE"""),1180657.0)</f>
        <v>1180657</v>
      </c>
      <c r="B2328" s="2005">
        <f>IFERROR(__xludf.DUMMYFUNCTION("""COMPUTED_VALUE"""),2209805.0)</f>
        <v>2209805</v>
      </c>
      <c r="C2328" s="2005" t="str">
        <f>IFERROR(__xludf.DUMMYFUNCTION("""COMPUTED_VALUE"""),"Lot")</f>
        <v>Lot</v>
      </c>
      <c r="D2328" s="2005" t="str">
        <f>IFERROR(__xludf.DUMMYFUNCTION("""COMPUTED_VALUE"""),"XP 2105 + 603XL Noir Etoile de Mer")</f>
        <v>XP 2105 + 603XL Noir Etoile de Mer</v>
      </c>
      <c r="E2328" s="2005" t="str">
        <f>IFERROR(__xludf.DUMMYFUNCTION("""COMPUTED_VALUE"""),"EPSON")</f>
        <v>EPSON</v>
      </c>
      <c r="F2328" s="2005" t="str">
        <f>IFERROR(__xludf.DUMMYFUNCTION("""COMPUTED_VALUE"""),"H")</f>
        <v>H</v>
      </c>
      <c r="G2328" s="2005" t="str">
        <f>IFERROR(__xludf.DUMMYFUNCTION("""COMPUTED_VALUE"""),"NN")</f>
        <v>NN</v>
      </c>
      <c r="H2328" s="2005">
        <f>IFERROR(__xludf.DUMMYFUNCTION("""COMPUTED_VALUE"""),66.51)</f>
        <v>66.51</v>
      </c>
      <c r="I2328" s="2005">
        <f>IFERROR(__xludf.DUMMYFUNCTION("""COMPUTED_VALUE"""),66.51)</f>
        <v>66.51</v>
      </c>
      <c r="BD2328" s="2006"/>
      <c r="LL2328" s="2007"/>
      <c r="LM2328" s="2007"/>
      <c r="MX2328" s="2007"/>
      <c r="ND2328" s="2007"/>
    </row>
    <row r="2329">
      <c r="A2329" s="2005">
        <f>IFERROR(__xludf.DUMMYFUNCTION("""COMPUTED_VALUE"""),1180659.0)</f>
        <v>1180659</v>
      </c>
      <c r="B2329" s="2005">
        <f>IFERROR(__xludf.DUMMYFUNCTION("""COMPUTED_VALUE"""),2209805.0)</f>
        <v>2209805</v>
      </c>
      <c r="C2329" s="2005" t="str">
        <f>IFERROR(__xludf.DUMMYFUNCTION("""COMPUTED_VALUE"""),"Lot")</f>
        <v>Lot</v>
      </c>
      <c r="D2329" s="2005" t="str">
        <f>IFERROR(__xludf.DUMMYFUNCTION("""COMPUTED_VALUE"""),"XP 4105 + 603XL Noir Etoile de Mer")</f>
        <v>XP 4105 + 603XL Noir Etoile de Mer</v>
      </c>
      <c r="E2329" s="2005" t="str">
        <f>IFERROR(__xludf.DUMMYFUNCTION("""COMPUTED_VALUE"""),"EPSON")</f>
        <v>EPSON</v>
      </c>
      <c r="F2329" s="2005" t="str">
        <f>IFERROR(__xludf.DUMMYFUNCTION("""COMPUTED_VALUE"""),"H")</f>
        <v>H</v>
      </c>
      <c r="G2329" s="2005" t="str">
        <f>IFERROR(__xludf.DUMMYFUNCTION("""COMPUTED_VALUE"""),"NN")</f>
        <v>NN</v>
      </c>
      <c r="H2329" s="2005">
        <f>IFERROR(__xludf.DUMMYFUNCTION("""COMPUTED_VALUE"""),87.41)</f>
        <v>87.41</v>
      </c>
      <c r="I2329" s="2005">
        <f>IFERROR(__xludf.DUMMYFUNCTION("""COMPUTED_VALUE"""),87.41)</f>
        <v>87.41</v>
      </c>
      <c r="BD2329" s="2006"/>
      <c r="LL2329" s="2007"/>
      <c r="LM2329" s="2007"/>
      <c r="MX2329" s="2007"/>
      <c r="ND2329" s="2007"/>
    </row>
    <row r="2330">
      <c r="A2330" s="2005">
        <f>IFERROR(__xludf.DUMMYFUNCTION("""COMPUTED_VALUE"""),1180660.0)</f>
        <v>1180660</v>
      </c>
      <c r="B2330" s="2005">
        <f>IFERROR(__xludf.DUMMYFUNCTION("""COMPUTED_VALUE"""),2209805.0)</f>
        <v>2209805</v>
      </c>
      <c r="C2330" s="2005" t="str">
        <f>IFERROR(__xludf.DUMMYFUNCTION("""COMPUTED_VALUE"""),"Lot")</f>
        <v>Lot</v>
      </c>
      <c r="D2330" s="2005" t="str">
        <f>IFERROR(__xludf.DUMMYFUNCTION("""COMPUTED_VALUE"""),"WF-110W + Cartouche 266 Noir")</f>
        <v>WF-110W + Cartouche 266 Noir</v>
      </c>
      <c r="E2330" s="2005" t="str">
        <f>IFERROR(__xludf.DUMMYFUNCTION("""COMPUTED_VALUE"""),"EPSON")</f>
        <v>EPSON</v>
      </c>
      <c r="F2330" s="2005" t="str">
        <f>IFERROR(__xludf.DUMMYFUNCTION("""COMPUTED_VALUE"""),"H")</f>
        <v>H</v>
      </c>
      <c r="G2330" s="2005" t="str">
        <f>IFERROR(__xludf.DUMMYFUNCTION("""COMPUTED_VALUE"""),"AC")</f>
        <v>AC</v>
      </c>
      <c r="H2330" s="2005">
        <f>IFERROR(__xludf.DUMMYFUNCTION("""COMPUTED_VALUE"""),287.86)</f>
        <v>287.86</v>
      </c>
      <c r="I2330" s="2005">
        <f>IFERROR(__xludf.DUMMYFUNCTION("""COMPUTED_VALUE"""),287.86)</f>
        <v>287.86</v>
      </c>
      <c r="BD2330" s="2006"/>
      <c r="LL2330" s="2007"/>
      <c r="LM2330" s="2007"/>
      <c r="MX2330" s="2007"/>
      <c r="ND2330" s="2007"/>
    </row>
    <row r="2331">
      <c r="A2331" s="2005">
        <f>IFERROR(__xludf.DUMMYFUNCTION("""COMPUTED_VALUE"""),1180674.0)</f>
        <v>1180674</v>
      </c>
      <c r="B2331" s="2005">
        <f>IFERROR(__xludf.DUMMYFUNCTION("""COMPUTED_VALUE"""),2209805.0)</f>
        <v>2209805</v>
      </c>
      <c r="C2331" s="2005" t="str">
        <f>IFERROR(__xludf.DUMMYFUNCTION("""COMPUTED_VALUE"""),"Lot")</f>
        <v>Lot</v>
      </c>
      <c r="D2331" s="2005" t="str">
        <f>IFERROR(__xludf.DUMMYFUNCTION("""COMPUTED_VALUE"""),"OfficeJet Pro 6960 + Cartouche 903 Cyan")</f>
        <v>OfficeJet Pro 6960 + Cartouche 903 Cyan</v>
      </c>
      <c r="E2331" s="2005" t="str">
        <f>IFERROR(__xludf.DUMMYFUNCTION("""COMPUTED_VALUE"""),"HP")</f>
        <v>HP</v>
      </c>
      <c r="F2331" s="2005" t="str">
        <f>IFERROR(__xludf.DUMMYFUNCTION("""COMPUTED_VALUE"""),"H")</f>
        <v>H</v>
      </c>
      <c r="G2331" s="2005" t="str">
        <f>IFERROR(__xludf.DUMMYFUNCTION("""COMPUTED_VALUE"""),"NN")</f>
        <v>NN</v>
      </c>
      <c r="H2331" s="2005">
        <f>IFERROR(__xludf.DUMMYFUNCTION("""COMPUTED_VALUE"""),154.89)</f>
        <v>154.89</v>
      </c>
      <c r="I2331" s="2005">
        <f>IFERROR(__xludf.DUMMYFUNCTION("""COMPUTED_VALUE"""),154.89)</f>
        <v>154.89</v>
      </c>
      <c r="BD2331" s="2006"/>
      <c r="LL2331" s="2007"/>
      <c r="LM2331" s="2007"/>
      <c r="MX2331" s="2008"/>
      <c r="ND2331" s="2007"/>
    </row>
    <row r="2332">
      <c r="A2332" s="2005">
        <f>IFERROR(__xludf.DUMMYFUNCTION("""COMPUTED_VALUE"""),1180676.0)</f>
        <v>1180676</v>
      </c>
      <c r="B2332" s="2005">
        <f>IFERROR(__xludf.DUMMYFUNCTION("""COMPUTED_VALUE"""),2209805.0)</f>
        <v>2209805</v>
      </c>
      <c r="C2332" s="2005" t="str">
        <f>IFERROR(__xludf.DUMMYFUNCTION("""COMPUTED_VALUE"""),"Lot")</f>
        <v>Lot</v>
      </c>
      <c r="D2332" s="2005" t="str">
        <f>IFERROR(__xludf.DUMMYFUNCTION("""COMPUTED_VALUE"""),"Deskjet 2630 + Cartouche 304 3 couleurs")</f>
        <v>Deskjet 2630 + Cartouche 304 3 couleurs</v>
      </c>
      <c r="E2332" s="2005" t="str">
        <f>IFERROR(__xludf.DUMMYFUNCTION("""COMPUTED_VALUE"""),"HP")</f>
        <v>HP</v>
      </c>
      <c r="F2332" s="2005" t="str">
        <f>IFERROR(__xludf.DUMMYFUNCTION("""COMPUTED_VALUE"""),"H")</f>
        <v>H</v>
      </c>
      <c r="G2332" s="2005" t="str">
        <f>IFERROR(__xludf.DUMMYFUNCTION("""COMPUTED_VALUE"""),"NN")</f>
        <v>NN</v>
      </c>
      <c r="H2332" s="2005">
        <f>IFERROR(__xludf.DUMMYFUNCTION("""COMPUTED_VALUE"""),44.66)</f>
        <v>44.66</v>
      </c>
      <c r="I2332" s="2005">
        <f>IFERROR(__xludf.DUMMYFUNCTION("""COMPUTED_VALUE"""),44.66)</f>
        <v>44.66</v>
      </c>
      <c r="LL2332" s="2008"/>
      <c r="LM2332" s="2007"/>
    </row>
    <row r="2333">
      <c r="A2333" s="2005">
        <f>IFERROR(__xludf.DUMMYFUNCTION("""COMPUTED_VALUE"""),1180677.0)</f>
        <v>1180677</v>
      </c>
      <c r="B2333" s="2005">
        <f>IFERROR(__xludf.DUMMYFUNCTION("""COMPUTED_VALUE"""),2209805.0)</f>
        <v>2209805</v>
      </c>
      <c r="C2333" s="2005" t="str">
        <f>IFERROR(__xludf.DUMMYFUNCTION("""COMPUTED_VALUE"""),"Lot")</f>
        <v>Lot</v>
      </c>
      <c r="D2333" s="2005" t="str">
        <f>IFERROR(__xludf.DUMMYFUNCTION("""COMPUTED_VALUE"""),"Deskjet 3639 + Cartouche 302 3 couleurs")</f>
        <v>Deskjet 3639 + Cartouche 302 3 couleurs</v>
      </c>
      <c r="E2333" s="2005" t="str">
        <f>IFERROR(__xludf.DUMMYFUNCTION("""COMPUTED_VALUE"""),"HP")</f>
        <v>HP</v>
      </c>
      <c r="F2333" s="2005" t="str">
        <f>IFERROR(__xludf.DUMMYFUNCTION("""COMPUTED_VALUE"""),"H")</f>
        <v>H</v>
      </c>
      <c r="G2333" s="2005" t="str">
        <f>IFERROR(__xludf.DUMMYFUNCTION("""COMPUTED_VALUE"""),"NN")</f>
        <v>NN</v>
      </c>
      <c r="H2333" s="2005">
        <f>IFERROR(__xludf.DUMMYFUNCTION("""COMPUTED_VALUE"""),59.86)</f>
        <v>59.86</v>
      </c>
      <c r="I2333" s="2005">
        <f>IFERROR(__xludf.DUMMYFUNCTION("""COMPUTED_VALUE"""),59.86)</f>
        <v>59.86</v>
      </c>
      <c r="BD2333" s="2006"/>
      <c r="LL2333" s="2008"/>
      <c r="LM2333" s="2007"/>
      <c r="MX2333" s="2007"/>
      <c r="ND2333" s="2008"/>
    </row>
    <row r="2334">
      <c r="A2334" s="2005">
        <f>IFERROR(__xludf.DUMMYFUNCTION("""COMPUTED_VALUE"""),1180678.0)</f>
        <v>1180678</v>
      </c>
      <c r="B2334" s="2005">
        <f>IFERROR(__xludf.DUMMYFUNCTION("""COMPUTED_VALUE"""),2209805.0)</f>
        <v>2209805</v>
      </c>
      <c r="C2334" s="2005" t="str">
        <f>IFERROR(__xludf.DUMMYFUNCTION("""COMPUTED_VALUE"""),"Lot")</f>
        <v>Lot</v>
      </c>
      <c r="D2334" s="2005" t="str">
        <f>IFERROR(__xludf.DUMMYFUNCTION("""COMPUTED_VALUE"""),"Envy 6232 + Cartouche 303 3 Couleurs")</f>
        <v>Envy 6232 + Cartouche 303 3 Couleurs</v>
      </c>
      <c r="E2334" s="2005" t="str">
        <f>IFERROR(__xludf.DUMMYFUNCTION("""COMPUTED_VALUE"""),"HP")</f>
        <v>HP</v>
      </c>
      <c r="F2334" s="2005" t="str">
        <f>IFERROR(__xludf.DUMMYFUNCTION("""COMPUTED_VALUE"""),"H")</f>
        <v>H</v>
      </c>
      <c r="G2334" s="2005" t="str">
        <f>IFERROR(__xludf.DUMMYFUNCTION("""COMPUTED_VALUE"""),"NN")</f>
        <v>NN</v>
      </c>
      <c r="H2334" s="2005">
        <f>IFERROR(__xludf.DUMMYFUNCTION("""COMPUTED_VALUE"""),129.99)</f>
        <v>129.99</v>
      </c>
      <c r="I2334" s="2005">
        <f>IFERROR(__xludf.DUMMYFUNCTION("""COMPUTED_VALUE"""),129.99)</f>
        <v>129.99</v>
      </c>
      <c r="BD2334" s="2006"/>
      <c r="LL2334" s="2007"/>
      <c r="LM2334" s="2007"/>
      <c r="MX2334" s="2007"/>
      <c r="ND2334" s="2007"/>
    </row>
    <row r="2335">
      <c r="A2335" s="2005">
        <f>IFERROR(__xludf.DUMMYFUNCTION("""COMPUTED_VALUE"""),1180679.0)</f>
        <v>1180679</v>
      </c>
      <c r="B2335" s="2005">
        <f>IFERROR(__xludf.DUMMYFUNCTION("""COMPUTED_VALUE"""),2209805.0)</f>
        <v>2209805</v>
      </c>
      <c r="C2335" s="2005" t="str">
        <f>IFERROR(__xludf.DUMMYFUNCTION("""COMPUTED_VALUE"""),"Lot")</f>
        <v>Lot</v>
      </c>
      <c r="D2335" s="2005" t="str">
        <f>IFERROR(__xludf.DUMMYFUNCTION("""COMPUTED_VALUE"""),"OfficeJet 5230 +Cartouche 302 3 couleurs")</f>
        <v>OfficeJet 5230 +Cartouche 302 3 couleurs</v>
      </c>
      <c r="E2335" s="2005" t="str">
        <f>IFERROR(__xludf.DUMMYFUNCTION("""COMPUTED_VALUE"""),"HP")</f>
        <v>HP</v>
      </c>
      <c r="F2335" s="2005" t="str">
        <f>IFERROR(__xludf.DUMMYFUNCTION("""COMPUTED_VALUE"""),"H")</f>
        <v>H</v>
      </c>
      <c r="G2335" s="2005" t="str">
        <f>IFERROR(__xludf.DUMMYFUNCTION("""COMPUTED_VALUE"""),"NN")</f>
        <v>NN</v>
      </c>
      <c r="H2335" s="2005">
        <f>IFERROR(__xludf.DUMMYFUNCTION("""COMPUTED_VALUE"""),96.93)</f>
        <v>96.93</v>
      </c>
      <c r="I2335" s="2005">
        <f>IFERROR(__xludf.DUMMYFUNCTION("""COMPUTED_VALUE"""),96.93)</f>
        <v>96.93</v>
      </c>
      <c r="BD2335" s="2006"/>
      <c r="LL2335" s="2007"/>
      <c r="LM2335" s="2007"/>
      <c r="MX2335" s="2007"/>
      <c r="ND2335" s="2007"/>
    </row>
    <row r="2336">
      <c r="A2336" s="2005">
        <f>IFERROR(__xludf.DUMMYFUNCTION("""COMPUTED_VALUE"""),1180680.0)</f>
        <v>1180680</v>
      </c>
      <c r="B2336" s="2005">
        <f>IFERROR(__xludf.DUMMYFUNCTION("""COMPUTED_VALUE"""),2209805.0)</f>
        <v>2209805</v>
      </c>
      <c r="C2336" s="2005" t="str">
        <f>IFERROR(__xludf.DUMMYFUNCTION("""COMPUTED_VALUE"""),"Lot")</f>
        <v>Lot</v>
      </c>
      <c r="D2336" s="2005" t="str">
        <f>IFERROR(__xludf.DUMMYFUNCTION("""COMPUTED_VALUE"""),"Smart Tank 455 + Bouteille 32 XL Noire")</f>
        <v>Smart Tank 455 + Bouteille 32 XL Noire</v>
      </c>
      <c r="E2336" s="2005" t="str">
        <f>IFERROR(__xludf.DUMMYFUNCTION("""COMPUTED_VALUE"""),"HP")</f>
        <v>HP</v>
      </c>
      <c r="F2336" s="2005" t="str">
        <f>IFERROR(__xludf.DUMMYFUNCTION("""COMPUTED_VALUE"""),"H")</f>
        <v>H</v>
      </c>
      <c r="G2336" s="2005" t="str">
        <f>IFERROR(__xludf.DUMMYFUNCTION("""COMPUTED_VALUE"""),"NN")</f>
        <v>NN</v>
      </c>
      <c r="H2336">
        <f>IFERROR(__xludf.DUMMYFUNCTION("""COMPUTED_VALUE"""),232.67)</f>
        <v>232.67</v>
      </c>
      <c r="I2336">
        <f>IFERROR(__xludf.DUMMYFUNCTION("""COMPUTED_VALUE"""),232.67)</f>
        <v>232.67</v>
      </c>
      <c r="BD2336" s="2006"/>
      <c r="LL2336" s="2007"/>
      <c r="LM2336" s="2007"/>
      <c r="MX2336" s="2007"/>
      <c r="ND2336" s="2007"/>
    </row>
    <row r="2337">
      <c r="A2337" s="2005">
        <f>IFERROR(__xludf.DUMMYFUNCTION("""COMPUTED_VALUE"""),1180681.0)</f>
        <v>1180681</v>
      </c>
      <c r="B2337" s="2005">
        <f>IFERROR(__xludf.DUMMYFUNCTION("""COMPUTED_VALUE"""),2209805.0)</f>
        <v>2209805</v>
      </c>
      <c r="C2337" s="2005" t="str">
        <f>IFERROR(__xludf.DUMMYFUNCTION("""COMPUTED_VALUE"""),"Lot")</f>
        <v>Lot</v>
      </c>
      <c r="D2337" s="2005" t="str">
        <f>IFERROR(__xludf.DUMMYFUNCTION("""COMPUTED_VALUE"""),"WF-2850DWF + 603XL Noir Etoile de Mer")</f>
        <v>WF-2850DWF + 603XL Noir Etoile de Mer</v>
      </c>
      <c r="E2337" s="2005" t="str">
        <f>IFERROR(__xludf.DUMMYFUNCTION("""COMPUTED_VALUE"""),"EPSON")</f>
        <v>EPSON</v>
      </c>
      <c r="F2337" s="2005" t="str">
        <f>IFERROR(__xludf.DUMMYFUNCTION("""COMPUTED_VALUE"""),"H")</f>
        <v>H</v>
      </c>
      <c r="G2337" s="2005" t="str">
        <f>IFERROR(__xludf.DUMMYFUNCTION("""COMPUTED_VALUE"""),"NN")</f>
        <v>NN</v>
      </c>
      <c r="H2337" s="2005">
        <f>IFERROR(__xludf.DUMMYFUNCTION("""COMPUTED_VALUE"""),100.73)</f>
        <v>100.73</v>
      </c>
      <c r="I2337" s="2005">
        <f>IFERROR(__xludf.DUMMYFUNCTION("""COMPUTED_VALUE"""),100.73)</f>
        <v>100.73</v>
      </c>
      <c r="BD2337" s="2006"/>
      <c r="LL2337" s="2007"/>
      <c r="LM2337" s="2007"/>
      <c r="MX2337" s="2007"/>
      <c r="ND2337" s="2007"/>
    </row>
    <row r="2338">
      <c r="A2338" s="2005">
        <f>IFERROR(__xludf.DUMMYFUNCTION("""COMPUTED_VALUE"""),1180683.0)</f>
        <v>1180683</v>
      </c>
      <c r="B2338" s="2005">
        <f>IFERROR(__xludf.DUMMYFUNCTION("""COMPUTED_VALUE"""),2209805.0)</f>
        <v>2209805</v>
      </c>
      <c r="C2338" s="2005" t="str">
        <f>IFERROR(__xludf.DUMMYFUNCTION("""COMPUTED_VALUE"""),"Lot")</f>
        <v>Lot</v>
      </c>
      <c r="D2338" s="2005" t="str">
        <f>IFERROR(__xludf.DUMMYFUNCTION("""COMPUTED_VALUE"""),"EcoTank ET-16600 + Ecotank 113 Noire")</f>
        <v>EcoTank ET-16600 + Ecotank 113 Noire</v>
      </c>
      <c r="E2338" s="2005" t="str">
        <f>IFERROR(__xludf.DUMMYFUNCTION("""COMPUTED_VALUE"""),"EPSON")</f>
        <v>EPSON</v>
      </c>
      <c r="F2338" s="2005" t="str">
        <f>IFERROR(__xludf.DUMMYFUNCTION("""COMPUTED_VALUE"""),"H")</f>
        <v>H</v>
      </c>
      <c r="G2338" s="2005" t="str">
        <f>IFERROR(__xludf.DUMMYFUNCTION("""COMPUTED_VALUE"""),"AC")</f>
        <v>AC</v>
      </c>
      <c r="H2338" s="2005">
        <f>IFERROR(__xludf.DUMMYFUNCTION("""COMPUTED_VALUE"""),1016.56)</f>
        <v>1016.56</v>
      </c>
      <c r="I2338" s="2005">
        <f>IFERROR(__xludf.DUMMYFUNCTION("""COMPUTED_VALUE"""),1016.56)</f>
        <v>1016.56</v>
      </c>
      <c r="BD2338" s="2006"/>
      <c r="LL2338" s="2007"/>
      <c r="LM2338" s="2007"/>
      <c r="MX2338" s="2007"/>
      <c r="ND2338" s="2007"/>
    </row>
    <row r="2339">
      <c r="A2339" s="2005">
        <f>IFERROR(__xludf.DUMMYFUNCTION("""COMPUTED_VALUE"""),1180684.0)</f>
        <v>1180684</v>
      </c>
      <c r="B2339" s="2005">
        <f>IFERROR(__xludf.DUMMYFUNCTION("""COMPUTED_VALUE"""),2209805.0)</f>
        <v>2209805</v>
      </c>
      <c r="C2339" s="2005" t="str">
        <f>IFERROR(__xludf.DUMMYFUNCTION("""COMPUTED_VALUE"""),"Lot")</f>
        <v>Lot</v>
      </c>
      <c r="D2339" s="2005" t="str">
        <f>IFERROR(__xludf.DUMMYFUNCTION("""COMPUTED_VALUE"""),"SureColor SC-P700  A3 + T46S1 Noir Photo")</f>
        <v>SureColor SC-P700  A3 + T46S1 Noir Photo</v>
      </c>
      <c r="E2339" s="2005" t="str">
        <f>IFERROR(__xludf.DUMMYFUNCTION("""COMPUTED_VALUE"""),"EPSON")</f>
        <v>EPSON</v>
      </c>
      <c r="F2339" s="2005" t="str">
        <f>IFERROR(__xludf.DUMMYFUNCTION("""COMPUTED_VALUE"""),"H")</f>
        <v>H</v>
      </c>
      <c r="G2339" s="2005" t="str">
        <f>IFERROR(__xludf.DUMMYFUNCTION("""COMPUTED_VALUE"""),"NN")</f>
        <v>NN</v>
      </c>
      <c r="H2339" s="2005">
        <f>IFERROR(__xludf.DUMMYFUNCTION("""COMPUTED_VALUE"""),741.11)</f>
        <v>741.11</v>
      </c>
      <c r="I2339" s="2005">
        <f>IFERROR(__xludf.DUMMYFUNCTION("""COMPUTED_VALUE"""),741.11)</f>
        <v>741.11</v>
      </c>
      <c r="BD2339" s="2006"/>
      <c r="LL2339" s="2007"/>
      <c r="LM2339" s="2007"/>
      <c r="MX2339" s="2007"/>
      <c r="ND2339" s="2007"/>
    </row>
    <row r="2340">
      <c r="A2340" s="2005">
        <f>IFERROR(__xludf.DUMMYFUNCTION("""COMPUTED_VALUE"""),1180685.0)</f>
        <v>1180685</v>
      </c>
      <c r="B2340" s="2005">
        <f>IFERROR(__xludf.DUMMYFUNCTION("""COMPUTED_VALUE"""),2209805.0)</f>
        <v>2209805</v>
      </c>
      <c r="C2340" s="2005" t="str">
        <f>IFERROR(__xludf.DUMMYFUNCTION("""COMPUTED_VALUE"""),"Lot")</f>
        <v>Lot</v>
      </c>
      <c r="D2340" s="2005" t="str">
        <f>IFERROR(__xludf.DUMMYFUNCTION("""COMPUTED_VALUE"""),"XP 970 + T2422 Cyan Série Eléphant")</f>
        <v>XP 970 + T2422 Cyan Série Eléphant</v>
      </c>
      <c r="E2340" s="2005" t="str">
        <f>IFERROR(__xludf.DUMMYFUNCTION("""COMPUTED_VALUE"""),"EPSON")</f>
        <v>EPSON</v>
      </c>
      <c r="F2340" s="2005" t="str">
        <f>IFERROR(__xludf.DUMMYFUNCTION("""COMPUTED_VALUE"""),"H")</f>
        <v>H</v>
      </c>
      <c r="G2340" s="2005" t="str">
        <f>IFERROR(__xludf.DUMMYFUNCTION("""COMPUTED_VALUE"""),"NN")</f>
        <v>NN</v>
      </c>
      <c r="H2340" s="2005">
        <f>IFERROR(__xludf.DUMMYFUNCTION("""COMPUTED_VALUE"""),298.33)</f>
        <v>298.33</v>
      </c>
      <c r="I2340" s="2005">
        <f>IFERROR(__xludf.DUMMYFUNCTION("""COMPUTED_VALUE"""),272.68)</f>
        <v>272.68</v>
      </c>
      <c r="BD2340" s="2006"/>
      <c r="LL2340" s="2007"/>
      <c r="LM2340" s="2007"/>
      <c r="MX2340" s="2007"/>
      <c r="ND2340" s="2007"/>
    </row>
    <row r="2341">
      <c r="A2341" s="2005">
        <f>IFERROR(__xludf.DUMMYFUNCTION("""COMPUTED_VALUE"""),1180686.0)</f>
        <v>1180686</v>
      </c>
      <c r="B2341" s="2005">
        <f>IFERROR(__xludf.DUMMYFUNCTION("""COMPUTED_VALUE"""),2209805.0)</f>
        <v>2209805</v>
      </c>
      <c r="C2341" s="2005" t="str">
        <f>IFERROR(__xludf.DUMMYFUNCTION("""COMPUTED_VALUE"""),"Lot")</f>
        <v>Lot</v>
      </c>
      <c r="D2341" s="2005" t="str">
        <f>IFERROR(__xludf.DUMMYFUNCTION("""COMPUTED_VALUE"""),"WorkForce WF-4830DTWF + 405 Valise Noire")</f>
        <v>WorkForce WF-4830DTWF + 405 Valise Noire</v>
      </c>
      <c r="E2341" s="2005" t="str">
        <f>IFERROR(__xludf.DUMMYFUNCTION("""COMPUTED_VALUE"""),"EPSON")</f>
        <v>EPSON</v>
      </c>
      <c r="F2341" s="2005" t="str">
        <f>IFERROR(__xludf.DUMMYFUNCTION("""COMPUTED_VALUE"""),"H")</f>
        <v>H</v>
      </c>
      <c r="G2341" s="2005" t="str">
        <f>IFERROR(__xludf.DUMMYFUNCTION("""COMPUTED_VALUE"""),"AC")</f>
        <v>AC</v>
      </c>
      <c r="H2341" s="2005">
        <f>IFERROR(__xludf.DUMMYFUNCTION("""COMPUTED_VALUE"""),231.87)</f>
        <v>231.87</v>
      </c>
      <c r="I2341" s="2005">
        <f>IFERROR(__xludf.DUMMYFUNCTION("""COMPUTED_VALUE"""),222.37)</f>
        <v>222.37</v>
      </c>
      <c r="BD2341" s="2006"/>
      <c r="LL2341" s="2007"/>
      <c r="LM2341" s="2007"/>
      <c r="MX2341" s="2007"/>
      <c r="ND2341" s="2007"/>
    </row>
    <row r="2342">
      <c r="A2342" s="2005">
        <f>IFERROR(__xludf.DUMMYFUNCTION("""COMPUTED_VALUE"""),1180687.0)</f>
        <v>1180687</v>
      </c>
      <c r="B2342" s="2005">
        <f>IFERROR(__xludf.DUMMYFUNCTION("""COMPUTED_VALUE"""),2209805.0)</f>
        <v>2209805</v>
      </c>
      <c r="C2342" s="2005" t="str">
        <f>IFERROR(__xludf.DUMMYFUNCTION("""COMPUTED_VALUE"""),"Lot")</f>
        <v>Lot</v>
      </c>
      <c r="D2342" s="2005" t="str">
        <f>IFERROR(__xludf.DUMMYFUNCTION("""COMPUTED_VALUE"""),"WorkForce WF-7835DTWF + 405 Valise Noire")</f>
        <v>WorkForce WF-7835DTWF + 405 Valise Noire</v>
      </c>
      <c r="E2342" s="2005" t="str">
        <f>IFERROR(__xludf.DUMMYFUNCTION("""COMPUTED_VALUE"""),"EPSON")</f>
        <v>EPSON</v>
      </c>
      <c r="F2342" s="2005" t="str">
        <f>IFERROR(__xludf.DUMMYFUNCTION("""COMPUTED_VALUE"""),"H")</f>
        <v>H</v>
      </c>
      <c r="G2342" s="2005" t="str">
        <f>IFERROR(__xludf.DUMMYFUNCTION("""COMPUTED_VALUE"""),"AC")</f>
        <v>AC</v>
      </c>
      <c r="H2342" s="2005">
        <f>IFERROR(__xludf.DUMMYFUNCTION("""COMPUTED_VALUE"""),288.87)</f>
        <v>288.87</v>
      </c>
      <c r="I2342" s="2005">
        <f>IFERROR(__xludf.DUMMYFUNCTION("""COMPUTED_VALUE"""),288.87)</f>
        <v>288.87</v>
      </c>
      <c r="BD2342" s="2006"/>
      <c r="LL2342" s="2007"/>
      <c r="LM2342" s="2007"/>
      <c r="MX2342" s="2007"/>
      <c r="ND2342" s="2007"/>
    </row>
    <row r="2343">
      <c r="A2343" s="2005">
        <f>IFERROR(__xludf.DUMMYFUNCTION("""COMPUTED_VALUE"""),1180688.0)</f>
        <v>1180688</v>
      </c>
      <c r="B2343" s="2005">
        <f>IFERROR(__xludf.DUMMYFUNCTION("""COMPUTED_VALUE"""),2209805.0)</f>
        <v>2209805</v>
      </c>
      <c r="C2343" s="2005" t="str">
        <f>IFERROR(__xludf.DUMMYFUNCTION("""COMPUTED_VALUE"""),"Lot")</f>
        <v>Lot</v>
      </c>
      <c r="D2343" s="2005" t="str">
        <f>IFERROR(__xludf.DUMMYFUNCTION("""COMPUTED_VALUE"""),"WorkForce WF-7840DTWF + 405 Valise Noire")</f>
        <v>WorkForce WF-7840DTWF + 405 Valise Noire</v>
      </c>
      <c r="E2343" s="2005" t="str">
        <f>IFERROR(__xludf.DUMMYFUNCTION("""COMPUTED_VALUE"""),"EPSON")</f>
        <v>EPSON</v>
      </c>
      <c r="F2343" s="2005" t="str">
        <f>IFERROR(__xludf.DUMMYFUNCTION("""COMPUTED_VALUE"""),"H")</f>
        <v>H</v>
      </c>
      <c r="G2343" s="2005" t="str">
        <f>IFERROR(__xludf.DUMMYFUNCTION("""COMPUTED_VALUE"""),"AC")</f>
        <v>AC</v>
      </c>
      <c r="H2343" s="2005">
        <f>IFERROR(__xludf.DUMMYFUNCTION("""COMPUTED_VALUE"""),336.37)</f>
        <v>336.37</v>
      </c>
      <c r="I2343" s="2005">
        <f>IFERROR(__xludf.DUMMYFUNCTION("""COMPUTED_VALUE"""),288.87)</f>
        <v>288.87</v>
      </c>
      <c r="LM2343" s="2007"/>
    </row>
    <row r="2344">
      <c r="A2344" s="2005">
        <f>IFERROR(__xludf.DUMMYFUNCTION("""COMPUTED_VALUE"""),1180689.0)</f>
        <v>1180689</v>
      </c>
      <c r="B2344" s="2005">
        <f>IFERROR(__xludf.DUMMYFUNCTION("""COMPUTED_VALUE"""),2209805.0)</f>
        <v>2209805</v>
      </c>
      <c r="C2344" s="2005" t="str">
        <f>IFERROR(__xludf.DUMMYFUNCTION("""COMPUTED_VALUE"""),"Lot")</f>
        <v>Lot</v>
      </c>
      <c r="D2344" s="2005" t="str">
        <f>IFERROR(__xludf.DUMMYFUNCTION("""COMPUTED_VALUE"""),"WorkForce WF-3825DWF + 405 Valise Noire")</f>
        <v>WorkForce WF-3825DWF + 405 Valise Noire</v>
      </c>
      <c r="E2344" s="2005" t="str">
        <f>IFERROR(__xludf.DUMMYFUNCTION("""COMPUTED_VALUE"""),"EPSON")</f>
        <v>EPSON</v>
      </c>
      <c r="F2344" s="2005" t="str">
        <f>IFERROR(__xludf.DUMMYFUNCTION("""COMPUTED_VALUE"""),"H")</f>
        <v>H</v>
      </c>
      <c r="G2344" s="2005" t="str">
        <f>IFERROR(__xludf.DUMMYFUNCTION("""COMPUTED_VALUE"""),"AC")</f>
        <v>AC</v>
      </c>
      <c r="H2344" s="2005">
        <f>IFERROR(__xludf.DUMMYFUNCTION("""COMPUTED_VALUE"""),174.83)</f>
        <v>174.83</v>
      </c>
      <c r="I2344" s="2005">
        <f>IFERROR(__xludf.DUMMYFUNCTION("""COMPUTED_VALUE"""),174.83)</f>
        <v>174.83</v>
      </c>
      <c r="BD2344" s="2006"/>
      <c r="LL2344" s="2008"/>
      <c r="LM2344" s="2007"/>
      <c r="MX2344" s="2007"/>
      <c r="ND2344" s="2007"/>
    </row>
    <row r="2345">
      <c r="A2345" s="2005">
        <f>IFERROR(__xludf.DUMMYFUNCTION("""COMPUTED_VALUE"""),1180691.0)</f>
        <v>1180691</v>
      </c>
      <c r="B2345" s="2005">
        <f>IFERROR(__xludf.DUMMYFUNCTION("""COMPUTED_VALUE"""),2209805.0)</f>
        <v>2209805</v>
      </c>
      <c r="C2345" s="2005" t="str">
        <f>IFERROR(__xludf.DUMMYFUNCTION("""COMPUTED_VALUE"""),"Lot")</f>
        <v>Lot</v>
      </c>
      <c r="D2345" s="2005" t="str">
        <f>IFERROR(__xludf.DUMMYFUNCTION("""COMPUTED_VALUE"""),"EcoTank ET-8550 + Ecotank 114 noir photo")</f>
        <v>EcoTank ET-8550 + Ecotank 114 noir photo</v>
      </c>
      <c r="E2345" s="2005" t="str">
        <f>IFERROR(__xludf.DUMMYFUNCTION("""COMPUTED_VALUE"""),"EPSON")</f>
        <v>EPSON</v>
      </c>
      <c r="F2345" s="2005" t="str">
        <f>IFERROR(__xludf.DUMMYFUNCTION("""COMPUTED_VALUE"""),"H")</f>
        <v>H</v>
      </c>
      <c r="G2345" s="2005" t="str">
        <f>IFERROR(__xludf.DUMMYFUNCTION("""COMPUTED_VALUE"""),"AC")</f>
        <v>AC</v>
      </c>
      <c r="H2345" s="2005">
        <f>IFERROR(__xludf.DUMMYFUNCTION("""COMPUTED_VALUE"""),824.67)</f>
        <v>824.67</v>
      </c>
      <c r="I2345" s="2005">
        <f>IFERROR(__xludf.DUMMYFUNCTION("""COMPUTED_VALUE"""),799.02)</f>
        <v>799.02</v>
      </c>
      <c r="BD2345" s="2006"/>
      <c r="LL2345" s="2007"/>
      <c r="LM2345" s="2007"/>
      <c r="MX2345" s="2007"/>
      <c r="ND2345" s="2007"/>
    </row>
    <row r="2346">
      <c r="A2346" s="2005">
        <f>IFERROR(__xludf.DUMMYFUNCTION("""COMPUTED_VALUE"""),1180692.0)</f>
        <v>1180692</v>
      </c>
      <c r="B2346" s="2005">
        <f>IFERROR(__xludf.DUMMYFUNCTION("""COMPUTED_VALUE"""),2209805.0)</f>
        <v>2209805</v>
      </c>
      <c r="C2346" s="2005" t="str">
        <f>IFERROR(__xludf.DUMMYFUNCTION("""COMPUTED_VALUE"""),"Lot")</f>
        <v>Lot</v>
      </c>
      <c r="D2346" s="2005" t="str">
        <f>IFERROR(__xludf.DUMMYFUNCTION("""COMPUTED_VALUE"""),"WF-7310DTW + 405 Valise Noir")</f>
        <v>WF-7310DTW + 405 Valise Noir</v>
      </c>
      <c r="E2346" s="2005" t="str">
        <f>IFERROR(__xludf.DUMMYFUNCTION("""COMPUTED_VALUE"""),"EPSON")</f>
        <v>EPSON</v>
      </c>
      <c r="F2346" s="2005" t="str">
        <f>IFERROR(__xludf.DUMMYFUNCTION("""COMPUTED_VALUE"""),"H")</f>
        <v>H</v>
      </c>
      <c r="G2346" s="2005" t="str">
        <f>IFERROR(__xludf.DUMMYFUNCTION("""COMPUTED_VALUE"""),"AC")</f>
        <v>AC</v>
      </c>
      <c r="H2346" s="2005">
        <f>IFERROR(__xludf.DUMMYFUNCTION("""COMPUTED_VALUE"""),231.87)</f>
        <v>231.87</v>
      </c>
      <c r="I2346" s="2005">
        <f>IFERROR(__xludf.DUMMYFUNCTION("""COMPUTED_VALUE"""),222.37)</f>
        <v>222.37</v>
      </c>
      <c r="BD2346" s="2006"/>
      <c r="LL2346" s="2007"/>
      <c r="LM2346" s="2007"/>
      <c r="MX2346" s="2007"/>
      <c r="ND2346" s="2007"/>
    </row>
    <row r="2347">
      <c r="A2347" s="2005">
        <f>IFERROR(__xludf.DUMMYFUNCTION("""COMPUTED_VALUE"""),1180693.0)</f>
        <v>1180693</v>
      </c>
      <c r="B2347" s="2005">
        <f>IFERROR(__xludf.DUMMYFUNCTION("""COMPUTED_VALUE"""),2209805.0)</f>
        <v>2209805</v>
      </c>
      <c r="C2347" s="2005" t="str">
        <f>IFERROR(__xludf.DUMMYFUNCTION("""COMPUTED_VALUE"""),"Lot")</f>
        <v>Lot</v>
      </c>
      <c r="D2347" s="2005" t="str">
        <f>IFERROR(__xludf.DUMMYFUNCTION("""COMPUTED_VALUE"""),"XP 2155 + 603XL Noir Etoile de Mer")</f>
        <v>XP 2155 + 603XL Noir Etoile de Mer</v>
      </c>
      <c r="E2347" s="2005" t="str">
        <f>IFERROR(__xludf.DUMMYFUNCTION("""COMPUTED_VALUE"""),"EPSON")</f>
        <v>EPSON</v>
      </c>
      <c r="F2347" s="2005" t="str">
        <f>IFERROR(__xludf.DUMMYFUNCTION("""COMPUTED_VALUE"""),"H")</f>
        <v>H</v>
      </c>
      <c r="G2347" s="2005" t="str">
        <f>IFERROR(__xludf.DUMMYFUNCTION("""COMPUTED_VALUE"""),"AC")</f>
        <v>AC</v>
      </c>
      <c r="H2347" s="2005">
        <f>IFERROR(__xludf.DUMMYFUNCTION("""COMPUTED_VALUE"""),98.81)</f>
        <v>98.81</v>
      </c>
      <c r="I2347" s="2005">
        <f>IFERROR(__xludf.DUMMYFUNCTION("""COMPUTED_VALUE"""),98.81)</f>
        <v>98.81</v>
      </c>
      <c r="BD2347" s="2006"/>
      <c r="LL2347" s="2007"/>
      <c r="LM2347" s="2007"/>
      <c r="MX2347" s="2007"/>
      <c r="ND2347" s="2007"/>
    </row>
    <row r="2348">
      <c r="A2348" s="2005">
        <f>IFERROR(__xludf.DUMMYFUNCTION("""COMPUTED_VALUE"""),1180694.0)</f>
        <v>1180694</v>
      </c>
      <c r="B2348" s="2005">
        <f>IFERROR(__xludf.DUMMYFUNCTION("""COMPUTED_VALUE"""),2209805.0)</f>
        <v>2209805</v>
      </c>
      <c r="C2348" s="2005" t="str">
        <f>IFERROR(__xludf.DUMMYFUNCTION("""COMPUTED_VALUE"""),"Lot")</f>
        <v>Lot</v>
      </c>
      <c r="D2348" s="2005" t="str">
        <f>IFERROR(__xludf.DUMMYFUNCTION("""COMPUTED_VALUE"""),"XP 3155 + 603XL Noir Etoile de Mer")</f>
        <v>XP 3155 + 603XL Noir Etoile de Mer</v>
      </c>
      <c r="E2348" s="2005" t="str">
        <f>IFERROR(__xludf.DUMMYFUNCTION("""COMPUTED_VALUE"""),"EPSON")</f>
        <v>EPSON</v>
      </c>
      <c r="F2348" s="2005" t="str">
        <f>IFERROR(__xludf.DUMMYFUNCTION("""COMPUTED_VALUE"""),"H")</f>
        <v>H</v>
      </c>
      <c r="G2348" s="2005" t="str">
        <f>IFERROR(__xludf.DUMMYFUNCTION("""COMPUTED_VALUE"""),"NN")</f>
        <v>NN</v>
      </c>
      <c r="H2348">
        <f>IFERROR(__xludf.DUMMYFUNCTION("""COMPUTED_VALUE"""),108.31)</f>
        <v>108.31</v>
      </c>
      <c r="I2348">
        <f>IFERROR(__xludf.DUMMYFUNCTION("""COMPUTED_VALUE"""),108.31)</f>
        <v>108.31</v>
      </c>
      <c r="LL2348" s="2007"/>
      <c r="LM2348" s="2007"/>
    </row>
    <row r="2349">
      <c r="A2349" s="2005">
        <f>IFERROR(__xludf.DUMMYFUNCTION("""COMPUTED_VALUE"""),1180695.0)</f>
        <v>1180695</v>
      </c>
      <c r="B2349" s="2005">
        <f>IFERROR(__xludf.DUMMYFUNCTION("""COMPUTED_VALUE"""),2209805.0)</f>
        <v>2209805</v>
      </c>
      <c r="C2349" s="2005" t="str">
        <f>IFERROR(__xludf.DUMMYFUNCTION("""COMPUTED_VALUE"""),"Lot")</f>
        <v>Lot</v>
      </c>
      <c r="D2349" s="2005" t="str">
        <f>IFERROR(__xludf.DUMMYFUNCTION("""COMPUTED_VALUE"""),"XP 4155 + 603XL Noir Etoile de Mer")</f>
        <v>XP 4155 + 603XL Noir Etoile de Mer</v>
      </c>
      <c r="E2349" s="2005" t="str">
        <f>IFERROR(__xludf.DUMMYFUNCTION("""COMPUTED_VALUE"""),"EPSON")</f>
        <v>EPSON</v>
      </c>
      <c r="F2349" s="2005" t="str">
        <f>IFERROR(__xludf.DUMMYFUNCTION("""COMPUTED_VALUE"""),"H")</f>
        <v>H</v>
      </c>
      <c r="G2349" s="2005" t="str">
        <f>IFERROR(__xludf.DUMMYFUNCTION("""COMPUTED_VALUE"""),"AC")</f>
        <v>AC</v>
      </c>
      <c r="H2349" s="2005">
        <f>IFERROR(__xludf.DUMMYFUNCTION("""COMPUTED_VALUE"""),127.31)</f>
        <v>127.31</v>
      </c>
      <c r="I2349">
        <f>IFERROR(__xludf.DUMMYFUNCTION("""COMPUTED_VALUE"""),127.31)</f>
        <v>127.31</v>
      </c>
      <c r="BD2349" s="2006"/>
      <c r="LL2349" s="2007"/>
      <c r="LM2349" s="2007"/>
      <c r="MX2349" s="2007"/>
      <c r="ND2349" s="2007"/>
    </row>
    <row r="2350">
      <c r="A2350" s="2005">
        <f>IFERROR(__xludf.DUMMYFUNCTION("""COMPUTED_VALUE"""),1180696.0)</f>
        <v>1180696</v>
      </c>
      <c r="B2350" s="2005">
        <f>IFERROR(__xludf.DUMMYFUNCTION("""COMPUTED_VALUE"""),2209805.0)</f>
        <v>2209805</v>
      </c>
      <c r="C2350" s="2005" t="str">
        <f>IFERROR(__xludf.DUMMYFUNCTION("""COMPUTED_VALUE"""),"Lot")</f>
        <v>Lot</v>
      </c>
      <c r="D2350" s="2005" t="str">
        <f>IFERROR(__xludf.DUMMYFUNCTION("""COMPUTED_VALUE"""),"XP 5155 + Cart 502 Noir Série Jumelles")</f>
        <v>XP 5155 + Cart 502 Noir Série Jumelles</v>
      </c>
      <c r="E2350" s="2005" t="str">
        <f>IFERROR(__xludf.DUMMYFUNCTION("""COMPUTED_VALUE"""),"EPSON")</f>
        <v>EPSON</v>
      </c>
      <c r="F2350" s="2005" t="str">
        <f>IFERROR(__xludf.DUMMYFUNCTION("""COMPUTED_VALUE"""),"H")</f>
        <v>H</v>
      </c>
      <c r="G2350" s="2005" t="str">
        <f>IFERROR(__xludf.DUMMYFUNCTION("""COMPUTED_VALUE"""),"NN")</f>
        <v>NN</v>
      </c>
      <c r="H2350" s="2005">
        <f>IFERROR(__xludf.DUMMYFUNCTION("""COMPUTED_VALUE"""),126.38)</f>
        <v>126.38</v>
      </c>
      <c r="I2350" s="2005">
        <f>IFERROR(__xludf.DUMMYFUNCTION("""COMPUTED_VALUE"""),126.38)</f>
        <v>126.38</v>
      </c>
      <c r="BD2350" s="2006"/>
      <c r="LL2350" s="2007"/>
      <c r="LM2350" s="2007"/>
      <c r="MX2350" s="2007"/>
      <c r="ND2350" s="2007"/>
    </row>
    <row r="2351">
      <c r="A2351" s="2005">
        <f>IFERROR(__xludf.DUMMYFUNCTION("""COMPUTED_VALUE"""),1180697.0)</f>
        <v>1180697</v>
      </c>
      <c r="B2351" s="2005">
        <f>IFERROR(__xludf.DUMMYFUNCTION("""COMPUTED_VALUE"""),2209805.0)</f>
        <v>2209805</v>
      </c>
      <c r="C2351" s="2005" t="str">
        <f>IFERROR(__xludf.DUMMYFUNCTION("""COMPUTED_VALUE"""),"Lot")</f>
        <v>Lot</v>
      </c>
      <c r="D2351" s="2005" t="str">
        <f>IFERROR(__xludf.DUMMYFUNCTION("""COMPUTED_VALUE"""),"WorkForce WF-2870DWF + Cart 603XL Noir")</f>
        <v>WorkForce WF-2870DWF + Cart 603XL Noir</v>
      </c>
      <c r="E2351" s="2005" t="str">
        <f>IFERROR(__xludf.DUMMYFUNCTION("""COMPUTED_VALUE"""),"EPSON")</f>
        <v>EPSON</v>
      </c>
      <c r="F2351" s="2005" t="str">
        <f>IFERROR(__xludf.DUMMYFUNCTION("""COMPUTED_VALUE"""),"H")</f>
        <v>H</v>
      </c>
      <c r="G2351" s="2005" t="str">
        <f>IFERROR(__xludf.DUMMYFUNCTION("""COMPUTED_VALUE"""),"NN")</f>
        <v>NN</v>
      </c>
      <c r="H2351" s="2005">
        <f>IFERROR(__xludf.DUMMYFUNCTION("""COMPUTED_VALUE"""),146.33)</f>
        <v>146.33</v>
      </c>
      <c r="I2351" s="2005">
        <f>IFERROR(__xludf.DUMMYFUNCTION("""COMPUTED_VALUE"""),146.33)</f>
        <v>146.33</v>
      </c>
      <c r="BD2351" s="2006"/>
      <c r="LL2351" s="2008"/>
      <c r="LM2351" s="2007"/>
      <c r="MX2351" s="2007"/>
      <c r="ND2351" s="2007"/>
    </row>
    <row r="2352">
      <c r="A2352" s="2005">
        <f>IFERROR(__xludf.DUMMYFUNCTION("""COMPUTED_VALUE"""),1180698.0)</f>
        <v>1180698</v>
      </c>
      <c r="B2352" s="2005">
        <f>IFERROR(__xludf.DUMMYFUNCTION("""COMPUTED_VALUE"""),2209805.0)</f>
        <v>2209805</v>
      </c>
      <c r="C2352" s="2005" t="str">
        <f>IFERROR(__xludf.DUMMYFUNCTION("""COMPUTED_VALUE"""),"Lot")</f>
        <v>Lot</v>
      </c>
      <c r="D2352" s="2005" t="str">
        <f>IFERROR(__xludf.DUMMYFUNCTION("""COMPUTED_VALUE"""),"EcoTank ET-2811 + Ecotank 104 noire")</f>
        <v>EcoTank ET-2811 + Ecotank 104 noire</v>
      </c>
      <c r="E2352" s="2005" t="str">
        <f>IFERROR(__xludf.DUMMYFUNCTION("""COMPUTED_VALUE"""),"EPSON")</f>
        <v>EPSON</v>
      </c>
      <c r="F2352" s="2005" t="str">
        <f>IFERROR(__xludf.DUMMYFUNCTION("""COMPUTED_VALUE"""),"H")</f>
        <v>H</v>
      </c>
      <c r="G2352" s="2005" t="str">
        <f>IFERROR(__xludf.DUMMYFUNCTION("""COMPUTED_VALUE"""),"AC")</f>
        <v>AC</v>
      </c>
      <c r="H2352" s="2005">
        <f>IFERROR(__xludf.DUMMYFUNCTION("""COMPUTED_VALUE"""),199.51)</f>
        <v>199.51</v>
      </c>
      <c r="I2352" s="2005">
        <f>IFERROR(__xludf.DUMMYFUNCTION("""COMPUTED_VALUE"""),199.51)</f>
        <v>199.51</v>
      </c>
      <c r="BD2352" s="2006"/>
      <c r="LL2352" s="2007"/>
      <c r="LM2352" s="2007"/>
      <c r="MX2352" s="2007"/>
      <c r="ND2352" s="2007"/>
    </row>
    <row r="2353">
      <c r="A2353" s="2005">
        <f>IFERROR(__xludf.DUMMYFUNCTION("""COMPUTED_VALUE"""),1180699.0)</f>
        <v>1180699</v>
      </c>
      <c r="B2353" s="2005">
        <f>IFERROR(__xludf.DUMMYFUNCTION("""COMPUTED_VALUE"""),2209805.0)</f>
        <v>2209805</v>
      </c>
      <c r="C2353" s="2005" t="str">
        <f>IFERROR(__xludf.DUMMYFUNCTION("""COMPUTED_VALUE"""),"Lot")</f>
        <v>Lot</v>
      </c>
      <c r="D2353" s="2005" t="str">
        <f>IFERROR(__xludf.DUMMYFUNCTION("""COMPUTED_VALUE"""),"EcoTank ET-2826 + Ecotank 104 noire")</f>
        <v>EcoTank ET-2826 + Ecotank 104 noire</v>
      </c>
      <c r="E2353" s="2005" t="str">
        <f>IFERROR(__xludf.DUMMYFUNCTION("""COMPUTED_VALUE"""),"EPSON")</f>
        <v>EPSON</v>
      </c>
      <c r="F2353" s="2005" t="str">
        <f>IFERROR(__xludf.DUMMYFUNCTION("""COMPUTED_VALUE"""),"H")</f>
        <v>H</v>
      </c>
      <c r="G2353" s="2005" t="str">
        <f>IFERROR(__xludf.DUMMYFUNCTION("""COMPUTED_VALUE"""),"AC")</f>
        <v>AC</v>
      </c>
      <c r="H2353" s="2005">
        <f>IFERROR(__xludf.DUMMYFUNCTION("""COMPUTED_VALUE"""),228.01)</f>
        <v>228.01</v>
      </c>
      <c r="I2353" s="2005">
        <f>IFERROR(__xludf.DUMMYFUNCTION("""COMPUTED_VALUE"""),228.01)</f>
        <v>228.01</v>
      </c>
      <c r="BD2353" s="2006"/>
      <c r="LL2353" s="2007"/>
      <c r="LM2353" s="2007"/>
      <c r="MX2353" s="2007"/>
      <c r="ND2353" s="2007"/>
    </row>
    <row r="2354">
      <c r="A2354" s="2005">
        <f>IFERROR(__xludf.DUMMYFUNCTION("""COMPUTED_VALUE"""),1180700.0)</f>
        <v>1180700</v>
      </c>
      <c r="B2354" s="2005">
        <f>IFERROR(__xludf.DUMMYFUNCTION("""COMPUTED_VALUE"""),2209805.0)</f>
        <v>2209805</v>
      </c>
      <c r="C2354" s="2005" t="str">
        <f>IFERROR(__xludf.DUMMYFUNCTION("""COMPUTED_VALUE"""),"Lot")</f>
        <v>Lot</v>
      </c>
      <c r="D2354" s="2005" t="str">
        <f>IFERROR(__xludf.DUMMYFUNCTION("""COMPUTED_VALUE"""),"EcoTank ET-2850 + Ecotank 102 noire")</f>
        <v>EcoTank ET-2850 + Ecotank 102 noire</v>
      </c>
      <c r="E2354" s="2005" t="str">
        <f>IFERROR(__xludf.DUMMYFUNCTION("""COMPUTED_VALUE"""),"EPSON")</f>
        <v>EPSON</v>
      </c>
      <c r="F2354" s="2005" t="str">
        <f>IFERROR(__xludf.DUMMYFUNCTION("""COMPUTED_VALUE"""),"H")</f>
        <v>H</v>
      </c>
      <c r="G2354" s="2005" t="str">
        <f>IFERROR(__xludf.DUMMYFUNCTION("""COMPUTED_VALUE"""),"AC")</f>
        <v>AC</v>
      </c>
      <c r="H2354" s="2005">
        <f>IFERROR(__xludf.DUMMYFUNCTION("""COMPUTED_VALUE"""),300.22)</f>
        <v>300.22</v>
      </c>
      <c r="I2354" s="2005">
        <f>IFERROR(__xludf.DUMMYFUNCTION("""COMPUTED_VALUE"""),300.22)</f>
        <v>300.22</v>
      </c>
      <c r="BD2354" s="2006"/>
      <c r="LL2354" s="2007"/>
      <c r="LM2354" s="2007"/>
      <c r="MX2354" s="2007"/>
      <c r="ND2354" s="2007"/>
    </row>
    <row r="2355">
      <c r="A2355" s="2005">
        <f>IFERROR(__xludf.DUMMYFUNCTION("""COMPUTED_VALUE"""),1180701.0)</f>
        <v>1180701</v>
      </c>
      <c r="B2355" s="2005">
        <f>IFERROR(__xludf.DUMMYFUNCTION("""COMPUTED_VALUE"""),2209805.0)</f>
        <v>2209805</v>
      </c>
      <c r="C2355" s="2005" t="str">
        <f>IFERROR(__xludf.DUMMYFUNCTION("""COMPUTED_VALUE"""),"Lot")</f>
        <v>Lot</v>
      </c>
      <c r="D2355" s="2005" t="str">
        <f>IFERROR(__xludf.DUMMYFUNCTION("""COMPUTED_VALUE"""),"EcoTank ET-3850 +Ecotank 102 noire")</f>
        <v>EcoTank ET-3850 +Ecotank 102 noire</v>
      </c>
      <c r="E2355" s="2005" t="str">
        <f>IFERROR(__xludf.DUMMYFUNCTION("""COMPUTED_VALUE"""),"EPSON")</f>
        <v>EPSON</v>
      </c>
      <c r="F2355" s="2005" t="str">
        <f>IFERROR(__xludf.DUMMYFUNCTION("""COMPUTED_VALUE"""),"H")</f>
        <v>H</v>
      </c>
      <c r="G2355" s="2005" t="str">
        <f>IFERROR(__xludf.DUMMYFUNCTION("""COMPUTED_VALUE"""),"AC")</f>
        <v>AC</v>
      </c>
      <c r="H2355" s="2005">
        <f>IFERROR(__xludf.DUMMYFUNCTION("""COMPUTED_VALUE"""),442.72)</f>
        <v>442.72</v>
      </c>
      <c r="I2355" s="2005">
        <f>IFERROR(__xludf.DUMMYFUNCTION("""COMPUTED_VALUE"""),442.72)</f>
        <v>442.72</v>
      </c>
      <c r="BD2355" s="2006"/>
      <c r="LL2355" s="2007"/>
      <c r="LM2355" s="2007"/>
      <c r="MX2355" s="2007"/>
      <c r="ND2355" s="2007"/>
    </row>
    <row r="2356">
      <c r="A2356" s="2005">
        <f>IFERROR(__xludf.DUMMYFUNCTION("""COMPUTED_VALUE"""),1180702.0)</f>
        <v>1180702</v>
      </c>
      <c r="B2356" s="2005">
        <f>IFERROR(__xludf.DUMMYFUNCTION("""COMPUTED_VALUE"""),2209805.0)</f>
        <v>2209805</v>
      </c>
      <c r="C2356" s="2005" t="str">
        <f>IFERROR(__xludf.DUMMYFUNCTION("""COMPUTED_VALUE"""),"Lot")</f>
        <v>Lot</v>
      </c>
      <c r="D2356" s="2005" t="str">
        <f>IFERROR(__xludf.DUMMYFUNCTION("""COMPUTED_VALUE"""),"EcoTank ET-4856 + Ecotank 102 noire")</f>
        <v>EcoTank ET-4856 + Ecotank 102 noire</v>
      </c>
      <c r="E2356" s="2005" t="str">
        <f>IFERROR(__xludf.DUMMYFUNCTION("""COMPUTED_VALUE"""),"EPSON")</f>
        <v>EPSON</v>
      </c>
      <c r="F2356" s="2005" t="str">
        <f>IFERROR(__xludf.DUMMYFUNCTION("""COMPUTED_VALUE"""),"H")</f>
        <v>H</v>
      </c>
      <c r="G2356" s="2005" t="str">
        <f>IFERROR(__xludf.DUMMYFUNCTION("""COMPUTED_VALUE"""),"AC")</f>
        <v>AC</v>
      </c>
      <c r="H2356" s="2005">
        <f>IFERROR(__xludf.DUMMYFUNCTION("""COMPUTED_VALUE"""),490.22)</f>
        <v>490.22</v>
      </c>
      <c r="I2356" s="2005">
        <f>IFERROR(__xludf.DUMMYFUNCTION("""COMPUTED_VALUE"""),423.72)</f>
        <v>423.72</v>
      </c>
      <c r="BD2356" s="2006"/>
      <c r="LL2356" s="2007"/>
      <c r="LM2356" s="2007"/>
      <c r="MX2356" s="2007"/>
      <c r="ND2356" s="2007"/>
    </row>
    <row r="2357">
      <c r="A2357">
        <f>IFERROR(__xludf.DUMMYFUNCTION("""COMPUTED_VALUE"""),1180703.0)</f>
        <v>1180703</v>
      </c>
      <c r="B2357">
        <f>IFERROR(__xludf.DUMMYFUNCTION("""COMPUTED_VALUE"""),2209805.0)</f>
        <v>2209805</v>
      </c>
      <c r="C2357" t="str">
        <f>IFERROR(__xludf.DUMMYFUNCTION("""COMPUTED_VALUE"""),"Lot")</f>
        <v>Lot</v>
      </c>
      <c r="D2357" t="str">
        <f>IFERROR(__xludf.DUMMYFUNCTION("""COMPUTED_VALUE"""),"WorkForce WF-2840DWF + Cart 603XL Noire")</f>
        <v>WorkForce WF-2840DWF + Cart 603XL Noire</v>
      </c>
      <c r="E2357" t="str">
        <f>IFERROR(__xludf.DUMMYFUNCTION("""COMPUTED_VALUE"""),"EPSON")</f>
        <v>EPSON</v>
      </c>
      <c r="F2357" t="str">
        <f>IFERROR(__xludf.DUMMYFUNCTION("""COMPUTED_VALUE"""),"H")</f>
        <v>H</v>
      </c>
      <c r="G2357" t="str">
        <f>IFERROR(__xludf.DUMMYFUNCTION("""COMPUTED_VALUE"""),"NN")</f>
        <v>NN</v>
      </c>
      <c r="H2357">
        <f>IFERROR(__xludf.DUMMYFUNCTION("""COMPUTED_VALUE"""),100.73)</f>
        <v>100.73</v>
      </c>
      <c r="I2357">
        <f>IFERROR(__xludf.DUMMYFUNCTION("""COMPUTED_VALUE"""),100.73)</f>
        <v>100.73</v>
      </c>
      <c r="BD2357" s="2006"/>
      <c r="LL2357" s="2007"/>
      <c r="LM2357" s="2007"/>
      <c r="MX2357" s="2007"/>
      <c r="ND2357" s="2007"/>
    </row>
    <row r="2358">
      <c r="A2358" s="2005">
        <f>IFERROR(__xludf.DUMMYFUNCTION("""COMPUTED_VALUE"""),1180737.0)</f>
        <v>1180737</v>
      </c>
      <c r="B2358" s="2005">
        <f>IFERROR(__xludf.DUMMYFUNCTION("""COMPUTED_VALUE"""),2403005.0)</f>
        <v>2403005</v>
      </c>
      <c r="C2358" s="2005" t="str">
        <f>IFERROR(__xludf.DUMMYFUNCTION("""COMPUTED_VALUE"""),"Cartouche")</f>
        <v>Cartouche</v>
      </c>
      <c r="D2358" s="2005" t="str">
        <f>IFERROR(__xludf.DUMMYFUNCTION("""COMPUTED_VALUE"""),"GL51 bouteille noire")</f>
        <v>GL51 bouteille noire</v>
      </c>
      <c r="E2358" s="2005" t="str">
        <f>IFERROR(__xludf.DUMMYFUNCTION("""COMPUTED_VALUE"""),"CANON")</f>
        <v>CANON</v>
      </c>
      <c r="F2358" s="2005" t="str">
        <f>IFERROR(__xludf.DUMMYFUNCTION("""COMPUTED_VALUE"""),"W")</f>
        <v>W</v>
      </c>
      <c r="G2358" s="2005" t="str">
        <f>IFERROR(__xludf.DUMMYFUNCTION("""COMPUTED_VALUE"""),"AC")</f>
        <v>AC</v>
      </c>
      <c r="H2358" s="2005">
        <f>IFERROR(__xludf.DUMMYFUNCTION("""COMPUTED_VALUE"""),15.99)</f>
        <v>15.99</v>
      </c>
      <c r="I2358" s="2005">
        <f>IFERROR(__xludf.DUMMYFUNCTION("""COMPUTED_VALUE"""),15.99)</f>
        <v>15.99</v>
      </c>
      <c r="BD2358" s="2006"/>
      <c r="LL2358" s="2007"/>
      <c r="LM2358" s="2007"/>
      <c r="MX2358" s="2007"/>
      <c r="ND2358" s="2007"/>
    </row>
    <row r="2359">
      <c r="A2359" s="2005">
        <f>IFERROR(__xludf.DUMMYFUNCTION("""COMPUTED_VALUE"""),1180738.0)</f>
        <v>1180738</v>
      </c>
      <c r="B2359" s="2005">
        <f>IFERROR(__xludf.DUMMYFUNCTION("""COMPUTED_VALUE"""),2403005.0)</f>
        <v>2403005</v>
      </c>
      <c r="C2359" s="2005" t="str">
        <f>IFERROR(__xludf.DUMMYFUNCTION("""COMPUTED_VALUE"""),"Cartouche")</f>
        <v>Cartouche</v>
      </c>
      <c r="D2359" s="2005" t="str">
        <f>IFERROR(__xludf.DUMMYFUNCTION("""COMPUTED_VALUE"""),"GL51 bouteille cyan")</f>
        <v>GL51 bouteille cyan</v>
      </c>
      <c r="E2359" s="2005" t="str">
        <f>IFERROR(__xludf.DUMMYFUNCTION("""COMPUTED_VALUE"""),"CANON")</f>
        <v>CANON</v>
      </c>
      <c r="F2359" s="2005" t="str">
        <f>IFERROR(__xludf.DUMMYFUNCTION("""COMPUTED_VALUE"""),"H")</f>
        <v>H</v>
      </c>
      <c r="G2359" s="2005" t="str">
        <f>IFERROR(__xludf.DUMMYFUNCTION("""COMPUTED_VALUE"""),"AC")</f>
        <v>AC</v>
      </c>
      <c r="H2359" s="2005">
        <f>IFERROR(__xludf.DUMMYFUNCTION("""COMPUTED_VALUE"""),10.99)</f>
        <v>10.99</v>
      </c>
      <c r="I2359" s="2005">
        <f>IFERROR(__xludf.DUMMYFUNCTION("""COMPUTED_VALUE"""),10.99)</f>
        <v>10.99</v>
      </c>
      <c r="BD2359" s="2006"/>
      <c r="LL2359" s="2007"/>
      <c r="LM2359" s="2007"/>
      <c r="MX2359" s="2007"/>
      <c r="ND2359" s="2007"/>
    </row>
    <row r="2360">
      <c r="A2360" s="2005">
        <f>IFERROR(__xludf.DUMMYFUNCTION("""COMPUTED_VALUE"""),1180739.0)</f>
        <v>1180739</v>
      </c>
      <c r="B2360" s="2005">
        <f>IFERROR(__xludf.DUMMYFUNCTION("""COMPUTED_VALUE"""),2403005.0)</f>
        <v>2403005</v>
      </c>
      <c r="C2360" s="2005" t="str">
        <f>IFERROR(__xludf.DUMMYFUNCTION("""COMPUTED_VALUE"""),"Cartouche")</f>
        <v>Cartouche</v>
      </c>
      <c r="D2360" s="2005" t="str">
        <f>IFERROR(__xludf.DUMMYFUNCTION("""COMPUTED_VALUE"""),"GL51 bouteille magenta")</f>
        <v>GL51 bouteille magenta</v>
      </c>
      <c r="E2360" s="2005" t="str">
        <f>IFERROR(__xludf.DUMMYFUNCTION("""COMPUTED_VALUE"""),"CANON")</f>
        <v>CANON</v>
      </c>
      <c r="F2360" s="2005" t="str">
        <f>IFERROR(__xludf.DUMMYFUNCTION("""COMPUTED_VALUE"""),"W")</f>
        <v>W</v>
      </c>
      <c r="G2360" s="2005" t="str">
        <f>IFERROR(__xludf.DUMMYFUNCTION("""COMPUTED_VALUE"""),"AC")</f>
        <v>AC</v>
      </c>
      <c r="H2360" s="2005">
        <f>IFERROR(__xludf.DUMMYFUNCTION("""COMPUTED_VALUE"""),10.99)</f>
        <v>10.99</v>
      </c>
      <c r="I2360" s="2005">
        <f>IFERROR(__xludf.DUMMYFUNCTION("""COMPUTED_VALUE"""),10.99)</f>
        <v>10.99</v>
      </c>
      <c r="BD2360" s="2006"/>
      <c r="LL2360" s="2007"/>
      <c r="LM2360" s="2007"/>
      <c r="MX2360" s="2007"/>
      <c r="ND2360" s="2007"/>
    </row>
    <row r="2361">
      <c r="A2361" s="2005">
        <f>IFERROR(__xludf.DUMMYFUNCTION("""COMPUTED_VALUE"""),1180740.0)</f>
        <v>1180740</v>
      </c>
      <c r="B2361" s="2005">
        <f>IFERROR(__xludf.DUMMYFUNCTION("""COMPUTED_VALUE"""),2403005.0)</f>
        <v>2403005</v>
      </c>
      <c r="C2361" s="2005" t="str">
        <f>IFERROR(__xludf.DUMMYFUNCTION("""COMPUTED_VALUE"""),"Cartouche")</f>
        <v>Cartouche</v>
      </c>
      <c r="D2361" s="2005" t="str">
        <f>IFERROR(__xludf.DUMMYFUNCTION("""COMPUTED_VALUE"""),"GL51 bouteille jaune")</f>
        <v>GL51 bouteille jaune</v>
      </c>
      <c r="E2361" s="2005" t="str">
        <f>IFERROR(__xludf.DUMMYFUNCTION("""COMPUTED_VALUE"""),"CANON")</f>
        <v>CANON</v>
      </c>
      <c r="F2361" s="2005" t="str">
        <f>IFERROR(__xludf.DUMMYFUNCTION("""COMPUTED_VALUE"""),"W")</f>
        <v>W</v>
      </c>
      <c r="G2361" s="2005" t="str">
        <f>IFERROR(__xludf.DUMMYFUNCTION("""COMPUTED_VALUE"""),"AC")</f>
        <v>AC</v>
      </c>
      <c r="H2361" s="2005">
        <f>IFERROR(__xludf.DUMMYFUNCTION("""COMPUTED_VALUE"""),10.99)</f>
        <v>10.99</v>
      </c>
      <c r="I2361" s="2005">
        <f>IFERROR(__xludf.DUMMYFUNCTION("""COMPUTED_VALUE"""),9.99)</f>
        <v>9.99</v>
      </c>
      <c r="BD2361" s="2006"/>
      <c r="LL2361" s="2007"/>
      <c r="LM2361" s="2007"/>
      <c r="MX2361" s="2007"/>
      <c r="ND2361" s="2007"/>
    </row>
    <row r="2362">
      <c r="A2362" s="2005">
        <f>IFERROR(__xludf.DUMMYFUNCTION("""COMPUTED_VALUE"""),1180741.0)</f>
        <v>1180741</v>
      </c>
      <c r="B2362" s="2005">
        <f>IFERROR(__xludf.DUMMYFUNCTION("""COMPUTED_VALUE"""),2209805.0)</f>
        <v>2209805</v>
      </c>
      <c r="C2362" s="2005" t="str">
        <f>IFERROR(__xludf.DUMMYFUNCTION("""COMPUTED_VALUE"""),"Lot")</f>
        <v>Lot</v>
      </c>
      <c r="D2362" s="2005" t="str">
        <f>IFERROR(__xludf.DUMMYFUNCTION("""COMPUTED_VALUE"""),"LaserJet Pro M15w + Cartouche 44A Noire")</f>
        <v>LaserJet Pro M15w + Cartouche 44A Noire</v>
      </c>
      <c r="E2362" s="2005" t="str">
        <f>IFERROR(__xludf.DUMMYFUNCTION("""COMPUTED_VALUE"""),"HP")</f>
        <v>HP</v>
      </c>
      <c r="F2362" s="2005" t="str">
        <f>IFERROR(__xludf.DUMMYFUNCTION("""COMPUTED_VALUE"""),"H")</f>
        <v>H</v>
      </c>
      <c r="G2362" s="2005" t="str">
        <f>IFERROR(__xludf.DUMMYFUNCTION("""COMPUTED_VALUE"""),"NN")</f>
        <v>NN</v>
      </c>
      <c r="H2362" s="2005">
        <f>IFERROR(__xludf.DUMMYFUNCTION("""COMPUTED_VALUE"""),188.11)</f>
        <v>188.11</v>
      </c>
      <c r="I2362" s="2005">
        <f>IFERROR(__xludf.DUMMYFUNCTION("""COMPUTED_VALUE"""),188.11)</f>
        <v>188.11</v>
      </c>
      <c r="BD2362" s="2006"/>
      <c r="LL2362" s="2007"/>
      <c r="LM2362" s="2007"/>
      <c r="MX2362" s="2007"/>
      <c r="ND2362" s="2007"/>
    </row>
    <row r="2363">
      <c r="A2363">
        <f>IFERROR(__xludf.DUMMYFUNCTION("""COMPUTED_VALUE"""),1180743.0)</f>
        <v>1180743</v>
      </c>
      <c r="B2363">
        <f>IFERROR(__xludf.DUMMYFUNCTION("""COMPUTED_VALUE"""),2209805.0)</f>
        <v>2209805</v>
      </c>
      <c r="C2363" t="str">
        <f>IFERROR(__xludf.DUMMYFUNCTION("""COMPUTED_VALUE"""),"Lot")</f>
        <v>Lot</v>
      </c>
      <c r="D2363" t="str">
        <f>IFERROR(__xludf.DUMMYFUNCTION("""COMPUTED_VALUE"""),"Tango + Cartouche 303 3 Couleurs")</f>
        <v>Tango + Cartouche 303 3 Couleurs</v>
      </c>
      <c r="E2363" t="str">
        <f>IFERROR(__xludf.DUMMYFUNCTION("""COMPUTED_VALUE"""),"HP")</f>
        <v>HP</v>
      </c>
      <c r="F2363" t="str">
        <f>IFERROR(__xludf.DUMMYFUNCTION("""COMPUTED_VALUE"""),"H")</f>
        <v>H</v>
      </c>
      <c r="G2363" t="str">
        <f>IFERROR(__xludf.DUMMYFUNCTION("""COMPUTED_VALUE"""),"NN")</f>
        <v>NN</v>
      </c>
      <c r="H2363">
        <f>IFERROR(__xludf.DUMMYFUNCTION("""COMPUTED_VALUE"""),108.99)</f>
        <v>108.99</v>
      </c>
      <c r="I2363">
        <f>IFERROR(__xludf.DUMMYFUNCTION("""COMPUTED_VALUE"""),108.99)</f>
        <v>108.99</v>
      </c>
      <c r="BD2363" s="2006"/>
      <c r="LL2363" s="2007"/>
      <c r="LM2363" s="2007"/>
      <c r="MX2363" s="2007"/>
      <c r="ND2363" s="2007"/>
    </row>
    <row r="2364">
      <c r="A2364" s="2005">
        <f>IFERROR(__xludf.DUMMYFUNCTION("""COMPUTED_VALUE"""),1180744.0)</f>
        <v>1180744</v>
      </c>
      <c r="B2364" s="2005">
        <f>IFERROR(__xludf.DUMMYFUNCTION("""COMPUTED_VALUE"""),2209805.0)</f>
        <v>2209805</v>
      </c>
      <c r="C2364" s="2005" t="str">
        <f>IFERROR(__xludf.DUMMYFUNCTION("""COMPUTED_VALUE"""),"Lot")</f>
        <v>Lot</v>
      </c>
      <c r="D2364" s="2005" t="str">
        <f>IFERROR(__xludf.DUMMYFUNCTION("""COMPUTED_VALUE"""),"Tango X + Cartouche 303 3 Couleurs")</f>
        <v>Tango X + Cartouche 303 3 Couleurs</v>
      </c>
      <c r="E2364" s="2005" t="str">
        <f>IFERROR(__xludf.DUMMYFUNCTION("""COMPUTED_VALUE"""),"HP")</f>
        <v>HP</v>
      </c>
      <c r="F2364" s="2005" t="str">
        <f>IFERROR(__xludf.DUMMYFUNCTION("""COMPUTED_VALUE"""),"H")</f>
        <v>H</v>
      </c>
      <c r="G2364" s="2005" t="str">
        <f>IFERROR(__xludf.DUMMYFUNCTION("""COMPUTED_VALUE"""),"NN")</f>
        <v>NN</v>
      </c>
      <c r="H2364" s="2005">
        <f>IFERROR(__xludf.DUMMYFUNCTION("""COMPUTED_VALUE"""),234.99)</f>
        <v>234.99</v>
      </c>
      <c r="I2364" s="2005">
        <f>IFERROR(__xludf.DUMMYFUNCTION("""COMPUTED_VALUE"""),234.99)</f>
        <v>234.99</v>
      </c>
      <c r="BD2364" s="2006"/>
      <c r="LL2364" s="2007"/>
      <c r="LM2364" s="2007"/>
      <c r="MX2364" s="2007"/>
      <c r="ND2364" s="2007"/>
    </row>
    <row r="2365">
      <c r="A2365" s="2005">
        <f>IFERROR(__xludf.DUMMYFUNCTION("""COMPUTED_VALUE"""),1180746.0)</f>
        <v>1180746</v>
      </c>
      <c r="B2365" s="2005">
        <f>IFERROR(__xludf.DUMMYFUNCTION("""COMPUTED_VALUE"""),2209805.0)</f>
        <v>2209805</v>
      </c>
      <c r="C2365" s="2005" t="str">
        <f>IFERROR(__xludf.DUMMYFUNCTION("""COMPUTED_VALUE"""),"Lot")</f>
        <v>Lot</v>
      </c>
      <c r="D2365" s="2005" t="str">
        <f>IFERROR(__xludf.DUMMYFUNCTION("""COMPUTED_VALUE"""),"Envy 6220 + Cartouche 303 3 Couleurs")</f>
        <v>Envy 6220 + Cartouche 303 3 Couleurs</v>
      </c>
      <c r="E2365" s="2005" t="str">
        <f>IFERROR(__xludf.DUMMYFUNCTION("""COMPUTED_VALUE"""),"HP")</f>
        <v>HP</v>
      </c>
      <c r="F2365" s="2005" t="str">
        <f>IFERROR(__xludf.DUMMYFUNCTION("""COMPUTED_VALUE"""),"H")</f>
        <v>H</v>
      </c>
      <c r="G2365" s="2005" t="str">
        <f>IFERROR(__xludf.DUMMYFUNCTION("""COMPUTED_VALUE"""),"NN")</f>
        <v>NN</v>
      </c>
      <c r="H2365">
        <f>IFERROR(__xludf.DUMMYFUNCTION("""COMPUTED_VALUE"""),119.99)</f>
        <v>119.99</v>
      </c>
      <c r="I2365">
        <f>IFERROR(__xludf.DUMMYFUNCTION("""COMPUTED_VALUE"""),119.99)</f>
        <v>119.99</v>
      </c>
      <c r="BD2365" s="2006"/>
      <c r="LL2365" s="2007"/>
      <c r="LM2365" s="2007"/>
      <c r="MX2365" s="2007"/>
      <c r="ND2365" s="2007"/>
    </row>
    <row r="2366">
      <c r="A2366" s="2005">
        <f>IFERROR(__xludf.DUMMYFUNCTION("""COMPUTED_VALUE"""),1180747.0)</f>
        <v>1180747</v>
      </c>
      <c r="B2366" s="2005">
        <f>IFERROR(__xludf.DUMMYFUNCTION("""COMPUTED_VALUE"""),2209805.0)</f>
        <v>2209805</v>
      </c>
      <c r="C2366" s="2005" t="str">
        <f>IFERROR(__xludf.DUMMYFUNCTION("""COMPUTED_VALUE"""),"Lot")</f>
        <v>Lot</v>
      </c>
      <c r="D2366" s="2005" t="str">
        <f>IFERROR(__xludf.DUMMYFUNCTION("""COMPUTED_VALUE"""),"Envy 7134 + Cartouche 303 3 Couleurs")</f>
        <v>Envy 7134 + Cartouche 303 3 Couleurs</v>
      </c>
      <c r="E2366" s="2005" t="str">
        <f>IFERROR(__xludf.DUMMYFUNCTION("""COMPUTED_VALUE"""),"HP")</f>
        <v>HP</v>
      </c>
      <c r="F2366" s="2005" t="str">
        <f>IFERROR(__xludf.DUMMYFUNCTION("""COMPUTED_VALUE"""),"H")</f>
        <v>H</v>
      </c>
      <c r="G2366" s="2005" t="str">
        <f>IFERROR(__xludf.DUMMYFUNCTION("""COMPUTED_VALUE"""),"NN")</f>
        <v>NN</v>
      </c>
      <c r="H2366">
        <f>IFERROR(__xludf.DUMMYFUNCTION("""COMPUTED_VALUE"""),159.99)</f>
        <v>159.99</v>
      </c>
      <c r="I2366">
        <f>IFERROR(__xludf.DUMMYFUNCTION("""COMPUTED_VALUE"""),159.99)</f>
        <v>159.99</v>
      </c>
      <c r="BD2366" s="2006"/>
      <c r="LL2366" s="2007"/>
      <c r="LM2366" s="2007"/>
      <c r="MX2366" s="2007"/>
      <c r="ND2366" s="2007"/>
    </row>
    <row r="2367">
      <c r="A2367" s="2005">
        <f>IFERROR(__xludf.DUMMYFUNCTION("""COMPUTED_VALUE"""),1180748.0)</f>
        <v>1180748</v>
      </c>
      <c r="B2367" s="2005">
        <f>IFERROR(__xludf.DUMMYFUNCTION("""COMPUTED_VALUE"""),2209805.0)</f>
        <v>2209805</v>
      </c>
      <c r="C2367" s="2005" t="str">
        <f>IFERROR(__xludf.DUMMYFUNCTION("""COMPUTED_VALUE"""),"Lot")</f>
        <v>Lot</v>
      </c>
      <c r="D2367" s="2005" t="str">
        <f>IFERROR(__xludf.DUMMYFUNCTION("""COMPUTED_VALUE"""),"LaserJet Pro M148dw +Cartouche 94A Noire")</f>
        <v>LaserJet Pro M148dw +Cartouche 94A Noire</v>
      </c>
      <c r="E2367" s="2005" t="str">
        <f>IFERROR(__xludf.DUMMYFUNCTION("""COMPUTED_VALUE"""),"HP")</f>
        <v>HP</v>
      </c>
      <c r="F2367" s="2005" t="str">
        <f>IFERROR(__xludf.DUMMYFUNCTION("""COMPUTED_VALUE"""),"H")</f>
        <v>H</v>
      </c>
      <c r="G2367" s="2005" t="str">
        <f>IFERROR(__xludf.DUMMYFUNCTION("""COMPUTED_VALUE"""),"NN")</f>
        <v>NN</v>
      </c>
      <c r="H2367" s="2005">
        <f>IFERROR(__xludf.DUMMYFUNCTION("""COMPUTED_VALUE"""),164.38)</f>
        <v>164.38</v>
      </c>
      <c r="I2367" s="2005">
        <f>IFERROR(__xludf.DUMMYFUNCTION("""COMPUTED_VALUE"""),164.38)</f>
        <v>164.38</v>
      </c>
      <c r="BD2367" s="2006"/>
      <c r="LL2367" s="2007"/>
      <c r="LM2367" s="2007"/>
      <c r="MX2367" s="2007"/>
      <c r="ND2367" s="2007"/>
    </row>
    <row r="2368">
      <c r="A2368" s="2005">
        <f>IFERROR(__xludf.DUMMYFUNCTION("""COMPUTED_VALUE"""),1180749.0)</f>
        <v>1180749</v>
      </c>
      <c r="B2368" s="2005">
        <f>IFERROR(__xludf.DUMMYFUNCTION("""COMPUTED_VALUE"""),2209805.0)</f>
        <v>2209805</v>
      </c>
      <c r="C2368" s="2005" t="str">
        <f>IFERROR(__xludf.DUMMYFUNCTION("""COMPUTED_VALUE"""),"Lot")</f>
        <v>Lot</v>
      </c>
      <c r="D2368" s="2005" t="str">
        <f>IFERROR(__xludf.DUMMYFUNCTION("""COMPUTED_VALUE"""),"Color LaserJet Pro 178nw+Cart 117A Noire")</f>
        <v>Color LaserJet Pro 178nw+Cart 117A Noire</v>
      </c>
      <c r="E2368" s="2005" t="str">
        <f>IFERROR(__xludf.DUMMYFUNCTION("""COMPUTED_VALUE"""),"HP")</f>
        <v>HP</v>
      </c>
      <c r="F2368" s="2005" t="str">
        <f>IFERROR(__xludf.DUMMYFUNCTION("""COMPUTED_VALUE"""),"H")</f>
        <v>H</v>
      </c>
      <c r="G2368" s="2005" t="str">
        <f>IFERROR(__xludf.DUMMYFUNCTION("""COMPUTED_VALUE"""),"AC")</f>
        <v>AC</v>
      </c>
      <c r="H2368">
        <f>IFERROR(__xludf.DUMMYFUNCTION("""COMPUTED_VALUE"""),368.67)</f>
        <v>368.67</v>
      </c>
      <c r="I2368">
        <f>IFERROR(__xludf.DUMMYFUNCTION("""COMPUTED_VALUE"""),368.67)</f>
        <v>368.67</v>
      </c>
      <c r="BD2368" s="2006"/>
      <c r="LL2368" s="2007"/>
      <c r="LM2368" s="2007"/>
      <c r="MX2368" s="2007"/>
      <c r="ND2368" s="2007"/>
    </row>
    <row r="2369">
      <c r="A2369" s="2005">
        <f>IFERROR(__xludf.DUMMYFUNCTION("""COMPUTED_VALUE"""),1180750.0)</f>
        <v>1180750</v>
      </c>
      <c r="B2369" s="2005">
        <f>IFERROR(__xludf.DUMMYFUNCTION("""COMPUTED_VALUE"""),2209805.0)</f>
        <v>2209805</v>
      </c>
      <c r="C2369" s="2005" t="str">
        <f>IFERROR(__xludf.DUMMYFUNCTION("""COMPUTED_VALUE"""),"Lot")</f>
        <v>Lot</v>
      </c>
      <c r="D2369" s="2005" t="str">
        <f>IFERROR(__xludf.DUMMYFUNCTION("""COMPUTED_VALUE"""),"OfficeJet Pro 9022 + Cartouche 963 Cyan")</f>
        <v>OfficeJet Pro 9022 + Cartouche 963 Cyan</v>
      </c>
      <c r="E2369" s="2005" t="str">
        <f>IFERROR(__xludf.DUMMYFUNCTION("""COMPUTED_VALUE"""),"HP")</f>
        <v>HP</v>
      </c>
      <c r="F2369" s="2005" t="str">
        <f>IFERROR(__xludf.DUMMYFUNCTION("""COMPUTED_VALUE"""),"H")</f>
        <v>H</v>
      </c>
      <c r="G2369" s="2005" t="str">
        <f>IFERROR(__xludf.DUMMYFUNCTION("""COMPUTED_VALUE"""),"NN")</f>
        <v>NN</v>
      </c>
      <c r="H2369" s="2005">
        <f>IFERROR(__xludf.DUMMYFUNCTION("""COMPUTED_VALUE"""),309.77)</f>
        <v>309.77</v>
      </c>
      <c r="I2369" s="2005">
        <f>IFERROR(__xludf.DUMMYFUNCTION("""COMPUTED_VALUE"""),309.77)</f>
        <v>309.77</v>
      </c>
      <c r="BD2369" s="2006"/>
      <c r="LL2369" s="2007"/>
      <c r="LM2369" s="2007"/>
      <c r="MX2369" s="2007"/>
      <c r="ND2369" s="2007"/>
    </row>
    <row r="2370">
      <c r="A2370" s="2005">
        <f>IFERROR(__xludf.DUMMYFUNCTION("""COMPUTED_VALUE"""),1180752.0)</f>
        <v>1180752</v>
      </c>
      <c r="B2370" s="2005">
        <f>IFERROR(__xludf.DUMMYFUNCTION("""COMPUTED_VALUE"""),2209805.0)</f>
        <v>2209805</v>
      </c>
      <c r="C2370" s="2005" t="str">
        <f>IFERROR(__xludf.DUMMYFUNCTION("""COMPUTED_VALUE"""),"Lot")</f>
        <v>Lot</v>
      </c>
      <c r="D2370" s="2005" t="str">
        <f>IFERROR(__xludf.DUMMYFUNCTION("""COMPUTED_VALUE"""),"Smart Tank 655 + Bouteille 32 XL Noire")</f>
        <v>Smart Tank 655 + Bouteille 32 XL Noire</v>
      </c>
      <c r="E2370" s="2005" t="str">
        <f>IFERROR(__xludf.DUMMYFUNCTION("""COMPUTED_VALUE"""),"HP")</f>
        <v>HP</v>
      </c>
      <c r="F2370" s="2005" t="str">
        <f>IFERROR(__xludf.DUMMYFUNCTION("""COMPUTED_VALUE"""),"H")</f>
        <v>H</v>
      </c>
      <c r="G2370" s="2005" t="str">
        <f>IFERROR(__xludf.DUMMYFUNCTION("""COMPUTED_VALUE"""),"NN")</f>
        <v>NN</v>
      </c>
      <c r="H2370" s="2005">
        <f>IFERROR(__xludf.DUMMYFUNCTION("""COMPUTED_VALUE"""),394.28)</f>
        <v>394.28</v>
      </c>
      <c r="I2370" s="2005">
        <f>IFERROR(__xludf.DUMMYFUNCTION("""COMPUTED_VALUE"""),394.28)</f>
        <v>394.28</v>
      </c>
      <c r="BD2370" s="2006"/>
      <c r="LL2370" s="2007"/>
      <c r="LM2370" s="2007"/>
      <c r="MX2370" s="2007"/>
      <c r="ND2370" s="2007"/>
    </row>
    <row r="2371">
      <c r="A2371" s="2005">
        <f>IFERROR(__xludf.DUMMYFUNCTION("""COMPUTED_VALUE"""),1180753.0)</f>
        <v>1180753</v>
      </c>
      <c r="B2371" s="2005">
        <f>IFERROR(__xludf.DUMMYFUNCTION("""COMPUTED_VALUE"""),2209805.0)</f>
        <v>2209805</v>
      </c>
      <c r="C2371" s="2005" t="str">
        <f>IFERROR(__xludf.DUMMYFUNCTION("""COMPUTED_VALUE"""),"Lot")</f>
        <v>Lot</v>
      </c>
      <c r="D2371" s="2005" t="str">
        <f>IFERROR(__xludf.DUMMYFUNCTION("""COMPUTED_VALUE"""),"Color LaserJet Pro M283fdw + 207A Noire")</f>
        <v>Color LaserJet Pro M283fdw + 207A Noire</v>
      </c>
      <c r="E2371" s="2005" t="str">
        <f>IFERROR(__xludf.DUMMYFUNCTION("""COMPUTED_VALUE"""),"HP")</f>
        <v>HP</v>
      </c>
      <c r="F2371" s="2005" t="str">
        <f>IFERROR(__xludf.DUMMYFUNCTION("""COMPUTED_VALUE"""),"H")</f>
        <v>H</v>
      </c>
      <c r="G2371" s="2005" t="str">
        <f>IFERROR(__xludf.DUMMYFUNCTION("""COMPUTED_VALUE"""),"AC")</f>
        <v>AC</v>
      </c>
      <c r="H2371" s="2005">
        <f>IFERROR(__xludf.DUMMYFUNCTION("""COMPUTED_VALUE"""),602.37)</f>
        <v>602.37</v>
      </c>
      <c r="I2371" s="2005">
        <f>IFERROR(__xludf.DUMMYFUNCTION("""COMPUTED_VALUE"""),602.37)</f>
        <v>602.37</v>
      </c>
      <c r="BD2371" s="2006"/>
      <c r="LL2371" s="2008"/>
      <c r="LM2371" s="2007"/>
      <c r="MX2371" s="2007"/>
      <c r="ND2371" s="2007"/>
    </row>
    <row r="2372">
      <c r="A2372" s="2005">
        <f>IFERROR(__xludf.DUMMYFUNCTION("""COMPUTED_VALUE"""),1180754.0)</f>
        <v>1180754</v>
      </c>
      <c r="B2372" s="2005">
        <f>IFERROR(__xludf.DUMMYFUNCTION("""COMPUTED_VALUE"""),2209805.0)</f>
        <v>2209805</v>
      </c>
      <c r="C2372" s="2005" t="str">
        <f>IFERROR(__xludf.DUMMYFUNCTION("""COMPUTED_VALUE"""),"Lot")</f>
        <v>Lot</v>
      </c>
      <c r="D2372" s="2005" t="str">
        <f>IFERROR(__xludf.DUMMYFUNCTION("""COMPUTED_VALUE"""),"Deskjet 2723 + Cartouche 305 3 Couleurs")</f>
        <v>Deskjet 2723 + Cartouche 305 3 Couleurs</v>
      </c>
      <c r="E2372" s="2005" t="str">
        <f>IFERROR(__xludf.DUMMYFUNCTION("""COMPUTED_VALUE"""),"HP")</f>
        <v>HP</v>
      </c>
      <c r="F2372" s="2005" t="str">
        <f>IFERROR(__xludf.DUMMYFUNCTION("""COMPUTED_VALUE"""),"H")</f>
        <v>H</v>
      </c>
      <c r="G2372" s="2005" t="str">
        <f>IFERROR(__xludf.DUMMYFUNCTION("""COMPUTED_VALUE"""),"NN")</f>
        <v>NN</v>
      </c>
      <c r="H2372" s="2005">
        <f>IFERROR(__xludf.DUMMYFUNCTION("""COMPUTED_VALUE"""),49.99)</f>
        <v>49.99</v>
      </c>
      <c r="I2372" s="2005">
        <f>IFERROR(__xludf.DUMMYFUNCTION("""COMPUTED_VALUE"""),49.99)</f>
        <v>49.99</v>
      </c>
      <c r="BD2372" s="2006"/>
      <c r="LL2372" s="2007"/>
      <c r="LM2372" s="2007"/>
      <c r="MX2372" s="2007"/>
      <c r="ND2372" s="2007"/>
    </row>
    <row r="2373">
      <c r="A2373" s="2005">
        <f>IFERROR(__xludf.DUMMYFUNCTION("""COMPUTED_VALUE"""),1180755.0)</f>
        <v>1180755</v>
      </c>
      <c r="B2373" s="2005">
        <f>IFERROR(__xludf.DUMMYFUNCTION("""COMPUTED_VALUE"""),2209805.0)</f>
        <v>2209805</v>
      </c>
      <c r="C2373" s="2005" t="str">
        <f>IFERROR(__xludf.DUMMYFUNCTION("""COMPUTED_VALUE"""),"Lot")</f>
        <v>Lot</v>
      </c>
      <c r="D2373" s="2005" t="str">
        <f>IFERROR(__xludf.DUMMYFUNCTION("""COMPUTED_VALUE"""),"Deskjet Plus 4122 + Cart 305 3 Couleurs")</f>
        <v>Deskjet Plus 4122 + Cart 305 3 Couleurs</v>
      </c>
      <c r="E2373" s="2005" t="str">
        <f>IFERROR(__xludf.DUMMYFUNCTION("""COMPUTED_VALUE"""),"HP")</f>
        <v>HP</v>
      </c>
      <c r="F2373" s="2005" t="str">
        <f>IFERROR(__xludf.DUMMYFUNCTION("""COMPUTED_VALUE"""),"H")</f>
        <v>H</v>
      </c>
      <c r="G2373" s="2005" t="str">
        <f>IFERROR(__xludf.DUMMYFUNCTION("""COMPUTED_VALUE"""),"NN")</f>
        <v>NN</v>
      </c>
      <c r="H2373" s="2005">
        <f>IFERROR(__xludf.DUMMYFUNCTION("""COMPUTED_VALUE"""),63.99)</f>
        <v>63.99</v>
      </c>
      <c r="I2373" s="2005">
        <f>IFERROR(__xludf.DUMMYFUNCTION("""COMPUTED_VALUE"""),63.99)</f>
        <v>63.99</v>
      </c>
      <c r="BD2373" s="2006"/>
      <c r="LL2373" s="2007"/>
      <c r="LM2373" s="2007"/>
      <c r="MX2373" s="2007"/>
      <c r="ND2373" s="2007"/>
    </row>
    <row r="2374">
      <c r="A2374" s="2005">
        <f>IFERROR(__xludf.DUMMYFUNCTION("""COMPUTED_VALUE"""),1180756.0)</f>
        <v>1180756</v>
      </c>
      <c r="B2374" s="2005">
        <f>IFERROR(__xludf.DUMMYFUNCTION("""COMPUTED_VALUE"""),2209805.0)</f>
        <v>2209805</v>
      </c>
      <c r="C2374" s="2005" t="str">
        <f>IFERROR(__xludf.DUMMYFUNCTION("""COMPUTED_VALUE"""),"Lot")</f>
        <v>Lot</v>
      </c>
      <c r="D2374" s="2005" t="str">
        <f>IFERROR(__xludf.DUMMYFUNCTION("""COMPUTED_VALUE"""),"Envy 6030 + Cartouche 305 3 Couleurs")</f>
        <v>Envy 6030 + Cartouche 305 3 Couleurs</v>
      </c>
      <c r="E2374" s="2005" t="str">
        <f>IFERROR(__xludf.DUMMYFUNCTION("""COMPUTED_VALUE"""),"HP")</f>
        <v>HP</v>
      </c>
      <c r="F2374" s="2005" t="str">
        <f>IFERROR(__xludf.DUMMYFUNCTION("""COMPUTED_VALUE"""),"H")</f>
        <v>H</v>
      </c>
      <c r="G2374" s="2005" t="str">
        <f>IFERROR(__xludf.DUMMYFUNCTION("""COMPUTED_VALUE"""),"NN")</f>
        <v>NN</v>
      </c>
      <c r="H2374" s="2005">
        <f>IFERROR(__xludf.DUMMYFUNCTION("""COMPUTED_VALUE"""),71.99)</f>
        <v>71.99</v>
      </c>
      <c r="I2374" s="2005">
        <f>IFERROR(__xludf.DUMMYFUNCTION("""COMPUTED_VALUE"""),71.99)</f>
        <v>71.99</v>
      </c>
      <c r="BD2374" s="2006"/>
      <c r="LL2374" s="2007"/>
      <c r="LM2374" s="2007"/>
      <c r="MX2374" s="2007"/>
      <c r="ND2374" s="2007"/>
    </row>
    <row r="2375">
      <c r="A2375" s="2005">
        <f>IFERROR(__xludf.DUMMYFUNCTION("""COMPUTED_VALUE"""),1180759.0)</f>
        <v>1180759</v>
      </c>
      <c r="B2375" s="2005">
        <f>IFERROR(__xludf.DUMMYFUNCTION("""COMPUTED_VALUE"""),2209805.0)</f>
        <v>2209805</v>
      </c>
      <c r="C2375" s="2005" t="str">
        <f>IFERROR(__xludf.DUMMYFUNCTION("""COMPUTED_VALUE"""),"Lot")</f>
        <v>Lot</v>
      </c>
      <c r="D2375" s="2005" t="str">
        <f>IFERROR(__xludf.DUMMYFUNCTION("""COMPUTED_VALUE"""),"OfficeJet Pro 6950 + Cartouche 903 cyan")</f>
        <v>OfficeJet Pro 6950 + Cartouche 903 cyan</v>
      </c>
      <c r="E2375" s="2005" t="str">
        <f>IFERROR(__xludf.DUMMYFUNCTION("""COMPUTED_VALUE"""),"HP")</f>
        <v>HP</v>
      </c>
      <c r="F2375" s="2005" t="str">
        <f>IFERROR(__xludf.DUMMYFUNCTION("""COMPUTED_VALUE"""),"H")</f>
        <v>H</v>
      </c>
      <c r="G2375" s="2005" t="str">
        <f>IFERROR(__xludf.DUMMYFUNCTION("""COMPUTED_VALUE"""),"NN")</f>
        <v>NN</v>
      </c>
      <c r="H2375" s="2005">
        <f>IFERROR(__xludf.DUMMYFUNCTION("""COMPUTED_VALUE"""),155.83)</f>
        <v>155.83</v>
      </c>
      <c r="I2375" s="2005">
        <f>IFERROR(__xludf.DUMMYFUNCTION("""COMPUTED_VALUE"""),155.83)</f>
        <v>155.83</v>
      </c>
      <c r="BD2375" s="2006"/>
      <c r="LL2375" s="2007"/>
      <c r="LM2375" s="2007"/>
      <c r="MX2375" s="2007"/>
      <c r="ND2375" s="2007"/>
    </row>
    <row r="2376">
      <c r="A2376" s="2005">
        <f>IFERROR(__xludf.DUMMYFUNCTION("""COMPUTED_VALUE"""),1180761.0)</f>
        <v>1180761</v>
      </c>
      <c r="B2376" s="2005">
        <f>IFERROR(__xludf.DUMMYFUNCTION("""COMPUTED_VALUE"""),2209805.0)</f>
        <v>2209805</v>
      </c>
      <c r="C2376" s="2005" t="str">
        <f>IFERROR(__xludf.DUMMYFUNCTION("""COMPUTED_VALUE"""),"Lot")</f>
        <v>Lot</v>
      </c>
      <c r="D2376" s="2005" t="str">
        <f>IFERROR(__xludf.DUMMYFUNCTION("""COMPUTED_VALUE"""),"Envy 6230 + Cartouche 303 3 Couleurs")</f>
        <v>Envy 6230 + Cartouche 303 3 Couleurs</v>
      </c>
      <c r="E2376" s="2005" t="str">
        <f>IFERROR(__xludf.DUMMYFUNCTION("""COMPUTED_VALUE"""),"HP")</f>
        <v>HP</v>
      </c>
      <c r="F2376" s="2005" t="str">
        <f>IFERROR(__xludf.DUMMYFUNCTION("""COMPUTED_VALUE"""),"H")</f>
        <v>H</v>
      </c>
      <c r="G2376" s="2005" t="str">
        <f>IFERROR(__xludf.DUMMYFUNCTION("""COMPUTED_VALUE"""),"NN")</f>
        <v>NN</v>
      </c>
      <c r="H2376" s="2005">
        <f>IFERROR(__xludf.DUMMYFUNCTION("""COMPUTED_VALUE"""),101.99)</f>
        <v>101.99</v>
      </c>
      <c r="I2376" s="2005">
        <f>IFERROR(__xludf.DUMMYFUNCTION("""COMPUTED_VALUE"""),101.99)</f>
        <v>101.99</v>
      </c>
      <c r="BD2376" s="2006"/>
      <c r="LL2376" s="2007"/>
      <c r="LM2376" s="2007"/>
      <c r="MX2376" s="2007"/>
      <c r="ND2376" s="2007"/>
    </row>
    <row r="2377">
      <c r="A2377" s="2005">
        <f>IFERROR(__xludf.DUMMYFUNCTION("""COMPUTED_VALUE"""),1180763.0)</f>
        <v>1180763</v>
      </c>
      <c r="B2377" s="2005">
        <f>IFERROR(__xludf.DUMMYFUNCTION("""COMPUTED_VALUE"""),2209805.0)</f>
        <v>2209805</v>
      </c>
      <c r="C2377" s="2005" t="str">
        <f>IFERROR(__xludf.DUMMYFUNCTION("""COMPUTED_VALUE"""),"Lot")</f>
        <v>Lot</v>
      </c>
      <c r="D2377" s="2005" t="str">
        <f>IFERROR(__xludf.DUMMYFUNCTION("""COMPUTED_VALUE"""),"Deskjet 2721e + Cartouche 305 3 Couleurs")</f>
        <v>Deskjet 2721e + Cartouche 305 3 Couleurs</v>
      </c>
      <c r="E2377" s="2005" t="str">
        <f>IFERROR(__xludf.DUMMYFUNCTION("""COMPUTED_VALUE"""),"HP")</f>
        <v>HP</v>
      </c>
      <c r="F2377" s="2005" t="str">
        <f>IFERROR(__xludf.DUMMYFUNCTION("""COMPUTED_VALUE"""),"H")</f>
        <v>H</v>
      </c>
      <c r="G2377" s="2005" t="str">
        <f>IFERROR(__xludf.DUMMYFUNCTION("""COMPUTED_VALUE"""),"AC")</f>
        <v>AC</v>
      </c>
      <c r="H2377" s="2005">
        <f>IFERROR(__xludf.DUMMYFUNCTION("""COMPUTED_VALUE"""),75.97)</f>
        <v>75.97</v>
      </c>
      <c r="I2377" s="2005">
        <f>IFERROR(__xludf.DUMMYFUNCTION("""COMPUTED_VALUE"""),75.97)</f>
        <v>75.97</v>
      </c>
      <c r="BD2377" s="2006"/>
      <c r="LL2377" s="2007"/>
      <c r="LM2377" s="2007"/>
      <c r="MX2377" s="2007"/>
      <c r="ND2377" s="2007"/>
    </row>
    <row r="2378">
      <c r="A2378">
        <f>IFERROR(__xludf.DUMMYFUNCTION("""COMPUTED_VALUE"""),1180764.0)</f>
        <v>1180764</v>
      </c>
      <c r="B2378">
        <f>IFERROR(__xludf.DUMMYFUNCTION("""COMPUTED_VALUE"""),2209805.0)</f>
        <v>2209805</v>
      </c>
      <c r="C2378" t="str">
        <f>IFERROR(__xludf.DUMMYFUNCTION("""COMPUTED_VALUE"""),"Lot")</f>
        <v>Lot</v>
      </c>
      <c r="D2378" t="str">
        <f>IFERROR(__xludf.DUMMYFUNCTION("""COMPUTED_VALUE"""),"Envy 6032e + Cartouche 305 3 Couleurs")</f>
        <v>Envy 6032e + Cartouche 305 3 Couleurs</v>
      </c>
      <c r="E2378" t="str">
        <f>IFERROR(__xludf.DUMMYFUNCTION("""COMPUTED_VALUE"""),"HP")</f>
        <v>HP</v>
      </c>
      <c r="F2378" t="str">
        <f>IFERROR(__xludf.DUMMYFUNCTION("""COMPUTED_VALUE"""),"H")</f>
        <v>H</v>
      </c>
      <c r="G2378" t="str">
        <f>IFERROR(__xludf.DUMMYFUNCTION("""COMPUTED_VALUE"""),"AC")</f>
        <v>AC</v>
      </c>
      <c r="H2378">
        <f>IFERROR(__xludf.DUMMYFUNCTION("""COMPUTED_VALUE"""),110.23)</f>
        <v>110.23</v>
      </c>
      <c r="I2378">
        <f>IFERROR(__xludf.DUMMYFUNCTION("""COMPUTED_VALUE"""),110.23)</f>
        <v>110.23</v>
      </c>
      <c r="BD2378" s="2006"/>
      <c r="LL2378" s="2007"/>
      <c r="LM2378" s="2007"/>
      <c r="MX2378" s="2007"/>
      <c r="ND2378" s="2007"/>
    </row>
    <row r="2379">
      <c r="A2379">
        <f>IFERROR(__xludf.DUMMYFUNCTION("""COMPUTED_VALUE"""),1180765.0)</f>
        <v>1180765</v>
      </c>
      <c r="B2379">
        <f>IFERROR(__xludf.DUMMYFUNCTION("""COMPUTED_VALUE"""),2209805.0)</f>
        <v>2209805</v>
      </c>
      <c r="C2379" t="str">
        <f>IFERROR(__xludf.DUMMYFUNCTION("""COMPUTED_VALUE"""),"Lot")</f>
        <v>Lot</v>
      </c>
      <c r="D2379" t="str">
        <f>IFERROR(__xludf.DUMMYFUNCTION("""COMPUTED_VALUE"""),"Envy 6432e + Cartouche 305 3 Couleurs")</f>
        <v>Envy 6432e + Cartouche 305 3 Couleurs</v>
      </c>
      <c r="E2379" t="str">
        <f>IFERROR(__xludf.DUMMYFUNCTION("""COMPUTED_VALUE"""),"HP")</f>
        <v>HP</v>
      </c>
      <c r="F2379" t="str">
        <f>IFERROR(__xludf.DUMMYFUNCTION("""COMPUTED_VALUE"""),"H")</f>
        <v>H</v>
      </c>
      <c r="G2379" t="str">
        <f>IFERROR(__xludf.DUMMYFUNCTION("""COMPUTED_VALUE"""),"AC")</f>
        <v>AC</v>
      </c>
      <c r="H2379">
        <f>IFERROR(__xludf.DUMMYFUNCTION("""COMPUTED_VALUE"""),129.23)</f>
        <v>129.23</v>
      </c>
      <c r="I2379">
        <f>IFERROR(__xludf.DUMMYFUNCTION("""COMPUTED_VALUE"""),129.23)</f>
        <v>129.23</v>
      </c>
      <c r="BD2379" s="2006"/>
      <c r="LL2379" s="2008"/>
      <c r="LM2379" s="2007"/>
      <c r="MX2379" s="2007"/>
      <c r="ND2379" s="2007"/>
    </row>
    <row r="2380">
      <c r="A2380" s="2005">
        <f>IFERROR(__xludf.DUMMYFUNCTION("""COMPUTED_VALUE"""),1180766.0)</f>
        <v>1180766</v>
      </c>
      <c r="B2380" s="2005">
        <f>IFERROR(__xludf.DUMMYFUNCTION("""COMPUTED_VALUE"""),2209805.0)</f>
        <v>2209805</v>
      </c>
      <c r="C2380" s="2005" t="str">
        <f>IFERROR(__xludf.DUMMYFUNCTION("""COMPUTED_VALUE"""),"Lot")</f>
        <v>Lot</v>
      </c>
      <c r="D2380" s="2005" t="str">
        <f>IFERROR(__xludf.DUMMYFUNCTION("""COMPUTED_VALUE"""),"OfficeJet Pro 8024e 6 + Cart 912  Cyan")</f>
        <v>OfficeJet Pro 8024e 6 + Cart 912  Cyan</v>
      </c>
      <c r="E2380" s="2005" t="str">
        <f>IFERROR(__xludf.DUMMYFUNCTION("""COMPUTED_VALUE"""),"HP")</f>
        <v>HP</v>
      </c>
      <c r="F2380" s="2005" t="str">
        <f>IFERROR(__xludf.DUMMYFUNCTION("""COMPUTED_VALUE"""),"H")</f>
        <v>H</v>
      </c>
      <c r="G2380" s="2005" t="str">
        <f>IFERROR(__xludf.DUMMYFUNCTION("""COMPUTED_VALUE"""),"AC")</f>
        <v>AC</v>
      </c>
      <c r="H2380" s="2005">
        <f>IFERROR(__xludf.DUMMYFUNCTION("""COMPUTED_VALUE"""),220.43)</f>
        <v>220.43</v>
      </c>
      <c r="I2380" s="2005">
        <f>IFERROR(__xludf.DUMMYFUNCTION("""COMPUTED_VALUE"""),220.43)</f>
        <v>220.43</v>
      </c>
      <c r="BD2380" s="2006"/>
      <c r="LL2380" s="2007"/>
      <c r="LM2380" s="2007"/>
      <c r="MX2380" s="2007"/>
      <c r="ND2380" s="2007"/>
    </row>
    <row r="2381">
      <c r="A2381">
        <f>IFERROR(__xludf.DUMMYFUNCTION("""COMPUTED_VALUE"""),1180767.0)</f>
        <v>1180767</v>
      </c>
      <c r="B2381">
        <f>IFERROR(__xludf.DUMMYFUNCTION("""COMPUTED_VALUE"""),2209805.0)</f>
        <v>2209805</v>
      </c>
      <c r="C2381" t="str">
        <f>IFERROR(__xludf.DUMMYFUNCTION("""COMPUTED_VALUE"""),"Lot")</f>
        <v>Lot</v>
      </c>
      <c r="D2381" t="str">
        <f>IFERROR(__xludf.DUMMYFUNCTION("""COMPUTED_VALUE"""),"OfficeJet Pro 9014e + Cart 963 Cyan")</f>
        <v>OfficeJet Pro 9014e + Cart 963 Cyan</v>
      </c>
      <c r="E2381" t="str">
        <f>IFERROR(__xludf.DUMMYFUNCTION("""COMPUTED_VALUE"""),"HP")</f>
        <v>HP</v>
      </c>
      <c r="F2381" t="str">
        <f>IFERROR(__xludf.DUMMYFUNCTION("""COMPUTED_VALUE"""),"H")</f>
        <v>H</v>
      </c>
      <c r="G2381" t="str">
        <f>IFERROR(__xludf.DUMMYFUNCTION("""COMPUTED_VALUE"""),"AC")</f>
        <v>AC</v>
      </c>
      <c r="H2381">
        <f>IFERROR(__xludf.DUMMYFUNCTION("""COMPUTED_VALUE"""),281.23)</f>
        <v>281.23</v>
      </c>
      <c r="I2381">
        <f>IFERROR(__xludf.DUMMYFUNCTION("""COMPUTED_VALUE"""),281.23)</f>
        <v>281.23</v>
      </c>
      <c r="BD2381" s="2006"/>
      <c r="LL2381" s="2007"/>
      <c r="LM2381" s="2007"/>
      <c r="MX2381" s="2007"/>
      <c r="ND2381" s="2007"/>
    </row>
    <row r="2382">
      <c r="A2382" s="2005">
        <f>IFERROR(__xludf.DUMMYFUNCTION("""COMPUTED_VALUE"""),1180768.0)</f>
        <v>1180768</v>
      </c>
      <c r="B2382" s="2005">
        <f>IFERROR(__xludf.DUMMYFUNCTION("""COMPUTED_VALUE"""),2209805.0)</f>
        <v>2209805</v>
      </c>
      <c r="C2382" s="2005" t="str">
        <f>IFERROR(__xludf.DUMMYFUNCTION("""COMPUTED_VALUE"""),"Lot")</f>
        <v>Lot</v>
      </c>
      <c r="D2382" s="2005" t="str">
        <f>IFERROR(__xludf.DUMMYFUNCTION("""COMPUTED_VALUE"""),"OfficeJet Pro 9015e + Cart 963 Cyan")</f>
        <v>OfficeJet Pro 9015e + Cart 963 Cyan</v>
      </c>
      <c r="E2382" s="2005" t="str">
        <f>IFERROR(__xludf.DUMMYFUNCTION("""COMPUTED_VALUE"""),"HP")</f>
        <v>HP</v>
      </c>
      <c r="F2382" s="2005" t="str">
        <f>IFERROR(__xludf.DUMMYFUNCTION("""COMPUTED_VALUE"""),"H")</f>
        <v>H</v>
      </c>
      <c r="G2382" s="2005" t="str">
        <f>IFERROR(__xludf.DUMMYFUNCTION("""COMPUTED_VALUE"""),"NN")</f>
        <v>NN</v>
      </c>
      <c r="H2382" s="2005">
        <f>IFERROR(__xludf.DUMMYFUNCTION("""COMPUTED_VALUE"""),233.64)</f>
        <v>233.64</v>
      </c>
      <c r="I2382" s="2005">
        <f>IFERROR(__xludf.DUMMYFUNCTION("""COMPUTED_VALUE"""),233.64)</f>
        <v>233.64</v>
      </c>
      <c r="BD2382" s="2006"/>
      <c r="LL2382" s="2007"/>
      <c r="LM2382" s="2007"/>
      <c r="MX2382" s="2007"/>
      <c r="ND2382" s="2007"/>
    </row>
    <row r="2383">
      <c r="A2383">
        <f>IFERROR(__xludf.DUMMYFUNCTION("""COMPUTED_VALUE"""),1180769.0)</f>
        <v>1180769</v>
      </c>
      <c r="B2383">
        <f>IFERROR(__xludf.DUMMYFUNCTION("""COMPUTED_VALUE"""),2209805.0)</f>
        <v>2209805</v>
      </c>
      <c r="C2383" t="str">
        <f>IFERROR(__xludf.DUMMYFUNCTION("""COMPUTED_VALUE"""),"Lot")</f>
        <v>Lot</v>
      </c>
      <c r="D2383" t="str">
        <f>IFERROR(__xludf.DUMMYFUNCTION("""COMPUTED_VALUE"""),"OfficeJet Pro 9022e + Cart 963 Cyan")</f>
        <v>OfficeJet Pro 9022e + Cart 963 Cyan</v>
      </c>
      <c r="E2383" t="str">
        <f>IFERROR(__xludf.DUMMYFUNCTION("""COMPUTED_VALUE"""),"HP")</f>
        <v>HP</v>
      </c>
      <c r="F2383" t="str">
        <f>IFERROR(__xludf.DUMMYFUNCTION("""COMPUTED_VALUE"""),"H")</f>
        <v>H</v>
      </c>
      <c r="G2383" t="str">
        <f>IFERROR(__xludf.DUMMYFUNCTION("""COMPUTED_VALUE"""),"NN")</f>
        <v>NN</v>
      </c>
      <c r="H2383">
        <f>IFERROR(__xludf.DUMMYFUNCTION("""COMPUTED_VALUE"""),395.27)</f>
        <v>395.27</v>
      </c>
      <c r="I2383">
        <f>IFERROR(__xludf.DUMMYFUNCTION("""COMPUTED_VALUE"""),395.27)</f>
        <v>395.27</v>
      </c>
      <c r="BD2383" s="2006"/>
      <c r="LL2383" s="2007"/>
      <c r="LM2383" s="2007"/>
      <c r="MX2383" s="2007"/>
      <c r="ND2383" s="2007"/>
    </row>
    <row r="2384">
      <c r="A2384" s="2005">
        <f>IFERROR(__xludf.DUMMYFUNCTION("""COMPUTED_VALUE"""),1180770.0)</f>
        <v>1180770</v>
      </c>
      <c r="B2384" s="2005">
        <f>IFERROR(__xludf.DUMMYFUNCTION("""COMPUTED_VALUE"""),2209805.0)</f>
        <v>2209805</v>
      </c>
      <c r="C2384" s="2005" t="str">
        <f>IFERROR(__xludf.DUMMYFUNCTION("""COMPUTED_VALUE"""),"Lot")</f>
        <v>Lot</v>
      </c>
      <c r="D2384" s="2005" t="str">
        <f>IFERROR(__xludf.DUMMYFUNCTION("""COMPUTED_VALUE"""),"OfficeJet Pro 9025e + Cart 963 Cyan")</f>
        <v>OfficeJet Pro 9025e + Cart 963 Cyan</v>
      </c>
      <c r="E2384" s="2005" t="str">
        <f>IFERROR(__xludf.DUMMYFUNCTION("""COMPUTED_VALUE"""),"HP")</f>
        <v>HP</v>
      </c>
      <c r="F2384" s="2005" t="str">
        <f>IFERROR(__xludf.DUMMYFUNCTION("""COMPUTED_VALUE"""),"H")</f>
        <v>H</v>
      </c>
      <c r="G2384" s="2005" t="str">
        <f>IFERROR(__xludf.DUMMYFUNCTION("""COMPUTED_VALUE"""),"NN")</f>
        <v>NN</v>
      </c>
      <c r="H2384">
        <f>IFERROR(__xludf.DUMMYFUNCTION("""COMPUTED_VALUE"""),309.75)</f>
        <v>309.75</v>
      </c>
      <c r="I2384">
        <f>IFERROR(__xludf.DUMMYFUNCTION("""COMPUTED_VALUE"""),309.75)</f>
        <v>309.75</v>
      </c>
      <c r="BD2384" s="2006"/>
      <c r="LL2384" s="2007"/>
      <c r="LM2384" s="2007"/>
      <c r="MX2384" s="2007"/>
      <c r="ND2384" s="2007"/>
    </row>
    <row r="2385">
      <c r="A2385" s="2005">
        <f>IFERROR(__xludf.DUMMYFUNCTION("""COMPUTED_VALUE"""),1180771.0)</f>
        <v>1180771</v>
      </c>
      <c r="B2385" s="2005">
        <f>IFERROR(__xludf.DUMMYFUNCTION("""COMPUTED_VALUE"""),2209805.0)</f>
        <v>2209805</v>
      </c>
      <c r="C2385" s="2005" t="str">
        <f>IFERROR(__xludf.DUMMYFUNCTION("""COMPUTED_VALUE"""),"Lot")</f>
        <v>Lot</v>
      </c>
      <c r="D2385" s="2005" t="str">
        <f>IFERROR(__xludf.DUMMYFUNCTION("""COMPUTED_VALUE"""),"Envy 6234 + Cartouche 303 3 Couleurs")</f>
        <v>Envy 6234 + Cartouche 303 3 Couleurs</v>
      </c>
      <c r="E2385" s="2005" t="str">
        <f>IFERROR(__xludf.DUMMYFUNCTION("""COMPUTED_VALUE"""),"HP")</f>
        <v>HP</v>
      </c>
      <c r="F2385" s="2005" t="str">
        <f>IFERROR(__xludf.DUMMYFUNCTION("""COMPUTED_VALUE"""),"H")</f>
        <v>H</v>
      </c>
      <c r="G2385" s="2005" t="str">
        <f>IFERROR(__xludf.DUMMYFUNCTION("""COMPUTED_VALUE"""),"NN")</f>
        <v>NN</v>
      </c>
      <c r="H2385" s="2005">
        <f>IFERROR(__xludf.DUMMYFUNCTION("""COMPUTED_VALUE"""),139.99)</f>
        <v>139.99</v>
      </c>
      <c r="I2385" s="2005">
        <f>IFERROR(__xludf.DUMMYFUNCTION("""COMPUTED_VALUE"""),139.99)</f>
        <v>139.99</v>
      </c>
      <c r="BD2385" s="2006"/>
      <c r="LL2385" s="2007"/>
      <c r="LM2385" s="2007"/>
      <c r="MX2385" s="2007"/>
      <c r="NB2385" s="2007"/>
      <c r="ND2385" s="2007"/>
    </row>
    <row r="2386">
      <c r="A2386" s="2005">
        <f>IFERROR(__xludf.DUMMYFUNCTION("""COMPUTED_VALUE"""),1180772.0)</f>
        <v>1180772</v>
      </c>
      <c r="B2386" s="2005">
        <f>IFERROR(__xludf.DUMMYFUNCTION("""COMPUTED_VALUE"""),2209805.0)</f>
        <v>2209805</v>
      </c>
      <c r="C2386" s="2005" t="str">
        <f>IFERROR(__xludf.DUMMYFUNCTION("""COMPUTED_VALUE"""),"Lot")</f>
        <v>Lot</v>
      </c>
      <c r="D2386" s="2005" t="str">
        <f>IFERROR(__xludf.DUMMYFUNCTION("""COMPUTED_VALUE"""),"LaserJet Pro M234sdwe + Cart 106A Noire")</f>
        <v>LaserJet Pro M234sdwe + Cart 106A Noire</v>
      </c>
      <c r="E2386" s="2005" t="str">
        <f>IFERROR(__xludf.DUMMYFUNCTION("""COMPUTED_VALUE"""),"HP")</f>
        <v>HP</v>
      </c>
      <c r="F2386" s="2005" t="str">
        <f>IFERROR(__xludf.DUMMYFUNCTION("""COMPUTED_VALUE"""),"H")</f>
        <v>H</v>
      </c>
      <c r="G2386" s="2005" t="str">
        <f>IFERROR(__xludf.DUMMYFUNCTION("""COMPUTED_VALUE"""),"AC")</f>
        <v>AC</v>
      </c>
      <c r="H2386" s="2005">
        <f>IFERROR(__xludf.DUMMYFUNCTION("""COMPUTED_VALUE"""),308.78)</f>
        <v>308.78</v>
      </c>
      <c r="I2386" s="2005">
        <f>IFERROR(__xludf.DUMMYFUNCTION("""COMPUTED_VALUE"""),299.28)</f>
        <v>299.28</v>
      </c>
      <c r="BD2386" s="2006"/>
      <c r="LL2386" s="2007"/>
      <c r="LM2386" s="2007"/>
      <c r="MX2386" s="2007"/>
      <c r="ND2386" s="2007"/>
    </row>
    <row r="2387">
      <c r="A2387" s="2005">
        <f>IFERROR(__xludf.DUMMYFUNCTION("""COMPUTED_VALUE"""),1180773.0)</f>
        <v>1180773</v>
      </c>
      <c r="B2387" s="2005">
        <f>IFERROR(__xludf.DUMMYFUNCTION("""COMPUTED_VALUE"""),2209805.0)</f>
        <v>2209805</v>
      </c>
      <c r="C2387" s="2005" t="str">
        <f>IFERROR(__xludf.DUMMYFUNCTION("""COMPUTED_VALUE"""),"Lot")</f>
        <v>Lot</v>
      </c>
      <c r="D2387" s="2005" t="str">
        <f>IFERROR(__xludf.DUMMYFUNCTION("""COMPUTED_VALUE"""),"Deskjet 4130e + Cartouche 305 3 Couleurs")</f>
        <v>Deskjet 4130e + Cartouche 305 3 Couleurs</v>
      </c>
      <c r="E2387" s="2005" t="str">
        <f>IFERROR(__xludf.DUMMYFUNCTION("""COMPUTED_VALUE"""),"HP")</f>
        <v>HP</v>
      </c>
      <c r="F2387" s="2005" t="str">
        <f>IFERROR(__xludf.DUMMYFUNCTION("""COMPUTED_VALUE"""),"H")</f>
        <v>H</v>
      </c>
      <c r="G2387" s="2005" t="str">
        <f>IFERROR(__xludf.DUMMYFUNCTION("""COMPUTED_VALUE"""),"NN")</f>
        <v>NN</v>
      </c>
      <c r="H2387" s="2005">
        <f>IFERROR(__xludf.DUMMYFUNCTION("""COMPUTED_VALUE"""),91.21)</f>
        <v>91.21</v>
      </c>
      <c r="I2387" s="2005">
        <f>IFERROR(__xludf.DUMMYFUNCTION("""COMPUTED_VALUE"""),91.21)</f>
        <v>91.21</v>
      </c>
      <c r="BD2387" s="2006"/>
      <c r="LL2387" s="2008"/>
      <c r="LM2387" s="2007"/>
      <c r="MX2387" s="2007"/>
      <c r="ND2387" s="2007"/>
    </row>
    <row r="2388">
      <c r="A2388" s="2005">
        <f>IFERROR(__xludf.DUMMYFUNCTION("""COMPUTED_VALUE"""),1180775.0)</f>
        <v>1180775</v>
      </c>
      <c r="B2388" s="2005">
        <f>IFERROR(__xludf.DUMMYFUNCTION("""COMPUTED_VALUE"""),2209805.0)</f>
        <v>2209805</v>
      </c>
      <c r="C2388" s="2005" t="str">
        <f>IFERROR(__xludf.DUMMYFUNCTION("""COMPUTED_VALUE"""),"Lot")</f>
        <v>Lot</v>
      </c>
      <c r="D2388" s="2005" t="str">
        <f>IFERROR(__xludf.DUMMYFUNCTION("""COMPUTED_VALUE"""),"OfficeJet Pro 8012e + Cartouche 912 Cyan")</f>
        <v>OfficeJet Pro 8012e + Cartouche 912 Cyan</v>
      </c>
      <c r="E2388" s="2005" t="str">
        <f>IFERROR(__xludf.DUMMYFUNCTION("""COMPUTED_VALUE"""),"HP")</f>
        <v>HP</v>
      </c>
      <c r="F2388" s="2005" t="str">
        <f>IFERROR(__xludf.DUMMYFUNCTION("""COMPUTED_VALUE"""),"H")</f>
        <v>H</v>
      </c>
      <c r="G2388" s="2005" t="str">
        <f>IFERROR(__xludf.DUMMYFUNCTION("""COMPUTED_VALUE"""),"NN")</f>
        <v>NN</v>
      </c>
      <c r="H2388" s="2005">
        <f>IFERROR(__xludf.DUMMYFUNCTION("""COMPUTED_VALUE"""),144.34)</f>
        <v>144.34</v>
      </c>
      <c r="I2388" s="2005">
        <f>IFERROR(__xludf.DUMMYFUNCTION("""COMPUTED_VALUE"""),144.34)</f>
        <v>144.34</v>
      </c>
      <c r="BD2388" s="2006"/>
      <c r="LL2388" s="2007"/>
      <c r="LM2388" s="2007"/>
      <c r="MX2388" s="2007"/>
      <c r="ND2388" s="2007"/>
    </row>
    <row r="2389">
      <c r="A2389" s="2005">
        <f>IFERROR(__xludf.DUMMYFUNCTION("""COMPUTED_VALUE"""),1180776.0)</f>
        <v>1180776</v>
      </c>
      <c r="B2389" s="2005">
        <f>IFERROR(__xludf.DUMMYFUNCTION("""COMPUTED_VALUE"""),2209805.0)</f>
        <v>2209805</v>
      </c>
      <c r="C2389" s="2005" t="str">
        <f>IFERROR(__xludf.DUMMYFUNCTION("""COMPUTED_VALUE"""),"Lot")</f>
        <v>Lot</v>
      </c>
      <c r="D2389" s="2005" t="str">
        <f>IFERROR(__xludf.DUMMYFUNCTION("""COMPUTED_VALUE"""),"OfficeJet Pro 8022e + Cartouche 912 Cyan")</f>
        <v>OfficeJet Pro 8022e + Cartouche 912 Cyan</v>
      </c>
      <c r="E2389" s="2005" t="str">
        <f>IFERROR(__xludf.DUMMYFUNCTION("""COMPUTED_VALUE"""),"HP")</f>
        <v>HP</v>
      </c>
      <c r="F2389" s="2005" t="str">
        <f>IFERROR(__xludf.DUMMYFUNCTION("""COMPUTED_VALUE"""),"H")</f>
        <v>H</v>
      </c>
      <c r="G2389" s="2005" t="str">
        <f>IFERROR(__xludf.DUMMYFUNCTION("""COMPUTED_VALUE"""),"NN")</f>
        <v>NN</v>
      </c>
      <c r="H2389" s="2005">
        <f>IFERROR(__xludf.DUMMYFUNCTION("""COMPUTED_VALUE"""),172.84)</f>
        <v>172.84</v>
      </c>
      <c r="I2389" s="2005">
        <f>IFERROR(__xludf.DUMMYFUNCTION("""COMPUTED_VALUE"""),172.84)</f>
        <v>172.84</v>
      </c>
      <c r="BD2389" s="2006"/>
      <c r="LL2389" s="2008"/>
      <c r="LM2389" s="2007"/>
      <c r="MX2389" s="2007"/>
      <c r="ND2389" s="2007"/>
    </row>
    <row r="2390">
      <c r="A2390" s="2005">
        <f>IFERROR(__xludf.DUMMYFUNCTION("""COMPUTED_VALUE"""),1180777.0)</f>
        <v>1180777</v>
      </c>
      <c r="B2390" s="2005">
        <f>IFERROR(__xludf.DUMMYFUNCTION("""COMPUTED_VALUE"""),2209805.0)</f>
        <v>2209805</v>
      </c>
      <c r="C2390" s="2005" t="str">
        <f>IFERROR(__xludf.DUMMYFUNCTION("""COMPUTED_VALUE"""),"Lot")</f>
        <v>Lot</v>
      </c>
      <c r="D2390" s="2005" t="str">
        <f>IFERROR(__xludf.DUMMYFUNCTION("""COMPUTED_VALUE"""),"LaserJet M209dwe + Cartouche 135A Noire")</f>
        <v>LaserJet M209dwe + Cartouche 135A Noire</v>
      </c>
      <c r="E2390" s="2005" t="str">
        <f>IFERROR(__xludf.DUMMYFUNCTION("""COMPUTED_VALUE"""),"HP")</f>
        <v>HP</v>
      </c>
      <c r="F2390" s="2005" t="str">
        <f>IFERROR(__xludf.DUMMYFUNCTION("""COMPUTED_VALUE"""),"H")</f>
        <v>H</v>
      </c>
      <c r="G2390" s="2005" t="str">
        <f>IFERROR(__xludf.DUMMYFUNCTION("""COMPUTED_VALUE"""),"AC")</f>
        <v>AC</v>
      </c>
      <c r="H2390" s="2005">
        <f>IFERROR(__xludf.DUMMYFUNCTION("""COMPUTED_VALUE"""),217.97)</f>
        <v>217.97</v>
      </c>
      <c r="I2390">
        <f>IFERROR(__xludf.DUMMYFUNCTION("""COMPUTED_VALUE"""),217.97)</f>
        <v>217.97</v>
      </c>
      <c r="BD2390" s="2006"/>
      <c r="LL2390" s="2007"/>
      <c r="LM2390" s="2007"/>
      <c r="MX2390" s="2007"/>
      <c r="ND2390" s="2007"/>
    </row>
    <row r="2391">
      <c r="A2391">
        <f>IFERROR(__xludf.DUMMYFUNCTION("""COMPUTED_VALUE"""),1180778.0)</f>
        <v>1180778</v>
      </c>
      <c r="B2391">
        <f>IFERROR(__xludf.DUMMYFUNCTION("""COMPUTED_VALUE"""),2209805.0)</f>
        <v>2209805</v>
      </c>
      <c r="C2391" t="str">
        <f>IFERROR(__xludf.DUMMYFUNCTION("""COMPUTED_VALUE"""),"Lot")</f>
        <v>Lot</v>
      </c>
      <c r="D2391" t="str">
        <f>IFERROR(__xludf.DUMMYFUNCTION("""COMPUTED_VALUE"""),"LaserJet Pro M255dw+Cartouche 207A Noire")</f>
        <v>LaserJet Pro M255dw+Cartouche 207A Noire</v>
      </c>
      <c r="E2391" t="str">
        <f>IFERROR(__xludf.DUMMYFUNCTION("""COMPUTED_VALUE"""),"HP")</f>
        <v>HP</v>
      </c>
      <c r="F2391" t="str">
        <f>IFERROR(__xludf.DUMMYFUNCTION("""COMPUTED_VALUE"""),"H")</f>
        <v>H</v>
      </c>
      <c r="G2391" t="str">
        <f>IFERROR(__xludf.DUMMYFUNCTION("""COMPUTED_VALUE"""),"NN")</f>
        <v>NN</v>
      </c>
      <c r="H2391">
        <f>IFERROR(__xludf.DUMMYFUNCTION("""COMPUTED_VALUE"""),469.37)</f>
        <v>469.37</v>
      </c>
      <c r="I2391">
        <f>IFERROR(__xludf.DUMMYFUNCTION("""COMPUTED_VALUE"""),469.37)</f>
        <v>469.37</v>
      </c>
      <c r="BD2391" s="2006"/>
      <c r="LL2391" s="2008"/>
      <c r="LM2391" s="2007"/>
      <c r="MX2391" s="2007"/>
      <c r="ND2391" s="2007"/>
    </row>
    <row r="2392">
      <c r="A2392">
        <f>IFERROR(__xludf.DUMMYFUNCTION("""COMPUTED_VALUE"""),1180779.0)</f>
        <v>1180779</v>
      </c>
      <c r="B2392">
        <f>IFERROR(__xludf.DUMMYFUNCTION("""COMPUTED_VALUE"""),2209805.0)</f>
        <v>2209805</v>
      </c>
      <c r="C2392" t="str">
        <f>IFERROR(__xludf.DUMMYFUNCTION("""COMPUTED_VALUE"""),"Lot")</f>
        <v>Lot</v>
      </c>
      <c r="D2392" t="str">
        <f>IFERROR(__xludf.DUMMYFUNCTION("""COMPUTED_VALUE"""),"OfficeJet Pro 8015e +Cartouche 912  Cyan")</f>
        <v>OfficeJet Pro 8015e +Cartouche 912  Cyan</v>
      </c>
      <c r="E2392" t="str">
        <f>IFERROR(__xludf.DUMMYFUNCTION("""COMPUTED_VALUE"""),"HP")</f>
        <v>HP</v>
      </c>
      <c r="F2392" t="str">
        <f>IFERROR(__xludf.DUMMYFUNCTION("""COMPUTED_VALUE"""),"H")</f>
        <v>H</v>
      </c>
      <c r="G2392" t="str">
        <f>IFERROR(__xludf.DUMMYFUNCTION("""COMPUTED_VALUE"""),"NN")</f>
        <v>NN</v>
      </c>
      <c r="H2392">
        <f>IFERROR(__xludf.DUMMYFUNCTION("""COMPUTED_VALUE"""),144.34)</f>
        <v>144.34</v>
      </c>
      <c r="I2392">
        <f>IFERROR(__xludf.DUMMYFUNCTION("""COMPUTED_VALUE"""),144.34)</f>
        <v>144.34</v>
      </c>
      <c r="BD2392" s="2006"/>
      <c r="LL2392" s="2007"/>
      <c r="LM2392" s="2007"/>
      <c r="MX2392" s="2007"/>
      <c r="ND2392" s="2007"/>
    </row>
    <row r="2393">
      <c r="A2393" s="2005">
        <f>IFERROR(__xludf.DUMMYFUNCTION("""COMPUTED_VALUE"""),1180780.0)</f>
        <v>1180780</v>
      </c>
      <c r="B2393" s="2005">
        <f>IFERROR(__xludf.DUMMYFUNCTION("""COMPUTED_VALUE"""),2209805.0)</f>
        <v>2209805</v>
      </c>
      <c r="C2393" s="2005" t="str">
        <f>IFERROR(__xludf.DUMMYFUNCTION("""COMPUTED_VALUE"""),"Lot")</f>
        <v>Lot</v>
      </c>
      <c r="D2393" s="2005" t="str">
        <f>IFERROR(__xludf.DUMMYFUNCTION("""COMPUTED_VALUE"""),"OfficeJet Pro 9019e + Cartouche 963 Cyan")</f>
        <v>OfficeJet Pro 9019e + Cartouche 963 Cyan</v>
      </c>
      <c r="E2393" s="2005" t="str">
        <f>IFERROR(__xludf.DUMMYFUNCTION("""COMPUTED_VALUE"""),"HP")</f>
        <v>HP</v>
      </c>
      <c r="F2393" s="2005" t="str">
        <f>IFERROR(__xludf.DUMMYFUNCTION("""COMPUTED_VALUE"""),"H")</f>
        <v>H</v>
      </c>
      <c r="G2393" s="2005" t="str">
        <f>IFERROR(__xludf.DUMMYFUNCTION("""COMPUTED_VALUE"""),"AC")</f>
        <v>AC</v>
      </c>
      <c r="H2393" s="2005">
        <f>IFERROR(__xludf.DUMMYFUNCTION("""COMPUTED_VALUE"""),338.23)</f>
        <v>338.23</v>
      </c>
      <c r="I2393" s="2005">
        <f>IFERROR(__xludf.DUMMYFUNCTION("""COMPUTED_VALUE"""),338.23)</f>
        <v>338.23</v>
      </c>
      <c r="BD2393" s="2006"/>
      <c r="LL2393" s="2007"/>
      <c r="LM2393" s="2007"/>
      <c r="MX2393" s="2008"/>
      <c r="ND2393" s="2007"/>
    </row>
    <row r="2394">
      <c r="A2394">
        <f>IFERROR(__xludf.DUMMYFUNCTION("""COMPUTED_VALUE"""),1180781.0)</f>
        <v>1180781</v>
      </c>
      <c r="B2394">
        <f>IFERROR(__xludf.DUMMYFUNCTION("""COMPUTED_VALUE"""),2209805.0)</f>
        <v>2209805</v>
      </c>
      <c r="C2394" t="str">
        <f>IFERROR(__xludf.DUMMYFUNCTION("""COMPUTED_VALUE"""),"Lot")</f>
        <v>Lot</v>
      </c>
      <c r="D2394" t="str">
        <f>IFERROR(__xludf.DUMMYFUNCTION("""COMPUTED_VALUE"""),"Laser 107w + Cartouche 106A Noire")</f>
        <v>Laser 107w + Cartouche 106A Noire</v>
      </c>
      <c r="E2394" t="str">
        <f>IFERROR(__xludf.DUMMYFUNCTION("""COMPUTED_VALUE"""),"HP")</f>
        <v>HP</v>
      </c>
      <c r="F2394" t="str">
        <f>IFERROR(__xludf.DUMMYFUNCTION("""COMPUTED_VALUE"""),"H")</f>
        <v>H</v>
      </c>
      <c r="G2394" t="str">
        <f>IFERROR(__xludf.DUMMYFUNCTION("""COMPUTED_VALUE"""),"NN")</f>
        <v>NN</v>
      </c>
      <c r="H2394">
        <f>IFERROR(__xludf.DUMMYFUNCTION("""COMPUTED_VALUE"""),194.76)</f>
        <v>194.76</v>
      </c>
      <c r="I2394">
        <f>IFERROR(__xludf.DUMMYFUNCTION("""COMPUTED_VALUE"""),194.76)</f>
        <v>194.76</v>
      </c>
      <c r="BD2394" s="2006"/>
      <c r="LL2394" s="2007"/>
      <c r="LM2394" s="2007"/>
      <c r="MX2394" s="2007"/>
      <c r="ND2394" s="2007"/>
    </row>
    <row r="2395">
      <c r="A2395" s="2005">
        <f>IFERROR(__xludf.DUMMYFUNCTION("""COMPUTED_VALUE"""),1180783.0)</f>
        <v>1180783</v>
      </c>
      <c r="B2395" s="2005">
        <f>IFERROR(__xludf.DUMMYFUNCTION("""COMPUTED_VALUE"""),2209805.0)</f>
        <v>2209805</v>
      </c>
      <c r="C2395" s="2005" t="str">
        <f>IFERROR(__xludf.DUMMYFUNCTION("""COMPUTED_VALUE"""),"Lot")</f>
        <v>Lot</v>
      </c>
      <c r="D2395" s="2005" t="str">
        <f>IFERROR(__xludf.DUMMYFUNCTION("""COMPUTED_VALUE"""),"DeskJet 4122e + Cartouche 305 3 Couleurs")</f>
        <v>DeskJet 4122e + Cartouche 305 3 Couleurs</v>
      </c>
      <c r="E2395" s="2005" t="str">
        <f>IFERROR(__xludf.DUMMYFUNCTION("""COMPUTED_VALUE"""),"HP")</f>
        <v>HP</v>
      </c>
      <c r="F2395" s="2005" t="str">
        <f>IFERROR(__xludf.DUMMYFUNCTION("""COMPUTED_VALUE"""),"H")</f>
        <v>H</v>
      </c>
      <c r="G2395" s="2005" t="str">
        <f>IFERROR(__xludf.DUMMYFUNCTION("""COMPUTED_VALUE"""),"AC")</f>
        <v>AC</v>
      </c>
      <c r="H2395" s="2005">
        <f>IFERROR(__xludf.DUMMYFUNCTION("""COMPUTED_VALUE"""),91.21)</f>
        <v>91.21</v>
      </c>
      <c r="I2395" s="2005">
        <f>IFERROR(__xludf.DUMMYFUNCTION("""COMPUTED_VALUE"""),91.21)</f>
        <v>91.21</v>
      </c>
      <c r="BD2395" s="2006"/>
      <c r="LL2395" s="2007"/>
      <c r="LM2395" s="2007"/>
      <c r="MX2395" s="2007"/>
      <c r="ND2395" s="2007"/>
    </row>
    <row r="2396">
      <c r="A2396" s="2005">
        <f>IFERROR(__xludf.DUMMYFUNCTION("""COMPUTED_VALUE"""),1180784.0)</f>
        <v>1180784</v>
      </c>
      <c r="B2396" s="2005">
        <f>IFERROR(__xludf.DUMMYFUNCTION("""COMPUTED_VALUE"""),2209805.0)</f>
        <v>2209805</v>
      </c>
      <c r="C2396" s="2005" t="str">
        <f>IFERROR(__xludf.DUMMYFUNCTION("""COMPUTED_VALUE"""),"Lot")</f>
        <v>Lot</v>
      </c>
      <c r="D2396" s="2005" t="str">
        <f>IFERROR(__xludf.DUMMYFUNCTION("""COMPUTED_VALUE"""),"ENVY 6430e + Cartouche 305 3 Couleurs")</f>
        <v>ENVY 6430e + Cartouche 305 3 Couleurs</v>
      </c>
      <c r="E2396" s="2005" t="str">
        <f>IFERROR(__xludf.DUMMYFUNCTION("""COMPUTED_VALUE"""),"HP")</f>
        <v>HP</v>
      </c>
      <c r="F2396" s="2005" t="str">
        <f>IFERROR(__xludf.DUMMYFUNCTION("""COMPUTED_VALUE"""),"H")</f>
        <v>H</v>
      </c>
      <c r="G2396" s="2005" t="str">
        <f>IFERROR(__xludf.DUMMYFUNCTION("""COMPUTED_VALUE"""),"NN")</f>
        <v>NN</v>
      </c>
      <c r="H2396" s="2005">
        <f>IFERROR(__xludf.DUMMYFUNCTION("""COMPUTED_VALUE"""),129.23)</f>
        <v>129.23</v>
      </c>
      <c r="I2396" s="2005">
        <f>IFERROR(__xludf.DUMMYFUNCTION("""COMPUTED_VALUE"""),129.23)</f>
        <v>129.23</v>
      </c>
      <c r="BD2396" s="2006"/>
      <c r="LL2396" s="2007"/>
      <c r="LM2396" s="2007"/>
      <c r="MX2396" s="2007"/>
      <c r="ND2396" s="2007"/>
    </row>
    <row r="2397">
      <c r="A2397" s="2005">
        <f>IFERROR(__xludf.DUMMYFUNCTION("""COMPUTED_VALUE"""),1180785.0)</f>
        <v>1180785</v>
      </c>
      <c r="B2397" s="2005">
        <f>IFERROR(__xludf.DUMMYFUNCTION("""COMPUTED_VALUE"""),2209805.0)</f>
        <v>2209805</v>
      </c>
      <c r="C2397" s="2005" t="str">
        <f>IFERROR(__xludf.DUMMYFUNCTION("""COMPUTED_VALUE"""),"Lot")</f>
        <v>Lot</v>
      </c>
      <c r="D2397" s="2005" t="str">
        <f>IFERROR(__xludf.DUMMYFUNCTION("""COMPUTED_VALUE"""),"Smart Tank 7005 + Bouteille 32 XL Noire")</f>
        <v>Smart Tank 7005 + Bouteille 32 XL Noire</v>
      </c>
      <c r="E2397" s="2005" t="str">
        <f>IFERROR(__xludf.DUMMYFUNCTION("""COMPUTED_VALUE"""),"HP")</f>
        <v>HP</v>
      </c>
      <c r="F2397" s="2005" t="str">
        <f>IFERROR(__xludf.DUMMYFUNCTION("""COMPUTED_VALUE"""),"H")</f>
        <v>H</v>
      </c>
      <c r="G2397" s="2005" t="str">
        <f>IFERROR(__xludf.DUMMYFUNCTION("""COMPUTED_VALUE"""),"NN")</f>
        <v>NN</v>
      </c>
      <c r="H2397" s="2005">
        <f>IFERROR(__xludf.DUMMYFUNCTION("""COMPUTED_VALUE"""),327.78)</f>
        <v>327.78</v>
      </c>
      <c r="I2397" s="2005">
        <f>IFERROR(__xludf.DUMMYFUNCTION("""COMPUTED_VALUE"""),327.78)</f>
        <v>327.78</v>
      </c>
      <c r="BD2397" s="2006"/>
      <c r="LL2397" s="2007"/>
      <c r="LM2397" s="2007"/>
      <c r="MX2397" s="2008"/>
      <c r="ND2397" s="2007"/>
    </row>
    <row r="2398">
      <c r="A2398">
        <f>IFERROR(__xludf.DUMMYFUNCTION("""COMPUTED_VALUE"""),1180786.0)</f>
        <v>1180786</v>
      </c>
      <c r="B2398">
        <f>IFERROR(__xludf.DUMMYFUNCTION("""COMPUTED_VALUE"""),2209805.0)</f>
        <v>2209805</v>
      </c>
      <c r="C2398" t="str">
        <f>IFERROR(__xludf.DUMMYFUNCTION("""COMPUTED_VALUE"""),"Lot")</f>
        <v>Lot</v>
      </c>
      <c r="D2398" t="str">
        <f>IFERROR(__xludf.DUMMYFUNCTION("""COMPUTED_VALUE"""),"Smart Tank 7306 + Bouteille 32 XL Noire")</f>
        <v>Smart Tank 7306 + Bouteille 32 XL Noire</v>
      </c>
      <c r="E2398" t="str">
        <f>IFERROR(__xludf.DUMMYFUNCTION("""COMPUTED_VALUE"""),"HP")</f>
        <v>HP</v>
      </c>
      <c r="F2398" t="str">
        <f>IFERROR(__xludf.DUMMYFUNCTION("""COMPUTED_VALUE"""),"H")</f>
        <v>H</v>
      </c>
      <c r="G2398" t="str">
        <f>IFERROR(__xludf.DUMMYFUNCTION("""COMPUTED_VALUE"""),"AC")</f>
        <v>AC</v>
      </c>
      <c r="H2398">
        <f>IFERROR(__xludf.DUMMYFUNCTION("""COMPUTED_VALUE"""),394.28)</f>
        <v>394.28</v>
      </c>
      <c r="I2398">
        <f>IFERROR(__xludf.DUMMYFUNCTION("""COMPUTED_VALUE"""),394.28)</f>
        <v>394.28</v>
      </c>
      <c r="BD2398" s="2006"/>
      <c r="LL2398" s="2007"/>
      <c r="LM2398" s="2007"/>
      <c r="MX2398" s="2007"/>
      <c r="ND2398" s="2007"/>
    </row>
    <row r="2399">
      <c r="A2399" s="2005">
        <f>IFERROR(__xludf.DUMMYFUNCTION("""COMPUTED_VALUE"""),1180787.0)</f>
        <v>1180787</v>
      </c>
      <c r="B2399" s="2005">
        <f>IFERROR(__xludf.DUMMYFUNCTION("""COMPUTED_VALUE"""),2209805.0)</f>
        <v>2209805</v>
      </c>
      <c r="C2399" s="2005" t="str">
        <f>IFERROR(__xludf.DUMMYFUNCTION("""COMPUTED_VALUE"""),"Lot")</f>
        <v>Lot</v>
      </c>
      <c r="D2399" s="2005" t="str">
        <f>IFERROR(__xludf.DUMMYFUNCTION("""COMPUTED_VALUE"""),"Envy 6022e + Cartouche 305 3 Couleurs")</f>
        <v>Envy 6022e + Cartouche 305 3 Couleurs</v>
      </c>
      <c r="E2399" s="2005" t="str">
        <f>IFERROR(__xludf.DUMMYFUNCTION("""COMPUTED_VALUE"""),"HP")</f>
        <v>HP</v>
      </c>
      <c r="F2399" s="2005" t="str">
        <f>IFERROR(__xludf.DUMMYFUNCTION("""COMPUTED_VALUE"""),"H")</f>
        <v>H</v>
      </c>
      <c r="G2399" s="2005" t="str">
        <f>IFERROR(__xludf.DUMMYFUNCTION("""COMPUTED_VALUE"""),"NN")</f>
        <v>NN</v>
      </c>
      <c r="H2399" s="2005">
        <f>IFERROR(__xludf.DUMMYFUNCTION("""COMPUTED_VALUE"""),110.23)</f>
        <v>110.23</v>
      </c>
      <c r="I2399" s="2005">
        <f>IFERROR(__xludf.DUMMYFUNCTION("""COMPUTED_VALUE"""),110.23)</f>
        <v>110.23</v>
      </c>
      <c r="BD2399" s="2006"/>
      <c r="LL2399" s="2007"/>
      <c r="LM2399" s="2007"/>
      <c r="MX2399" s="2007"/>
      <c r="ND2399" s="2007"/>
    </row>
    <row r="2400">
      <c r="A2400">
        <f>IFERROR(__xludf.DUMMYFUNCTION("""COMPUTED_VALUE"""),1180788.0)</f>
        <v>1180788</v>
      </c>
      <c r="B2400">
        <f>IFERROR(__xludf.DUMMYFUNCTION("""COMPUTED_VALUE"""),2209805.0)</f>
        <v>2209805</v>
      </c>
      <c r="C2400" t="str">
        <f>IFERROR(__xludf.DUMMYFUNCTION("""COMPUTED_VALUE"""),"Lot")</f>
        <v>Lot</v>
      </c>
      <c r="D2400" t="str">
        <f>IFERROR(__xludf.DUMMYFUNCTION("""COMPUTED_VALUE"""),"Envy 6030e + Cartouche 305 3 Couleurs")</f>
        <v>Envy 6030e + Cartouche 305 3 Couleurs</v>
      </c>
      <c r="E2400" t="str">
        <f>IFERROR(__xludf.DUMMYFUNCTION("""COMPUTED_VALUE"""),"HP")</f>
        <v>HP</v>
      </c>
      <c r="F2400" t="str">
        <f>IFERROR(__xludf.DUMMYFUNCTION("""COMPUTED_VALUE"""),"H")</f>
        <v>H</v>
      </c>
      <c r="G2400" t="str">
        <f>IFERROR(__xludf.DUMMYFUNCTION("""COMPUTED_VALUE"""),"NN")</f>
        <v>NN</v>
      </c>
      <c r="H2400">
        <f>IFERROR(__xludf.DUMMYFUNCTION("""COMPUTED_VALUE"""),110.23)</f>
        <v>110.23</v>
      </c>
      <c r="I2400">
        <f>IFERROR(__xludf.DUMMYFUNCTION("""COMPUTED_VALUE"""),110.23)</f>
        <v>110.23</v>
      </c>
      <c r="BD2400" s="2006"/>
      <c r="LL2400" s="2007"/>
      <c r="LM2400" s="2007"/>
      <c r="MX2400" s="2007"/>
      <c r="ND2400" s="2007"/>
    </row>
    <row r="2401">
      <c r="A2401" s="2005">
        <f>IFERROR(__xludf.DUMMYFUNCTION("""COMPUTED_VALUE"""),1180789.0)</f>
        <v>1180789</v>
      </c>
      <c r="B2401" s="2005">
        <f>IFERROR(__xludf.DUMMYFUNCTION("""COMPUTED_VALUE"""),2209805.0)</f>
        <v>2209805</v>
      </c>
      <c r="C2401" s="2005" t="str">
        <f>IFERROR(__xludf.DUMMYFUNCTION("""COMPUTED_VALUE"""),"Lot")</f>
        <v>Lot</v>
      </c>
      <c r="D2401" s="2005" t="str">
        <f>IFERROR(__xludf.DUMMYFUNCTION("""COMPUTED_VALUE"""),"OfficeJet 8012 + Cartouche 912  Cyan")</f>
        <v>OfficeJet 8012 + Cartouche 912  Cyan</v>
      </c>
      <c r="E2401" s="2005" t="str">
        <f>IFERROR(__xludf.DUMMYFUNCTION("""COMPUTED_VALUE"""),"HP")</f>
        <v>HP</v>
      </c>
      <c r="F2401" s="2005" t="str">
        <f>IFERROR(__xludf.DUMMYFUNCTION("""COMPUTED_VALUE"""),"H")</f>
        <v>H</v>
      </c>
      <c r="G2401" s="2005" t="str">
        <f>IFERROR(__xludf.DUMMYFUNCTION("""COMPUTED_VALUE"""),"NN")</f>
        <v>NN</v>
      </c>
      <c r="H2401" s="2005">
        <f>IFERROR(__xludf.DUMMYFUNCTION("""COMPUTED_VALUE"""),144.43)</f>
        <v>144.43</v>
      </c>
      <c r="I2401" s="2005">
        <f>IFERROR(__xludf.DUMMYFUNCTION("""COMPUTED_VALUE"""),144.43)</f>
        <v>144.43</v>
      </c>
      <c r="LM2401" s="2007"/>
    </row>
    <row r="2402">
      <c r="A2402">
        <f>IFERROR(__xludf.DUMMYFUNCTION("""COMPUTED_VALUE"""),1180790.0)</f>
        <v>1180790</v>
      </c>
      <c r="B2402">
        <f>IFERROR(__xludf.DUMMYFUNCTION("""COMPUTED_VALUE"""),2209805.0)</f>
        <v>2209805</v>
      </c>
      <c r="C2402" t="str">
        <f>IFERROR(__xludf.DUMMYFUNCTION("""COMPUTED_VALUE"""),"Lot")</f>
        <v>Lot</v>
      </c>
      <c r="D2402" t="str">
        <f>IFERROR(__xludf.DUMMYFUNCTION("""COMPUTED_VALUE"""),"Smart Tank Plus 7605 + Bouteille 32 XL N")</f>
        <v>Smart Tank Plus 7605 + Bouteille 32 XL N</v>
      </c>
      <c r="E2402" t="str">
        <f>IFERROR(__xludf.DUMMYFUNCTION("""COMPUTED_VALUE"""),"HP")</f>
        <v>HP</v>
      </c>
      <c r="F2402" t="str">
        <f>IFERROR(__xludf.DUMMYFUNCTION("""COMPUTED_VALUE"""),"H")</f>
        <v>H</v>
      </c>
      <c r="G2402" t="str">
        <f>IFERROR(__xludf.DUMMYFUNCTION("""COMPUTED_VALUE"""),"AC")</f>
        <v>AC</v>
      </c>
      <c r="H2402">
        <f>IFERROR(__xludf.DUMMYFUNCTION("""COMPUTED_VALUE"""),441.78)</f>
        <v>441.78</v>
      </c>
      <c r="I2402">
        <f>IFERROR(__xludf.DUMMYFUNCTION("""COMPUTED_VALUE"""),441.78)</f>
        <v>441.78</v>
      </c>
      <c r="LM2402" s="2007"/>
    </row>
    <row r="2403">
      <c r="A2403" s="2005">
        <f>IFERROR(__xludf.DUMMYFUNCTION("""COMPUTED_VALUE"""),1180791.0)</f>
        <v>1180791</v>
      </c>
      <c r="B2403" s="2005">
        <f>IFERROR(__xludf.DUMMYFUNCTION("""COMPUTED_VALUE"""),2209805.0)</f>
        <v>2209805</v>
      </c>
      <c r="C2403" s="2005" t="str">
        <f>IFERROR(__xludf.DUMMYFUNCTION("""COMPUTED_VALUE"""),"Lot")</f>
        <v>Lot</v>
      </c>
      <c r="D2403" s="2005" t="str">
        <f>IFERROR(__xludf.DUMMYFUNCTION("""COMPUTED_VALUE"""),"Envy Inspire 7221e + Cart 303 3 Couleurs")</f>
        <v>Envy Inspire 7221e + Cart 303 3 Couleurs</v>
      </c>
      <c r="E2403" s="2005" t="str">
        <f>IFERROR(__xludf.DUMMYFUNCTION("""COMPUTED_VALUE"""),"HP")</f>
        <v>HP</v>
      </c>
      <c r="F2403" s="2005" t="str">
        <f>IFERROR(__xludf.DUMMYFUNCTION("""COMPUTED_VALUE"""),"H")</f>
        <v>H</v>
      </c>
      <c r="G2403" s="2005" t="str">
        <f>IFERROR(__xludf.DUMMYFUNCTION("""COMPUTED_VALUE"""),"AC")</f>
        <v>AC</v>
      </c>
      <c r="H2403" s="2005">
        <f>IFERROR(__xludf.DUMMYFUNCTION("""COMPUTED_VALUE"""),158.68)</f>
        <v>158.68</v>
      </c>
      <c r="I2403" s="2005">
        <f>IFERROR(__xludf.DUMMYFUNCTION("""COMPUTED_VALUE"""),158.68)</f>
        <v>158.68</v>
      </c>
      <c r="LL2403" s="2007"/>
      <c r="LM2403" s="2007"/>
    </row>
    <row r="2404">
      <c r="A2404" s="2005">
        <f>IFERROR(__xludf.DUMMYFUNCTION("""COMPUTED_VALUE"""),1180792.0)</f>
        <v>1180792</v>
      </c>
      <c r="B2404" s="2005">
        <f>IFERROR(__xludf.DUMMYFUNCTION("""COMPUTED_VALUE"""),2209805.0)</f>
        <v>2209805</v>
      </c>
      <c r="C2404" s="2005" t="str">
        <f>IFERROR(__xludf.DUMMYFUNCTION("""COMPUTED_VALUE"""),"Lot")</f>
        <v>Lot</v>
      </c>
      <c r="D2404" s="2005" t="str">
        <f>IFERROR(__xludf.DUMMYFUNCTION("""COMPUTED_VALUE"""),"Envy Inspire 7921e + Cart 303 3 Couleurs")</f>
        <v>Envy Inspire 7921e + Cart 303 3 Couleurs</v>
      </c>
      <c r="E2404" s="2005" t="str">
        <f>IFERROR(__xludf.DUMMYFUNCTION("""COMPUTED_VALUE"""),"HP")</f>
        <v>HP</v>
      </c>
      <c r="F2404" s="2005" t="str">
        <f>IFERROR(__xludf.DUMMYFUNCTION("""COMPUTED_VALUE"""),"H")</f>
        <v>H</v>
      </c>
      <c r="G2404" s="2005" t="str">
        <f>IFERROR(__xludf.DUMMYFUNCTION("""COMPUTED_VALUE"""),"NN")</f>
        <v>NN</v>
      </c>
      <c r="H2404" s="2005">
        <f>IFERROR(__xludf.DUMMYFUNCTION("""COMPUTED_VALUE"""),206.18)</f>
        <v>206.18</v>
      </c>
      <c r="I2404" s="2005">
        <f>IFERROR(__xludf.DUMMYFUNCTION("""COMPUTED_VALUE"""),206.18)</f>
        <v>206.18</v>
      </c>
      <c r="LL2404" s="2007"/>
      <c r="LM2404" s="2007"/>
    </row>
    <row r="2405">
      <c r="A2405" s="2005">
        <f>IFERROR(__xludf.DUMMYFUNCTION("""COMPUTED_VALUE"""),1180793.0)</f>
        <v>1180793</v>
      </c>
      <c r="B2405" s="2005">
        <f>IFERROR(__xludf.DUMMYFUNCTION("""COMPUTED_VALUE"""),2209805.0)</f>
        <v>2209805</v>
      </c>
      <c r="C2405" s="2005" t="str">
        <f>IFERROR(__xludf.DUMMYFUNCTION("""COMPUTED_VALUE"""),"Lot")</f>
        <v>Lot</v>
      </c>
      <c r="D2405" s="2005" t="str">
        <f>IFERROR(__xludf.DUMMYFUNCTION("""COMPUTED_VALUE"""),"Envy Inspire 7224e + Cart 303 3 Couleurs")</f>
        <v>Envy Inspire 7224e + Cart 303 3 Couleurs</v>
      </c>
      <c r="E2405" s="2005" t="str">
        <f>IFERROR(__xludf.DUMMYFUNCTION("""COMPUTED_VALUE"""),"HP")</f>
        <v>HP</v>
      </c>
      <c r="F2405" s="2005" t="str">
        <f>IFERROR(__xludf.DUMMYFUNCTION("""COMPUTED_VALUE"""),"H")</f>
        <v>H</v>
      </c>
      <c r="G2405" s="2005" t="str">
        <f>IFERROR(__xludf.DUMMYFUNCTION("""COMPUTED_VALUE"""),"AC")</f>
        <v>AC</v>
      </c>
      <c r="H2405" s="2005">
        <f>IFERROR(__xludf.DUMMYFUNCTION("""COMPUTED_VALUE"""),158.68)</f>
        <v>158.68</v>
      </c>
      <c r="I2405" s="2005">
        <f>IFERROR(__xludf.DUMMYFUNCTION("""COMPUTED_VALUE"""),158.68)</f>
        <v>158.68</v>
      </c>
      <c r="BD2405" s="2006"/>
      <c r="LL2405" s="2007"/>
      <c r="LM2405" s="2007"/>
      <c r="MX2405" s="2007"/>
      <c r="ND2405" s="2007"/>
    </row>
    <row r="2406">
      <c r="A2406" s="2005">
        <f>IFERROR(__xludf.DUMMYFUNCTION("""COMPUTED_VALUE"""),1180794.0)</f>
        <v>1180794</v>
      </c>
      <c r="B2406" s="2005">
        <f>IFERROR(__xludf.DUMMYFUNCTION("""COMPUTED_VALUE"""),2209805.0)</f>
        <v>2209805</v>
      </c>
      <c r="C2406" s="2005" t="str">
        <f>IFERROR(__xludf.DUMMYFUNCTION("""COMPUTED_VALUE"""),"Lot")</f>
        <v>Lot</v>
      </c>
      <c r="D2406" s="2005" t="str">
        <f>IFERROR(__xludf.DUMMYFUNCTION("""COMPUTED_VALUE"""),"Envy Inspire 7924e + Cart 303 3 Couleurs")</f>
        <v>Envy Inspire 7924e + Cart 303 3 Couleurs</v>
      </c>
      <c r="E2406" s="2005" t="str">
        <f>IFERROR(__xludf.DUMMYFUNCTION("""COMPUTED_VALUE"""),"HP")</f>
        <v>HP</v>
      </c>
      <c r="F2406" s="2005" t="str">
        <f>IFERROR(__xludf.DUMMYFUNCTION("""COMPUTED_VALUE"""),"H")</f>
        <v>H</v>
      </c>
      <c r="G2406" s="2005" t="str">
        <f>IFERROR(__xludf.DUMMYFUNCTION("""COMPUTED_VALUE"""),"AC")</f>
        <v>AC</v>
      </c>
      <c r="H2406" s="2005">
        <f>IFERROR(__xludf.DUMMYFUNCTION("""COMPUTED_VALUE"""),177.68)</f>
        <v>177.68</v>
      </c>
      <c r="I2406" s="2005">
        <f>IFERROR(__xludf.DUMMYFUNCTION("""COMPUTED_VALUE"""),177.68)</f>
        <v>177.68</v>
      </c>
      <c r="BD2406" s="2006"/>
      <c r="LL2406" s="2007"/>
      <c r="LM2406" s="2007"/>
      <c r="MX2406" s="2007"/>
      <c r="ND2406" s="2007"/>
    </row>
    <row r="2407">
      <c r="A2407" s="2005">
        <f>IFERROR(__xludf.DUMMYFUNCTION("""COMPUTED_VALUE"""),1180795.0)</f>
        <v>1180795</v>
      </c>
      <c r="B2407" s="2005">
        <f>IFERROR(__xludf.DUMMYFUNCTION("""COMPUTED_VALUE"""),2209805.0)</f>
        <v>2209805</v>
      </c>
      <c r="C2407" s="2005" t="str">
        <f>IFERROR(__xludf.DUMMYFUNCTION("""COMPUTED_VALUE"""),"Lot")</f>
        <v>Lot</v>
      </c>
      <c r="D2407" s="2005" t="str">
        <f>IFERROR(__xludf.DUMMYFUNCTION("""COMPUTED_VALUE"""),"Deskjet 2710e + Cart 305 3 Couleurs")</f>
        <v>Deskjet 2710e + Cart 305 3 Couleurs</v>
      </c>
      <c r="E2407" s="2005" t="str">
        <f>IFERROR(__xludf.DUMMYFUNCTION("""COMPUTED_VALUE"""),"HP")</f>
        <v>HP</v>
      </c>
      <c r="F2407" s="2005" t="str">
        <f>IFERROR(__xludf.DUMMYFUNCTION("""COMPUTED_VALUE"""),"H")</f>
        <v>H</v>
      </c>
      <c r="G2407" s="2005" t="str">
        <f>IFERROR(__xludf.DUMMYFUNCTION("""COMPUTED_VALUE"""),"NN")</f>
        <v>NN</v>
      </c>
      <c r="H2407" s="2005">
        <f>IFERROR(__xludf.DUMMYFUNCTION("""COMPUTED_VALUE"""),72.21)</f>
        <v>72.21</v>
      </c>
      <c r="I2407" s="2005">
        <f>IFERROR(__xludf.DUMMYFUNCTION("""COMPUTED_VALUE"""),72.21)</f>
        <v>72.21</v>
      </c>
      <c r="BD2407" s="2006"/>
      <c r="LL2407" s="2007"/>
      <c r="LM2407" s="2007"/>
      <c r="MX2407" s="2007"/>
      <c r="ND2407" s="2007"/>
    </row>
    <row r="2408">
      <c r="A2408">
        <f>IFERROR(__xludf.DUMMYFUNCTION("""COMPUTED_VALUE"""),1180944.0)</f>
        <v>1180944</v>
      </c>
      <c r="B2408">
        <f>IFERROR(__xludf.DUMMYFUNCTION("""COMPUTED_VALUE"""),2203010.0)</f>
        <v>2203010</v>
      </c>
      <c r="C2408" t="str">
        <f>IFERROR(__xludf.DUMMYFUNCTION("""COMPUTED_VALUE"""),"Scanner")</f>
        <v>Scanner</v>
      </c>
      <c r="D2408" t="str">
        <f>IFERROR(__xludf.DUMMYFUNCTION("""COMPUTED_VALUE"""),"X33 - Diapositives / Négatifs")</f>
        <v>X33 - Diapositives / Négatifs</v>
      </c>
      <c r="E2408" t="str">
        <f>IFERROR(__xludf.DUMMYFUNCTION("""COMPUTED_VALUE"""),"REFLECTA")</f>
        <v>REFLECTA</v>
      </c>
      <c r="F2408" t="str">
        <f>IFERROR(__xludf.DUMMYFUNCTION("""COMPUTED_VALUE"""),"W")</f>
        <v>W</v>
      </c>
      <c r="G2408" t="str">
        <f>IFERROR(__xludf.DUMMYFUNCTION("""COMPUTED_VALUE"""),"NN")</f>
        <v>NN</v>
      </c>
      <c r="H2408">
        <f>IFERROR(__xludf.DUMMYFUNCTION("""COMPUTED_VALUE"""),164.0)</f>
        <v>164</v>
      </c>
      <c r="I2408">
        <f>IFERROR(__xludf.DUMMYFUNCTION("""COMPUTED_VALUE"""),164.0)</f>
        <v>164</v>
      </c>
      <c r="BD2408" s="2006"/>
      <c r="LL2408" s="2007"/>
      <c r="LM2408" s="2007"/>
      <c r="MX2408" s="2007"/>
      <c r="ND2408" s="2007"/>
    </row>
    <row r="2409">
      <c r="A2409">
        <f>IFERROR(__xludf.DUMMYFUNCTION("""COMPUTED_VALUE"""),1181018.0)</f>
        <v>1181018</v>
      </c>
      <c r="B2409">
        <f>IFERROR(__xludf.DUMMYFUNCTION("""COMPUTED_VALUE"""),2203010.0)</f>
        <v>2203010</v>
      </c>
      <c r="C2409" t="str">
        <f>IFERROR(__xludf.DUMMYFUNCTION("""COMPUTED_VALUE"""),"Scanner")</f>
        <v>Scanner</v>
      </c>
      <c r="D2409" t="str">
        <f>IFERROR(__xludf.DUMMYFUNCTION("""COMPUTED_VALUE"""),"X66 multiformat dia / négatif")</f>
        <v>X66 multiformat dia / négatif</v>
      </c>
      <c r="E2409" t="str">
        <f>IFERROR(__xludf.DUMMYFUNCTION("""COMPUTED_VALUE"""),"REFLECTA")</f>
        <v>REFLECTA</v>
      </c>
      <c r="F2409" t="str">
        <f>IFERROR(__xludf.DUMMYFUNCTION("""COMPUTED_VALUE"""),"W")</f>
        <v>W</v>
      </c>
      <c r="G2409" t="str">
        <f>IFERROR(__xludf.DUMMYFUNCTION("""COMPUTED_VALUE"""),"AC")</f>
        <v>AC</v>
      </c>
      <c r="H2409">
        <f>IFERROR(__xludf.DUMMYFUNCTION("""COMPUTED_VALUE"""),280.93)</f>
        <v>280.93</v>
      </c>
      <c r="I2409">
        <f>IFERROR(__xludf.DUMMYFUNCTION("""COMPUTED_VALUE"""),280.93)</f>
        <v>280.93</v>
      </c>
      <c r="BD2409" s="2006"/>
      <c r="LL2409" s="2008"/>
      <c r="LM2409" s="2007"/>
      <c r="MX2409" s="2007"/>
      <c r="ND2409" s="2007"/>
    </row>
    <row r="2410">
      <c r="A2410" s="2005">
        <f>IFERROR(__xludf.DUMMYFUNCTION("""COMPUTED_VALUE"""),1181034.0)</f>
        <v>1181034</v>
      </c>
      <c r="B2410" s="2005">
        <f>IFERROR(__xludf.DUMMYFUNCTION("""COMPUTED_VALUE"""),2207005.0)</f>
        <v>2207005</v>
      </c>
      <c r="C2410" s="2005" t="str">
        <f>IFERROR(__xludf.DUMMYFUNCTION("""COMPUTED_VALUE"""),"Imprimante")</f>
        <v>Imprimante</v>
      </c>
      <c r="D2410" s="2005" t="str">
        <f>IFERROR(__xludf.DUMMYFUNCTION("""COMPUTED_VALUE"""),"Sigma montée")</f>
        <v>Sigma montée</v>
      </c>
      <c r="E2410" s="2005" t="str">
        <f>IFERROR(__xludf.DUMMYFUNCTION("""COMPUTED_VALUE"""),"DAGOMA")</f>
        <v>DAGOMA</v>
      </c>
      <c r="F2410" s="2005" t="str">
        <f>IFERROR(__xludf.DUMMYFUNCTION("""COMPUTED_VALUE"""),"W")</f>
        <v>W</v>
      </c>
      <c r="G2410" s="2005" t="str">
        <f>IFERROR(__xludf.DUMMYFUNCTION("""COMPUTED_VALUE"""),"NN")</f>
        <v>NN</v>
      </c>
      <c r="H2410" s="2005">
        <f>IFERROR(__xludf.DUMMYFUNCTION("""COMPUTED_VALUE"""),599.99)</f>
        <v>599.99</v>
      </c>
      <c r="I2410" s="2005">
        <f>IFERROR(__xludf.DUMMYFUNCTION("""COMPUTED_VALUE"""),599.99)</f>
        <v>599.99</v>
      </c>
      <c r="BD2410" s="2006"/>
      <c r="LL2410" s="2007"/>
      <c r="LM2410" s="2007"/>
      <c r="MX2410" s="2007"/>
      <c r="ND2410" s="2007"/>
    </row>
    <row r="2411">
      <c r="A2411">
        <f>IFERROR(__xludf.DUMMYFUNCTION("""COMPUTED_VALUE"""),1181075.0)</f>
        <v>1181075</v>
      </c>
      <c r="B2411">
        <f>IFERROR(__xludf.DUMMYFUNCTION("""COMPUTED_VALUE"""),2209805.0)</f>
        <v>2209805</v>
      </c>
      <c r="C2411" t="str">
        <f>IFERROR(__xludf.DUMMYFUNCTION("""COMPUTED_VALUE"""),"Lot")</f>
        <v>Lot</v>
      </c>
      <c r="D2411" t="str">
        <f>IFERROR(__xludf.DUMMYFUNCTION("""COMPUTED_VALUE"""),"DCP-L2530DW + cartouche TN2410 Noire")</f>
        <v>DCP-L2530DW + cartouche TN2410 Noire</v>
      </c>
      <c r="E2411" t="str">
        <f>IFERROR(__xludf.DUMMYFUNCTION("""COMPUTED_VALUE"""),"BROTHER")</f>
        <v>BROTHER</v>
      </c>
      <c r="F2411" t="str">
        <f>IFERROR(__xludf.DUMMYFUNCTION("""COMPUTED_VALUE"""),"W")</f>
        <v>W</v>
      </c>
      <c r="G2411" t="str">
        <f>IFERROR(__xludf.DUMMYFUNCTION("""COMPUTED_VALUE"""),"FI")</f>
        <v>FI</v>
      </c>
      <c r="H2411">
        <f>IFERROR(__xludf.DUMMYFUNCTION("""COMPUTED_VALUE"""),247.49)</f>
        <v>247.49</v>
      </c>
      <c r="I2411">
        <f>IFERROR(__xludf.DUMMYFUNCTION("""COMPUTED_VALUE"""),247.49)</f>
        <v>247.49</v>
      </c>
      <c r="BD2411" s="2006"/>
      <c r="LL2411" s="2007"/>
      <c r="LM2411" s="2007"/>
      <c r="MX2411" s="2007"/>
      <c r="ND2411" s="2007"/>
    </row>
    <row r="2412">
      <c r="A2412">
        <f>IFERROR(__xludf.DUMMYFUNCTION("""COMPUTED_VALUE"""),1181080.0)</f>
        <v>1181080</v>
      </c>
      <c r="B2412">
        <f>IFERROR(__xludf.DUMMYFUNCTION("""COMPUTED_VALUE"""),2209805.0)</f>
        <v>2209805</v>
      </c>
      <c r="C2412" t="str">
        <f>IFERROR(__xludf.DUMMYFUNCTION("""COMPUTED_VALUE"""),"Lot")</f>
        <v>Lot</v>
      </c>
      <c r="D2412" t="str">
        <f>IFERROR(__xludf.DUMMYFUNCTION("""COMPUTED_VALUE"""),"DCP-1612WVB + TN1050")</f>
        <v>DCP-1612WVB + TN1050</v>
      </c>
      <c r="E2412" t="str">
        <f>IFERROR(__xludf.DUMMYFUNCTION("""COMPUTED_VALUE"""),"BROTHER")</f>
        <v>BROTHER</v>
      </c>
      <c r="F2412" t="str">
        <f>IFERROR(__xludf.DUMMYFUNCTION("""COMPUTED_VALUE"""),"W")</f>
        <v>W</v>
      </c>
      <c r="G2412" t="str">
        <f>IFERROR(__xludf.DUMMYFUNCTION("""COMPUTED_VALUE"""),"AC")</f>
        <v>AC</v>
      </c>
      <c r="H2412">
        <f>IFERROR(__xludf.DUMMYFUNCTION("""COMPUTED_VALUE"""),327.99)</f>
        <v>327.99</v>
      </c>
      <c r="I2412">
        <f>IFERROR(__xludf.DUMMYFUNCTION("""COMPUTED_VALUE"""),327.99)</f>
        <v>327.99</v>
      </c>
      <c r="BD2412" s="2006"/>
      <c r="LL2412" s="2007"/>
      <c r="LM2412" s="2007"/>
      <c r="MX2412" s="2007"/>
      <c r="ND2412" s="2007"/>
    </row>
    <row r="2413">
      <c r="A2413">
        <f>IFERROR(__xludf.DUMMYFUNCTION("""COMPUTED_VALUE"""),1181102.0)</f>
        <v>1181102</v>
      </c>
      <c r="B2413">
        <f>IFERROR(__xludf.DUMMYFUNCTION("""COMPUTED_VALUE"""),2209805.0)</f>
        <v>2209805</v>
      </c>
      <c r="C2413" t="str">
        <f>IFERROR(__xludf.DUMMYFUNCTION("""COMPUTED_VALUE"""),"Lot")</f>
        <v>Lot</v>
      </c>
      <c r="D2413" t="str">
        <f>IFERROR(__xludf.DUMMYFUNCTION("""COMPUTED_VALUE"""),"DCP-1612WVB + cartouche TN-3430")</f>
        <v>DCP-1612WVB + cartouche TN-3430</v>
      </c>
      <c r="E2413" t="str">
        <f>IFERROR(__xludf.DUMMYFUNCTION("""COMPUTED_VALUE"""),"BROTHER")</f>
        <v>BROTHER</v>
      </c>
      <c r="F2413" t="str">
        <f>IFERROR(__xludf.DUMMYFUNCTION("""COMPUTED_VALUE"""),"W")</f>
        <v>W</v>
      </c>
      <c r="G2413" t="str">
        <f>IFERROR(__xludf.DUMMYFUNCTION("""COMPUTED_VALUE"""),"NN")</f>
        <v>NN</v>
      </c>
      <c r="H2413">
        <f>IFERROR(__xludf.DUMMYFUNCTION("""COMPUTED_VALUE"""),412.99)</f>
        <v>412.99</v>
      </c>
      <c r="I2413">
        <f>IFERROR(__xludf.DUMMYFUNCTION("""COMPUTED_VALUE"""),412.99)</f>
        <v>412.99</v>
      </c>
      <c r="BD2413" s="2006"/>
      <c r="LL2413" s="2007"/>
      <c r="LM2413" s="2007"/>
      <c r="MX2413" s="2007"/>
      <c r="ND2413" s="2007"/>
    </row>
    <row r="2414">
      <c r="A2414">
        <f>IFERROR(__xludf.DUMMYFUNCTION("""COMPUTED_VALUE"""),1181105.0)</f>
        <v>1181105</v>
      </c>
      <c r="B2414">
        <f>IFERROR(__xludf.DUMMYFUNCTION("""COMPUTED_VALUE"""),2209805.0)</f>
        <v>2209805</v>
      </c>
      <c r="C2414" t="str">
        <f>IFERROR(__xludf.DUMMYFUNCTION("""COMPUTED_VALUE"""),"Lot")</f>
        <v>Lot</v>
      </c>
      <c r="D2414" t="str">
        <f>IFERROR(__xludf.DUMMYFUNCTION("""COMPUTED_VALUE"""),"HL-L8260CDW + cartouche TN 421 Noire")</f>
        <v>HL-L8260CDW + cartouche TN 421 Noire</v>
      </c>
      <c r="E2414" t="str">
        <f>IFERROR(__xludf.DUMMYFUNCTION("""COMPUTED_VALUE"""),"BROTHER")</f>
        <v>BROTHER</v>
      </c>
      <c r="F2414" t="str">
        <f>IFERROR(__xludf.DUMMYFUNCTION("""COMPUTED_VALUE"""),"W")</f>
        <v>W</v>
      </c>
      <c r="G2414" t="str">
        <f>IFERROR(__xludf.DUMMYFUNCTION("""COMPUTED_VALUE"""),"AC")</f>
        <v>AC</v>
      </c>
      <c r="H2414">
        <f>IFERROR(__xludf.DUMMYFUNCTION("""COMPUTED_VALUE"""),416.99)</f>
        <v>416.99</v>
      </c>
      <c r="I2414">
        <f>IFERROR(__xludf.DUMMYFUNCTION("""COMPUTED_VALUE"""),416.99)</f>
        <v>416.99</v>
      </c>
      <c r="BD2414" s="2006"/>
      <c r="LL2414" s="2007"/>
      <c r="LM2414" s="2007"/>
      <c r="MX2414" s="2007"/>
      <c r="ND2414" s="2007"/>
    </row>
    <row r="2415">
      <c r="A2415">
        <f>IFERROR(__xludf.DUMMYFUNCTION("""COMPUTED_VALUE"""),1181109.0)</f>
        <v>1181109</v>
      </c>
      <c r="B2415">
        <f>IFERROR(__xludf.DUMMYFUNCTION("""COMPUTED_VALUE"""),2209805.0)</f>
        <v>2209805</v>
      </c>
      <c r="C2415" t="str">
        <f>IFERROR(__xludf.DUMMYFUNCTION("""COMPUTED_VALUE"""),"Lot")</f>
        <v>Lot</v>
      </c>
      <c r="D2415" t="str">
        <f>IFERROR(__xludf.DUMMYFUNCTION("""COMPUTED_VALUE"""),"PIXMA PRO 100 S + cartouche CLI-42 Noire")</f>
        <v>PIXMA PRO 100 S + cartouche CLI-42 Noire</v>
      </c>
      <c r="E2415" t="str">
        <f>IFERROR(__xludf.DUMMYFUNCTION("""COMPUTED_VALUE"""),"CANON")</f>
        <v>CANON</v>
      </c>
      <c r="F2415" t="str">
        <f>IFERROR(__xludf.DUMMYFUNCTION("""COMPUTED_VALUE"""),"W")</f>
        <v>W</v>
      </c>
      <c r="G2415" t="str">
        <f>IFERROR(__xludf.DUMMYFUNCTION("""COMPUTED_VALUE"""),"NN")</f>
        <v>NN</v>
      </c>
      <c r="H2415">
        <f>IFERROR(__xludf.DUMMYFUNCTION("""COMPUTED_VALUE"""),498.99)</f>
        <v>498.99</v>
      </c>
      <c r="I2415">
        <f>IFERROR(__xludf.DUMMYFUNCTION("""COMPUTED_VALUE"""),498.99)</f>
        <v>498.99</v>
      </c>
      <c r="BD2415" s="2006"/>
      <c r="LL2415" s="2007"/>
      <c r="LM2415" s="2007"/>
      <c r="MX2415" s="2007"/>
      <c r="ND2415" s="2007"/>
    </row>
    <row r="2416">
      <c r="A2416" s="2005">
        <f>IFERROR(__xludf.DUMMYFUNCTION("""COMPUTED_VALUE"""),1181110.0)</f>
        <v>1181110</v>
      </c>
      <c r="B2416" s="2005">
        <f>IFERROR(__xludf.DUMMYFUNCTION("""COMPUTED_VALUE"""),2209805.0)</f>
        <v>2209805</v>
      </c>
      <c r="C2416" s="2005" t="str">
        <f>IFERROR(__xludf.DUMMYFUNCTION("""COMPUTED_VALUE"""),"Lot")</f>
        <v>Lot</v>
      </c>
      <c r="D2416" s="2005" t="str">
        <f>IFERROR(__xludf.DUMMYFUNCTION("""COMPUTED_VALUE"""),"IP 8750 + PG550 Noire Pigmenté")</f>
        <v>IP 8750 + PG550 Noire Pigmenté</v>
      </c>
      <c r="E2416" s="2005" t="str">
        <f>IFERROR(__xludf.DUMMYFUNCTION("""COMPUTED_VALUE"""),"CANON")</f>
        <v>CANON</v>
      </c>
      <c r="F2416" s="2005" t="str">
        <f>IFERROR(__xludf.DUMMYFUNCTION("""COMPUTED_VALUE"""),"W")</f>
        <v>W</v>
      </c>
      <c r="G2416" s="2005" t="str">
        <f>IFERROR(__xludf.DUMMYFUNCTION("""COMPUTED_VALUE"""),"NN")</f>
        <v>NN</v>
      </c>
      <c r="H2416" s="2005">
        <f>IFERROR(__xludf.DUMMYFUNCTION("""COMPUTED_VALUE"""),309.78)</f>
        <v>309.78</v>
      </c>
      <c r="I2416" s="2005">
        <f>IFERROR(__xludf.DUMMYFUNCTION("""COMPUTED_VALUE"""),309.78)</f>
        <v>309.78</v>
      </c>
      <c r="BD2416" s="2006"/>
      <c r="LL2416" s="2007"/>
      <c r="LM2416" s="2007"/>
      <c r="MX2416" s="2007"/>
      <c r="ND2416" s="2007"/>
    </row>
    <row r="2417">
      <c r="A2417">
        <f>IFERROR(__xludf.DUMMYFUNCTION("""COMPUTED_VALUE"""),1181526.0)</f>
        <v>1181526</v>
      </c>
      <c r="B2417">
        <f>IFERROR(__xludf.DUMMYFUNCTION("""COMPUTED_VALUE"""),1108005.0)</f>
        <v>1108005</v>
      </c>
      <c r="C2417" t="str">
        <f>IFERROR(__xludf.DUMMYFUNCTION("""COMPUTED_VALUE"""),"Talkie")</f>
        <v>Talkie</v>
      </c>
      <c r="D2417" t="str">
        <f>IFERROR(__xludf.DUMMYFUNCTION("""COMPUTED_VALUE"""),"Kidi Talkie")</f>
        <v>Kidi Talkie</v>
      </c>
      <c r="E2417" t="str">
        <f>IFERROR(__xludf.DUMMYFUNCTION("""COMPUTED_VALUE"""),"VTECH")</f>
        <v>VTECH</v>
      </c>
      <c r="F2417" t="str">
        <f>IFERROR(__xludf.DUMMYFUNCTION("""COMPUTED_VALUE"""),"W")</f>
        <v>W</v>
      </c>
      <c r="G2417" t="str">
        <f>IFERROR(__xludf.DUMMYFUNCTION("""COMPUTED_VALUE"""),"NN")</f>
        <v>NN</v>
      </c>
      <c r="H2417">
        <f>IFERROR(__xludf.DUMMYFUNCTION("""COMPUTED_VALUE"""),46.99)</f>
        <v>46.99</v>
      </c>
      <c r="I2417">
        <f>IFERROR(__xludf.DUMMYFUNCTION("""COMPUTED_VALUE"""),35.94)</f>
        <v>35.94</v>
      </c>
      <c r="BD2417" s="2006"/>
      <c r="LL2417" s="2007"/>
      <c r="LM2417" s="2007"/>
      <c r="MX2417" s="2007"/>
      <c r="ND2417" s="2007"/>
    </row>
    <row r="2418">
      <c r="A2418">
        <f>IFERROR(__xludf.DUMMYFUNCTION("""COMPUTED_VALUE"""),1181527.0)</f>
        <v>1181527</v>
      </c>
      <c r="B2418">
        <f>IFERROR(__xludf.DUMMYFUNCTION("""COMPUTED_VALUE"""),1108005.0)</f>
        <v>1108005</v>
      </c>
      <c r="C2418" t="str">
        <f>IFERROR(__xludf.DUMMYFUNCTION("""COMPUTED_VALUE"""),"Talkie")</f>
        <v>Talkie</v>
      </c>
      <c r="D2418" t="str">
        <f>IFERROR(__xludf.DUMMYFUNCTION("""COMPUTED_VALUE"""),"Kidi Talkie rose")</f>
        <v>Kidi Talkie rose</v>
      </c>
      <c r="E2418" t="str">
        <f>IFERROR(__xludf.DUMMYFUNCTION("""COMPUTED_VALUE"""),"VTECH")</f>
        <v>VTECH</v>
      </c>
      <c r="F2418" t="str">
        <f>IFERROR(__xludf.DUMMYFUNCTION("""COMPUTED_VALUE"""),"W")</f>
        <v>W</v>
      </c>
      <c r="G2418" t="str">
        <f>IFERROR(__xludf.DUMMYFUNCTION("""COMPUTED_VALUE"""),"NN")</f>
        <v>NN</v>
      </c>
      <c r="H2418">
        <f>IFERROR(__xludf.DUMMYFUNCTION("""COMPUTED_VALUE"""),42.02)</f>
        <v>42.02</v>
      </c>
      <c r="I2418">
        <f>IFERROR(__xludf.DUMMYFUNCTION("""COMPUTED_VALUE"""),35.96)</f>
        <v>35.96</v>
      </c>
      <c r="BD2418" s="2006"/>
      <c r="LL2418" s="2007"/>
      <c r="LM2418" s="2007"/>
      <c r="MX2418" s="2007"/>
      <c r="ND2418" s="2008"/>
    </row>
    <row r="2419">
      <c r="A2419" s="2005">
        <f>IFERROR(__xludf.DUMMYFUNCTION("""COMPUTED_VALUE"""),1181747.0)</f>
        <v>1181747</v>
      </c>
      <c r="B2419" s="2005">
        <f>IFERROR(__xludf.DUMMYFUNCTION("""COMPUTED_VALUE"""),2403005.0)</f>
        <v>2403005</v>
      </c>
      <c r="C2419" s="2005" t="str">
        <f>IFERROR(__xludf.DUMMYFUNCTION("""COMPUTED_VALUE"""),"Cartouche")</f>
        <v>Cartouche</v>
      </c>
      <c r="D2419" s="2005" t="str">
        <f>IFERROR(__xludf.DUMMYFUNCTION("""COMPUTED_VALUE"""),"Multipack 10 couleurs PRO-300")</f>
        <v>Multipack 10 couleurs PRO-300</v>
      </c>
      <c r="E2419" s="2005" t="str">
        <f>IFERROR(__xludf.DUMMYFUNCTION("""COMPUTED_VALUE"""),"CANON")</f>
        <v>CANON</v>
      </c>
      <c r="F2419" s="2005" t="str">
        <f>IFERROR(__xludf.DUMMYFUNCTION("""COMPUTED_VALUE"""),"W")</f>
        <v>W</v>
      </c>
      <c r="G2419" s="2005" t="str">
        <f>IFERROR(__xludf.DUMMYFUNCTION("""COMPUTED_VALUE"""),"AC")</f>
        <v>AC</v>
      </c>
      <c r="H2419" s="2005">
        <f>IFERROR(__xludf.DUMMYFUNCTION("""COMPUTED_VALUE"""),179.99)</f>
        <v>179.99</v>
      </c>
      <c r="I2419" s="2005">
        <f>IFERROR(__xludf.DUMMYFUNCTION("""COMPUTED_VALUE"""),179.99)</f>
        <v>179.99</v>
      </c>
      <c r="BD2419" s="2006"/>
      <c r="LL2419" s="2007"/>
      <c r="LM2419" s="2007"/>
      <c r="MX2419" s="2007"/>
      <c r="ND2419" s="2007"/>
    </row>
    <row r="2420">
      <c r="A2420">
        <f>IFERROR(__xludf.DUMMYFUNCTION("""COMPUTED_VALUE"""),1181810.0)</f>
        <v>1181810</v>
      </c>
      <c r="B2420">
        <f>IFERROR(__xludf.DUMMYFUNCTION("""COMPUTED_VALUE"""),2203010.0)</f>
        <v>2203010</v>
      </c>
      <c r="C2420" t="str">
        <f>IFERROR(__xludf.DUMMYFUNCTION("""COMPUTED_VALUE"""),"Scanner")</f>
        <v>Scanner</v>
      </c>
      <c r="D2420" t="str">
        <f>IFERROR(__xludf.DUMMYFUNCTION("""COMPUTED_VALUE"""),"IRISCan Desk 6 - A4")</f>
        <v>IRISCan Desk 6 - A4</v>
      </c>
      <c r="E2420" t="str">
        <f>IFERROR(__xludf.DUMMYFUNCTION("""COMPUTED_VALUE"""),"IRIS")</f>
        <v>IRIS</v>
      </c>
      <c r="F2420" t="str">
        <f>IFERROR(__xludf.DUMMYFUNCTION("""COMPUTED_VALUE"""),"E")</f>
        <v>E</v>
      </c>
      <c r="G2420" t="str">
        <f>IFERROR(__xludf.DUMMYFUNCTION("""COMPUTED_VALUE"""),"FR")</f>
        <v>FR</v>
      </c>
      <c r="H2420">
        <f>IFERROR(__xludf.DUMMYFUNCTION("""COMPUTED_VALUE"""),249.99)</f>
        <v>249.99</v>
      </c>
      <c r="I2420">
        <f>IFERROR(__xludf.DUMMYFUNCTION("""COMPUTED_VALUE"""),249.99)</f>
        <v>249.99</v>
      </c>
      <c r="BD2420" s="2006"/>
      <c r="LL2420" s="2008"/>
      <c r="LM2420" s="2007"/>
      <c r="MX2420" s="2007"/>
      <c r="ND2420" s="2008"/>
    </row>
    <row r="2421">
      <c r="A2421">
        <f>IFERROR(__xludf.DUMMYFUNCTION("""COMPUTED_VALUE"""),1181841.0)</f>
        <v>1181841</v>
      </c>
      <c r="B2421">
        <f>IFERROR(__xludf.DUMMYFUNCTION("""COMPUTED_VALUE"""),2203010.0)</f>
        <v>2203010</v>
      </c>
      <c r="C2421" t="str">
        <f>IFERROR(__xludf.DUMMYFUNCTION("""COMPUTED_VALUE"""),"Scanner")</f>
        <v>Scanner</v>
      </c>
      <c r="D2421" t="str">
        <f>IFERROR(__xludf.DUMMYFUNCTION("""COMPUTED_VALUE"""),"IRISCan Desk 6 Pro - A3")</f>
        <v>IRISCan Desk 6 Pro - A3</v>
      </c>
      <c r="E2421" t="str">
        <f>IFERROR(__xludf.DUMMYFUNCTION("""COMPUTED_VALUE"""),"IRIS")</f>
        <v>IRIS</v>
      </c>
      <c r="F2421" t="str">
        <f>IFERROR(__xludf.DUMMYFUNCTION("""COMPUTED_VALUE"""),"E")</f>
        <v>E</v>
      </c>
      <c r="G2421" t="str">
        <f>IFERROR(__xludf.DUMMYFUNCTION("""COMPUTED_VALUE"""),"AC")</f>
        <v>AC</v>
      </c>
      <c r="H2421">
        <f>IFERROR(__xludf.DUMMYFUNCTION("""COMPUTED_VALUE"""),349.99)</f>
        <v>349.99</v>
      </c>
      <c r="I2421">
        <f>IFERROR(__xludf.DUMMYFUNCTION("""COMPUTED_VALUE"""),349.99)</f>
        <v>349.99</v>
      </c>
      <c r="BD2421" s="2006"/>
      <c r="LL2421" s="2007"/>
      <c r="LM2421" s="2007"/>
      <c r="MX2421" s="2007"/>
      <c r="ND2421" s="2007"/>
    </row>
    <row r="2422">
      <c r="A2422">
        <f>IFERROR(__xludf.DUMMYFUNCTION("""COMPUTED_VALUE"""),1181842.0)</f>
        <v>1181842</v>
      </c>
      <c r="B2422">
        <f>IFERROR(__xludf.DUMMYFUNCTION("""COMPUTED_VALUE"""),2203010.0)</f>
        <v>2203010</v>
      </c>
      <c r="C2422" t="str">
        <f>IFERROR(__xludf.DUMMYFUNCTION("""COMPUTED_VALUE"""),"Scanner")</f>
        <v>Scanner</v>
      </c>
      <c r="D2422" t="str">
        <f>IFERROR(__xludf.DUMMYFUNCTION("""COMPUTED_VALUE"""),"IRISCan Desk 6 Business - A3")</f>
        <v>IRISCan Desk 6 Business - A3</v>
      </c>
      <c r="E2422" t="str">
        <f>IFERROR(__xludf.DUMMYFUNCTION("""COMPUTED_VALUE"""),"IRIS")</f>
        <v>IRIS</v>
      </c>
      <c r="F2422" t="str">
        <f>IFERROR(__xludf.DUMMYFUNCTION("""COMPUTED_VALUE"""),"E")</f>
        <v>E</v>
      </c>
      <c r="G2422" t="str">
        <f>IFERROR(__xludf.DUMMYFUNCTION("""COMPUTED_VALUE"""),"AC")</f>
        <v>AC</v>
      </c>
      <c r="H2422">
        <f>IFERROR(__xludf.DUMMYFUNCTION("""COMPUTED_VALUE"""),449.99)</f>
        <v>449.99</v>
      </c>
      <c r="I2422">
        <f>IFERROR(__xludf.DUMMYFUNCTION("""COMPUTED_VALUE"""),449.99)</f>
        <v>449.99</v>
      </c>
      <c r="BD2422" s="2006"/>
      <c r="LL2422" s="2007"/>
      <c r="LM2422" s="2007"/>
      <c r="MX2422" s="2007"/>
      <c r="ND2422" s="2007"/>
    </row>
    <row r="2423">
      <c r="A2423">
        <f>IFERROR(__xludf.DUMMYFUNCTION("""COMPUTED_VALUE"""),1181877.0)</f>
        <v>1181877</v>
      </c>
      <c r="B2423">
        <f>IFERROR(__xludf.DUMMYFUNCTION("""COMPUTED_VALUE"""),2209805.0)</f>
        <v>2209805</v>
      </c>
      <c r="C2423" t="str">
        <f>IFERROR(__xludf.DUMMYFUNCTION("""COMPUTED_VALUE"""),"Lot")</f>
        <v>Lot</v>
      </c>
      <c r="D2423" t="str">
        <f>IFERROR(__xludf.DUMMYFUNCTION("""COMPUTED_VALUE"""),"OfficeJet 8024e + Cartouche + Ramette")</f>
        <v>OfficeJet 8024e + Cartouche + Ramette</v>
      </c>
      <c r="E2423" t="str">
        <f>IFERROR(__xludf.DUMMYFUNCTION("""COMPUTED_VALUE"""),"HP")</f>
        <v>HP</v>
      </c>
      <c r="F2423" t="str">
        <f>IFERROR(__xludf.DUMMYFUNCTION("""COMPUTED_VALUE"""),"W")</f>
        <v>W</v>
      </c>
      <c r="G2423" t="str">
        <f>IFERROR(__xludf.DUMMYFUNCTION("""COMPUTED_VALUE"""),"NN")</f>
        <v>NN</v>
      </c>
      <c r="H2423">
        <f>IFERROR(__xludf.DUMMYFUNCTION("""COMPUTED_VALUE"""),251.98)</f>
        <v>251.98</v>
      </c>
      <c r="I2423">
        <f>IFERROR(__xludf.DUMMYFUNCTION("""COMPUTED_VALUE"""),251.98)</f>
        <v>251.98</v>
      </c>
      <c r="LL2423" s="2007"/>
      <c r="LM2423" s="2007"/>
    </row>
    <row r="2424">
      <c r="A2424">
        <f>IFERROR(__xludf.DUMMYFUNCTION("""COMPUTED_VALUE"""),1182514.0)</f>
        <v>1182514</v>
      </c>
      <c r="B2424">
        <f>IFERROR(__xludf.DUMMYFUNCTION("""COMPUTED_VALUE"""),2502010.0)</f>
        <v>2502010</v>
      </c>
      <c r="C2424" t="str">
        <f>IFERROR(__xludf.DUMMYFUNCTION("""COMPUTED_VALUE"""),"Souris")</f>
        <v>Souris</v>
      </c>
      <c r="D2424" t="str">
        <f>IFERROR(__xludf.DUMMYFUNCTION("""COMPUTED_VALUE"""),"Ambidextre M190 Noir")</f>
        <v>Ambidextre M190 Noir</v>
      </c>
      <c r="E2424" t="str">
        <f>IFERROR(__xludf.DUMMYFUNCTION("""COMPUTED_VALUE"""),"LOGITECH")</f>
        <v>LOGITECH</v>
      </c>
      <c r="F2424" t="str">
        <f>IFERROR(__xludf.DUMMYFUNCTION("""COMPUTED_VALUE"""),"W")</f>
        <v>W</v>
      </c>
      <c r="G2424" t="str">
        <f>IFERROR(__xludf.DUMMYFUNCTION("""COMPUTED_VALUE"""),"AC")</f>
        <v>AC</v>
      </c>
      <c r="H2424">
        <f>IFERROR(__xludf.DUMMYFUNCTION("""COMPUTED_VALUE"""),17.99)</f>
        <v>17.99</v>
      </c>
      <c r="I2424">
        <f>IFERROR(__xludf.DUMMYFUNCTION("""COMPUTED_VALUE"""),17.95)</f>
        <v>17.95</v>
      </c>
      <c r="LL2424" s="2007"/>
      <c r="LM2424" s="2007"/>
    </row>
    <row r="2425">
      <c r="A2425" s="2005">
        <f>IFERROR(__xludf.DUMMYFUNCTION("""COMPUTED_VALUE"""),1182515.0)</f>
        <v>1182515</v>
      </c>
      <c r="B2425" s="2005">
        <f>IFERROR(__xludf.DUMMYFUNCTION("""COMPUTED_VALUE"""),2502010.0)</f>
        <v>2502010</v>
      </c>
      <c r="C2425" s="2005" t="str">
        <f>IFERROR(__xludf.DUMMYFUNCTION("""COMPUTED_VALUE"""),"Souris")</f>
        <v>Souris</v>
      </c>
      <c r="D2425" s="2005" t="str">
        <f>IFERROR(__xludf.DUMMYFUNCTION("""COMPUTED_VALUE"""),"Ambidextre M190 Mid Grey")</f>
        <v>Ambidextre M190 Mid Grey</v>
      </c>
      <c r="E2425" s="2005" t="str">
        <f>IFERROR(__xludf.DUMMYFUNCTION("""COMPUTED_VALUE"""),"LOGITECH")</f>
        <v>LOGITECH</v>
      </c>
      <c r="F2425" s="2005" t="str">
        <f>IFERROR(__xludf.DUMMYFUNCTION("""COMPUTED_VALUE"""),"W")</f>
        <v>W</v>
      </c>
      <c r="G2425" s="2005" t="str">
        <f>IFERROR(__xludf.DUMMYFUNCTION("""COMPUTED_VALUE"""),"AC")</f>
        <v>AC</v>
      </c>
      <c r="H2425" s="2005">
        <f>IFERROR(__xludf.DUMMYFUNCTION("""COMPUTED_VALUE"""),17.99)</f>
        <v>17.99</v>
      </c>
      <c r="I2425" s="2005">
        <f>IFERROR(__xludf.DUMMYFUNCTION("""COMPUTED_VALUE"""),13.49)</f>
        <v>13.49</v>
      </c>
      <c r="LL2425" s="2007"/>
      <c r="LM2425" s="2007"/>
    </row>
    <row r="2426">
      <c r="A2426">
        <f>IFERROR(__xludf.DUMMYFUNCTION("""COMPUTED_VALUE"""),1182516.0)</f>
        <v>1182516</v>
      </c>
      <c r="B2426">
        <f>IFERROR(__xludf.DUMMYFUNCTION("""COMPUTED_VALUE"""),2502010.0)</f>
        <v>2502010</v>
      </c>
      <c r="C2426" t="str">
        <f>IFERROR(__xludf.DUMMYFUNCTION("""COMPUTED_VALUE"""),"Souris")</f>
        <v>Souris</v>
      </c>
      <c r="D2426" t="str">
        <f>IFERROR(__xludf.DUMMYFUNCTION("""COMPUTED_VALUE"""),"Ambidextre M190 Bleu")</f>
        <v>Ambidextre M190 Bleu</v>
      </c>
      <c r="E2426" t="str">
        <f>IFERROR(__xludf.DUMMYFUNCTION("""COMPUTED_VALUE"""),"LOGITECH")</f>
        <v>LOGITECH</v>
      </c>
      <c r="F2426" t="str">
        <f>IFERROR(__xludf.DUMMYFUNCTION("""COMPUTED_VALUE"""),"W")</f>
        <v>W</v>
      </c>
      <c r="G2426" t="str">
        <f>IFERROR(__xludf.DUMMYFUNCTION("""COMPUTED_VALUE"""),"NN")</f>
        <v>NN</v>
      </c>
      <c r="H2426">
        <f>IFERROR(__xludf.DUMMYFUNCTION("""COMPUTED_VALUE"""),17.99)</f>
        <v>17.99</v>
      </c>
      <c r="I2426">
        <f>IFERROR(__xludf.DUMMYFUNCTION("""COMPUTED_VALUE"""),17.99)</f>
        <v>17.99</v>
      </c>
      <c r="LL2426" s="2007"/>
      <c r="LM2426" s="2007"/>
      <c r="MX2426" s="2007"/>
      <c r="ND2426" s="2007"/>
    </row>
    <row r="2427">
      <c r="A2427">
        <f>IFERROR(__xludf.DUMMYFUNCTION("""COMPUTED_VALUE"""),1182518.0)</f>
        <v>1182518</v>
      </c>
      <c r="B2427">
        <f>IFERROR(__xludf.DUMMYFUNCTION("""COMPUTED_VALUE"""),2502010.0)</f>
        <v>2502010</v>
      </c>
      <c r="C2427" t="str">
        <f>IFERROR(__xludf.DUMMYFUNCTION("""COMPUTED_VALUE"""),"Souris")</f>
        <v>Souris</v>
      </c>
      <c r="D2427" t="str">
        <f>IFERROR(__xludf.DUMMYFUNCTION("""COMPUTED_VALUE"""),"Ambidextre M190 Rouge")</f>
        <v>Ambidextre M190 Rouge</v>
      </c>
      <c r="E2427" t="str">
        <f>IFERROR(__xludf.DUMMYFUNCTION("""COMPUTED_VALUE"""),"LOGITECH")</f>
        <v>LOGITECH</v>
      </c>
      <c r="F2427" t="str">
        <f>IFERROR(__xludf.DUMMYFUNCTION("""COMPUTED_VALUE"""),"W")</f>
        <v>W</v>
      </c>
      <c r="G2427" t="str">
        <f>IFERROR(__xludf.DUMMYFUNCTION("""COMPUTED_VALUE"""),"NN")</f>
        <v>NN</v>
      </c>
      <c r="H2427">
        <f>IFERROR(__xludf.DUMMYFUNCTION("""COMPUTED_VALUE"""),17.99)</f>
        <v>17.99</v>
      </c>
      <c r="I2427">
        <f>IFERROR(__xludf.DUMMYFUNCTION("""COMPUTED_VALUE"""),17.99)</f>
        <v>17.99</v>
      </c>
      <c r="LL2427" s="2007"/>
      <c r="LM2427" s="2007"/>
      <c r="MX2427" s="2007"/>
      <c r="ND2427" s="2007"/>
    </row>
    <row r="2428">
      <c r="A2428">
        <f>IFERROR(__xludf.DUMMYFUNCTION("""COMPUTED_VALUE"""),1182623.0)</f>
        <v>1182623</v>
      </c>
      <c r="B2428">
        <f>IFERROR(__xludf.DUMMYFUNCTION("""COMPUTED_VALUE"""),2502015.0)</f>
        <v>2502015</v>
      </c>
      <c r="C2428" t="str">
        <f>IFERROR(__xludf.DUMMYFUNCTION("""COMPUTED_VALUE"""),"Clavier")</f>
        <v>Clavier</v>
      </c>
      <c r="D2428" t="str">
        <f>IFERROR(__xludf.DUMMYFUNCTION("""COMPUTED_VALUE"""),"K650 Noir Ergonomique repose poignets")</f>
        <v>K650 Noir Ergonomique repose poignets</v>
      </c>
      <c r="E2428" t="str">
        <f>IFERROR(__xludf.DUMMYFUNCTION("""COMPUTED_VALUE"""),"LOGITECH")</f>
        <v>LOGITECH</v>
      </c>
      <c r="F2428" t="str">
        <f>IFERROR(__xludf.DUMMYFUNCTION("""COMPUTED_VALUE"""),"W")</f>
        <v>W</v>
      </c>
      <c r="G2428" t="str">
        <f>IFERROR(__xludf.DUMMYFUNCTION("""COMPUTED_VALUE"""),"AC")</f>
        <v>AC</v>
      </c>
      <c r="H2428">
        <f>IFERROR(__xludf.DUMMYFUNCTION("""COMPUTED_VALUE"""),54.99)</f>
        <v>54.99</v>
      </c>
      <c r="I2428">
        <f>IFERROR(__xludf.DUMMYFUNCTION("""COMPUTED_VALUE"""),49.96)</f>
        <v>49.96</v>
      </c>
      <c r="LL2428" s="2007"/>
      <c r="LM2428" s="2007"/>
      <c r="MX2428" s="2007"/>
      <c r="ND2428" s="2007"/>
    </row>
    <row r="2429">
      <c r="A2429">
        <f>IFERROR(__xludf.DUMMYFUNCTION("""COMPUTED_VALUE"""),1182624.0)</f>
        <v>1182624</v>
      </c>
      <c r="B2429">
        <f>IFERROR(__xludf.DUMMYFUNCTION("""COMPUTED_VALUE"""),2502015.0)</f>
        <v>2502015</v>
      </c>
      <c r="C2429" t="str">
        <f>IFERROR(__xludf.DUMMYFUNCTION("""COMPUTED_VALUE"""),"Clavier")</f>
        <v>Clavier</v>
      </c>
      <c r="D2429" t="str">
        <f>IFERROR(__xludf.DUMMYFUNCTION("""COMPUTED_VALUE"""),"K650 Blanc Ergonomique repose poignets")</f>
        <v>K650 Blanc Ergonomique repose poignets</v>
      </c>
      <c r="E2429" t="str">
        <f>IFERROR(__xludf.DUMMYFUNCTION("""COMPUTED_VALUE"""),"LOGITECH")</f>
        <v>LOGITECH</v>
      </c>
      <c r="F2429" t="str">
        <f>IFERROR(__xludf.DUMMYFUNCTION("""COMPUTED_VALUE"""),"W")</f>
        <v>W</v>
      </c>
      <c r="G2429" t="str">
        <f>IFERROR(__xludf.DUMMYFUNCTION("""COMPUTED_VALUE"""),"NN")</f>
        <v>NN</v>
      </c>
      <c r="H2429">
        <f>IFERROR(__xludf.DUMMYFUNCTION("""COMPUTED_VALUE"""),54.99)</f>
        <v>54.99</v>
      </c>
      <c r="I2429">
        <f>IFERROR(__xludf.DUMMYFUNCTION("""COMPUTED_VALUE"""),54.99)</f>
        <v>54.99</v>
      </c>
      <c r="BD2429" s="2006"/>
      <c r="LL2429" s="2007"/>
      <c r="LM2429" s="2007"/>
      <c r="MX2429" s="2007"/>
      <c r="ND2429" s="2008"/>
    </row>
    <row r="2430">
      <c r="A2430">
        <f>IFERROR(__xludf.DUMMYFUNCTION("""COMPUTED_VALUE"""),1182625.0)</f>
        <v>1182625</v>
      </c>
      <c r="B2430">
        <f>IFERROR(__xludf.DUMMYFUNCTION("""COMPUTED_VALUE"""),2402015.0)</f>
        <v>2402015</v>
      </c>
      <c r="C2430" t="str">
        <f>IFERROR(__xludf.DUMMYFUNCTION("""COMPUTED_VALUE"""),"Papier")</f>
        <v>Papier</v>
      </c>
      <c r="D2430" t="str">
        <f>IFERROR(__xludf.DUMMYFUNCTION("""COMPUTED_VALUE"""),"Digital Everyday Gloss")</f>
        <v>Digital Everyday Gloss</v>
      </c>
      <c r="E2430" t="str">
        <f>IFERROR(__xludf.DUMMYFUNCTION("""COMPUTED_VALUE"""),"CANSON")</f>
        <v>CANSON</v>
      </c>
      <c r="F2430" t="str">
        <f>IFERROR(__xludf.DUMMYFUNCTION("""COMPUTED_VALUE"""),"E")</f>
        <v>E</v>
      </c>
      <c r="G2430" t="str">
        <f>IFERROR(__xludf.DUMMYFUNCTION("""COMPUTED_VALUE"""),"FR")</f>
        <v>FR</v>
      </c>
      <c r="H2430">
        <f>IFERROR(__xludf.DUMMYFUNCTION("""COMPUTED_VALUE"""),7.99)</f>
        <v>7.99</v>
      </c>
      <c r="I2430">
        <f>IFERROR(__xludf.DUMMYFUNCTION("""COMPUTED_VALUE"""),7.99)</f>
        <v>7.99</v>
      </c>
      <c r="BD2430" s="2006"/>
      <c r="LL2430" s="2007"/>
      <c r="LM2430" s="2007"/>
      <c r="MX2430" s="2007"/>
      <c r="ND2430" s="2008"/>
    </row>
    <row r="2431">
      <c r="A2431">
        <f>IFERROR(__xludf.DUMMYFUNCTION("""COMPUTED_VALUE"""),1182626.0)</f>
        <v>1182626</v>
      </c>
      <c r="B2431">
        <f>IFERROR(__xludf.DUMMYFUNCTION("""COMPUTED_VALUE"""),2402015.0)</f>
        <v>2402015</v>
      </c>
      <c r="C2431" t="str">
        <f>IFERROR(__xludf.DUMMYFUNCTION("""COMPUTED_VALUE"""),"Papier")</f>
        <v>Papier</v>
      </c>
      <c r="D2431" t="str">
        <f>IFERROR(__xludf.DUMMYFUNCTION("""COMPUTED_VALUE"""),"Digital Everyday Matt")</f>
        <v>Digital Everyday Matt</v>
      </c>
      <c r="E2431" t="str">
        <f>IFERROR(__xludf.DUMMYFUNCTION("""COMPUTED_VALUE"""),"CANSON")</f>
        <v>CANSON</v>
      </c>
      <c r="F2431" t="str">
        <f>IFERROR(__xludf.DUMMYFUNCTION("""COMPUTED_VALUE"""),"E")</f>
        <v>E</v>
      </c>
      <c r="G2431" t="str">
        <f>IFERROR(__xludf.DUMMYFUNCTION("""COMPUTED_VALUE"""),"FR")</f>
        <v>FR</v>
      </c>
      <c r="H2431">
        <f>IFERROR(__xludf.DUMMYFUNCTION("""COMPUTED_VALUE"""),14.99)</f>
        <v>14.99</v>
      </c>
      <c r="I2431">
        <f>IFERROR(__xludf.DUMMYFUNCTION("""COMPUTED_VALUE"""),14.99)</f>
        <v>14.99</v>
      </c>
      <c r="BD2431" s="2006"/>
      <c r="LL2431" s="2008"/>
      <c r="LM2431" s="2007"/>
      <c r="MX2431" s="2007"/>
      <c r="ND2431" s="2008"/>
    </row>
    <row r="2432">
      <c r="A2432">
        <f>IFERROR(__xludf.DUMMYFUNCTION("""COMPUTED_VALUE"""),1182686.0)</f>
        <v>1182686</v>
      </c>
      <c r="B2432">
        <f>IFERROR(__xludf.DUMMYFUNCTION("""COMPUTED_VALUE"""),2402015.0)</f>
        <v>2402015</v>
      </c>
      <c r="C2432" t="str">
        <f>IFERROR(__xludf.DUMMYFUNCTION("""COMPUTED_VALUE"""),"Papier")</f>
        <v>Papier</v>
      </c>
      <c r="D2432" t="str">
        <f>IFERROR(__xludf.DUMMYFUNCTION("""COMPUTED_VALUE"""),"Digital Everyday Double Side Matt")</f>
        <v>Digital Everyday Double Side Matt</v>
      </c>
      <c r="E2432" t="str">
        <f>IFERROR(__xludf.DUMMYFUNCTION("""COMPUTED_VALUE"""),"CANSON")</f>
        <v>CANSON</v>
      </c>
      <c r="F2432" t="str">
        <f>IFERROR(__xludf.DUMMYFUNCTION("""COMPUTED_VALUE"""),"E")</f>
        <v>E</v>
      </c>
      <c r="G2432" t="str">
        <f>IFERROR(__xludf.DUMMYFUNCTION("""COMPUTED_VALUE"""),"FR")</f>
        <v>FR</v>
      </c>
      <c r="H2432">
        <f>IFERROR(__xludf.DUMMYFUNCTION("""COMPUTED_VALUE"""),12.99)</f>
        <v>12.99</v>
      </c>
      <c r="I2432">
        <f>IFERROR(__xludf.DUMMYFUNCTION("""COMPUTED_VALUE"""),12.99)</f>
        <v>12.99</v>
      </c>
      <c r="BD2432" s="2006"/>
      <c r="LL2432" s="2008"/>
      <c r="LM2432" s="2007"/>
      <c r="MX2432" s="2007"/>
      <c r="ND2432" s="2008"/>
    </row>
    <row r="2433">
      <c r="A2433">
        <f>IFERROR(__xludf.DUMMYFUNCTION("""COMPUTED_VALUE"""),1182687.0)</f>
        <v>1182687</v>
      </c>
      <c r="B2433">
        <f>IFERROR(__xludf.DUMMYFUNCTION("""COMPUTED_VALUE"""),2402015.0)</f>
        <v>2402015</v>
      </c>
      <c r="C2433" t="str">
        <f>IFERROR(__xludf.DUMMYFUNCTION("""COMPUTED_VALUE"""),"Papier")</f>
        <v>Papier</v>
      </c>
      <c r="D2433" t="str">
        <f>IFERROR(__xludf.DUMMYFUNCTION("""COMPUTED_VALUE"""),"Premium High Gloss 10x15")</f>
        <v>Premium High Gloss 10x15</v>
      </c>
      <c r="E2433" t="str">
        <f>IFERROR(__xludf.DUMMYFUNCTION("""COMPUTED_VALUE"""),"CANSON")</f>
        <v>CANSON</v>
      </c>
      <c r="F2433" t="str">
        <f>IFERROR(__xludf.DUMMYFUNCTION("""COMPUTED_VALUE"""),"E")</f>
        <v>E</v>
      </c>
      <c r="G2433" t="str">
        <f>IFERROR(__xludf.DUMMYFUNCTION("""COMPUTED_VALUE"""),"FR")</f>
        <v>FR</v>
      </c>
      <c r="H2433">
        <f>IFERROR(__xludf.DUMMYFUNCTION("""COMPUTED_VALUE"""),9.99)</f>
        <v>9.99</v>
      </c>
      <c r="I2433">
        <f>IFERROR(__xludf.DUMMYFUNCTION("""COMPUTED_VALUE"""),9.99)</f>
        <v>9.99</v>
      </c>
      <c r="BD2433" s="2006"/>
      <c r="LL2433" s="2007"/>
      <c r="LM2433" s="2007"/>
      <c r="MX2433" s="2007"/>
      <c r="ND2433" s="2007"/>
    </row>
    <row r="2434">
      <c r="A2434">
        <f>IFERROR(__xludf.DUMMYFUNCTION("""COMPUTED_VALUE"""),1182688.0)</f>
        <v>1182688</v>
      </c>
      <c r="B2434">
        <f>IFERROR(__xludf.DUMMYFUNCTION("""COMPUTED_VALUE"""),2402015.0)</f>
        <v>2402015</v>
      </c>
      <c r="C2434" t="str">
        <f>IFERROR(__xludf.DUMMYFUNCTION("""COMPUTED_VALUE"""),"Papier")</f>
        <v>Papier</v>
      </c>
      <c r="D2434" t="str">
        <f>IFERROR(__xludf.DUMMYFUNCTION("""COMPUTED_VALUE"""),"Premium Lustre 10x15")</f>
        <v>Premium Lustre 10x15</v>
      </c>
      <c r="E2434" t="str">
        <f>IFERROR(__xludf.DUMMYFUNCTION("""COMPUTED_VALUE"""),"CANSON")</f>
        <v>CANSON</v>
      </c>
      <c r="F2434" t="str">
        <f>IFERROR(__xludf.DUMMYFUNCTION("""COMPUTED_VALUE"""),"E")</f>
        <v>E</v>
      </c>
      <c r="G2434" t="str">
        <f>IFERROR(__xludf.DUMMYFUNCTION("""COMPUTED_VALUE"""),"NN")</f>
        <v>NN</v>
      </c>
      <c r="H2434">
        <f>IFERROR(__xludf.DUMMYFUNCTION("""COMPUTED_VALUE"""),16.99)</f>
        <v>16.99</v>
      </c>
      <c r="I2434">
        <f>IFERROR(__xludf.DUMMYFUNCTION("""COMPUTED_VALUE"""),16.99)</f>
        <v>16.99</v>
      </c>
      <c r="BD2434" s="2006"/>
      <c r="LL2434" s="2007"/>
      <c r="LM2434" s="2007"/>
      <c r="MX2434" s="2007"/>
      <c r="ND2434" s="2008"/>
    </row>
    <row r="2435">
      <c r="A2435">
        <f>IFERROR(__xludf.DUMMYFUNCTION("""COMPUTED_VALUE"""),1182689.0)</f>
        <v>1182689</v>
      </c>
      <c r="B2435">
        <f>IFERROR(__xludf.DUMMYFUNCTION("""COMPUTED_VALUE"""),2402015.0)</f>
        <v>2402015</v>
      </c>
      <c r="C2435" t="str">
        <f>IFERROR(__xludf.DUMMYFUNCTION("""COMPUTED_VALUE"""),"Papier")</f>
        <v>Papier</v>
      </c>
      <c r="D2435" t="str">
        <f>IFERROR(__xludf.DUMMYFUNCTION("""COMPUTED_VALUE"""),"Premium Lustre")</f>
        <v>Premium Lustre</v>
      </c>
      <c r="E2435" t="str">
        <f>IFERROR(__xludf.DUMMYFUNCTION("""COMPUTED_VALUE"""),"CANSON")</f>
        <v>CANSON</v>
      </c>
      <c r="F2435" t="str">
        <f>IFERROR(__xludf.DUMMYFUNCTION("""COMPUTED_VALUE"""),"E")</f>
        <v>E</v>
      </c>
      <c r="G2435" t="str">
        <f>IFERROR(__xludf.DUMMYFUNCTION("""COMPUTED_VALUE"""),"FR")</f>
        <v>FR</v>
      </c>
      <c r="H2435">
        <f>IFERROR(__xludf.DUMMYFUNCTION("""COMPUTED_VALUE"""),12.99)</f>
        <v>12.99</v>
      </c>
      <c r="I2435">
        <f>IFERROR(__xludf.DUMMYFUNCTION("""COMPUTED_VALUE"""),12.99)</f>
        <v>12.99</v>
      </c>
      <c r="LL2435" s="2007"/>
      <c r="LM2435" s="2007"/>
    </row>
    <row r="2436">
      <c r="A2436">
        <f>IFERROR(__xludf.DUMMYFUNCTION("""COMPUTED_VALUE"""),1182888.0)</f>
        <v>1182888</v>
      </c>
      <c r="B2436">
        <f>IFERROR(__xludf.DUMMYFUNCTION("""COMPUTED_VALUE"""),2202005.0)</f>
        <v>2202005</v>
      </c>
      <c r="C2436" t="str">
        <f>IFERROR(__xludf.DUMMYFUNCTION("""COMPUTED_VALUE"""),"Multi Jet d'enc")</f>
        <v>Multi Jet d'enc</v>
      </c>
      <c r="D2436" t="str">
        <f>IFERROR(__xludf.DUMMYFUNCTION("""COMPUTED_VALUE"""),"XP-3205")</f>
        <v>XP-3205</v>
      </c>
      <c r="E2436" t="str">
        <f>IFERROR(__xludf.DUMMYFUNCTION("""COMPUTED_VALUE"""),"EPSON")</f>
        <v>EPSON</v>
      </c>
      <c r="F2436" t="str">
        <f>IFERROR(__xludf.DUMMYFUNCTION("""COMPUTED_VALUE"""),"E")</f>
        <v>E</v>
      </c>
      <c r="G2436" t="str">
        <f>IFERROR(__xludf.DUMMYFUNCTION("""COMPUTED_VALUE"""),"AC")</f>
        <v>AC</v>
      </c>
      <c r="H2436">
        <f>IFERROR(__xludf.DUMMYFUNCTION("""COMPUTED_VALUE"""),89.99)</f>
        <v>89.99</v>
      </c>
      <c r="I2436">
        <f>IFERROR(__xludf.DUMMYFUNCTION("""COMPUTED_VALUE"""),89.99)</f>
        <v>89.99</v>
      </c>
      <c r="LL2436" s="2008"/>
      <c r="LM2436" s="2007"/>
    </row>
    <row r="2437">
      <c r="A2437">
        <f>IFERROR(__xludf.DUMMYFUNCTION("""COMPUTED_VALUE"""),1182956.0)</f>
        <v>1182956</v>
      </c>
      <c r="B2437">
        <f>IFERROR(__xludf.DUMMYFUNCTION("""COMPUTED_VALUE"""),2202005.0)</f>
        <v>2202005</v>
      </c>
      <c r="C2437" t="str">
        <f>IFERROR(__xludf.DUMMYFUNCTION("""COMPUTED_VALUE"""),"Multi Jet d'enc")</f>
        <v>Multi Jet d'enc</v>
      </c>
      <c r="D2437" t="str">
        <f>IFERROR(__xludf.DUMMYFUNCTION("""COMPUTED_VALUE"""),"XP-2205")</f>
        <v>XP-2205</v>
      </c>
      <c r="E2437" t="str">
        <f>IFERROR(__xludf.DUMMYFUNCTION("""COMPUTED_VALUE"""),"EPSON")</f>
        <v>EPSON</v>
      </c>
      <c r="F2437" t="str">
        <f>IFERROR(__xludf.DUMMYFUNCTION("""COMPUTED_VALUE"""),"B")</f>
        <v>B</v>
      </c>
      <c r="G2437" t="str">
        <f>IFERROR(__xludf.DUMMYFUNCTION("""COMPUTED_VALUE"""),"AC")</f>
        <v>AC</v>
      </c>
      <c r="H2437">
        <f>IFERROR(__xludf.DUMMYFUNCTION("""COMPUTED_VALUE"""),59.99)</f>
        <v>59.99</v>
      </c>
      <c r="I2437">
        <f>IFERROR(__xludf.DUMMYFUNCTION("""COMPUTED_VALUE"""),59.99)</f>
        <v>59.99</v>
      </c>
      <c r="BD2437" s="2006"/>
      <c r="LL2437" s="2007"/>
      <c r="LM2437" s="2007"/>
      <c r="MX2437" s="2007"/>
      <c r="ND2437" s="2007"/>
    </row>
    <row r="2438">
      <c r="A2438">
        <f>IFERROR(__xludf.DUMMYFUNCTION("""COMPUTED_VALUE"""),1183031.0)</f>
        <v>1183031</v>
      </c>
      <c r="B2438">
        <f>IFERROR(__xludf.DUMMYFUNCTION("""COMPUTED_VALUE"""),2202005.0)</f>
        <v>2202005</v>
      </c>
      <c r="C2438" t="str">
        <f>IFERROR(__xludf.DUMMYFUNCTION("""COMPUTED_VALUE"""),"Multi Jet d'enc")</f>
        <v>Multi Jet d'enc</v>
      </c>
      <c r="D2438" t="str">
        <f>IFERROR(__xludf.DUMMYFUNCTION("""COMPUTED_VALUE"""),"XP-4205")</f>
        <v>XP-4205</v>
      </c>
      <c r="E2438" t="str">
        <f>IFERROR(__xludf.DUMMYFUNCTION("""COMPUTED_VALUE"""),"EPSON")</f>
        <v>EPSON</v>
      </c>
      <c r="F2438" t="str">
        <f>IFERROR(__xludf.DUMMYFUNCTION("""COMPUTED_VALUE"""),"A")</f>
        <v>A</v>
      </c>
      <c r="G2438" t="str">
        <f>IFERROR(__xludf.DUMMYFUNCTION("""COMPUTED_VALUE"""),"AC")</f>
        <v>AC</v>
      </c>
      <c r="H2438">
        <f>IFERROR(__xludf.DUMMYFUNCTION("""COMPUTED_VALUE"""),99.99)</f>
        <v>99.99</v>
      </c>
      <c r="I2438">
        <f>IFERROR(__xludf.DUMMYFUNCTION("""COMPUTED_VALUE"""),99.99)</f>
        <v>99.99</v>
      </c>
      <c r="BD2438" s="2006"/>
      <c r="LM2438" s="2007"/>
      <c r="MX2438" s="2008"/>
      <c r="ND2438" s="2008"/>
    </row>
    <row r="2439">
      <c r="A2439">
        <f>IFERROR(__xludf.DUMMYFUNCTION("""COMPUTED_VALUE"""),1183032.0)</f>
        <v>1183032</v>
      </c>
      <c r="B2439">
        <f>IFERROR(__xludf.DUMMYFUNCTION("""COMPUTED_VALUE"""),2202005.0)</f>
        <v>2202005</v>
      </c>
      <c r="C2439" t="str">
        <f>IFERROR(__xludf.DUMMYFUNCTION("""COMPUTED_VALUE"""),"Multi Jet d'enc")</f>
        <v>Multi Jet d'enc</v>
      </c>
      <c r="D2439" t="str">
        <f>IFERROR(__xludf.DUMMYFUNCTION("""COMPUTED_VALUE"""),"XP-5205")</f>
        <v>XP-5205</v>
      </c>
      <c r="E2439" t="str">
        <f>IFERROR(__xludf.DUMMYFUNCTION("""COMPUTED_VALUE"""),"EPSON")</f>
        <v>EPSON</v>
      </c>
      <c r="F2439" t="str">
        <f>IFERROR(__xludf.DUMMYFUNCTION("""COMPUTED_VALUE"""),"C")</f>
        <v>C</v>
      </c>
      <c r="G2439" t="str">
        <f>IFERROR(__xludf.DUMMYFUNCTION("""COMPUTED_VALUE"""),"FF")</f>
        <v>FF</v>
      </c>
      <c r="H2439">
        <f>IFERROR(__xludf.DUMMYFUNCTION("""COMPUTED_VALUE"""),119.99)</f>
        <v>119.99</v>
      </c>
      <c r="I2439">
        <f>IFERROR(__xludf.DUMMYFUNCTION("""COMPUTED_VALUE"""),119.99)</f>
        <v>119.99</v>
      </c>
      <c r="BD2439" s="2006"/>
      <c r="LL2439" s="2008"/>
      <c r="LM2439" s="2007"/>
      <c r="MX2439" s="2007"/>
      <c r="ND2439" s="2008"/>
    </row>
    <row r="2440">
      <c r="A2440">
        <f>IFERROR(__xludf.DUMMYFUNCTION("""COMPUTED_VALUE"""),1183033.0)</f>
        <v>1183033</v>
      </c>
      <c r="B2440">
        <f>IFERROR(__xludf.DUMMYFUNCTION("""COMPUTED_VALUE"""),2202005.0)</f>
        <v>2202005</v>
      </c>
      <c r="C2440" t="str">
        <f>IFERROR(__xludf.DUMMYFUNCTION("""COMPUTED_VALUE"""),"Multi Jet d'enc")</f>
        <v>Multi Jet d'enc</v>
      </c>
      <c r="D2440" t="str">
        <f>IFERROR(__xludf.DUMMYFUNCTION("""COMPUTED_VALUE"""),"WorkForce WF-2950DWF")</f>
        <v>WorkForce WF-2950DWF</v>
      </c>
      <c r="E2440" t="str">
        <f>IFERROR(__xludf.DUMMYFUNCTION("""COMPUTED_VALUE"""),"EPSON")</f>
        <v>EPSON</v>
      </c>
      <c r="F2440" t="str">
        <f>IFERROR(__xludf.DUMMYFUNCTION("""COMPUTED_VALUE"""),"B")</f>
        <v>B</v>
      </c>
      <c r="G2440" t="str">
        <f>IFERROR(__xludf.DUMMYFUNCTION("""COMPUTED_VALUE"""),"AC")</f>
        <v>AC</v>
      </c>
      <c r="H2440">
        <f>IFERROR(__xludf.DUMMYFUNCTION("""COMPUTED_VALUE"""),119.99)</f>
        <v>119.99</v>
      </c>
      <c r="I2440">
        <f>IFERROR(__xludf.DUMMYFUNCTION("""COMPUTED_VALUE"""),99.99)</f>
        <v>99.99</v>
      </c>
      <c r="BD2440" s="2006"/>
      <c r="LL2440" s="2007"/>
      <c r="LM2440" s="2007"/>
      <c r="MX2440" s="2007"/>
      <c r="ND2440" s="2008"/>
    </row>
    <row r="2441">
      <c r="A2441" s="2005">
        <f>IFERROR(__xludf.DUMMYFUNCTION("""COMPUTED_VALUE"""),1183049.0)</f>
        <v>1183049</v>
      </c>
      <c r="B2441" s="2005">
        <f>IFERROR(__xludf.DUMMYFUNCTION("""COMPUTED_VALUE"""),2503010.0)</f>
        <v>2503010</v>
      </c>
      <c r="C2441" s="2005" t="str">
        <f>IFERROR(__xludf.DUMMYFUNCTION("""COMPUTED_VALUE"""),"Casque")</f>
        <v>Casque</v>
      </c>
      <c r="D2441" s="2005" t="str">
        <f>IFERROR(__xludf.DUMMYFUNCTION("""COMPUTED_VALUE"""),"Chat C10")</f>
        <v>Chat C10</v>
      </c>
      <c r="E2441" s="2005" t="str">
        <f>IFERROR(__xludf.DUMMYFUNCTION("""COMPUTED_VALUE"""),"EPOS")</f>
        <v>EPOS</v>
      </c>
      <c r="F2441" s="2005" t="str">
        <f>IFERROR(__xludf.DUMMYFUNCTION("""COMPUTED_VALUE"""),"W")</f>
        <v>W</v>
      </c>
      <c r="G2441" s="2005" t="str">
        <f>IFERROR(__xludf.DUMMYFUNCTION("""COMPUTED_VALUE"""),"FR")</f>
        <v>FR</v>
      </c>
      <c r="H2441">
        <f>IFERROR(__xludf.DUMMYFUNCTION("""COMPUTED_VALUE"""),79.99)</f>
        <v>79.99</v>
      </c>
      <c r="I2441" s="2005">
        <f>IFERROR(__xludf.DUMMYFUNCTION("""COMPUTED_VALUE"""),59.95)</f>
        <v>59.95</v>
      </c>
      <c r="BD2441" s="2006"/>
      <c r="LL2441" s="2007"/>
      <c r="LM2441" s="2007"/>
      <c r="MX2441" s="2007"/>
      <c r="ND2441" s="2007"/>
    </row>
    <row r="2442">
      <c r="A2442">
        <f>IFERROR(__xludf.DUMMYFUNCTION("""COMPUTED_VALUE"""),1183050.0)</f>
        <v>1183050</v>
      </c>
      <c r="B2442">
        <f>IFERROR(__xludf.DUMMYFUNCTION("""COMPUTED_VALUE"""),2503010.0)</f>
        <v>2503010</v>
      </c>
      <c r="C2442" t="str">
        <f>IFERROR(__xludf.DUMMYFUNCTION("""COMPUTED_VALUE"""),"Casque")</f>
        <v>Casque</v>
      </c>
      <c r="D2442" t="str">
        <f>IFERROR(__xludf.DUMMYFUNCTION("""COMPUTED_VALUE"""),"Chat C20")</f>
        <v>Chat C20</v>
      </c>
      <c r="E2442" t="str">
        <f>IFERROR(__xludf.DUMMYFUNCTION("""COMPUTED_VALUE"""),"EPOS")</f>
        <v>EPOS</v>
      </c>
      <c r="F2442" t="str">
        <f>IFERROR(__xludf.DUMMYFUNCTION("""COMPUTED_VALUE"""),"W")</f>
        <v>W</v>
      </c>
      <c r="G2442" t="str">
        <f>IFERROR(__xludf.DUMMYFUNCTION("""COMPUTED_VALUE"""),"NN")</f>
        <v>NN</v>
      </c>
      <c r="H2442">
        <f>IFERROR(__xludf.DUMMYFUNCTION("""COMPUTED_VALUE"""),199.99)</f>
        <v>199.99</v>
      </c>
      <c r="I2442">
        <f>IFERROR(__xludf.DUMMYFUNCTION("""COMPUTED_VALUE"""),199.99)</f>
        <v>199.99</v>
      </c>
      <c r="BD2442" s="2006"/>
      <c r="LL2442" s="2008"/>
      <c r="LM2442" s="2007"/>
      <c r="MX2442" s="2007"/>
      <c r="ND2442" s="2008"/>
    </row>
    <row r="2443">
      <c r="A2443">
        <f>IFERROR(__xludf.DUMMYFUNCTION("""COMPUTED_VALUE"""),1183051.0)</f>
        <v>1183051</v>
      </c>
      <c r="B2443">
        <f>IFERROR(__xludf.DUMMYFUNCTION("""COMPUTED_VALUE"""),2503010.0)</f>
        <v>2503010</v>
      </c>
      <c r="C2443" t="str">
        <f>IFERROR(__xludf.DUMMYFUNCTION("""COMPUTED_VALUE"""),"Casque")</f>
        <v>Casque</v>
      </c>
      <c r="D2443" t="str">
        <f>IFERROR(__xludf.DUMMYFUNCTION("""COMPUTED_VALUE"""),"Chat C50")</f>
        <v>Chat C50</v>
      </c>
      <c r="E2443" t="str">
        <f>IFERROR(__xludf.DUMMYFUNCTION("""COMPUTED_VALUE"""),"EPOS")</f>
        <v>EPOS</v>
      </c>
      <c r="F2443" t="str">
        <f>IFERROR(__xludf.DUMMYFUNCTION("""COMPUTED_VALUE"""),"W")</f>
        <v>W</v>
      </c>
      <c r="G2443" t="str">
        <f>IFERROR(__xludf.DUMMYFUNCTION("""COMPUTED_VALUE"""),"NN")</f>
        <v>NN</v>
      </c>
      <c r="H2443">
        <f>IFERROR(__xludf.DUMMYFUNCTION("""COMPUTED_VALUE"""),299.99)</f>
        <v>299.99</v>
      </c>
      <c r="I2443">
        <f>IFERROR(__xludf.DUMMYFUNCTION("""COMPUTED_VALUE"""),299.99)</f>
        <v>299.99</v>
      </c>
      <c r="BD2443" s="2006"/>
      <c r="LL2443" s="2007"/>
      <c r="LM2443" s="2007"/>
      <c r="MX2443" s="2007"/>
      <c r="ND2443" s="2008"/>
    </row>
    <row r="2444">
      <c r="A2444">
        <f>IFERROR(__xludf.DUMMYFUNCTION("""COMPUTED_VALUE"""),1183052.0)</f>
        <v>1183052</v>
      </c>
      <c r="B2444">
        <f>IFERROR(__xludf.DUMMYFUNCTION("""COMPUTED_VALUE"""),2201020.0)</f>
        <v>2201020</v>
      </c>
      <c r="C2444" t="str">
        <f>IFERROR(__xludf.DUMMYFUNCTION("""COMPUTED_VALUE"""),"Mono Laser")</f>
        <v>Mono Laser</v>
      </c>
      <c r="D2444" t="str">
        <f>IFERROR(__xludf.DUMMYFUNCTION("""COMPUTED_VALUE"""),"Tank 1504w")</f>
        <v>Tank 1504w</v>
      </c>
      <c r="E2444" t="str">
        <f>IFERROR(__xludf.DUMMYFUNCTION("""COMPUTED_VALUE"""),"HP")</f>
        <v>HP</v>
      </c>
      <c r="F2444" t="str">
        <f>IFERROR(__xludf.DUMMYFUNCTION("""COMPUTED_VALUE"""),"H")</f>
        <v>H</v>
      </c>
      <c r="G2444" t="str">
        <f>IFERROR(__xludf.DUMMYFUNCTION("""COMPUTED_VALUE"""),"AC")</f>
        <v>AC</v>
      </c>
      <c r="H2444">
        <f>IFERROR(__xludf.DUMMYFUNCTION("""COMPUTED_VALUE"""),299.99)</f>
        <v>299.99</v>
      </c>
      <c r="I2444">
        <f>IFERROR(__xludf.DUMMYFUNCTION("""COMPUTED_VALUE"""),299.99)</f>
        <v>299.99</v>
      </c>
      <c r="LL2444" s="2008"/>
      <c r="LM2444" s="2007"/>
    </row>
    <row r="2445">
      <c r="A2445">
        <f>IFERROR(__xludf.DUMMYFUNCTION("""COMPUTED_VALUE"""),1183053.0)</f>
        <v>1183053</v>
      </c>
      <c r="B2445">
        <f>IFERROR(__xludf.DUMMYFUNCTION("""COMPUTED_VALUE"""),2202008.0)</f>
        <v>2202008</v>
      </c>
      <c r="C2445" t="str">
        <f>IFERROR(__xludf.DUMMYFUNCTION("""COMPUTED_VALUE"""),"Multi Laser")</f>
        <v>Multi Laser</v>
      </c>
      <c r="D2445" t="str">
        <f>IFERROR(__xludf.DUMMYFUNCTION("""COMPUTED_VALUE"""),"Tank 1604w")</f>
        <v>Tank 1604w</v>
      </c>
      <c r="E2445" t="str">
        <f>IFERROR(__xludf.DUMMYFUNCTION("""COMPUTED_VALUE"""),"HP")</f>
        <v>HP</v>
      </c>
      <c r="F2445" t="str">
        <f>IFERROR(__xludf.DUMMYFUNCTION("""COMPUTED_VALUE"""),"H")</f>
        <v>H</v>
      </c>
      <c r="G2445" t="str">
        <f>IFERROR(__xludf.DUMMYFUNCTION("""COMPUTED_VALUE"""),"AC")</f>
        <v>AC</v>
      </c>
      <c r="H2445">
        <f>IFERROR(__xludf.DUMMYFUNCTION("""COMPUTED_VALUE"""),389.99)</f>
        <v>389.99</v>
      </c>
      <c r="I2445">
        <f>IFERROR(__xludf.DUMMYFUNCTION("""COMPUTED_VALUE"""),389.99)</f>
        <v>389.99</v>
      </c>
      <c r="LL2445" s="2007"/>
      <c r="LM2445" s="2007"/>
    </row>
    <row r="2446">
      <c r="A2446">
        <f>IFERROR(__xludf.DUMMYFUNCTION("""COMPUTED_VALUE"""),1183343.0)</f>
        <v>1183343</v>
      </c>
      <c r="B2446">
        <f>IFERROR(__xludf.DUMMYFUNCTION("""COMPUTED_VALUE"""),2209520.0)</f>
        <v>2209520</v>
      </c>
      <c r="C2446" t="str">
        <f>IFERROR(__xludf.DUMMYFUNCTION("""COMPUTED_VALUE"""),"Garantie")</f>
        <v>Garantie</v>
      </c>
      <c r="D2446" t="str">
        <f>IFERROR(__xludf.DUMMYFUNCTION("""COMPUTED_VALUE"""),"Client pro +1 an periph B.O.fixe")</f>
        <v>Client pro +1 an periph B.O.fixe</v>
      </c>
      <c r="E2446" t="str">
        <f>IFERROR(__xludf.DUMMYFUNCTION("""COMPUTED_VALUE"""),"BOULANGER")</f>
        <v>BOULANGER</v>
      </c>
      <c r="F2446" t="str">
        <f>IFERROR(__xludf.DUMMYFUNCTION("""COMPUTED_VALUE"""),"B")</f>
        <v>B</v>
      </c>
      <c r="G2446" t="str">
        <f>IFERROR(__xludf.DUMMYFUNCTION("""COMPUTED_VALUE"""),"AC")</f>
        <v>AC</v>
      </c>
      <c r="H2446">
        <f>IFERROR(__xludf.DUMMYFUNCTION("""COMPUTED_VALUE"""),30.0)</f>
        <v>30</v>
      </c>
      <c r="I2446">
        <f>IFERROR(__xludf.DUMMYFUNCTION("""COMPUTED_VALUE"""),30.0)</f>
        <v>30</v>
      </c>
      <c r="BD2446" s="2006"/>
      <c r="LL2446" s="2008"/>
      <c r="LM2446" s="2007"/>
      <c r="MX2446" s="2007"/>
      <c r="ND2446" s="2008"/>
    </row>
    <row r="2447">
      <c r="A2447">
        <f>IFERROR(__xludf.DUMMYFUNCTION("""COMPUTED_VALUE"""),1183370.0)</f>
        <v>1183370</v>
      </c>
      <c r="B2447">
        <f>IFERROR(__xludf.DUMMYFUNCTION("""COMPUTED_VALUE"""),2209520.0)</f>
        <v>2209520</v>
      </c>
      <c r="C2447" t="str">
        <f>IFERROR(__xludf.DUMMYFUNCTION("""COMPUTED_VALUE"""),"Garantie")</f>
        <v>Garantie</v>
      </c>
      <c r="D2447" t="str">
        <f>IFERROR(__xludf.DUMMYFUNCTION("""COMPUTED_VALUE"""),"Client pro +1 an Imprimante")</f>
        <v>Client pro +1 an Imprimante</v>
      </c>
      <c r="E2447" t="str">
        <f>IFERROR(__xludf.DUMMYFUNCTION("""COMPUTED_VALUE"""),"BOULANGER")</f>
        <v>BOULANGER</v>
      </c>
      <c r="F2447" t="str">
        <f>IFERROR(__xludf.DUMMYFUNCTION("""COMPUTED_VALUE"""),"B")</f>
        <v>B</v>
      </c>
      <c r="G2447" t="str">
        <f>IFERROR(__xludf.DUMMYFUNCTION("""COMPUTED_VALUE"""),"AC")</f>
        <v>AC</v>
      </c>
      <c r="H2447">
        <f>IFERROR(__xludf.DUMMYFUNCTION("""COMPUTED_VALUE"""),24.99)</f>
        <v>24.99</v>
      </c>
      <c r="I2447">
        <f>IFERROR(__xludf.DUMMYFUNCTION("""COMPUTED_VALUE"""),24.99)</f>
        <v>24.99</v>
      </c>
      <c r="BD2447" s="2006"/>
      <c r="LL2447" s="2007"/>
      <c r="LM2447" s="2007"/>
      <c r="MX2447" s="2007"/>
      <c r="ND2447" s="2007"/>
    </row>
    <row r="2448">
      <c r="A2448">
        <f>IFERROR(__xludf.DUMMYFUNCTION("""COMPUTED_VALUE"""),1183378.0)</f>
        <v>1183378</v>
      </c>
      <c r="B2448">
        <f>IFERROR(__xludf.DUMMYFUNCTION("""COMPUTED_VALUE"""),1109520.0)</f>
        <v>1109520</v>
      </c>
      <c r="C2448" t="str">
        <f>IFERROR(__xludf.DUMMYFUNCTION("""COMPUTED_VALUE"""),"Garantie")</f>
        <v>Garantie</v>
      </c>
      <c r="D2448" t="str">
        <f>IFERROR(__xludf.DUMMYFUNCTION("""COMPUTED_VALUE"""),"Client pro +1 an fax laser")</f>
        <v>Client pro +1 an fax laser</v>
      </c>
      <c r="E2448" t="str">
        <f>IFERROR(__xludf.DUMMYFUNCTION("""COMPUTED_VALUE"""),"BOULANGER")</f>
        <v>BOULANGER</v>
      </c>
      <c r="F2448" t="str">
        <f>IFERROR(__xludf.DUMMYFUNCTION("""COMPUTED_VALUE"""),"B")</f>
        <v>B</v>
      </c>
      <c r="G2448" t="str">
        <f>IFERROR(__xludf.DUMMYFUNCTION("""COMPUTED_VALUE"""),"AC")</f>
        <v>AC</v>
      </c>
      <c r="H2448">
        <f>IFERROR(__xludf.DUMMYFUNCTION("""COMPUTED_VALUE"""),64.99)</f>
        <v>64.99</v>
      </c>
      <c r="I2448">
        <f>IFERROR(__xludf.DUMMYFUNCTION("""COMPUTED_VALUE"""),64.99)</f>
        <v>64.99</v>
      </c>
      <c r="BD2448" s="2006"/>
      <c r="LL2448" s="2008"/>
      <c r="LM2448" s="2007"/>
      <c r="MX2448" s="2008"/>
      <c r="ND2448" s="2008"/>
    </row>
    <row r="2449">
      <c r="A2449">
        <f>IFERROR(__xludf.DUMMYFUNCTION("""COMPUTED_VALUE"""),1183394.0)</f>
        <v>1183394</v>
      </c>
      <c r="B2449">
        <f>IFERROR(__xludf.DUMMYFUNCTION("""COMPUTED_VALUE"""),2209520.0)</f>
        <v>2209520</v>
      </c>
      <c r="C2449" t="str">
        <f>IFERROR(__xludf.DUMMYFUNCTION("""COMPUTED_VALUE"""),"Garantie")</f>
        <v>Garantie</v>
      </c>
      <c r="D2449" t="str">
        <f>IFERROR(__xludf.DUMMYFUNCTION("""COMPUTED_VALUE"""),"Client pro +1 an imprimante 3D 400-999")</f>
        <v>Client pro +1 an imprimante 3D 400-999</v>
      </c>
      <c r="E2449" t="str">
        <f>IFERROR(__xludf.DUMMYFUNCTION("""COMPUTED_VALUE"""),"BOULANGER")</f>
        <v>BOULANGER</v>
      </c>
      <c r="F2449" t="str">
        <f>IFERROR(__xludf.DUMMYFUNCTION("""COMPUTED_VALUE"""),"B")</f>
        <v>B</v>
      </c>
      <c r="G2449" t="str">
        <f>IFERROR(__xludf.DUMMYFUNCTION("""COMPUTED_VALUE"""),"AC")</f>
        <v>AC</v>
      </c>
      <c r="H2449">
        <f>IFERROR(__xludf.DUMMYFUNCTION("""COMPUTED_VALUE"""),119.0)</f>
        <v>119</v>
      </c>
      <c r="I2449">
        <f>IFERROR(__xludf.DUMMYFUNCTION("""COMPUTED_VALUE"""),119.0)</f>
        <v>119</v>
      </c>
      <c r="BD2449" s="2006"/>
      <c r="LL2449" s="2008"/>
      <c r="LM2449" s="2007"/>
      <c r="MX2449" s="2008"/>
      <c r="ND2449" s="2008"/>
    </row>
    <row r="2450">
      <c r="A2450">
        <f>IFERROR(__xludf.DUMMYFUNCTION("""COMPUTED_VALUE"""),1183402.0)</f>
        <v>1183402</v>
      </c>
      <c r="B2450">
        <f>IFERROR(__xludf.DUMMYFUNCTION("""COMPUTED_VALUE"""),2209520.0)</f>
        <v>2209520</v>
      </c>
      <c r="C2450" t="str">
        <f>IFERROR(__xludf.DUMMYFUNCTION("""COMPUTED_VALUE"""),"Garantie")</f>
        <v>Garantie</v>
      </c>
      <c r="D2450" t="str">
        <f>IFERROR(__xludf.DUMMYFUNCTION("""COMPUTED_VALUE"""),"Client pro +1 an Multifonction")</f>
        <v>Client pro +1 an Multifonction</v>
      </c>
      <c r="E2450" t="str">
        <f>IFERROR(__xludf.DUMMYFUNCTION("""COMPUTED_VALUE"""),"BOULANGER")</f>
        <v>BOULANGER</v>
      </c>
      <c r="F2450" t="str">
        <f>IFERROR(__xludf.DUMMYFUNCTION("""COMPUTED_VALUE"""),"B")</f>
        <v>B</v>
      </c>
      <c r="G2450" t="str">
        <f>IFERROR(__xludf.DUMMYFUNCTION("""COMPUTED_VALUE"""),"AC")</f>
        <v>AC</v>
      </c>
      <c r="H2450">
        <f>IFERROR(__xludf.DUMMYFUNCTION("""COMPUTED_VALUE"""),44.99)</f>
        <v>44.99</v>
      </c>
      <c r="I2450">
        <f>IFERROR(__xludf.DUMMYFUNCTION("""COMPUTED_VALUE"""),44.99)</f>
        <v>44.99</v>
      </c>
      <c r="BD2450" s="2006"/>
      <c r="LL2450" s="2008"/>
      <c r="LM2450" s="2007"/>
      <c r="MX2450" s="2007"/>
      <c r="ND2450" s="2008"/>
    </row>
    <row r="2451">
      <c r="A2451">
        <f>IFERROR(__xludf.DUMMYFUNCTION("""COMPUTED_VALUE"""),1183403.0)</f>
        <v>1183403</v>
      </c>
      <c r="B2451">
        <f>IFERROR(__xludf.DUMMYFUNCTION("""COMPUTED_VALUE"""),2209520.0)</f>
        <v>2209520</v>
      </c>
      <c r="C2451" t="str">
        <f>IFERROR(__xludf.DUMMYFUNCTION("""COMPUTED_VALUE"""),"Garantie")</f>
        <v>Garantie</v>
      </c>
      <c r="D2451" t="str">
        <f>IFERROR(__xludf.DUMMYFUNCTION("""COMPUTED_VALUE"""),"Client pro +1 an scanner")</f>
        <v>Client pro +1 an scanner</v>
      </c>
      <c r="E2451" t="str">
        <f>IFERROR(__xludf.DUMMYFUNCTION("""COMPUTED_VALUE"""),"BOULANGER")</f>
        <v>BOULANGER</v>
      </c>
      <c r="F2451" t="str">
        <f>IFERROR(__xludf.DUMMYFUNCTION("""COMPUTED_VALUE"""),"B")</f>
        <v>B</v>
      </c>
      <c r="G2451" t="str">
        <f>IFERROR(__xludf.DUMMYFUNCTION("""COMPUTED_VALUE"""),"AC")</f>
        <v>AC</v>
      </c>
      <c r="H2451">
        <f>IFERROR(__xludf.DUMMYFUNCTION("""COMPUTED_VALUE"""),24.99)</f>
        <v>24.99</v>
      </c>
      <c r="I2451">
        <f>IFERROR(__xludf.DUMMYFUNCTION("""COMPUTED_VALUE"""),24.99)</f>
        <v>24.99</v>
      </c>
      <c r="BD2451" s="2006"/>
      <c r="LL2451" s="2008"/>
      <c r="LM2451" s="2007"/>
      <c r="MX2451" s="2008"/>
      <c r="ND2451" s="2008"/>
    </row>
    <row r="2452">
      <c r="A2452">
        <f>IFERROR(__xludf.DUMMYFUNCTION("""COMPUTED_VALUE"""),1183414.0)</f>
        <v>1183414</v>
      </c>
      <c r="B2452">
        <f>IFERROR(__xludf.DUMMYFUNCTION("""COMPUTED_VALUE"""),2209520.0)</f>
        <v>2209520</v>
      </c>
      <c r="C2452" t="str">
        <f>IFERROR(__xludf.DUMMYFUNCTION("""COMPUTED_VALUE"""),"Garantie")</f>
        <v>Garantie</v>
      </c>
      <c r="D2452" t="str">
        <f>IFERROR(__xludf.DUMMYFUNCTION("""COMPUTED_VALUE"""),"Client pro +1 an imprimante 3D&lt;399")</f>
        <v>Client pro +1 an imprimante 3D&lt;399</v>
      </c>
      <c r="E2452" t="str">
        <f>IFERROR(__xludf.DUMMYFUNCTION("""COMPUTED_VALUE"""),"BOULANGER")</f>
        <v>BOULANGER</v>
      </c>
      <c r="F2452" t="str">
        <f>IFERROR(__xludf.DUMMYFUNCTION("""COMPUTED_VALUE"""),"H")</f>
        <v>H</v>
      </c>
      <c r="G2452" t="str">
        <f>IFERROR(__xludf.DUMMYFUNCTION("""COMPUTED_VALUE"""),"AC")</f>
        <v>AC</v>
      </c>
      <c r="H2452">
        <f>IFERROR(__xludf.DUMMYFUNCTION("""COMPUTED_VALUE"""),59.0)</f>
        <v>59</v>
      </c>
      <c r="I2452">
        <f>IFERROR(__xludf.DUMMYFUNCTION("""COMPUTED_VALUE"""),59.0)</f>
        <v>59</v>
      </c>
      <c r="BD2452" s="2006"/>
      <c r="LL2452" s="2008"/>
      <c r="LM2452" s="2007"/>
      <c r="MX2452" s="2008"/>
      <c r="ND2452" s="2008"/>
    </row>
    <row r="2453">
      <c r="A2453">
        <f>IFERROR(__xludf.DUMMYFUNCTION("""COMPUTED_VALUE"""),1183432.0)</f>
        <v>1183432</v>
      </c>
      <c r="B2453">
        <f>IFERROR(__xludf.DUMMYFUNCTION("""COMPUTED_VALUE"""),2209520.0)</f>
        <v>2209520</v>
      </c>
      <c r="C2453" t="str">
        <f>IFERROR(__xludf.DUMMYFUNCTION("""COMPUTED_VALUE"""),"Garantie")</f>
        <v>Garantie</v>
      </c>
      <c r="D2453" t="str">
        <f>IFERROR(__xludf.DUMMYFUNCTION("""COMPUTED_VALUE"""),"Client pro +1 an periphB. O.port")</f>
        <v>Client pro +1 an periphB. O.port</v>
      </c>
      <c r="E2453" t="str">
        <f>IFERROR(__xludf.DUMMYFUNCTION("""COMPUTED_VALUE"""),"BOULANGER")</f>
        <v>BOULANGER</v>
      </c>
      <c r="F2453" t="str">
        <f>IFERROR(__xludf.DUMMYFUNCTION("""COMPUTED_VALUE"""),"B")</f>
        <v>B</v>
      </c>
      <c r="G2453" t="str">
        <f>IFERROR(__xludf.DUMMYFUNCTION("""COMPUTED_VALUE"""),"AC")</f>
        <v>AC</v>
      </c>
      <c r="H2453">
        <f>IFERROR(__xludf.DUMMYFUNCTION("""COMPUTED_VALUE"""),30.0)</f>
        <v>30</v>
      </c>
      <c r="I2453">
        <f>IFERROR(__xludf.DUMMYFUNCTION("""COMPUTED_VALUE"""),30.0)</f>
        <v>30</v>
      </c>
      <c r="BD2453" s="2006"/>
      <c r="LL2453" s="2007"/>
      <c r="LM2453" s="2007"/>
      <c r="MX2453" s="2007"/>
      <c r="ND2453" s="2007"/>
    </row>
    <row r="2454">
      <c r="A2454">
        <f>IFERROR(__xludf.DUMMYFUNCTION("""COMPUTED_VALUE"""),1183918.0)</f>
        <v>1183918</v>
      </c>
      <c r="B2454">
        <f>IFERROR(__xludf.DUMMYFUNCTION("""COMPUTED_VALUE"""),2502010.0)</f>
        <v>2502010</v>
      </c>
      <c r="C2454" t="str">
        <f>IFERROR(__xludf.DUMMYFUNCTION("""COMPUTED_VALUE"""),"Souris")</f>
        <v>Souris</v>
      </c>
      <c r="D2454" t="str">
        <f>IFERROR(__xludf.DUMMYFUNCTION("""COMPUTED_VALUE"""),"300 Noir")</f>
        <v>300 Noir</v>
      </c>
      <c r="E2454" t="str">
        <f>IFERROR(__xludf.DUMMYFUNCTION("""COMPUTED_VALUE"""),"LENOVO")</f>
        <v>LENOVO</v>
      </c>
      <c r="F2454" t="str">
        <f>IFERROR(__xludf.DUMMYFUNCTION("""COMPUTED_VALUE"""),"H")</f>
        <v>H</v>
      </c>
      <c r="G2454" t="str">
        <f>IFERROR(__xludf.DUMMYFUNCTION("""COMPUTED_VALUE"""),"FR")</f>
        <v>FR</v>
      </c>
      <c r="H2454">
        <f>IFERROR(__xludf.DUMMYFUNCTION("""COMPUTED_VALUE"""),14.99)</f>
        <v>14.99</v>
      </c>
      <c r="I2454">
        <f>IFERROR(__xludf.DUMMYFUNCTION("""COMPUTED_VALUE"""),14.99)</f>
        <v>14.99</v>
      </c>
      <c r="BD2454" s="2006"/>
      <c r="LL2454" s="2007"/>
      <c r="LM2454" s="2007"/>
      <c r="MX2454" s="2007"/>
      <c r="ND2454" s="2008"/>
    </row>
    <row r="2455">
      <c r="A2455">
        <f>IFERROR(__xludf.DUMMYFUNCTION("""COMPUTED_VALUE"""),1183949.0)</f>
        <v>1183949</v>
      </c>
      <c r="B2455">
        <f>IFERROR(__xludf.DUMMYFUNCTION("""COMPUTED_VALUE"""),1103010.0)</f>
        <v>1103010</v>
      </c>
      <c r="C2455" t="str">
        <f>IFERROR(__xludf.DUMMYFUNCTION("""COMPUTED_VALUE"""),"Tél.")</f>
        <v>Tél.</v>
      </c>
      <c r="D2455" t="str">
        <f>IFERROR(__xludf.DUMMYFUNCTION("""COMPUTED_VALUE"""),"E720A Noir")</f>
        <v>E720A Noir</v>
      </c>
      <c r="E2455" t="str">
        <f>IFERROR(__xludf.DUMMYFUNCTION("""COMPUTED_VALUE"""),"GIGASET")</f>
        <v>GIGASET</v>
      </c>
      <c r="F2455" t="str">
        <f>IFERROR(__xludf.DUMMYFUNCTION("""COMPUTED_VALUE"""),"W")</f>
        <v>W</v>
      </c>
      <c r="G2455" t="str">
        <f>IFERROR(__xludf.DUMMYFUNCTION("""COMPUTED_VALUE"""),"NN")</f>
        <v>NN</v>
      </c>
      <c r="H2455">
        <f>IFERROR(__xludf.DUMMYFUNCTION("""COMPUTED_VALUE"""),129.99)</f>
        <v>129.99</v>
      </c>
      <c r="I2455">
        <f>IFERROR(__xludf.DUMMYFUNCTION("""COMPUTED_VALUE"""),129.99)</f>
        <v>129.99</v>
      </c>
      <c r="BD2455" s="2006"/>
      <c r="LL2455" s="2008"/>
      <c r="LM2455" s="2007"/>
      <c r="MX2455" s="2007"/>
      <c r="ND2455" s="2008"/>
    </row>
    <row r="2456">
      <c r="A2456">
        <f>IFERROR(__xludf.DUMMYFUNCTION("""COMPUTED_VALUE"""),1184375.0)</f>
        <v>1184375</v>
      </c>
      <c r="B2456">
        <f>IFERROR(__xludf.DUMMYFUNCTION("""COMPUTED_VALUE"""),2403005.0)</f>
        <v>2403005</v>
      </c>
      <c r="C2456" t="str">
        <f>IFERROR(__xludf.DUMMYFUNCTION("""COMPUTED_VALUE"""),"Cartouche")</f>
        <v>Cartouche</v>
      </c>
      <c r="D2456" t="str">
        <f>IFERROR(__xludf.DUMMYFUNCTION("""COMPUTED_VALUE"""),"604XL CMYN Serie Ananas")</f>
        <v>604XL CMYN Serie Ananas</v>
      </c>
      <c r="E2456" t="str">
        <f>IFERROR(__xludf.DUMMYFUNCTION("""COMPUTED_VALUE"""),"EPSON")</f>
        <v>EPSON</v>
      </c>
      <c r="F2456" t="str">
        <f>IFERROR(__xludf.DUMMYFUNCTION("""COMPUTED_VALUE"""),"B")</f>
        <v>B</v>
      </c>
      <c r="G2456" t="str">
        <f>IFERROR(__xludf.DUMMYFUNCTION("""COMPUTED_VALUE"""),"AC")</f>
        <v>AC</v>
      </c>
      <c r="H2456">
        <f>IFERROR(__xludf.DUMMYFUNCTION("""COMPUTED_VALUE"""),92.0)</f>
        <v>92</v>
      </c>
      <c r="I2456">
        <f>IFERROR(__xludf.DUMMYFUNCTION("""COMPUTED_VALUE"""),92.0)</f>
        <v>92</v>
      </c>
      <c r="BD2456" s="2006"/>
      <c r="LL2456" s="2008"/>
      <c r="LM2456" s="2007"/>
      <c r="MX2456" s="2007"/>
      <c r="ND2456" s="2008"/>
    </row>
    <row r="2457">
      <c r="A2457">
        <f>IFERROR(__xludf.DUMMYFUNCTION("""COMPUTED_VALUE"""),1184376.0)</f>
        <v>1184376</v>
      </c>
      <c r="B2457">
        <f>IFERROR(__xludf.DUMMYFUNCTION("""COMPUTED_VALUE"""),2403005.0)</f>
        <v>2403005</v>
      </c>
      <c r="C2457" t="str">
        <f>IFERROR(__xludf.DUMMYFUNCTION("""COMPUTED_VALUE"""),"Cartouche")</f>
        <v>Cartouche</v>
      </c>
      <c r="D2457" t="str">
        <f>IFERROR(__xludf.DUMMYFUNCTION("""COMPUTED_VALUE"""),"604XL Serie Ananas Noir")</f>
        <v>604XL Serie Ananas Noir</v>
      </c>
      <c r="E2457" t="str">
        <f>IFERROR(__xludf.DUMMYFUNCTION("""COMPUTED_VALUE"""),"EPSON")</f>
        <v>EPSON</v>
      </c>
      <c r="F2457" t="str">
        <f>IFERROR(__xludf.DUMMYFUNCTION("""COMPUTED_VALUE"""),"B")</f>
        <v>B</v>
      </c>
      <c r="G2457" t="str">
        <f>IFERROR(__xludf.DUMMYFUNCTION("""COMPUTED_VALUE"""),"AC")</f>
        <v>AC</v>
      </c>
      <c r="H2457">
        <f>IFERROR(__xludf.DUMMYFUNCTION("""COMPUTED_VALUE"""),34.99)</f>
        <v>34.99</v>
      </c>
      <c r="I2457">
        <f>IFERROR(__xludf.DUMMYFUNCTION("""COMPUTED_VALUE"""),34.99)</f>
        <v>34.99</v>
      </c>
      <c r="BD2457" s="2006"/>
      <c r="LL2457" s="2008"/>
      <c r="LM2457" s="2007"/>
      <c r="MX2457" s="2007"/>
      <c r="ND2457" s="2008"/>
    </row>
    <row r="2458">
      <c r="A2458">
        <f>IFERROR(__xludf.DUMMYFUNCTION("""COMPUTED_VALUE"""),1184377.0)</f>
        <v>1184377</v>
      </c>
      <c r="B2458">
        <f>IFERROR(__xludf.DUMMYFUNCTION("""COMPUTED_VALUE"""),2403005.0)</f>
        <v>2403005</v>
      </c>
      <c r="C2458" t="str">
        <f>IFERROR(__xludf.DUMMYFUNCTION("""COMPUTED_VALUE"""),"Cartouche")</f>
        <v>Cartouche</v>
      </c>
      <c r="D2458" t="str">
        <f>IFERROR(__xludf.DUMMYFUNCTION("""COMPUTED_VALUE"""),"604 Serie Ananas Noir")</f>
        <v>604 Serie Ananas Noir</v>
      </c>
      <c r="E2458" t="str">
        <f>IFERROR(__xludf.DUMMYFUNCTION("""COMPUTED_VALUE"""),"EPSON")</f>
        <v>EPSON</v>
      </c>
      <c r="F2458" t="str">
        <f>IFERROR(__xludf.DUMMYFUNCTION("""COMPUTED_VALUE"""),"A")</f>
        <v>A</v>
      </c>
      <c r="G2458" t="str">
        <f>IFERROR(__xludf.DUMMYFUNCTION("""COMPUTED_VALUE"""),"AC")</f>
        <v>AC</v>
      </c>
      <c r="H2458">
        <f>IFERROR(__xludf.DUMMYFUNCTION("""COMPUTED_VALUE"""),16.99)</f>
        <v>16.99</v>
      </c>
      <c r="I2458">
        <f>IFERROR(__xludf.DUMMYFUNCTION("""COMPUTED_VALUE"""),16.99)</f>
        <v>16.99</v>
      </c>
      <c r="BD2458" s="2006"/>
      <c r="LL2458" s="2008"/>
      <c r="LM2458" s="2007"/>
      <c r="MX2458" s="2007"/>
      <c r="ND2458" s="2008"/>
    </row>
    <row r="2459">
      <c r="A2459">
        <f>IFERROR(__xludf.DUMMYFUNCTION("""COMPUTED_VALUE"""),1184378.0)</f>
        <v>1184378</v>
      </c>
      <c r="B2459">
        <f>IFERROR(__xludf.DUMMYFUNCTION("""COMPUTED_VALUE"""),2403005.0)</f>
        <v>2403005</v>
      </c>
      <c r="C2459" t="str">
        <f>IFERROR(__xludf.DUMMYFUNCTION("""COMPUTED_VALUE"""),"Cartouche")</f>
        <v>Cartouche</v>
      </c>
      <c r="D2459" t="str">
        <f>IFERROR(__xludf.DUMMYFUNCTION("""COMPUTED_VALUE"""),"503XL Serie Piment Cyan")</f>
        <v>503XL Serie Piment Cyan</v>
      </c>
      <c r="E2459" t="str">
        <f>IFERROR(__xludf.DUMMYFUNCTION("""COMPUTED_VALUE"""),"EPSON")</f>
        <v>EPSON</v>
      </c>
      <c r="F2459" t="str">
        <f>IFERROR(__xludf.DUMMYFUNCTION("""COMPUTED_VALUE"""),"H")</f>
        <v>H</v>
      </c>
      <c r="G2459" t="str">
        <f>IFERROR(__xludf.DUMMYFUNCTION("""COMPUTED_VALUE"""),"FR")</f>
        <v>FR</v>
      </c>
      <c r="H2459">
        <f>IFERROR(__xludf.DUMMYFUNCTION("""COMPUTED_VALUE"""),19.99)</f>
        <v>19.99</v>
      </c>
      <c r="I2459">
        <f>IFERROR(__xludf.DUMMYFUNCTION("""COMPUTED_VALUE"""),19.99)</f>
        <v>19.99</v>
      </c>
      <c r="BD2459" s="2006"/>
      <c r="LL2459" s="2008"/>
      <c r="LM2459" s="2007"/>
      <c r="MX2459" s="2007"/>
      <c r="ND2459" s="2008"/>
    </row>
    <row r="2460">
      <c r="A2460">
        <f>IFERROR(__xludf.DUMMYFUNCTION("""COMPUTED_VALUE"""),1184379.0)</f>
        <v>1184379</v>
      </c>
      <c r="B2460">
        <f>IFERROR(__xludf.DUMMYFUNCTION("""COMPUTED_VALUE"""),2403005.0)</f>
        <v>2403005</v>
      </c>
      <c r="C2460" t="str">
        <f>IFERROR(__xludf.DUMMYFUNCTION("""COMPUTED_VALUE"""),"Cartouche")</f>
        <v>Cartouche</v>
      </c>
      <c r="D2460" t="str">
        <f>IFERROR(__xludf.DUMMYFUNCTION("""COMPUTED_VALUE"""),"503 Serie Piment Cyan")</f>
        <v>503 Serie Piment Cyan</v>
      </c>
      <c r="E2460" t="str">
        <f>IFERROR(__xludf.DUMMYFUNCTION("""COMPUTED_VALUE"""),"EPSON")</f>
        <v>EPSON</v>
      </c>
      <c r="F2460" t="str">
        <f>IFERROR(__xludf.DUMMYFUNCTION("""COMPUTED_VALUE"""),"H")</f>
        <v>H</v>
      </c>
      <c r="G2460" t="str">
        <f>IFERROR(__xludf.DUMMYFUNCTION("""COMPUTED_VALUE"""),"AC")</f>
        <v>AC</v>
      </c>
      <c r="H2460">
        <f>IFERROR(__xludf.DUMMYFUNCTION("""COMPUTED_VALUE"""),10.99)</f>
        <v>10.99</v>
      </c>
      <c r="I2460">
        <f>IFERROR(__xludf.DUMMYFUNCTION("""COMPUTED_VALUE"""),10.99)</f>
        <v>10.99</v>
      </c>
      <c r="BD2460" s="2006"/>
      <c r="LL2460" s="2008"/>
      <c r="LM2460" s="2007"/>
      <c r="MX2460" s="2007"/>
      <c r="ND2460" s="2008"/>
    </row>
    <row r="2461">
      <c r="A2461">
        <f>IFERROR(__xludf.DUMMYFUNCTION("""COMPUTED_VALUE"""),1184381.0)</f>
        <v>1184381</v>
      </c>
      <c r="B2461">
        <f>IFERROR(__xludf.DUMMYFUNCTION("""COMPUTED_VALUE"""),2209805.0)</f>
        <v>2209805</v>
      </c>
      <c r="C2461" t="str">
        <f>IFERROR(__xludf.DUMMYFUNCTION("""COMPUTED_VALUE"""),"Lot")</f>
        <v>Lot</v>
      </c>
      <c r="D2461" t="str">
        <f>IFERROR(__xludf.DUMMYFUNCTION("""COMPUTED_VALUE"""),"Envy Inspire 6032e  + Carte Instant Ink")</f>
        <v>Envy Inspire 6032e  + Carte Instant Ink</v>
      </c>
      <c r="E2461" t="str">
        <f>IFERROR(__xludf.DUMMYFUNCTION("""COMPUTED_VALUE"""),"HP")</f>
        <v>HP</v>
      </c>
      <c r="F2461" t="str">
        <f>IFERROR(__xludf.DUMMYFUNCTION("""COMPUTED_VALUE"""),"H")</f>
        <v>H</v>
      </c>
      <c r="G2461" t="str">
        <f>IFERROR(__xludf.DUMMYFUNCTION("""COMPUTED_VALUE"""),"AC")</f>
        <v>AC</v>
      </c>
      <c r="H2461">
        <f>IFERROR(__xludf.DUMMYFUNCTION("""COMPUTED_VALUE"""),65.05)</f>
        <v>65.05</v>
      </c>
      <c r="I2461">
        <f>IFERROR(__xludf.DUMMYFUNCTION("""COMPUTED_VALUE"""),65.05)</f>
        <v>65.05</v>
      </c>
      <c r="BD2461" s="2006"/>
      <c r="LL2461" s="2007"/>
      <c r="LM2461" s="2007"/>
      <c r="MX2461" s="2007"/>
      <c r="ND2461" s="2007"/>
    </row>
    <row r="2462">
      <c r="A2462">
        <f>IFERROR(__xludf.DUMMYFUNCTION("""COMPUTED_VALUE"""),1184382.0)</f>
        <v>1184382</v>
      </c>
      <c r="B2462">
        <f>IFERROR(__xludf.DUMMYFUNCTION("""COMPUTED_VALUE"""),2209805.0)</f>
        <v>2209805</v>
      </c>
      <c r="C2462" t="str">
        <f>IFERROR(__xludf.DUMMYFUNCTION("""COMPUTED_VALUE"""),"Lot")</f>
        <v>Lot</v>
      </c>
      <c r="D2462" t="str">
        <f>IFERROR(__xludf.DUMMYFUNCTION("""COMPUTED_VALUE"""),"Envy Inspire 6432e  + Carte Instant Ink")</f>
        <v>Envy Inspire 6432e  + Carte Instant Ink</v>
      </c>
      <c r="E2462" t="str">
        <f>IFERROR(__xludf.DUMMYFUNCTION("""COMPUTED_VALUE"""),"HP")</f>
        <v>HP</v>
      </c>
      <c r="F2462" t="str">
        <f>IFERROR(__xludf.DUMMYFUNCTION("""COMPUTED_VALUE"""),"H")</f>
        <v>H</v>
      </c>
      <c r="G2462" t="str">
        <f>IFERROR(__xludf.DUMMYFUNCTION("""COMPUTED_VALUE"""),"AC")</f>
        <v>AC</v>
      </c>
      <c r="H2462">
        <f>IFERROR(__xludf.DUMMYFUNCTION("""COMPUTED_VALUE"""),104.09)</f>
        <v>104.09</v>
      </c>
      <c r="I2462">
        <f>IFERROR(__xludf.DUMMYFUNCTION("""COMPUTED_VALUE"""),104.09)</f>
        <v>104.09</v>
      </c>
      <c r="BD2462" s="2006"/>
      <c r="LL2462" s="2007"/>
      <c r="LM2462" s="2007"/>
      <c r="MX2462" s="2007"/>
      <c r="ND2462" s="2008"/>
    </row>
    <row r="2463">
      <c r="A2463">
        <f>IFERROR(__xludf.DUMMYFUNCTION("""COMPUTED_VALUE"""),1184385.0)</f>
        <v>1184385</v>
      </c>
      <c r="B2463">
        <f>IFERROR(__xludf.DUMMYFUNCTION("""COMPUTED_VALUE"""),2403005.0)</f>
        <v>2403005</v>
      </c>
      <c r="C2463" t="str">
        <f>IFERROR(__xludf.DUMMYFUNCTION("""COMPUTED_VALUE"""),"Cartouche")</f>
        <v>Cartouche</v>
      </c>
      <c r="D2463" t="str">
        <f>IFERROR(__xludf.DUMMYFUNCTION("""COMPUTED_VALUE"""),"604XL Serie Ananas Cyan")</f>
        <v>604XL Serie Ananas Cyan</v>
      </c>
      <c r="E2463" t="str">
        <f>IFERROR(__xludf.DUMMYFUNCTION("""COMPUTED_VALUE"""),"EPSON")</f>
        <v>EPSON</v>
      </c>
      <c r="F2463" t="str">
        <f>IFERROR(__xludf.DUMMYFUNCTION("""COMPUTED_VALUE"""),"B")</f>
        <v>B</v>
      </c>
      <c r="G2463" t="str">
        <f>IFERROR(__xludf.DUMMYFUNCTION("""COMPUTED_VALUE"""),"AC")</f>
        <v>AC</v>
      </c>
      <c r="H2463">
        <f>IFERROR(__xludf.DUMMYFUNCTION("""COMPUTED_VALUE"""),19.99)</f>
        <v>19.99</v>
      </c>
      <c r="I2463">
        <f>IFERROR(__xludf.DUMMYFUNCTION("""COMPUTED_VALUE"""),19.99)</f>
        <v>19.99</v>
      </c>
      <c r="BD2463" s="2006"/>
      <c r="LL2463" s="2007"/>
      <c r="LM2463" s="2007"/>
      <c r="MX2463" s="2007"/>
      <c r="ND2463" s="2007"/>
    </row>
    <row r="2464">
      <c r="A2464">
        <f>IFERROR(__xludf.DUMMYFUNCTION("""COMPUTED_VALUE"""),1184386.0)</f>
        <v>1184386</v>
      </c>
      <c r="B2464">
        <f>IFERROR(__xludf.DUMMYFUNCTION("""COMPUTED_VALUE"""),2403005.0)</f>
        <v>2403005</v>
      </c>
      <c r="C2464" t="str">
        <f>IFERROR(__xludf.DUMMYFUNCTION("""COMPUTED_VALUE"""),"Cartouche")</f>
        <v>Cartouche</v>
      </c>
      <c r="D2464" t="str">
        <f>IFERROR(__xludf.DUMMYFUNCTION("""COMPUTED_VALUE"""),"604 Serie Ananas Cyan")</f>
        <v>604 Serie Ananas Cyan</v>
      </c>
      <c r="E2464" t="str">
        <f>IFERROR(__xludf.DUMMYFUNCTION("""COMPUTED_VALUE"""),"EPSON")</f>
        <v>EPSON</v>
      </c>
      <c r="F2464" t="str">
        <f>IFERROR(__xludf.DUMMYFUNCTION("""COMPUTED_VALUE"""),"E")</f>
        <v>E</v>
      </c>
      <c r="G2464" t="str">
        <f>IFERROR(__xludf.DUMMYFUNCTION("""COMPUTED_VALUE"""),"NN")</f>
        <v>NN</v>
      </c>
      <c r="H2464">
        <f>IFERROR(__xludf.DUMMYFUNCTION("""COMPUTED_VALUE"""),9.99)</f>
        <v>9.99</v>
      </c>
      <c r="I2464">
        <f>IFERROR(__xludf.DUMMYFUNCTION("""COMPUTED_VALUE"""),9.99)</f>
        <v>9.99</v>
      </c>
      <c r="BD2464" s="2006"/>
      <c r="LL2464" s="2007"/>
      <c r="LM2464" s="2007"/>
      <c r="MX2464" s="2007"/>
      <c r="ND2464" s="2008"/>
    </row>
    <row r="2465">
      <c r="A2465">
        <f>IFERROR(__xludf.DUMMYFUNCTION("""COMPUTED_VALUE"""),1184387.0)</f>
        <v>1184387</v>
      </c>
      <c r="B2465">
        <f>IFERROR(__xludf.DUMMYFUNCTION("""COMPUTED_VALUE"""),2403005.0)</f>
        <v>2403005</v>
      </c>
      <c r="C2465" t="str">
        <f>IFERROR(__xludf.DUMMYFUNCTION("""COMPUTED_VALUE"""),"Cartouche")</f>
        <v>Cartouche</v>
      </c>
      <c r="D2465" t="str">
        <f>IFERROR(__xludf.DUMMYFUNCTION("""COMPUTED_VALUE"""),"503XL Serie Piment Magenta")</f>
        <v>503XL Serie Piment Magenta</v>
      </c>
      <c r="E2465" t="str">
        <f>IFERROR(__xludf.DUMMYFUNCTION("""COMPUTED_VALUE"""),"EPSON")</f>
        <v>EPSON</v>
      </c>
      <c r="F2465" t="str">
        <f>IFERROR(__xludf.DUMMYFUNCTION("""COMPUTED_VALUE"""),"H")</f>
        <v>H</v>
      </c>
      <c r="G2465" t="str">
        <f>IFERROR(__xludf.DUMMYFUNCTION("""COMPUTED_VALUE"""),"FR")</f>
        <v>FR</v>
      </c>
      <c r="H2465">
        <f>IFERROR(__xludf.DUMMYFUNCTION("""COMPUTED_VALUE"""),19.99)</f>
        <v>19.99</v>
      </c>
      <c r="I2465">
        <f>IFERROR(__xludf.DUMMYFUNCTION("""COMPUTED_VALUE"""),19.99)</f>
        <v>19.99</v>
      </c>
      <c r="BD2465" s="2006"/>
      <c r="LL2465" s="2007"/>
      <c r="LM2465" s="2007"/>
      <c r="MX2465" s="2007"/>
      <c r="ND2465" s="2008"/>
    </row>
    <row r="2466">
      <c r="A2466">
        <f>IFERROR(__xludf.DUMMYFUNCTION("""COMPUTED_VALUE"""),1184388.0)</f>
        <v>1184388</v>
      </c>
      <c r="B2466">
        <f>IFERROR(__xludf.DUMMYFUNCTION("""COMPUTED_VALUE"""),2403005.0)</f>
        <v>2403005</v>
      </c>
      <c r="C2466" t="str">
        <f>IFERROR(__xludf.DUMMYFUNCTION("""COMPUTED_VALUE"""),"Cartouche")</f>
        <v>Cartouche</v>
      </c>
      <c r="D2466" t="str">
        <f>IFERROR(__xludf.DUMMYFUNCTION("""COMPUTED_VALUE"""),"503 Serie Piment Magenta")</f>
        <v>503 Serie Piment Magenta</v>
      </c>
      <c r="E2466" t="str">
        <f>IFERROR(__xludf.DUMMYFUNCTION("""COMPUTED_VALUE"""),"EPSON")</f>
        <v>EPSON</v>
      </c>
      <c r="F2466" t="str">
        <f>IFERROR(__xludf.DUMMYFUNCTION("""COMPUTED_VALUE"""),"H")</f>
        <v>H</v>
      </c>
      <c r="G2466" t="str">
        <f>IFERROR(__xludf.DUMMYFUNCTION("""COMPUTED_VALUE"""),"AC")</f>
        <v>AC</v>
      </c>
      <c r="H2466">
        <f>IFERROR(__xludf.DUMMYFUNCTION("""COMPUTED_VALUE"""),10.99)</f>
        <v>10.99</v>
      </c>
      <c r="I2466">
        <f>IFERROR(__xludf.DUMMYFUNCTION("""COMPUTED_VALUE"""),10.99)</f>
        <v>10.99</v>
      </c>
      <c r="BD2466" s="2006"/>
      <c r="LL2466" s="2007"/>
      <c r="LM2466" s="2007"/>
      <c r="MX2466" s="2007"/>
      <c r="ND2466" s="2008"/>
    </row>
    <row r="2467">
      <c r="A2467">
        <f>IFERROR(__xludf.DUMMYFUNCTION("""COMPUTED_VALUE"""),1184404.0)</f>
        <v>1184404</v>
      </c>
      <c r="B2467">
        <f>IFERROR(__xludf.DUMMYFUNCTION("""COMPUTED_VALUE"""),2403005.0)</f>
        <v>2403005</v>
      </c>
      <c r="C2467" t="str">
        <f>IFERROR(__xludf.DUMMYFUNCTION("""COMPUTED_VALUE"""),"Cartouche")</f>
        <v>Cartouche</v>
      </c>
      <c r="D2467" t="str">
        <f>IFERROR(__xludf.DUMMYFUNCTION("""COMPUTED_VALUE"""),"604XL Serie Ananas Jaune")</f>
        <v>604XL Serie Ananas Jaune</v>
      </c>
      <c r="E2467" t="str">
        <f>IFERROR(__xludf.DUMMYFUNCTION("""COMPUTED_VALUE"""),"EPSON")</f>
        <v>EPSON</v>
      </c>
      <c r="F2467" t="str">
        <f>IFERROR(__xludf.DUMMYFUNCTION("""COMPUTED_VALUE"""),"B")</f>
        <v>B</v>
      </c>
      <c r="G2467" t="str">
        <f>IFERROR(__xludf.DUMMYFUNCTION("""COMPUTED_VALUE"""),"AC")</f>
        <v>AC</v>
      </c>
      <c r="H2467">
        <f>IFERROR(__xludf.DUMMYFUNCTION("""COMPUTED_VALUE"""),19.99)</f>
        <v>19.99</v>
      </c>
      <c r="I2467">
        <f>IFERROR(__xludf.DUMMYFUNCTION("""COMPUTED_VALUE"""),19.99)</f>
        <v>19.99</v>
      </c>
      <c r="BD2467" s="2006"/>
      <c r="LL2467" s="2008"/>
      <c r="LM2467" s="2007"/>
      <c r="MX2467" s="2007"/>
      <c r="ND2467" s="2008"/>
    </row>
    <row r="2468">
      <c r="A2468">
        <f>IFERROR(__xludf.DUMMYFUNCTION("""COMPUTED_VALUE"""),1184405.0)</f>
        <v>1184405</v>
      </c>
      <c r="B2468">
        <f>IFERROR(__xludf.DUMMYFUNCTION("""COMPUTED_VALUE"""),2403005.0)</f>
        <v>2403005</v>
      </c>
      <c r="C2468" t="str">
        <f>IFERROR(__xludf.DUMMYFUNCTION("""COMPUTED_VALUE"""),"Cartouche")</f>
        <v>Cartouche</v>
      </c>
      <c r="D2468" t="str">
        <f>IFERROR(__xludf.DUMMYFUNCTION("""COMPUTED_VALUE"""),"604 Serie Ananas Jaune")</f>
        <v>604 Serie Ananas Jaune</v>
      </c>
      <c r="E2468" t="str">
        <f>IFERROR(__xludf.DUMMYFUNCTION("""COMPUTED_VALUE"""),"EPSON")</f>
        <v>EPSON</v>
      </c>
      <c r="F2468" t="str">
        <f>IFERROR(__xludf.DUMMYFUNCTION("""COMPUTED_VALUE"""),"B")</f>
        <v>B</v>
      </c>
      <c r="G2468" t="str">
        <f>IFERROR(__xludf.DUMMYFUNCTION("""COMPUTED_VALUE"""),"AC")</f>
        <v>AC</v>
      </c>
      <c r="H2468">
        <f>IFERROR(__xludf.DUMMYFUNCTION("""COMPUTED_VALUE"""),9.99)</f>
        <v>9.99</v>
      </c>
      <c r="I2468">
        <f>IFERROR(__xludf.DUMMYFUNCTION("""COMPUTED_VALUE"""),9.99)</f>
        <v>9.99</v>
      </c>
      <c r="BD2468" s="2006"/>
      <c r="LL2468" s="2007"/>
      <c r="LM2468" s="2007"/>
      <c r="MX2468" s="2007"/>
      <c r="ND2468" s="2007"/>
    </row>
    <row r="2469">
      <c r="A2469">
        <f>IFERROR(__xludf.DUMMYFUNCTION("""COMPUTED_VALUE"""),1184406.0)</f>
        <v>1184406</v>
      </c>
      <c r="B2469">
        <f>IFERROR(__xludf.DUMMYFUNCTION("""COMPUTED_VALUE"""),2403005.0)</f>
        <v>2403005</v>
      </c>
      <c r="C2469" t="str">
        <f>IFERROR(__xludf.DUMMYFUNCTION("""COMPUTED_VALUE"""),"Cartouche")</f>
        <v>Cartouche</v>
      </c>
      <c r="D2469" t="str">
        <f>IFERROR(__xludf.DUMMYFUNCTION("""COMPUTED_VALUE"""),"503XL CMYN Serie Piment")</f>
        <v>503XL CMYN Serie Piment</v>
      </c>
      <c r="E2469" t="str">
        <f>IFERROR(__xludf.DUMMYFUNCTION("""COMPUTED_VALUE"""),"EPSON")</f>
        <v>EPSON</v>
      </c>
      <c r="F2469" t="str">
        <f>IFERROR(__xludf.DUMMYFUNCTION("""COMPUTED_VALUE"""),"H")</f>
        <v>H</v>
      </c>
      <c r="G2469" t="str">
        <f>IFERROR(__xludf.DUMMYFUNCTION("""COMPUTED_VALUE"""),"AC")</f>
        <v>AC</v>
      </c>
      <c r="H2469">
        <f>IFERROR(__xludf.DUMMYFUNCTION("""COMPUTED_VALUE"""),98.99)</f>
        <v>98.99</v>
      </c>
      <c r="I2469">
        <f>IFERROR(__xludf.DUMMYFUNCTION("""COMPUTED_VALUE"""),98.99)</f>
        <v>98.99</v>
      </c>
      <c r="BD2469" s="2006"/>
      <c r="LL2469" s="2008"/>
      <c r="LM2469" s="2007"/>
      <c r="MX2469" s="2007"/>
      <c r="ND2469" s="2008"/>
    </row>
    <row r="2470">
      <c r="A2470">
        <f>IFERROR(__xludf.DUMMYFUNCTION("""COMPUTED_VALUE"""),1184407.0)</f>
        <v>1184407</v>
      </c>
      <c r="B2470">
        <f>IFERROR(__xludf.DUMMYFUNCTION("""COMPUTED_VALUE"""),2403005.0)</f>
        <v>2403005</v>
      </c>
      <c r="C2470" t="str">
        <f>IFERROR(__xludf.DUMMYFUNCTION("""COMPUTED_VALUE"""),"Cartouche")</f>
        <v>Cartouche</v>
      </c>
      <c r="D2470" t="str">
        <f>IFERROR(__xludf.DUMMYFUNCTION("""COMPUTED_VALUE"""),"503 CMYN Serie Piment")</f>
        <v>503 CMYN Serie Piment</v>
      </c>
      <c r="E2470" t="str">
        <f>IFERROR(__xludf.DUMMYFUNCTION("""COMPUTED_VALUE"""),"EPSON")</f>
        <v>EPSON</v>
      </c>
      <c r="F2470" t="str">
        <f>IFERROR(__xludf.DUMMYFUNCTION("""COMPUTED_VALUE"""),"D")</f>
        <v>D</v>
      </c>
      <c r="G2470" t="str">
        <f>IFERROR(__xludf.DUMMYFUNCTION("""COMPUTED_VALUE"""),"AC")</f>
        <v>AC</v>
      </c>
      <c r="H2470">
        <f>IFERROR(__xludf.DUMMYFUNCTION("""COMPUTED_VALUE"""),53.0)</f>
        <v>53</v>
      </c>
      <c r="I2470">
        <f>IFERROR(__xludf.DUMMYFUNCTION("""COMPUTED_VALUE"""),53.0)</f>
        <v>53</v>
      </c>
      <c r="BD2470" s="2006"/>
      <c r="LL2470" s="2008"/>
      <c r="LM2470" s="2007"/>
      <c r="MX2470" s="2007"/>
      <c r="ND2470" s="2008"/>
    </row>
    <row r="2471">
      <c r="A2471">
        <f>IFERROR(__xludf.DUMMYFUNCTION("""COMPUTED_VALUE"""),1184411.0)</f>
        <v>1184411</v>
      </c>
      <c r="B2471">
        <f>IFERROR(__xludf.DUMMYFUNCTION("""COMPUTED_VALUE"""),2403005.0)</f>
        <v>2403005</v>
      </c>
      <c r="C2471" t="str">
        <f>IFERROR(__xludf.DUMMYFUNCTION("""COMPUTED_VALUE"""),"Cartouche")</f>
        <v>Cartouche</v>
      </c>
      <c r="D2471" t="str">
        <f>IFERROR(__xludf.DUMMYFUNCTION("""COMPUTED_VALUE"""),"604 XLBk /STD Couleur Serie Ananas")</f>
        <v>604 XLBk /STD Couleur Serie Ananas</v>
      </c>
      <c r="E2471" t="str">
        <f>IFERROR(__xludf.DUMMYFUNCTION("""COMPUTED_VALUE"""),"EPSON")</f>
        <v>EPSON</v>
      </c>
      <c r="F2471" t="str">
        <f>IFERROR(__xludf.DUMMYFUNCTION("""COMPUTED_VALUE"""),"H")</f>
        <v>H</v>
      </c>
      <c r="G2471" t="str">
        <f>IFERROR(__xludf.DUMMYFUNCTION("""COMPUTED_VALUE"""),"AC")</f>
        <v>AC</v>
      </c>
      <c r="H2471">
        <f>IFERROR(__xludf.DUMMYFUNCTION("""COMPUTED_VALUE"""),57.99)</f>
        <v>57.99</v>
      </c>
      <c r="I2471">
        <f>IFERROR(__xludf.DUMMYFUNCTION("""COMPUTED_VALUE"""),57.99)</f>
        <v>57.99</v>
      </c>
      <c r="BD2471" s="2006"/>
      <c r="LL2471" s="2007"/>
      <c r="LM2471" s="2007"/>
      <c r="MX2471" s="2007"/>
      <c r="ND2471" s="2007"/>
    </row>
    <row r="2472">
      <c r="A2472">
        <f>IFERROR(__xludf.DUMMYFUNCTION("""COMPUTED_VALUE"""),1184412.0)</f>
        <v>1184412</v>
      </c>
      <c r="B2472">
        <f>IFERROR(__xludf.DUMMYFUNCTION("""COMPUTED_VALUE"""),2403005.0)</f>
        <v>2403005</v>
      </c>
      <c r="C2472" t="str">
        <f>IFERROR(__xludf.DUMMYFUNCTION("""COMPUTED_VALUE"""),"Pack")</f>
        <v>Pack</v>
      </c>
      <c r="D2472" t="str">
        <f>IFERROR(__xludf.DUMMYFUNCTION("""COMPUTED_VALUE"""),"604 Serie Ananas (CMJ N)")</f>
        <v>604 Serie Ananas (CMJ N)</v>
      </c>
      <c r="E2472" t="str">
        <f>IFERROR(__xludf.DUMMYFUNCTION("""COMPUTED_VALUE"""),"EPSON")</f>
        <v>EPSON</v>
      </c>
      <c r="F2472" t="str">
        <f>IFERROR(__xludf.DUMMYFUNCTION("""COMPUTED_VALUE"""),"A")</f>
        <v>A</v>
      </c>
      <c r="G2472" t="str">
        <f>IFERROR(__xludf.DUMMYFUNCTION("""COMPUTED_VALUE"""),"AC")</f>
        <v>AC</v>
      </c>
      <c r="H2472">
        <f>IFERROR(__xludf.DUMMYFUNCTION("""COMPUTED_VALUE"""),44.0)</f>
        <v>44</v>
      </c>
      <c r="I2472">
        <f>IFERROR(__xludf.DUMMYFUNCTION("""COMPUTED_VALUE"""),44.0)</f>
        <v>44</v>
      </c>
      <c r="BD2472" s="2006"/>
      <c r="LL2472" s="2007"/>
      <c r="LM2472" s="2007"/>
      <c r="MX2472" s="2007"/>
      <c r="ND2472" s="2007"/>
    </row>
    <row r="2473">
      <c r="A2473" s="2005">
        <f>IFERROR(__xludf.DUMMYFUNCTION("""COMPUTED_VALUE"""),1184413.0)</f>
        <v>1184413</v>
      </c>
      <c r="B2473" s="2005">
        <f>IFERROR(__xludf.DUMMYFUNCTION("""COMPUTED_VALUE"""),2403005.0)</f>
        <v>2403005</v>
      </c>
      <c r="C2473" s="2005" t="str">
        <f>IFERROR(__xludf.DUMMYFUNCTION("""COMPUTED_VALUE"""),"Cartouche")</f>
        <v>Cartouche</v>
      </c>
      <c r="D2473" s="2005" t="str">
        <f>IFERROR(__xludf.DUMMYFUNCTION("""COMPUTED_VALUE"""),"503  XLBk / STD Couleur Serie Pimen")</f>
        <v>503  XLBk / STD Couleur Serie Pimen</v>
      </c>
      <c r="E2473" s="2005" t="str">
        <f>IFERROR(__xludf.DUMMYFUNCTION("""COMPUTED_VALUE"""),"EPSON")</f>
        <v>EPSON</v>
      </c>
      <c r="F2473" s="2005" t="str">
        <f>IFERROR(__xludf.DUMMYFUNCTION("""COMPUTED_VALUE"""),"H")</f>
        <v>H</v>
      </c>
      <c r="G2473" s="2005" t="str">
        <f>IFERROR(__xludf.DUMMYFUNCTION("""COMPUTED_VALUE"""),"AC")</f>
        <v>AC</v>
      </c>
      <c r="H2473" s="2005">
        <f>IFERROR(__xludf.DUMMYFUNCTION("""COMPUTED_VALUE"""),66.0)</f>
        <v>66</v>
      </c>
      <c r="I2473" s="2005">
        <f>IFERROR(__xludf.DUMMYFUNCTION("""COMPUTED_VALUE"""),66.0)</f>
        <v>66</v>
      </c>
      <c r="BD2473" s="2006"/>
      <c r="LL2473" s="2007"/>
      <c r="LM2473" s="2007"/>
      <c r="MX2473" s="2007"/>
      <c r="ND2473" s="2007"/>
    </row>
    <row r="2474">
      <c r="A2474">
        <f>IFERROR(__xludf.DUMMYFUNCTION("""COMPUTED_VALUE"""),1184414.0)</f>
        <v>1184414</v>
      </c>
      <c r="B2474">
        <f>IFERROR(__xludf.DUMMYFUNCTION("""COMPUTED_VALUE"""),2403005.0)</f>
        <v>2403005</v>
      </c>
      <c r="C2474" t="str">
        <f>IFERROR(__xludf.DUMMYFUNCTION("""COMPUTED_VALUE"""),"Cartouche")</f>
        <v>Cartouche</v>
      </c>
      <c r="D2474" t="str">
        <f>IFERROR(__xludf.DUMMYFUNCTION("""COMPUTED_VALUE"""),"503XL Serie Piment Noir")</f>
        <v>503XL Serie Piment Noir</v>
      </c>
      <c r="E2474" t="str">
        <f>IFERROR(__xludf.DUMMYFUNCTION("""COMPUTED_VALUE"""),"EPSON")</f>
        <v>EPSON</v>
      </c>
      <c r="F2474" t="str">
        <f>IFERROR(__xludf.DUMMYFUNCTION("""COMPUTED_VALUE"""),"H")</f>
        <v>H</v>
      </c>
      <c r="G2474" t="str">
        <f>IFERROR(__xludf.DUMMYFUNCTION("""COMPUTED_VALUE"""),"AC")</f>
        <v>AC</v>
      </c>
      <c r="H2474">
        <f>IFERROR(__xludf.DUMMYFUNCTION("""COMPUTED_VALUE"""),32.99)</f>
        <v>32.99</v>
      </c>
      <c r="I2474">
        <f>IFERROR(__xludf.DUMMYFUNCTION("""COMPUTED_VALUE"""),32.99)</f>
        <v>32.99</v>
      </c>
      <c r="BD2474" s="2006"/>
      <c r="LL2474" s="2007"/>
      <c r="LM2474" s="2007"/>
      <c r="MX2474" s="2007"/>
      <c r="ND2474" s="2007"/>
    </row>
    <row r="2475">
      <c r="A2475">
        <f>IFERROR(__xludf.DUMMYFUNCTION("""COMPUTED_VALUE"""),1184415.0)</f>
        <v>1184415</v>
      </c>
      <c r="B2475">
        <f>IFERROR(__xludf.DUMMYFUNCTION("""COMPUTED_VALUE"""),2403005.0)</f>
        <v>2403005</v>
      </c>
      <c r="C2475" t="str">
        <f>IFERROR(__xludf.DUMMYFUNCTION("""COMPUTED_VALUE"""),"Cartouche")</f>
        <v>Cartouche</v>
      </c>
      <c r="D2475" t="str">
        <f>IFERROR(__xludf.DUMMYFUNCTION("""COMPUTED_VALUE"""),"503 Serie Piment Noir")</f>
        <v>503 Serie Piment Noir</v>
      </c>
      <c r="E2475" t="str">
        <f>IFERROR(__xludf.DUMMYFUNCTION("""COMPUTED_VALUE"""),"EPSON")</f>
        <v>EPSON</v>
      </c>
      <c r="F2475" t="str">
        <f>IFERROR(__xludf.DUMMYFUNCTION("""COMPUTED_VALUE"""),"D")</f>
        <v>D</v>
      </c>
      <c r="G2475" t="str">
        <f>IFERROR(__xludf.DUMMYFUNCTION("""COMPUTED_VALUE"""),"AC")</f>
        <v>AC</v>
      </c>
      <c r="H2475">
        <f>IFERROR(__xludf.DUMMYFUNCTION("""COMPUTED_VALUE"""),21.99)</f>
        <v>21.99</v>
      </c>
      <c r="I2475">
        <f>IFERROR(__xludf.DUMMYFUNCTION("""COMPUTED_VALUE"""),21.99)</f>
        <v>21.99</v>
      </c>
      <c r="BD2475" s="2006"/>
      <c r="LL2475" s="2008"/>
      <c r="LM2475" s="2007"/>
      <c r="MX2475" s="2007"/>
      <c r="ND2475" s="2007"/>
    </row>
    <row r="2476">
      <c r="A2476">
        <f>IFERROR(__xludf.DUMMYFUNCTION("""COMPUTED_VALUE"""),1184421.0)</f>
        <v>1184421</v>
      </c>
      <c r="B2476">
        <f>IFERROR(__xludf.DUMMYFUNCTION("""COMPUTED_VALUE"""),2403005.0)</f>
        <v>2403005</v>
      </c>
      <c r="C2476" t="str">
        <f>IFERROR(__xludf.DUMMYFUNCTION("""COMPUTED_VALUE"""),"Cartouche")</f>
        <v>Cartouche</v>
      </c>
      <c r="D2476" t="str">
        <f>IFERROR(__xludf.DUMMYFUNCTION("""COMPUTED_VALUE"""),"604XL Serie Ananas Magenta")</f>
        <v>604XL Serie Ananas Magenta</v>
      </c>
      <c r="E2476" t="str">
        <f>IFERROR(__xludf.DUMMYFUNCTION("""COMPUTED_VALUE"""),"EPSON")</f>
        <v>EPSON</v>
      </c>
      <c r="F2476" t="str">
        <f>IFERROR(__xludf.DUMMYFUNCTION("""COMPUTED_VALUE"""),"B")</f>
        <v>B</v>
      </c>
      <c r="G2476" t="str">
        <f>IFERROR(__xludf.DUMMYFUNCTION("""COMPUTED_VALUE"""),"AC")</f>
        <v>AC</v>
      </c>
      <c r="H2476">
        <f>IFERROR(__xludf.DUMMYFUNCTION("""COMPUTED_VALUE"""),19.99)</f>
        <v>19.99</v>
      </c>
      <c r="I2476">
        <f>IFERROR(__xludf.DUMMYFUNCTION("""COMPUTED_VALUE"""),19.99)</f>
        <v>19.99</v>
      </c>
      <c r="BD2476" s="2006"/>
      <c r="LL2476" s="2007"/>
      <c r="LM2476" s="2007"/>
      <c r="MX2476" s="2007"/>
      <c r="ND2476" s="2007"/>
    </row>
    <row r="2477">
      <c r="A2477">
        <f>IFERROR(__xludf.DUMMYFUNCTION("""COMPUTED_VALUE"""),1184422.0)</f>
        <v>1184422</v>
      </c>
      <c r="B2477">
        <f>IFERROR(__xludf.DUMMYFUNCTION("""COMPUTED_VALUE"""),2403005.0)</f>
        <v>2403005</v>
      </c>
      <c r="C2477" t="str">
        <f>IFERROR(__xludf.DUMMYFUNCTION("""COMPUTED_VALUE"""),"Cartouche")</f>
        <v>Cartouche</v>
      </c>
      <c r="D2477" t="str">
        <f>IFERROR(__xludf.DUMMYFUNCTION("""COMPUTED_VALUE"""),"604 Serie Ananas Magenta")</f>
        <v>604 Serie Ananas Magenta</v>
      </c>
      <c r="E2477" t="str">
        <f>IFERROR(__xludf.DUMMYFUNCTION("""COMPUTED_VALUE"""),"EPSON")</f>
        <v>EPSON</v>
      </c>
      <c r="F2477" t="str">
        <f>IFERROR(__xludf.DUMMYFUNCTION("""COMPUTED_VALUE"""),"E")</f>
        <v>E</v>
      </c>
      <c r="G2477" t="str">
        <f>IFERROR(__xludf.DUMMYFUNCTION("""COMPUTED_VALUE"""),"NN")</f>
        <v>NN</v>
      </c>
      <c r="H2477">
        <f>IFERROR(__xludf.DUMMYFUNCTION("""COMPUTED_VALUE"""),9.99)</f>
        <v>9.99</v>
      </c>
      <c r="I2477">
        <f>IFERROR(__xludf.DUMMYFUNCTION("""COMPUTED_VALUE"""),9.99)</f>
        <v>9.99</v>
      </c>
      <c r="BD2477" s="2006"/>
      <c r="LL2477" s="2007"/>
      <c r="LM2477" s="2007"/>
      <c r="MX2477" s="2007"/>
      <c r="ND2477" s="2007"/>
    </row>
    <row r="2478">
      <c r="A2478">
        <f>IFERROR(__xludf.DUMMYFUNCTION("""COMPUTED_VALUE"""),1184423.0)</f>
        <v>1184423</v>
      </c>
      <c r="B2478">
        <f>IFERROR(__xludf.DUMMYFUNCTION("""COMPUTED_VALUE"""),2403005.0)</f>
        <v>2403005</v>
      </c>
      <c r="C2478" t="str">
        <f>IFERROR(__xludf.DUMMYFUNCTION("""COMPUTED_VALUE"""),"Cartouche")</f>
        <v>Cartouche</v>
      </c>
      <c r="D2478" t="str">
        <f>IFERROR(__xludf.DUMMYFUNCTION("""COMPUTED_VALUE"""),"503XL Serie Piment Jaune")</f>
        <v>503XL Serie Piment Jaune</v>
      </c>
      <c r="E2478" t="str">
        <f>IFERROR(__xludf.DUMMYFUNCTION("""COMPUTED_VALUE"""),"EPSON")</f>
        <v>EPSON</v>
      </c>
      <c r="F2478" t="str">
        <f>IFERROR(__xludf.DUMMYFUNCTION("""COMPUTED_VALUE"""),"E")</f>
        <v>E</v>
      </c>
      <c r="G2478" t="str">
        <f>IFERROR(__xludf.DUMMYFUNCTION("""COMPUTED_VALUE"""),"NN")</f>
        <v>NN</v>
      </c>
      <c r="H2478">
        <f>IFERROR(__xludf.DUMMYFUNCTION("""COMPUTED_VALUE"""),23.99)</f>
        <v>23.99</v>
      </c>
      <c r="I2478">
        <f>IFERROR(__xludf.DUMMYFUNCTION("""COMPUTED_VALUE"""),23.99)</f>
        <v>23.99</v>
      </c>
      <c r="BD2478" s="2006"/>
      <c r="LL2478" s="2008"/>
      <c r="LM2478" s="2007"/>
      <c r="MX2478" s="2007"/>
      <c r="ND2478" s="2008"/>
    </row>
    <row r="2479">
      <c r="A2479">
        <f>IFERROR(__xludf.DUMMYFUNCTION("""COMPUTED_VALUE"""),1184424.0)</f>
        <v>1184424</v>
      </c>
      <c r="B2479">
        <f>IFERROR(__xludf.DUMMYFUNCTION("""COMPUTED_VALUE"""),2403005.0)</f>
        <v>2403005</v>
      </c>
      <c r="C2479" t="str">
        <f>IFERROR(__xludf.DUMMYFUNCTION("""COMPUTED_VALUE"""),"Cartouche")</f>
        <v>Cartouche</v>
      </c>
      <c r="D2479" t="str">
        <f>IFERROR(__xludf.DUMMYFUNCTION("""COMPUTED_VALUE"""),"503 Serie Piment Jaune")</f>
        <v>503 Serie Piment Jaune</v>
      </c>
      <c r="E2479" t="str">
        <f>IFERROR(__xludf.DUMMYFUNCTION("""COMPUTED_VALUE"""),"EPSON")</f>
        <v>EPSON</v>
      </c>
      <c r="F2479" t="str">
        <f>IFERROR(__xludf.DUMMYFUNCTION("""COMPUTED_VALUE"""),"H")</f>
        <v>H</v>
      </c>
      <c r="G2479" t="str">
        <f>IFERROR(__xludf.DUMMYFUNCTION("""COMPUTED_VALUE"""),"AC")</f>
        <v>AC</v>
      </c>
      <c r="H2479">
        <f>IFERROR(__xludf.DUMMYFUNCTION("""COMPUTED_VALUE"""),10.99)</f>
        <v>10.99</v>
      </c>
      <c r="I2479">
        <f>IFERROR(__xludf.DUMMYFUNCTION("""COMPUTED_VALUE"""),10.99)</f>
        <v>10.99</v>
      </c>
      <c r="BD2479" s="2006"/>
      <c r="LL2479" s="2007"/>
      <c r="LM2479" s="2007"/>
      <c r="MX2479" s="2007"/>
      <c r="ND2479" s="2008"/>
    </row>
    <row r="2480">
      <c r="A2480">
        <f>IFERROR(__xludf.DUMMYFUNCTION("""COMPUTED_VALUE"""),1184516.0)</f>
        <v>1184516</v>
      </c>
      <c r="B2480">
        <f>IFERROR(__xludf.DUMMYFUNCTION("""COMPUTED_VALUE"""),2402015.0)</f>
        <v>2402015</v>
      </c>
      <c r="C2480" t="str">
        <f>IFERROR(__xludf.DUMMYFUNCTION("""COMPUTED_VALUE"""),"Papier")</f>
        <v>Papier</v>
      </c>
      <c r="D2480" t="str">
        <f>IFERROR(__xludf.DUMMYFUNCTION("""COMPUTED_VALUE"""),"35 Photos brillantes A4 180g")</f>
        <v>35 Photos brillantes A4 180g</v>
      </c>
      <c r="E2480" t="str">
        <f>IFERROR(__xludf.DUMMYFUNCTION("""COMPUTED_VALUE"""),"AVERY")</f>
        <v>AVERY</v>
      </c>
      <c r="F2480" t="str">
        <f>IFERROR(__xludf.DUMMYFUNCTION("""COMPUTED_VALUE"""),"C")</f>
        <v>C</v>
      </c>
      <c r="G2480" t="str">
        <f>IFERROR(__xludf.DUMMYFUNCTION("""COMPUTED_VALUE"""),"AC")</f>
        <v>AC</v>
      </c>
      <c r="H2480">
        <f>IFERROR(__xludf.DUMMYFUNCTION("""COMPUTED_VALUE"""),8.99)</f>
        <v>8.99</v>
      </c>
      <c r="I2480">
        <f>IFERROR(__xludf.DUMMYFUNCTION("""COMPUTED_VALUE"""),8.99)</f>
        <v>8.99</v>
      </c>
      <c r="BD2480" s="2006"/>
      <c r="LL2480" s="2008"/>
      <c r="LM2480" s="2007"/>
      <c r="MX2480" s="2007"/>
      <c r="ND2480" s="2008"/>
    </row>
    <row r="2481">
      <c r="A2481">
        <f>IFERROR(__xludf.DUMMYFUNCTION("""COMPUTED_VALUE"""),1184520.0)</f>
        <v>1184520</v>
      </c>
      <c r="B2481">
        <f>IFERROR(__xludf.DUMMYFUNCTION("""COMPUTED_VALUE"""),2402020.0)</f>
        <v>2402020</v>
      </c>
      <c r="C2481" t="str">
        <f>IFERROR(__xludf.DUMMYFUNCTION("""COMPUTED_VALUE"""),"Papier")</f>
        <v>Papier</v>
      </c>
      <c r="D2481" t="str">
        <f>IFERROR(__xludf.DUMMYFUNCTION("""COMPUTED_VALUE"""),"96 autocollants ronds kraft 4cm")</f>
        <v>96 autocollants ronds kraft 4cm</v>
      </c>
      <c r="E2481" t="str">
        <f>IFERROR(__xludf.DUMMYFUNCTION("""COMPUTED_VALUE"""),"AVERY")</f>
        <v>AVERY</v>
      </c>
      <c r="F2481" t="str">
        <f>IFERROR(__xludf.DUMMYFUNCTION("""COMPUTED_VALUE"""),"H")</f>
        <v>H</v>
      </c>
      <c r="G2481" t="str">
        <f>IFERROR(__xludf.DUMMYFUNCTION("""COMPUTED_VALUE"""),"AC")</f>
        <v>AC</v>
      </c>
      <c r="H2481">
        <f>IFERROR(__xludf.DUMMYFUNCTION("""COMPUTED_VALUE"""),5.99)</f>
        <v>5.99</v>
      </c>
      <c r="I2481">
        <f>IFERROR(__xludf.DUMMYFUNCTION("""COMPUTED_VALUE"""),5.99)</f>
        <v>5.99</v>
      </c>
      <c r="LM2481" s="2007"/>
    </row>
    <row r="2482">
      <c r="A2482">
        <f>IFERROR(__xludf.DUMMYFUNCTION("""COMPUTED_VALUE"""),1184541.0)</f>
        <v>1184541</v>
      </c>
      <c r="B2482">
        <f>IFERROR(__xludf.DUMMYFUNCTION("""COMPUTED_VALUE"""),2402020.0)</f>
        <v>2402020</v>
      </c>
      <c r="C2482" t="str">
        <f>IFERROR(__xludf.DUMMYFUNCTION("""COMPUTED_VALUE"""),"Papier")</f>
        <v>Papier</v>
      </c>
      <c r="D2482" t="str">
        <f>IFERROR(__xludf.DUMMYFUNCTION("""COMPUTED_VALUE"""),"120 autocollants ronds blanc")</f>
        <v>120 autocollants ronds blanc</v>
      </c>
      <c r="E2482" t="str">
        <f>IFERROR(__xludf.DUMMYFUNCTION("""COMPUTED_VALUE"""),"AVERY")</f>
        <v>AVERY</v>
      </c>
      <c r="F2482" t="str">
        <f>IFERROR(__xludf.DUMMYFUNCTION("""COMPUTED_VALUE"""),"H")</f>
        <v>H</v>
      </c>
      <c r="G2482" t="str">
        <f>IFERROR(__xludf.DUMMYFUNCTION("""COMPUTED_VALUE"""),"AC")</f>
        <v>AC</v>
      </c>
      <c r="H2482">
        <f>IFERROR(__xludf.DUMMYFUNCTION("""COMPUTED_VALUE"""),5.99)</f>
        <v>5.99</v>
      </c>
      <c r="I2482">
        <f>IFERROR(__xludf.DUMMYFUNCTION("""COMPUTED_VALUE"""),5.99)</f>
        <v>5.99</v>
      </c>
      <c r="BD2482" s="2006"/>
      <c r="LL2482" s="2007"/>
      <c r="LM2482" s="2007"/>
      <c r="MX2482" s="2007"/>
      <c r="ND2482" s="2007"/>
    </row>
    <row r="2483">
      <c r="A2483">
        <f>IFERROR(__xludf.DUMMYFUNCTION("""COMPUTED_VALUE"""),1184795.0)</f>
        <v>1184795</v>
      </c>
      <c r="B2483">
        <f>IFERROR(__xludf.DUMMYFUNCTION("""COMPUTED_VALUE"""),2502099.0)</f>
        <v>2502099</v>
      </c>
      <c r="C2483" t="str">
        <f>IFERROR(__xludf.DUMMYFUNCTION("""COMPUTED_VALUE"""),"Box")</f>
        <v>Box</v>
      </c>
      <c r="D2483" t="str">
        <f>IFERROR(__xludf.DUMMYFUNCTION("""COMPUTED_VALUE"""),"Pop Claviers + Souris")</f>
        <v>Pop Claviers + Souris</v>
      </c>
      <c r="E2483" t="str">
        <f>IFERROR(__xludf.DUMMYFUNCTION("""COMPUTED_VALUE"""),"LOGITECH")</f>
        <v>LOGITECH</v>
      </c>
      <c r="F2483" t="str">
        <f>IFERROR(__xludf.DUMMYFUNCTION("""COMPUTED_VALUE"""),"H")</f>
        <v>H</v>
      </c>
      <c r="G2483" t="str">
        <f>IFERROR(__xludf.DUMMYFUNCTION("""COMPUTED_VALUE"""),"NN")</f>
        <v>NN</v>
      </c>
      <c r="H2483">
        <f>IFERROR(__xludf.DUMMYFUNCTION("""COMPUTED_VALUE"""),10001.45)</f>
        <v>10001.45</v>
      </c>
      <c r="I2483">
        <f>IFERROR(__xludf.DUMMYFUNCTION("""COMPUTED_VALUE"""),10001.45)</f>
        <v>10001.45</v>
      </c>
      <c r="BD2483" s="2006"/>
      <c r="LL2483" s="2007"/>
      <c r="LM2483" s="2007"/>
      <c r="MX2483" s="2007"/>
      <c r="ND2483" s="2007"/>
    </row>
    <row r="2484">
      <c r="A2484">
        <f>IFERROR(__xludf.DUMMYFUNCTION("""COMPUTED_VALUE"""),1184968.0)</f>
        <v>1184968</v>
      </c>
      <c r="B2484">
        <f>IFERROR(__xludf.DUMMYFUNCTION("""COMPUTED_VALUE"""),2403005.0)</f>
        <v>2403005</v>
      </c>
      <c r="C2484" t="str">
        <f>IFERROR(__xludf.DUMMYFUNCTION("""COMPUTED_VALUE"""),"Cartouche")</f>
        <v>Cartouche</v>
      </c>
      <c r="D2484" t="str">
        <f>IFERROR(__xludf.DUMMYFUNCTION("""COMPUTED_VALUE"""),"LC422 XL Noir")</f>
        <v>LC422 XL Noir</v>
      </c>
      <c r="E2484" t="str">
        <f>IFERROR(__xludf.DUMMYFUNCTION("""COMPUTED_VALUE"""),"BROTHER")</f>
        <v>BROTHER</v>
      </c>
      <c r="F2484" t="str">
        <f>IFERROR(__xludf.DUMMYFUNCTION("""COMPUTED_VALUE"""),"W")</f>
        <v>W</v>
      </c>
      <c r="G2484" t="str">
        <f>IFERROR(__xludf.DUMMYFUNCTION("""COMPUTED_VALUE"""),"AC")</f>
        <v>AC</v>
      </c>
      <c r="H2484">
        <f>IFERROR(__xludf.DUMMYFUNCTION("""COMPUTED_VALUE"""),50.99)</f>
        <v>50.99</v>
      </c>
      <c r="I2484">
        <f>IFERROR(__xludf.DUMMYFUNCTION("""COMPUTED_VALUE"""),39.95)</f>
        <v>39.95</v>
      </c>
      <c r="BD2484" s="2006"/>
      <c r="LL2484" s="2007"/>
      <c r="LM2484" s="2007"/>
      <c r="MX2484" s="2007"/>
      <c r="ND2484" s="2008"/>
    </row>
    <row r="2485">
      <c r="A2485">
        <f>IFERROR(__xludf.DUMMYFUNCTION("""COMPUTED_VALUE"""),1184969.0)</f>
        <v>1184969</v>
      </c>
      <c r="B2485">
        <f>IFERROR(__xludf.DUMMYFUNCTION("""COMPUTED_VALUE"""),2403005.0)</f>
        <v>2403005</v>
      </c>
      <c r="C2485" t="str">
        <f>IFERROR(__xludf.DUMMYFUNCTION("""COMPUTED_VALUE"""),"Cartouche")</f>
        <v>Cartouche</v>
      </c>
      <c r="D2485" t="str">
        <f>IFERROR(__xludf.DUMMYFUNCTION("""COMPUTED_VALUE"""),"LC422 XL Cyan")</f>
        <v>LC422 XL Cyan</v>
      </c>
      <c r="E2485" t="str">
        <f>IFERROR(__xludf.DUMMYFUNCTION("""COMPUTED_VALUE"""),"BROTHER")</f>
        <v>BROTHER</v>
      </c>
      <c r="F2485" t="str">
        <f>IFERROR(__xludf.DUMMYFUNCTION("""COMPUTED_VALUE"""),"W")</f>
        <v>W</v>
      </c>
      <c r="G2485" t="str">
        <f>IFERROR(__xludf.DUMMYFUNCTION("""COMPUTED_VALUE"""),"AC")</f>
        <v>AC</v>
      </c>
      <c r="H2485">
        <f>IFERROR(__xludf.DUMMYFUNCTION("""COMPUTED_VALUE"""),36.0)</f>
        <v>36</v>
      </c>
      <c r="I2485">
        <f>IFERROR(__xludf.DUMMYFUNCTION("""COMPUTED_VALUE"""),25.99)</f>
        <v>25.99</v>
      </c>
      <c r="BD2485" s="2006"/>
      <c r="LL2485" s="2008"/>
      <c r="LM2485" s="2007"/>
      <c r="MX2485" s="2007"/>
      <c r="ND2485" s="2008"/>
    </row>
    <row r="2486">
      <c r="A2486">
        <f>IFERROR(__xludf.DUMMYFUNCTION("""COMPUTED_VALUE"""),1184980.0)</f>
        <v>1184980</v>
      </c>
      <c r="B2486">
        <f>IFERROR(__xludf.DUMMYFUNCTION("""COMPUTED_VALUE"""),2403010.0)</f>
        <v>2403010</v>
      </c>
      <c r="C2486" t="str">
        <f>IFERROR(__xludf.DUMMYFUNCTION("""COMPUTED_VALUE"""),"Toner")</f>
        <v>Toner</v>
      </c>
      <c r="D2486" t="str">
        <f>IFERROR(__xludf.DUMMYFUNCTION("""COMPUTED_VALUE"""),"153A")</f>
        <v>153A</v>
      </c>
      <c r="E2486" t="str">
        <f>IFERROR(__xludf.DUMMYFUNCTION("""COMPUTED_VALUE"""),"HP")</f>
        <v>HP</v>
      </c>
      <c r="F2486" t="str">
        <f>IFERROR(__xludf.DUMMYFUNCTION("""COMPUTED_VALUE"""),"H")</f>
        <v>H</v>
      </c>
      <c r="G2486" t="str">
        <f>IFERROR(__xludf.DUMMYFUNCTION("""COMPUTED_VALUE"""),"AC")</f>
        <v>AC</v>
      </c>
      <c r="H2486">
        <f>IFERROR(__xludf.DUMMYFUNCTION("""COMPUTED_VALUE"""),25.99)</f>
        <v>25.99</v>
      </c>
      <c r="I2486">
        <f>IFERROR(__xludf.DUMMYFUNCTION("""COMPUTED_VALUE"""),25.99)</f>
        <v>25.99</v>
      </c>
      <c r="BD2486" s="2006"/>
      <c r="LL2486" s="2008"/>
      <c r="LM2486" s="2007"/>
      <c r="MX2486" s="2007"/>
      <c r="ND2486" s="2008"/>
    </row>
    <row r="2487">
      <c r="A2487">
        <f>IFERROR(__xludf.DUMMYFUNCTION("""COMPUTED_VALUE"""),1185011.0)</f>
        <v>1185011</v>
      </c>
      <c r="B2487">
        <f>IFERROR(__xludf.DUMMYFUNCTION("""COMPUTED_VALUE"""),2403005.0)</f>
        <v>2403005</v>
      </c>
      <c r="C2487" t="str">
        <f>IFERROR(__xludf.DUMMYFUNCTION("""COMPUTED_VALUE"""),"Cartouche")</f>
        <v>Cartouche</v>
      </c>
      <c r="D2487" t="str">
        <f>IFERROR(__xludf.DUMMYFUNCTION("""COMPUTED_VALUE"""),"LC422 XL Magenta")</f>
        <v>LC422 XL Magenta</v>
      </c>
      <c r="E2487" t="str">
        <f>IFERROR(__xludf.DUMMYFUNCTION("""COMPUTED_VALUE"""),"BROTHER")</f>
        <v>BROTHER</v>
      </c>
      <c r="F2487" t="str">
        <f>IFERROR(__xludf.DUMMYFUNCTION("""COMPUTED_VALUE"""),"W")</f>
        <v>W</v>
      </c>
      <c r="G2487" t="str">
        <f>IFERROR(__xludf.DUMMYFUNCTION("""COMPUTED_VALUE"""),"AC")</f>
        <v>AC</v>
      </c>
      <c r="H2487">
        <f>IFERROR(__xludf.DUMMYFUNCTION("""COMPUTED_VALUE"""),36.0)</f>
        <v>36</v>
      </c>
      <c r="I2487">
        <f>IFERROR(__xludf.DUMMYFUNCTION("""COMPUTED_VALUE"""),27.95)</f>
        <v>27.95</v>
      </c>
      <c r="BD2487" s="2006"/>
      <c r="LL2487" s="2007"/>
      <c r="LM2487" s="2007"/>
      <c r="MX2487" s="2007"/>
      <c r="ND2487" s="2007"/>
    </row>
    <row r="2488">
      <c r="A2488">
        <f>IFERROR(__xludf.DUMMYFUNCTION("""COMPUTED_VALUE"""),1185013.0)</f>
        <v>1185013</v>
      </c>
      <c r="B2488">
        <f>IFERROR(__xludf.DUMMYFUNCTION("""COMPUTED_VALUE"""),2403005.0)</f>
        <v>2403005</v>
      </c>
      <c r="C2488" t="str">
        <f>IFERROR(__xludf.DUMMYFUNCTION("""COMPUTED_VALUE"""),"Cartouche")</f>
        <v>Cartouche</v>
      </c>
      <c r="D2488" t="str">
        <f>IFERROR(__xludf.DUMMYFUNCTION("""COMPUTED_VALUE"""),"LC422 XL Jaune")</f>
        <v>LC422 XL Jaune</v>
      </c>
      <c r="E2488" t="str">
        <f>IFERROR(__xludf.DUMMYFUNCTION("""COMPUTED_VALUE"""),"BROTHER")</f>
        <v>BROTHER</v>
      </c>
      <c r="F2488" t="str">
        <f>IFERROR(__xludf.DUMMYFUNCTION("""COMPUTED_VALUE"""),"W")</f>
        <v>W</v>
      </c>
      <c r="G2488" t="str">
        <f>IFERROR(__xludf.DUMMYFUNCTION("""COMPUTED_VALUE"""),"AC")</f>
        <v>AC</v>
      </c>
      <c r="H2488">
        <f>IFERROR(__xludf.DUMMYFUNCTION("""COMPUTED_VALUE"""),36.0)</f>
        <v>36</v>
      </c>
      <c r="I2488">
        <f>IFERROR(__xludf.DUMMYFUNCTION("""COMPUTED_VALUE"""),25.63)</f>
        <v>25.63</v>
      </c>
      <c r="BD2488" s="2006"/>
      <c r="LL2488" s="2007"/>
      <c r="LM2488" s="2007"/>
      <c r="MX2488" s="2007"/>
      <c r="ND2488" s="2007"/>
    </row>
    <row r="2489">
      <c r="A2489">
        <f>IFERROR(__xludf.DUMMYFUNCTION("""COMPUTED_VALUE"""),1185041.0)</f>
        <v>1185041</v>
      </c>
      <c r="B2489">
        <f>IFERROR(__xludf.DUMMYFUNCTION("""COMPUTED_VALUE"""),2403010.0)</f>
        <v>2403010</v>
      </c>
      <c r="C2489" t="str">
        <f>IFERROR(__xludf.DUMMYFUNCTION("""COMPUTED_VALUE"""),"Toner")</f>
        <v>Toner</v>
      </c>
      <c r="D2489" t="str">
        <f>IFERROR(__xludf.DUMMYFUNCTION("""COMPUTED_VALUE"""),"153X Noir")</f>
        <v>153X Noir</v>
      </c>
      <c r="E2489" t="str">
        <f>IFERROR(__xludf.DUMMYFUNCTION("""COMPUTED_VALUE"""),"HP")</f>
        <v>HP</v>
      </c>
      <c r="F2489" t="str">
        <f>IFERROR(__xludf.DUMMYFUNCTION("""COMPUTED_VALUE"""),"H")</f>
        <v>H</v>
      </c>
      <c r="G2489" t="str">
        <f>IFERROR(__xludf.DUMMYFUNCTION("""COMPUTED_VALUE"""),"NN")</f>
        <v>NN</v>
      </c>
      <c r="H2489">
        <f>IFERROR(__xludf.DUMMYFUNCTION("""COMPUTED_VALUE"""),41.99)</f>
        <v>41.99</v>
      </c>
      <c r="I2489">
        <f>IFERROR(__xludf.DUMMYFUNCTION("""COMPUTED_VALUE"""),41.99)</f>
        <v>41.99</v>
      </c>
      <c r="BD2489" s="2006"/>
      <c r="LL2489" s="2007"/>
      <c r="LM2489" s="2007"/>
      <c r="MX2489" s="2007"/>
      <c r="ND2489" s="2007"/>
    </row>
    <row r="2490">
      <c r="A2490">
        <f>IFERROR(__xludf.DUMMYFUNCTION("""COMPUTED_VALUE"""),1185091.0)</f>
        <v>1185091</v>
      </c>
      <c r="B2490">
        <f>IFERROR(__xludf.DUMMYFUNCTION("""COMPUTED_VALUE"""),2502099.0)</f>
        <v>2502099</v>
      </c>
      <c r="C2490" t="str">
        <f>IFERROR(__xludf.DUMMYFUNCTION("""COMPUTED_VALUE"""),"Box")</f>
        <v>Box</v>
      </c>
      <c r="D2490" t="str">
        <f>IFERROR(__xludf.DUMMYFUNCTION("""COMPUTED_VALUE"""),"Pop Daydream Claviers + Souris + tapis")</f>
        <v>Pop Daydream Claviers + Souris + tapis</v>
      </c>
      <c r="E2490" t="str">
        <f>IFERROR(__xludf.DUMMYFUNCTION("""COMPUTED_VALUE"""),"LOGITECH")</f>
        <v>LOGITECH</v>
      </c>
      <c r="F2490" t="str">
        <f>IFERROR(__xludf.DUMMYFUNCTION("""COMPUTED_VALUE"""),"H")</f>
        <v>H</v>
      </c>
      <c r="G2490" t="str">
        <f>IFERROR(__xludf.DUMMYFUNCTION("""COMPUTED_VALUE"""),"NN")</f>
        <v>NN</v>
      </c>
      <c r="H2490">
        <f>IFERROR(__xludf.DUMMYFUNCTION("""COMPUTED_VALUE"""),999.95)</f>
        <v>999.95</v>
      </c>
      <c r="I2490">
        <f>IFERROR(__xludf.DUMMYFUNCTION("""COMPUTED_VALUE"""),999.95)</f>
        <v>999.95</v>
      </c>
      <c r="BD2490" s="2006"/>
      <c r="LL2490" s="2008"/>
      <c r="LM2490" s="2008"/>
      <c r="MX2490" s="2007"/>
      <c r="ND2490" s="2008"/>
    </row>
    <row r="2491">
      <c r="A2491">
        <f>IFERROR(__xludf.DUMMYFUNCTION("""COMPUTED_VALUE"""),1185290.0)</f>
        <v>1185290</v>
      </c>
      <c r="B2491">
        <f>IFERROR(__xludf.DUMMYFUNCTION("""COMPUTED_VALUE"""),2503010.0)</f>
        <v>2503010</v>
      </c>
      <c r="C2491" t="str">
        <f>IFERROR(__xludf.DUMMYFUNCTION("""COMPUTED_VALUE"""),"Ecouteur")</f>
        <v>Ecouteur</v>
      </c>
      <c r="D2491" t="str">
        <f>IFERROR(__xludf.DUMMYFUNCTION("""COMPUTED_VALUE"""),"Connect 5T Titanium Noir")</f>
        <v>Connect 5T Titanium Noir</v>
      </c>
      <c r="E2491" t="str">
        <f>IFERROR(__xludf.DUMMYFUNCTION("""COMPUTED_VALUE"""),"JABRA")</f>
        <v>JABRA</v>
      </c>
      <c r="F2491" t="str">
        <f>IFERROR(__xludf.DUMMYFUNCTION("""COMPUTED_VALUE"""),"W")</f>
        <v>W</v>
      </c>
      <c r="G2491" t="str">
        <f>IFERROR(__xludf.DUMMYFUNCTION("""COMPUTED_VALUE"""),"FR")</f>
        <v>FR</v>
      </c>
      <c r="H2491">
        <f>IFERROR(__xludf.DUMMYFUNCTION("""COMPUTED_VALUE"""),189.99)</f>
        <v>189.99</v>
      </c>
      <c r="I2491">
        <f>IFERROR(__xludf.DUMMYFUNCTION("""COMPUTED_VALUE"""),119.69)</f>
        <v>119.69</v>
      </c>
      <c r="BD2491" s="2006"/>
      <c r="LL2491" s="2008"/>
      <c r="LM2491" s="2008"/>
      <c r="MX2491" s="2007"/>
      <c r="ND2491" s="2008"/>
    </row>
    <row r="2492">
      <c r="A2492">
        <f>IFERROR(__xludf.DUMMYFUNCTION("""COMPUTED_VALUE"""),1185296.0)</f>
        <v>1185296</v>
      </c>
      <c r="B2492">
        <f>IFERROR(__xludf.DUMMYFUNCTION("""COMPUTED_VALUE"""),2502020.0)</f>
        <v>2502020</v>
      </c>
      <c r="C2492" t="str">
        <f>IFERROR(__xludf.DUMMYFUNCTION("""COMPUTED_VALUE"""),"Webcam")</f>
        <v>Webcam</v>
      </c>
      <c r="D2492" t="str">
        <f>IFERROR(__xludf.DUMMYFUNCTION("""COMPUTED_VALUE"""),"Brio 500 HD Graphite")</f>
        <v>Brio 500 HD Graphite</v>
      </c>
      <c r="E2492" t="str">
        <f>IFERROR(__xludf.DUMMYFUNCTION("""COMPUTED_VALUE"""),"LOGITECH")</f>
        <v>LOGITECH</v>
      </c>
      <c r="F2492" t="str">
        <f>IFERROR(__xludf.DUMMYFUNCTION("""COMPUTED_VALUE"""),"D")</f>
        <v>D</v>
      </c>
      <c r="G2492" t="str">
        <f>IFERROR(__xludf.DUMMYFUNCTION("""COMPUTED_VALUE"""),"AC")</f>
        <v>AC</v>
      </c>
      <c r="H2492">
        <f>IFERROR(__xludf.DUMMYFUNCTION("""COMPUTED_VALUE"""),139.99)</f>
        <v>139.99</v>
      </c>
      <c r="I2492">
        <f>IFERROR(__xludf.DUMMYFUNCTION("""COMPUTED_VALUE"""),139.99)</f>
        <v>139.99</v>
      </c>
      <c r="BD2492" s="2006"/>
      <c r="LL2492" s="2007"/>
      <c r="LM2492" s="2008"/>
      <c r="MX2492" s="2007"/>
      <c r="ND2492" s="2008"/>
    </row>
    <row r="2493">
      <c r="A2493">
        <f>IFERROR(__xludf.DUMMYFUNCTION("""COMPUTED_VALUE"""),1185297.0)</f>
        <v>1185297</v>
      </c>
      <c r="B2493">
        <f>IFERROR(__xludf.DUMMYFUNCTION("""COMPUTED_VALUE"""),2502020.0)</f>
        <v>2502020</v>
      </c>
      <c r="C2493" t="str">
        <f>IFERROR(__xludf.DUMMYFUNCTION("""COMPUTED_VALUE"""),"Webcam")</f>
        <v>Webcam</v>
      </c>
      <c r="D2493" t="str">
        <f>IFERROR(__xludf.DUMMYFUNCTION("""COMPUTED_VALUE"""),"Brio 500 HD Blanc")</f>
        <v>Brio 500 HD Blanc</v>
      </c>
      <c r="E2493" t="str">
        <f>IFERROR(__xludf.DUMMYFUNCTION("""COMPUTED_VALUE"""),"LOGITECH")</f>
        <v>LOGITECH</v>
      </c>
      <c r="F2493" t="str">
        <f>IFERROR(__xludf.DUMMYFUNCTION("""COMPUTED_VALUE"""),"W")</f>
        <v>W</v>
      </c>
      <c r="G2493" t="str">
        <f>IFERROR(__xludf.DUMMYFUNCTION("""COMPUTED_VALUE"""),"AC")</f>
        <v>AC</v>
      </c>
      <c r="H2493">
        <f>IFERROR(__xludf.DUMMYFUNCTION("""COMPUTED_VALUE"""),139.99)</f>
        <v>139.99</v>
      </c>
      <c r="I2493">
        <f>IFERROR(__xludf.DUMMYFUNCTION("""COMPUTED_VALUE"""),112.9)</f>
        <v>112.9</v>
      </c>
      <c r="BD2493" s="2006"/>
      <c r="LL2493" s="2007"/>
      <c r="LM2493" s="2008"/>
      <c r="MX2493" s="2007"/>
      <c r="ND2493" s="2008"/>
    </row>
    <row r="2494">
      <c r="A2494">
        <f>IFERROR(__xludf.DUMMYFUNCTION("""COMPUTED_VALUE"""),1185298.0)</f>
        <v>1185298</v>
      </c>
      <c r="B2494">
        <f>IFERROR(__xludf.DUMMYFUNCTION("""COMPUTED_VALUE"""),2502020.0)</f>
        <v>2502020</v>
      </c>
      <c r="C2494" t="str">
        <f>IFERROR(__xludf.DUMMYFUNCTION("""COMPUTED_VALUE"""),"Webcam")</f>
        <v>Webcam</v>
      </c>
      <c r="D2494" t="str">
        <f>IFERROR(__xludf.DUMMYFUNCTION("""COMPUTED_VALUE"""),"Brio 500 HD Rose")</f>
        <v>Brio 500 HD Rose</v>
      </c>
      <c r="E2494" t="str">
        <f>IFERROR(__xludf.DUMMYFUNCTION("""COMPUTED_VALUE"""),"LOGITECH")</f>
        <v>LOGITECH</v>
      </c>
      <c r="F2494" t="str">
        <f>IFERROR(__xludf.DUMMYFUNCTION("""COMPUTED_VALUE"""),"W")</f>
        <v>W</v>
      </c>
      <c r="G2494" t="str">
        <f>IFERROR(__xludf.DUMMYFUNCTION("""COMPUTED_VALUE"""),"AC")</f>
        <v>AC</v>
      </c>
      <c r="H2494">
        <f>IFERROR(__xludf.DUMMYFUNCTION("""COMPUTED_VALUE"""),139.99)</f>
        <v>139.99</v>
      </c>
      <c r="I2494">
        <f>IFERROR(__xludf.DUMMYFUNCTION("""COMPUTED_VALUE"""),106.99)</f>
        <v>106.99</v>
      </c>
      <c r="BD2494" s="2006"/>
      <c r="LL2494" s="2007"/>
      <c r="LM2494" s="2008"/>
      <c r="MX2494" s="2007"/>
      <c r="ND2494" s="2007"/>
    </row>
    <row r="2495">
      <c r="A2495">
        <f>IFERROR(__xludf.DUMMYFUNCTION("""COMPUTED_VALUE"""),1185299.0)</f>
        <v>1185299</v>
      </c>
      <c r="B2495">
        <f>IFERROR(__xludf.DUMMYFUNCTION("""COMPUTED_VALUE"""),2503010.0)</f>
        <v>2503010</v>
      </c>
      <c r="C2495" t="str">
        <f>IFERROR(__xludf.DUMMYFUNCTION("""COMPUTED_VALUE"""),"Casque micro")</f>
        <v>Casque micro</v>
      </c>
      <c r="D2495" t="str">
        <f>IFERROR(__xludf.DUMMYFUNCTION("""COMPUTED_VALUE"""),"Zone Vibe 100 Graphite")</f>
        <v>Zone Vibe 100 Graphite</v>
      </c>
      <c r="E2495" t="str">
        <f>IFERROR(__xludf.DUMMYFUNCTION("""COMPUTED_VALUE"""),"LOGITECH")</f>
        <v>LOGITECH</v>
      </c>
      <c r="F2495" t="str">
        <f>IFERROR(__xludf.DUMMYFUNCTION("""COMPUTED_VALUE"""),"C")</f>
        <v>C</v>
      </c>
      <c r="G2495" t="str">
        <f>IFERROR(__xludf.DUMMYFUNCTION("""COMPUTED_VALUE"""),"AC")</f>
        <v>AC</v>
      </c>
      <c r="H2495">
        <f>IFERROR(__xludf.DUMMYFUNCTION("""COMPUTED_VALUE"""),119.99)</f>
        <v>119.99</v>
      </c>
      <c r="I2495">
        <f>IFERROR(__xludf.DUMMYFUNCTION("""COMPUTED_VALUE"""),119.99)</f>
        <v>119.99</v>
      </c>
      <c r="LM2495" s="2008"/>
    </row>
    <row r="2496">
      <c r="A2496">
        <f>IFERROR(__xludf.DUMMYFUNCTION("""COMPUTED_VALUE"""),1185300.0)</f>
        <v>1185300</v>
      </c>
      <c r="B2496">
        <f>IFERROR(__xludf.DUMMYFUNCTION("""COMPUTED_VALUE"""),2503010.0)</f>
        <v>2503010</v>
      </c>
      <c r="C2496" t="str">
        <f>IFERROR(__xludf.DUMMYFUNCTION("""COMPUTED_VALUE"""),"Casque micro")</f>
        <v>Casque micro</v>
      </c>
      <c r="D2496" t="str">
        <f>IFERROR(__xludf.DUMMYFUNCTION("""COMPUTED_VALUE"""),"Zone Vibe 100 Blanc")</f>
        <v>Zone Vibe 100 Blanc</v>
      </c>
      <c r="E2496" t="str">
        <f>IFERROR(__xludf.DUMMYFUNCTION("""COMPUTED_VALUE"""),"LOGITECH")</f>
        <v>LOGITECH</v>
      </c>
      <c r="F2496" t="str">
        <f>IFERROR(__xludf.DUMMYFUNCTION("""COMPUTED_VALUE"""),"W")</f>
        <v>W</v>
      </c>
      <c r="G2496" t="str">
        <f>IFERROR(__xludf.DUMMYFUNCTION("""COMPUTED_VALUE"""),"AC")</f>
        <v>AC</v>
      </c>
      <c r="H2496">
        <f>IFERROR(__xludf.DUMMYFUNCTION("""COMPUTED_VALUE"""),119.99)</f>
        <v>119.99</v>
      </c>
      <c r="I2496">
        <f>IFERROR(__xludf.DUMMYFUNCTION("""COMPUTED_VALUE"""),93.43)</f>
        <v>93.43</v>
      </c>
      <c r="BD2496" s="2006"/>
      <c r="LL2496" s="2007"/>
      <c r="LM2496" s="2008"/>
      <c r="MX2496" s="2007"/>
      <c r="ND2496" s="2008"/>
    </row>
    <row r="2497">
      <c r="A2497">
        <f>IFERROR(__xludf.DUMMYFUNCTION("""COMPUTED_VALUE"""),1185321.0)</f>
        <v>1185321</v>
      </c>
      <c r="B2497">
        <f>IFERROR(__xludf.DUMMYFUNCTION("""COMPUTED_VALUE"""),2503010.0)</f>
        <v>2503010</v>
      </c>
      <c r="C2497" t="str">
        <f>IFERROR(__xludf.DUMMYFUNCTION("""COMPUTED_VALUE"""),"Casque micro")</f>
        <v>Casque micro</v>
      </c>
      <c r="D2497" t="str">
        <f>IFERROR(__xludf.DUMMYFUNCTION("""COMPUTED_VALUE"""),"Zone Vibe 100 Rose")</f>
        <v>Zone Vibe 100 Rose</v>
      </c>
      <c r="E2497" t="str">
        <f>IFERROR(__xludf.DUMMYFUNCTION("""COMPUTED_VALUE"""),"LOGITECH")</f>
        <v>LOGITECH</v>
      </c>
      <c r="F2497" t="str">
        <f>IFERROR(__xludf.DUMMYFUNCTION("""COMPUTED_VALUE"""),"W")</f>
        <v>W</v>
      </c>
      <c r="G2497" t="str">
        <f>IFERROR(__xludf.DUMMYFUNCTION("""COMPUTED_VALUE"""),"AC")</f>
        <v>AC</v>
      </c>
      <c r="H2497">
        <f>IFERROR(__xludf.DUMMYFUNCTION("""COMPUTED_VALUE"""),119.99)</f>
        <v>119.99</v>
      </c>
      <c r="I2497">
        <f>IFERROR(__xludf.DUMMYFUNCTION("""COMPUTED_VALUE"""),95.04)</f>
        <v>95.04</v>
      </c>
      <c r="BD2497" s="2006"/>
      <c r="LL2497" s="2008"/>
      <c r="LM2497" s="2008"/>
      <c r="MX2497" s="2007"/>
      <c r="ND2497" s="2008"/>
    </row>
    <row r="2498">
      <c r="A2498">
        <f>IFERROR(__xludf.DUMMYFUNCTION("""COMPUTED_VALUE"""),1185404.0)</f>
        <v>1185404</v>
      </c>
      <c r="B2498">
        <f>IFERROR(__xludf.DUMMYFUNCTION("""COMPUTED_VALUE"""),1108005.0)</f>
        <v>1108005</v>
      </c>
      <c r="C2498" t="str">
        <f>IFERROR(__xludf.DUMMYFUNCTION("""COMPUTED_VALUE"""),"Talkie")</f>
        <v>Talkie</v>
      </c>
      <c r="D2498" t="str">
        <f>IFERROR(__xludf.DUMMYFUNCTION("""COMPUTED_VALUE"""),"XT-185")</f>
        <v>XT-185</v>
      </c>
      <c r="E2498" t="str">
        <f>IFERROR(__xludf.DUMMYFUNCTION("""COMPUTED_VALUE"""),"MOTOROLA")</f>
        <v>MOTOROLA</v>
      </c>
      <c r="F2498" t="str">
        <f>IFERROR(__xludf.DUMMYFUNCTION("""COMPUTED_VALUE"""),"W")</f>
        <v>W</v>
      </c>
      <c r="G2498" t="str">
        <f>IFERROR(__xludf.DUMMYFUNCTION("""COMPUTED_VALUE"""),"AC")</f>
        <v>AC</v>
      </c>
      <c r="H2498">
        <f>IFERROR(__xludf.DUMMYFUNCTION("""COMPUTED_VALUE"""),138.99)</f>
        <v>138.99</v>
      </c>
      <c r="I2498">
        <f>IFERROR(__xludf.DUMMYFUNCTION("""COMPUTED_VALUE"""),138.99)</f>
        <v>138.99</v>
      </c>
      <c r="BD2498" s="2006"/>
      <c r="LL2498" s="2007"/>
      <c r="LM2498" s="2008"/>
      <c r="MX2498" s="2007"/>
      <c r="ND2498" s="2007"/>
    </row>
    <row r="2499">
      <c r="A2499">
        <f>IFERROR(__xludf.DUMMYFUNCTION("""COMPUTED_VALUE"""),1185731.0)</f>
        <v>1185731</v>
      </c>
      <c r="B2499">
        <f>IFERROR(__xludf.DUMMYFUNCTION("""COMPUTED_VALUE"""),2502010.0)</f>
        <v>2502010</v>
      </c>
      <c r="C2499" t="str">
        <f>IFERROR(__xludf.DUMMYFUNCTION("""COMPUTED_VALUE"""),"Souris")</f>
        <v>Souris</v>
      </c>
      <c r="D2499" t="str">
        <f>IFERROR(__xludf.DUMMYFUNCTION("""COMPUTED_VALUE"""),"Mx Master 3s pour Mac Gris Sidéral")</f>
        <v>Mx Master 3s pour Mac Gris Sidéral</v>
      </c>
      <c r="E2499" t="str">
        <f>IFERROR(__xludf.DUMMYFUNCTION("""COMPUTED_VALUE"""),"LOGITECH")</f>
        <v>LOGITECH</v>
      </c>
      <c r="F2499" t="str">
        <f>IFERROR(__xludf.DUMMYFUNCTION("""COMPUTED_VALUE"""),"E")</f>
        <v>E</v>
      </c>
      <c r="G2499" t="str">
        <f>IFERROR(__xludf.DUMMYFUNCTION("""COMPUTED_VALUE"""),"AC")</f>
        <v>AC</v>
      </c>
      <c r="H2499">
        <f>IFERROR(__xludf.DUMMYFUNCTION("""COMPUTED_VALUE"""),129.99)</f>
        <v>129.99</v>
      </c>
      <c r="I2499">
        <f>IFERROR(__xludf.DUMMYFUNCTION("""COMPUTED_VALUE"""),89.99)</f>
        <v>89.99</v>
      </c>
      <c r="LM2499" s="2008"/>
    </row>
    <row r="2500">
      <c r="A2500">
        <f>IFERROR(__xludf.DUMMYFUNCTION("""COMPUTED_VALUE"""),1185732.0)</f>
        <v>1185732</v>
      </c>
      <c r="B2500">
        <f>IFERROR(__xludf.DUMMYFUNCTION("""COMPUTED_VALUE"""),2502010.0)</f>
        <v>2502010</v>
      </c>
      <c r="C2500" t="str">
        <f>IFERROR(__xludf.DUMMYFUNCTION("""COMPUTED_VALUE"""),"Souris")</f>
        <v>Souris</v>
      </c>
      <c r="D2500" t="str">
        <f>IFERROR(__xludf.DUMMYFUNCTION("""COMPUTED_VALUE"""),"Mx Master 3s pour Mac Gris Pale")</f>
        <v>Mx Master 3s pour Mac Gris Pale</v>
      </c>
      <c r="E2500" t="str">
        <f>IFERROR(__xludf.DUMMYFUNCTION("""COMPUTED_VALUE"""),"LOGITECH")</f>
        <v>LOGITECH</v>
      </c>
      <c r="F2500" t="str">
        <f>IFERROR(__xludf.DUMMYFUNCTION("""COMPUTED_VALUE"""),"E")</f>
        <v>E</v>
      </c>
      <c r="G2500" t="str">
        <f>IFERROR(__xludf.DUMMYFUNCTION("""COMPUTED_VALUE"""),"AC")</f>
        <v>AC</v>
      </c>
      <c r="H2500">
        <f>IFERROR(__xludf.DUMMYFUNCTION("""COMPUTED_VALUE"""),129.99)</f>
        <v>129.99</v>
      </c>
      <c r="I2500">
        <f>IFERROR(__xludf.DUMMYFUNCTION("""COMPUTED_VALUE"""),89.99)</f>
        <v>89.99</v>
      </c>
      <c r="LM2500" s="2008"/>
    </row>
    <row r="2501">
      <c r="A2501">
        <f>IFERROR(__xludf.DUMMYFUNCTION("""COMPUTED_VALUE"""),1185733.0)</f>
        <v>1185733</v>
      </c>
      <c r="B2501">
        <f>IFERROR(__xludf.DUMMYFUNCTION("""COMPUTED_VALUE"""),2502015.0)</f>
        <v>2502015</v>
      </c>
      <c r="C2501" t="str">
        <f>IFERROR(__xludf.DUMMYFUNCTION("""COMPUTED_VALUE"""),"Clavier")</f>
        <v>Clavier</v>
      </c>
      <c r="D2501" t="str">
        <f>IFERROR(__xludf.DUMMYFUNCTION("""COMPUTED_VALUE"""),"K380 Bluethooth Blueberry pour Mac")</f>
        <v>K380 Bluethooth Blueberry pour Mac</v>
      </c>
      <c r="E2501" t="str">
        <f>IFERROR(__xludf.DUMMYFUNCTION("""COMPUTED_VALUE"""),"LOGITECH")</f>
        <v>LOGITECH</v>
      </c>
      <c r="F2501" t="str">
        <f>IFERROR(__xludf.DUMMYFUNCTION("""COMPUTED_VALUE"""),"W")</f>
        <v>W</v>
      </c>
      <c r="G2501" t="str">
        <f>IFERROR(__xludf.DUMMYFUNCTION("""COMPUTED_VALUE"""),"AC")</f>
        <v>AC</v>
      </c>
      <c r="H2501">
        <f>IFERROR(__xludf.DUMMYFUNCTION("""COMPUTED_VALUE"""),54.99)</f>
        <v>54.99</v>
      </c>
      <c r="I2501">
        <f>IFERROR(__xludf.DUMMYFUNCTION("""COMPUTED_VALUE"""),54.95)</f>
        <v>54.95</v>
      </c>
      <c r="LM2501" s="2008"/>
    </row>
    <row r="2502">
      <c r="A2502">
        <f>IFERROR(__xludf.DUMMYFUNCTION("""COMPUTED_VALUE"""),1185814.0)</f>
        <v>1185814</v>
      </c>
      <c r="B2502">
        <f>IFERROR(__xludf.DUMMYFUNCTION("""COMPUTED_VALUE"""),2201099.0)</f>
        <v>2201099</v>
      </c>
      <c r="C2502" t="str">
        <f>IFERROR(__xludf.DUMMYFUNCTION("""COMPUTED_VALUE"""),"Découpeuse")</f>
        <v>Découpeuse</v>
      </c>
      <c r="D2502" t="str">
        <f>IFERROR(__xludf.DUMMYFUNCTION("""COMPUTED_VALUE"""),"Pack Joy")</f>
        <v>Pack Joy</v>
      </c>
      <c r="E2502" t="str">
        <f>IFERROR(__xludf.DUMMYFUNCTION("""COMPUTED_VALUE"""),"CRICUT")</f>
        <v>CRICUT</v>
      </c>
      <c r="F2502" t="str">
        <f>IFERROR(__xludf.DUMMYFUNCTION("""COMPUTED_VALUE"""),"D")</f>
        <v>D</v>
      </c>
      <c r="G2502" t="str">
        <f>IFERROR(__xludf.DUMMYFUNCTION("""COMPUTED_VALUE"""),"AC")</f>
        <v>AC</v>
      </c>
      <c r="H2502">
        <f>IFERROR(__xludf.DUMMYFUNCTION("""COMPUTED_VALUE"""),219.99)</f>
        <v>219.99</v>
      </c>
      <c r="I2502">
        <f>IFERROR(__xludf.DUMMYFUNCTION("""COMPUTED_VALUE"""),219.99)</f>
        <v>219.99</v>
      </c>
      <c r="LM2502" s="2008"/>
    </row>
    <row r="2503">
      <c r="A2503">
        <f>IFERROR(__xludf.DUMMYFUNCTION("""COMPUTED_VALUE"""),1185815.0)</f>
        <v>1185815</v>
      </c>
      <c r="B2503">
        <f>IFERROR(__xludf.DUMMYFUNCTION("""COMPUTED_VALUE"""),2201099.0)</f>
        <v>2201099</v>
      </c>
      <c r="C2503" t="str">
        <f>IFERROR(__xludf.DUMMYFUNCTION("""COMPUTED_VALUE"""),"Découpeuse")</f>
        <v>Découpeuse</v>
      </c>
      <c r="D2503" t="str">
        <f>IFERROR(__xludf.DUMMYFUNCTION("""COMPUTED_VALUE"""),"Pack Mugpress")</f>
        <v>Pack Mugpress</v>
      </c>
      <c r="E2503" t="str">
        <f>IFERROR(__xludf.DUMMYFUNCTION("""COMPUTED_VALUE"""),"CRICUT")</f>
        <v>CRICUT</v>
      </c>
      <c r="F2503" t="str">
        <f>IFERROR(__xludf.DUMMYFUNCTION("""COMPUTED_VALUE"""),"H")</f>
        <v>H</v>
      </c>
      <c r="G2503" t="str">
        <f>IFERROR(__xludf.DUMMYFUNCTION("""COMPUTED_VALUE"""),"AC")</f>
        <v>AC</v>
      </c>
      <c r="H2503">
        <f>IFERROR(__xludf.DUMMYFUNCTION("""COMPUTED_VALUE"""),239.99)</f>
        <v>239.99</v>
      </c>
      <c r="I2503">
        <f>IFERROR(__xludf.DUMMYFUNCTION("""COMPUTED_VALUE"""),239.99)</f>
        <v>239.99</v>
      </c>
      <c r="LM2503" s="2008"/>
    </row>
    <row r="2504">
      <c r="A2504">
        <f>IFERROR(__xludf.DUMMYFUNCTION("""COMPUTED_VALUE"""),1185816.0)</f>
        <v>1185816</v>
      </c>
      <c r="B2504">
        <f>IFERROR(__xludf.DUMMYFUNCTION("""COMPUTED_VALUE"""),2403006.0)</f>
        <v>2403006</v>
      </c>
      <c r="C2504" t="str">
        <f>IFERROR(__xludf.DUMMYFUNCTION("""COMPUTED_VALUE"""),"Film")</f>
        <v>Film</v>
      </c>
      <c r="D2504" t="str">
        <f>IFERROR(__xludf.DUMMYFUNCTION("""COMPUTED_VALUE"""),"Pack Smart Materials")</f>
        <v>Pack Smart Materials</v>
      </c>
      <c r="E2504" t="str">
        <f>IFERROR(__xludf.DUMMYFUNCTION("""COMPUTED_VALUE"""),"CRICUT")</f>
        <v>CRICUT</v>
      </c>
      <c r="F2504" t="str">
        <f>IFERROR(__xludf.DUMMYFUNCTION("""COMPUTED_VALUE"""),"E")</f>
        <v>E</v>
      </c>
      <c r="G2504" t="str">
        <f>IFERROR(__xludf.DUMMYFUNCTION("""COMPUTED_VALUE"""),"AC")</f>
        <v>AC</v>
      </c>
      <c r="H2504">
        <f>IFERROR(__xludf.DUMMYFUNCTION("""COMPUTED_VALUE"""),49.99)</f>
        <v>49.99</v>
      </c>
      <c r="I2504">
        <f>IFERROR(__xludf.DUMMYFUNCTION("""COMPUTED_VALUE"""),38.45)</f>
        <v>38.45</v>
      </c>
      <c r="LM2504" s="2008"/>
    </row>
    <row r="2505">
      <c r="A2505">
        <f>IFERROR(__xludf.DUMMYFUNCTION("""COMPUTED_VALUE"""),1186066.0)</f>
        <v>1186066</v>
      </c>
      <c r="B2505">
        <f>IFERROR(__xludf.DUMMYFUNCTION("""COMPUTED_VALUE"""),2502024.0)</f>
        <v>2502024</v>
      </c>
      <c r="C2505" t="str">
        <f>IFERROR(__xludf.DUMMYFUNCTION("""COMPUTED_VALUE"""),"Stylet")</f>
        <v>Stylet</v>
      </c>
      <c r="D2505" t="str">
        <f>IFERROR(__xludf.DUMMYFUNCTION("""COMPUTED_VALUE"""),"Pencil 1ST Génération USB C")</f>
        <v>Pencil 1ST Génération USB C</v>
      </c>
      <c r="E2505" t="str">
        <f>IFERROR(__xludf.DUMMYFUNCTION("""COMPUTED_VALUE"""),"APPLE")</f>
        <v>APPLE</v>
      </c>
      <c r="F2505" t="str">
        <f>IFERROR(__xludf.DUMMYFUNCTION("""COMPUTED_VALUE"""),"A")</f>
        <v>A</v>
      </c>
      <c r="G2505" t="str">
        <f>IFERROR(__xludf.DUMMYFUNCTION("""COMPUTED_VALUE"""),"AC")</f>
        <v>AC</v>
      </c>
      <c r="H2505">
        <f>IFERROR(__xludf.DUMMYFUNCTION("""COMPUTED_VALUE"""),119.0)</f>
        <v>119</v>
      </c>
      <c r="I2505">
        <f>IFERROR(__xludf.DUMMYFUNCTION("""COMPUTED_VALUE"""),119.0)</f>
        <v>119</v>
      </c>
      <c r="LM2505" s="2008"/>
    </row>
    <row r="2506">
      <c r="A2506">
        <f>IFERROR(__xludf.DUMMYFUNCTION("""COMPUTED_VALUE"""),1186068.0)</f>
        <v>1186068</v>
      </c>
      <c r="B2506">
        <f>IFERROR(__xludf.DUMMYFUNCTION("""COMPUTED_VALUE"""),2502024.0)</f>
        <v>2502024</v>
      </c>
      <c r="C2506" t="str">
        <f>IFERROR(__xludf.DUMMYFUNCTION("""COMPUTED_VALUE"""),"Stylet")</f>
        <v>Stylet</v>
      </c>
      <c r="D2506" t="str">
        <f>IFERROR(__xludf.DUMMYFUNCTION("""COMPUTED_VALUE"""),"Adaptateur USB C Pencil")</f>
        <v>Adaptateur USB C Pencil</v>
      </c>
      <c r="E2506" t="str">
        <f>IFERROR(__xludf.DUMMYFUNCTION("""COMPUTED_VALUE"""),"APPLE")</f>
        <v>APPLE</v>
      </c>
      <c r="F2506" t="str">
        <f>IFERROR(__xludf.DUMMYFUNCTION("""COMPUTED_VALUE"""),"A")</f>
        <v>A</v>
      </c>
      <c r="G2506" t="str">
        <f>IFERROR(__xludf.DUMMYFUNCTION("""COMPUTED_VALUE"""),"AC")</f>
        <v>AC</v>
      </c>
      <c r="H2506">
        <f>IFERROR(__xludf.DUMMYFUNCTION("""COMPUTED_VALUE"""),10.0)</f>
        <v>10</v>
      </c>
      <c r="I2506">
        <f>IFERROR(__xludf.DUMMYFUNCTION("""COMPUTED_VALUE"""),10.0)</f>
        <v>10</v>
      </c>
      <c r="LM2506" s="2008"/>
    </row>
    <row r="2507">
      <c r="A2507">
        <f>IFERROR(__xludf.DUMMYFUNCTION("""COMPUTED_VALUE"""),1186184.0)</f>
        <v>1186184</v>
      </c>
      <c r="B2507">
        <f>IFERROR(__xludf.DUMMYFUNCTION("""COMPUTED_VALUE"""),2502024.0)</f>
        <v>2502024</v>
      </c>
      <c r="C2507" t="str">
        <f>IFERROR(__xludf.DUMMYFUNCTION("""COMPUTED_VALUE"""),"Stylet")</f>
        <v>Stylet</v>
      </c>
      <c r="D2507" t="str">
        <f>IFERROR(__xludf.DUMMYFUNCTION("""COMPUTED_VALUE"""),"Démo Pencil 1ST Génération USB C")</f>
        <v>Démo Pencil 1ST Génération USB C</v>
      </c>
      <c r="E2507" t="str">
        <f>IFERROR(__xludf.DUMMYFUNCTION("""COMPUTED_VALUE"""),"APPLE")</f>
        <v>APPLE</v>
      </c>
      <c r="F2507" t="str">
        <f>IFERROR(__xludf.DUMMYFUNCTION("""COMPUTED_VALUE"""),"A")</f>
        <v>A</v>
      </c>
      <c r="G2507" t="str">
        <f>IFERROR(__xludf.DUMMYFUNCTION("""COMPUTED_VALUE"""),"NN")</f>
        <v>NN</v>
      </c>
      <c r="H2507">
        <f>IFERROR(__xludf.DUMMYFUNCTION("""COMPUTED_VALUE"""),999.99)</f>
        <v>999.99</v>
      </c>
      <c r="I2507">
        <f>IFERROR(__xludf.DUMMYFUNCTION("""COMPUTED_VALUE"""),999.99)</f>
        <v>999.99</v>
      </c>
      <c r="LM2507" s="2008"/>
    </row>
    <row r="2508">
      <c r="A2508">
        <f>IFERROR(__xludf.DUMMYFUNCTION("""COMPUTED_VALUE"""),1186185.0)</f>
        <v>1186185</v>
      </c>
      <c r="B2508">
        <f>IFERROR(__xludf.DUMMYFUNCTION("""COMPUTED_VALUE"""),2502024.0)</f>
        <v>2502024</v>
      </c>
      <c r="C2508" t="str">
        <f>IFERROR(__xludf.DUMMYFUNCTION("""COMPUTED_VALUE"""),"Stylet")</f>
        <v>Stylet</v>
      </c>
      <c r="D2508" t="str">
        <f>IFERROR(__xludf.DUMMYFUNCTION("""COMPUTED_VALUE"""),"démo Adaptateur USB C Pencil")</f>
        <v>démo Adaptateur USB C Pencil</v>
      </c>
      <c r="E2508" t="str">
        <f>IFERROR(__xludf.DUMMYFUNCTION("""COMPUTED_VALUE"""),"APPLE")</f>
        <v>APPLE</v>
      </c>
      <c r="F2508" t="str">
        <f>IFERROR(__xludf.DUMMYFUNCTION("""COMPUTED_VALUE"""),"A")</f>
        <v>A</v>
      </c>
      <c r="G2508" t="str">
        <f>IFERROR(__xludf.DUMMYFUNCTION("""COMPUTED_VALUE"""),"NN")</f>
        <v>NN</v>
      </c>
      <c r="H2508">
        <f>IFERROR(__xludf.DUMMYFUNCTION("""COMPUTED_VALUE"""),999.99)</f>
        <v>999.99</v>
      </c>
      <c r="I2508">
        <f>IFERROR(__xludf.DUMMYFUNCTION("""COMPUTED_VALUE"""),999.99)</f>
        <v>999.99</v>
      </c>
      <c r="BD2508" s="2006"/>
      <c r="LL2508" s="2007"/>
      <c r="LM2508" s="2008"/>
      <c r="MX2508" s="2007"/>
      <c r="ND2508" s="2008"/>
    </row>
    <row r="2509">
      <c r="A2509">
        <f>IFERROR(__xludf.DUMMYFUNCTION("""COMPUTED_VALUE"""),1186322.0)</f>
        <v>1186322</v>
      </c>
      <c r="B2509">
        <f>IFERROR(__xludf.DUMMYFUNCTION("""COMPUTED_VALUE"""),2502040.0)</f>
        <v>2502040</v>
      </c>
      <c r="C2509" t="str">
        <f>IFERROR(__xludf.DUMMYFUNCTION("""COMPUTED_VALUE"""),"Clavier")</f>
        <v>Clavier</v>
      </c>
      <c r="D2509" t="str">
        <f>IFERROR(__xludf.DUMMYFUNCTION("""COMPUTED_VALUE"""),"Demo unit Clavier signature Surface Pro")</f>
        <v>Demo unit Clavier signature Surface Pro</v>
      </c>
      <c r="E2509" t="str">
        <f>IFERROR(__xludf.DUMMYFUNCTION("""COMPUTED_VALUE"""),"MICROSOFT")</f>
        <v>MICROSOFT</v>
      </c>
      <c r="F2509" t="str">
        <f>IFERROR(__xludf.DUMMYFUNCTION("""COMPUTED_VALUE"""),"H")</f>
        <v>H</v>
      </c>
      <c r="G2509" t="str">
        <f>IFERROR(__xludf.DUMMYFUNCTION("""COMPUTED_VALUE"""),"NN")</f>
        <v>NN</v>
      </c>
      <c r="H2509">
        <f>IFERROR(__xludf.DUMMYFUNCTION("""COMPUTED_VALUE"""),999.99)</f>
        <v>999.99</v>
      </c>
      <c r="I2509">
        <f>IFERROR(__xludf.DUMMYFUNCTION("""COMPUTED_VALUE"""),999.99)</f>
        <v>999.99</v>
      </c>
      <c r="BD2509" s="2006"/>
      <c r="LL2509" s="2008"/>
      <c r="LM2509" s="2008"/>
      <c r="MX2509" s="2007"/>
      <c r="ND2509" s="2008"/>
    </row>
    <row r="2510">
      <c r="A2510">
        <f>IFERROR(__xludf.DUMMYFUNCTION("""COMPUTED_VALUE"""),1186421.0)</f>
        <v>1186421</v>
      </c>
      <c r="B2510">
        <f>IFERROR(__xludf.DUMMYFUNCTION("""COMPUTED_VALUE"""),2502012.0)</f>
        <v>2502012</v>
      </c>
      <c r="C2510" t="str">
        <f>IFERROR(__xludf.DUMMYFUNCTION("""COMPUTED_VALUE"""),"STICKER")</f>
        <v>STICKER</v>
      </c>
      <c r="D2510" t="str">
        <f>IFERROR(__xludf.DUMMYFUNCTION("""COMPUTED_VALUE"""),"GAMME A")</f>
        <v>GAMME A</v>
      </c>
      <c r="E2510" t="str">
        <f>IFERROR(__xludf.DUMMYFUNCTION("""COMPUTED_VALUE"""),"WACOM")</f>
        <v>WACOM</v>
      </c>
      <c r="F2510" t="str">
        <f>IFERROR(__xludf.DUMMYFUNCTION("""COMPUTED_VALUE"""),"H")</f>
        <v>H</v>
      </c>
      <c r="G2510" t="str">
        <f>IFERROR(__xludf.DUMMYFUNCTION("""COMPUTED_VALUE"""),"NN")</f>
        <v>NN</v>
      </c>
      <c r="H2510">
        <f>IFERROR(__xludf.DUMMYFUNCTION("""COMPUTED_VALUE"""),0.01)</f>
        <v>0.01</v>
      </c>
      <c r="I2510">
        <f>IFERROR(__xludf.DUMMYFUNCTION("""COMPUTED_VALUE"""),0.01)</f>
        <v>0.01</v>
      </c>
      <c r="BD2510" s="2006"/>
      <c r="LL2510" s="2008"/>
      <c r="LM2510" s="2008"/>
      <c r="MX2510" s="2007"/>
      <c r="ND2510" s="2008"/>
    </row>
    <row r="2511">
      <c r="A2511">
        <f>IFERROR(__xludf.DUMMYFUNCTION("""COMPUTED_VALUE"""),1186422.0)</f>
        <v>1186422</v>
      </c>
      <c r="B2511">
        <f>IFERROR(__xludf.DUMMYFUNCTION("""COMPUTED_VALUE"""),2502012.0)</f>
        <v>2502012</v>
      </c>
      <c r="C2511" t="str">
        <f>IFERROR(__xludf.DUMMYFUNCTION("""COMPUTED_VALUE"""),"STICKER")</f>
        <v>STICKER</v>
      </c>
      <c r="D2511" t="str">
        <f>IFERROR(__xludf.DUMMYFUNCTION("""COMPUTED_VALUE"""),"GAMME B")</f>
        <v>GAMME B</v>
      </c>
      <c r="E2511" t="str">
        <f>IFERROR(__xludf.DUMMYFUNCTION("""COMPUTED_VALUE"""),"WACOM")</f>
        <v>WACOM</v>
      </c>
      <c r="F2511" t="str">
        <f>IFERROR(__xludf.DUMMYFUNCTION("""COMPUTED_VALUE"""),"H")</f>
        <v>H</v>
      </c>
      <c r="G2511" t="str">
        <f>IFERROR(__xludf.DUMMYFUNCTION("""COMPUTED_VALUE"""),"NN")</f>
        <v>NN</v>
      </c>
      <c r="H2511">
        <f>IFERROR(__xludf.DUMMYFUNCTION("""COMPUTED_VALUE"""),0.01)</f>
        <v>0.01</v>
      </c>
      <c r="I2511">
        <f>IFERROR(__xludf.DUMMYFUNCTION("""COMPUTED_VALUE"""),0.01)</f>
        <v>0.01</v>
      </c>
      <c r="BD2511" s="2006"/>
      <c r="LL2511" s="2008"/>
      <c r="LM2511" s="2008"/>
      <c r="MX2511" s="2007"/>
      <c r="ND2511" s="2008"/>
    </row>
    <row r="2512">
      <c r="A2512">
        <f>IFERROR(__xludf.DUMMYFUNCTION("""COMPUTED_VALUE"""),1186423.0)</f>
        <v>1186423</v>
      </c>
      <c r="B2512">
        <f>IFERROR(__xludf.DUMMYFUNCTION("""COMPUTED_VALUE"""),2502012.0)</f>
        <v>2502012</v>
      </c>
      <c r="C2512" t="str">
        <f>IFERROR(__xludf.DUMMYFUNCTION("""COMPUTED_VALUE"""),"STICKER")</f>
        <v>STICKER</v>
      </c>
      <c r="D2512" t="str">
        <f>IFERROR(__xludf.DUMMYFUNCTION("""COMPUTED_VALUE"""),"GAMME C")</f>
        <v>GAMME C</v>
      </c>
      <c r="E2512" t="str">
        <f>IFERROR(__xludf.DUMMYFUNCTION("""COMPUTED_VALUE"""),"WACOM")</f>
        <v>WACOM</v>
      </c>
      <c r="F2512" t="str">
        <f>IFERROR(__xludf.DUMMYFUNCTION("""COMPUTED_VALUE"""),"H")</f>
        <v>H</v>
      </c>
      <c r="G2512" t="str">
        <f>IFERROR(__xludf.DUMMYFUNCTION("""COMPUTED_VALUE"""),"NN")</f>
        <v>NN</v>
      </c>
      <c r="H2512">
        <f>IFERROR(__xludf.DUMMYFUNCTION("""COMPUTED_VALUE"""),0.01)</f>
        <v>0.01</v>
      </c>
      <c r="I2512">
        <f>IFERROR(__xludf.DUMMYFUNCTION("""COMPUTED_VALUE"""),0.01)</f>
        <v>0.01</v>
      </c>
      <c r="LL2512" s="2007"/>
      <c r="LM2512" s="2008"/>
    </row>
    <row r="2513">
      <c r="A2513">
        <f>IFERROR(__xludf.DUMMYFUNCTION("""COMPUTED_VALUE"""),1186424.0)</f>
        <v>1186424</v>
      </c>
      <c r="B2513">
        <f>IFERROR(__xludf.DUMMYFUNCTION("""COMPUTED_VALUE"""),2502012.0)</f>
        <v>2502012</v>
      </c>
      <c r="C2513" t="str">
        <f>IFERROR(__xludf.DUMMYFUNCTION("""COMPUTED_VALUE"""),"STICKER")</f>
        <v>STICKER</v>
      </c>
      <c r="D2513" t="str">
        <f>IFERROR(__xludf.DUMMYFUNCTION("""COMPUTED_VALUE"""),"GAMME D")</f>
        <v>GAMME D</v>
      </c>
      <c r="E2513" t="str">
        <f>IFERROR(__xludf.DUMMYFUNCTION("""COMPUTED_VALUE"""),"WACOM")</f>
        <v>WACOM</v>
      </c>
      <c r="F2513" t="str">
        <f>IFERROR(__xludf.DUMMYFUNCTION("""COMPUTED_VALUE"""),"H")</f>
        <v>H</v>
      </c>
      <c r="G2513" t="str">
        <f>IFERROR(__xludf.DUMMYFUNCTION("""COMPUTED_VALUE"""),"NN")</f>
        <v>NN</v>
      </c>
      <c r="H2513">
        <f>IFERROR(__xludf.DUMMYFUNCTION("""COMPUTED_VALUE"""),0.01)</f>
        <v>0.01</v>
      </c>
      <c r="I2513">
        <f>IFERROR(__xludf.DUMMYFUNCTION("""COMPUTED_VALUE"""),0.01)</f>
        <v>0.01</v>
      </c>
      <c r="BD2513" s="2006"/>
      <c r="LL2513" s="2008"/>
      <c r="LM2513" s="2008"/>
      <c r="MX2513" s="2007"/>
      <c r="ND2513" s="2008"/>
    </row>
    <row r="2514">
      <c r="A2514">
        <f>IFERROR(__xludf.DUMMYFUNCTION("""COMPUTED_VALUE"""),1186433.0)</f>
        <v>1186433</v>
      </c>
      <c r="B2514">
        <f>IFERROR(__xludf.DUMMYFUNCTION("""COMPUTED_VALUE"""),2502010.0)</f>
        <v>2502010</v>
      </c>
      <c r="C2514" t="str">
        <f>IFERROR(__xludf.DUMMYFUNCTION("""COMPUTED_VALUE"""),"Souris")</f>
        <v>Souris</v>
      </c>
      <c r="D2514" t="str">
        <f>IFERROR(__xludf.DUMMYFUNCTION("""COMPUTED_VALUE"""),"Lift pour Mac Ergonomique")</f>
        <v>Lift pour Mac Ergonomique</v>
      </c>
      <c r="E2514" t="str">
        <f>IFERROR(__xludf.DUMMYFUNCTION("""COMPUTED_VALUE"""),"LOGITECH")</f>
        <v>LOGITECH</v>
      </c>
      <c r="F2514" t="str">
        <f>IFERROR(__xludf.DUMMYFUNCTION("""COMPUTED_VALUE"""),"E")</f>
        <v>E</v>
      </c>
      <c r="G2514" t="str">
        <f>IFERROR(__xludf.DUMMYFUNCTION("""COMPUTED_VALUE"""),"AC")</f>
        <v>AC</v>
      </c>
      <c r="H2514">
        <f>IFERROR(__xludf.DUMMYFUNCTION("""COMPUTED_VALUE"""),79.99)</f>
        <v>79.99</v>
      </c>
      <c r="I2514">
        <f>IFERROR(__xludf.DUMMYFUNCTION("""COMPUTED_VALUE"""),79.99)</f>
        <v>79.99</v>
      </c>
      <c r="BD2514" s="2006"/>
      <c r="LL2514" s="2008"/>
      <c r="LM2514" s="2008"/>
      <c r="MX2514" s="2007"/>
      <c r="ND2514" s="2008"/>
    </row>
    <row r="2515">
      <c r="A2515">
        <f>IFERROR(__xludf.DUMMYFUNCTION("""COMPUTED_VALUE"""),1186434.0)</f>
        <v>1186434</v>
      </c>
      <c r="B2515">
        <f>IFERROR(__xludf.DUMMYFUNCTION("""COMPUTED_VALUE"""),2502015.0)</f>
        <v>2502015</v>
      </c>
      <c r="C2515" t="str">
        <f>IFERROR(__xludf.DUMMYFUNCTION("""COMPUTED_VALUE"""),"Clavier")</f>
        <v>Clavier</v>
      </c>
      <c r="D2515" t="str">
        <f>IFERROR(__xludf.DUMMYFUNCTION("""COMPUTED_VALUE"""),"MX Mechanical Mini pour Mac Gris Sideral")</f>
        <v>MX Mechanical Mini pour Mac Gris Sideral</v>
      </c>
      <c r="E2515" t="str">
        <f>IFERROR(__xludf.DUMMYFUNCTION("""COMPUTED_VALUE"""),"LOGITECH")</f>
        <v>LOGITECH</v>
      </c>
      <c r="F2515" t="str">
        <f>IFERROR(__xludf.DUMMYFUNCTION("""COMPUTED_VALUE"""),"W")</f>
        <v>W</v>
      </c>
      <c r="G2515" t="str">
        <f>IFERROR(__xludf.DUMMYFUNCTION("""COMPUTED_VALUE"""),"AC")</f>
        <v>AC</v>
      </c>
      <c r="H2515">
        <f>IFERROR(__xludf.DUMMYFUNCTION("""COMPUTED_VALUE"""),179.99)</f>
        <v>179.99</v>
      </c>
      <c r="I2515">
        <f>IFERROR(__xludf.DUMMYFUNCTION("""COMPUTED_VALUE"""),119.99)</f>
        <v>119.99</v>
      </c>
      <c r="BD2515" s="2006"/>
      <c r="LL2515" s="2008"/>
      <c r="LM2515" s="2008"/>
      <c r="MX2515" s="2007"/>
      <c r="ND2515" s="2008"/>
    </row>
    <row r="2516">
      <c r="A2516">
        <f>IFERROR(__xludf.DUMMYFUNCTION("""COMPUTED_VALUE"""),1186440.0)</f>
        <v>1186440</v>
      </c>
      <c r="B2516">
        <f>IFERROR(__xludf.DUMMYFUNCTION("""COMPUTED_VALUE"""),2502015.0)</f>
        <v>2502015</v>
      </c>
      <c r="C2516" t="str">
        <f>IFERROR(__xludf.DUMMYFUNCTION("""COMPUTED_VALUE"""),"Clavier")</f>
        <v>Clavier</v>
      </c>
      <c r="D2516" t="str">
        <f>IFERROR(__xludf.DUMMYFUNCTION("""COMPUTED_VALUE"""),"MX Mechanical Mini pour Mac Gris Pale")</f>
        <v>MX Mechanical Mini pour Mac Gris Pale</v>
      </c>
      <c r="E2516" t="str">
        <f>IFERROR(__xludf.DUMMYFUNCTION("""COMPUTED_VALUE"""),"LOGITECH")</f>
        <v>LOGITECH</v>
      </c>
      <c r="F2516" t="str">
        <f>IFERROR(__xludf.DUMMYFUNCTION("""COMPUTED_VALUE"""),"W")</f>
        <v>W</v>
      </c>
      <c r="G2516" t="str">
        <f>IFERROR(__xludf.DUMMYFUNCTION("""COMPUTED_VALUE"""),"AC")</f>
        <v>AC</v>
      </c>
      <c r="H2516">
        <f>IFERROR(__xludf.DUMMYFUNCTION("""COMPUTED_VALUE"""),179.99)</f>
        <v>179.99</v>
      </c>
      <c r="I2516">
        <f>IFERROR(__xludf.DUMMYFUNCTION("""COMPUTED_VALUE"""),117.99)</f>
        <v>117.99</v>
      </c>
      <c r="BD2516" s="2006"/>
      <c r="LL2516" s="2008"/>
      <c r="LM2516" s="2008"/>
      <c r="MX2516" s="2007"/>
      <c r="ND2516" s="2008"/>
    </row>
    <row r="2517">
      <c r="A2517">
        <f>IFERROR(__xludf.DUMMYFUNCTION("""COMPUTED_VALUE"""),1186542.0)</f>
        <v>1186542</v>
      </c>
      <c r="B2517">
        <f>IFERROR(__xludf.DUMMYFUNCTION("""COMPUTED_VALUE"""),2201099.0)</f>
        <v>2201099</v>
      </c>
      <c r="C2517" t="str">
        <f>IFERROR(__xludf.DUMMYFUNCTION("""COMPUTED_VALUE"""),"Imprimante")</f>
        <v>Imprimante</v>
      </c>
      <c r="D2517" t="str">
        <f>IFERROR(__xludf.DUMMYFUNCTION("""COMPUTED_VALUE"""),"etiquette adresse SL41")</f>
        <v>etiquette adresse SL41</v>
      </c>
      <c r="E2517" t="str">
        <f>IFERROR(__xludf.DUMMYFUNCTION("""COMPUTED_VALUE"""),"HPRT")</f>
        <v>HPRT</v>
      </c>
      <c r="F2517" t="str">
        <f>IFERROR(__xludf.DUMMYFUNCTION("""COMPUTED_VALUE"""),"W")</f>
        <v>W</v>
      </c>
      <c r="G2517" t="str">
        <f>IFERROR(__xludf.DUMMYFUNCTION("""COMPUTED_VALUE"""),"NN")</f>
        <v>NN</v>
      </c>
      <c r="H2517">
        <f>IFERROR(__xludf.DUMMYFUNCTION("""COMPUTED_VALUE"""),169.99)</f>
        <v>169.99</v>
      </c>
      <c r="I2517">
        <f>IFERROR(__xludf.DUMMYFUNCTION("""COMPUTED_VALUE"""),169.99)</f>
        <v>169.99</v>
      </c>
      <c r="BD2517" s="2006"/>
      <c r="LL2517" s="2008"/>
      <c r="LM2517" s="2008"/>
      <c r="MX2517" s="2007"/>
      <c r="ND2517" s="2008"/>
    </row>
    <row r="2518">
      <c r="A2518">
        <f>IFERROR(__xludf.DUMMYFUNCTION("""COMPUTED_VALUE"""),1186597.0)</f>
        <v>1186597</v>
      </c>
      <c r="B2518">
        <f>IFERROR(__xludf.DUMMYFUNCTION("""COMPUTED_VALUE"""),2403005.0)</f>
        <v>2403005</v>
      </c>
      <c r="C2518" t="str">
        <f>IFERROR(__xludf.DUMMYFUNCTION("""COMPUTED_VALUE"""),"Pack")</f>
        <v>Pack</v>
      </c>
      <c r="D2518" t="str">
        <f>IFERROR(__xludf.DUMMYFUNCTION("""COMPUTED_VALUE"""),"2 cartouches N 305 Noir C/Y/M")</f>
        <v>2 cartouches N 305 Noir C/Y/M</v>
      </c>
      <c r="E2518" t="str">
        <f>IFERROR(__xludf.DUMMYFUNCTION("""COMPUTED_VALUE"""),"HP")</f>
        <v>HP</v>
      </c>
      <c r="F2518" t="str">
        <f>IFERROR(__xludf.DUMMYFUNCTION("""COMPUTED_VALUE"""),"A")</f>
        <v>A</v>
      </c>
      <c r="G2518" t="str">
        <f>IFERROR(__xludf.DUMMYFUNCTION("""COMPUTED_VALUE"""),"AC")</f>
        <v>AC</v>
      </c>
      <c r="H2518">
        <f>IFERROR(__xludf.DUMMYFUNCTION("""COMPUTED_VALUE"""),26.01)</f>
        <v>26.01</v>
      </c>
      <c r="I2518">
        <f>IFERROR(__xludf.DUMMYFUNCTION("""COMPUTED_VALUE"""),26.01)</f>
        <v>26.01</v>
      </c>
      <c r="BD2518" s="2006"/>
      <c r="LL2518" s="2008"/>
      <c r="LM2518" s="2008"/>
      <c r="MX2518" s="2007"/>
      <c r="ND2518" s="2008"/>
    </row>
    <row r="2519">
      <c r="A2519">
        <f>IFERROR(__xludf.DUMMYFUNCTION("""COMPUTED_VALUE"""),1186598.0)</f>
        <v>1186598</v>
      </c>
      <c r="B2519">
        <f>IFERROR(__xludf.DUMMYFUNCTION("""COMPUTED_VALUE"""),2502015.0)</f>
        <v>2502015</v>
      </c>
      <c r="C2519" t="str">
        <f>IFERROR(__xludf.DUMMYFUNCTION("""COMPUTED_VALUE"""),"Clavier")</f>
        <v>Clavier</v>
      </c>
      <c r="D2519" t="str">
        <f>IFERROR(__xludf.DUMMYFUNCTION("""COMPUTED_VALUE"""),"K380 Bluetooth Lavande")</f>
        <v>K380 Bluetooth Lavande</v>
      </c>
      <c r="E2519" t="str">
        <f>IFERROR(__xludf.DUMMYFUNCTION("""COMPUTED_VALUE"""),"LOGITECH")</f>
        <v>LOGITECH</v>
      </c>
      <c r="F2519" t="str">
        <f>IFERROR(__xludf.DUMMYFUNCTION("""COMPUTED_VALUE"""),"W")</f>
        <v>W</v>
      </c>
      <c r="G2519" t="str">
        <f>IFERROR(__xludf.DUMMYFUNCTION("""COMPUTED_VALUE"""),"FR")</f>
        <v>FR</v>
      </c>
      <c r="H2519">
        <f>IFERROR(__xludf.DUMMYFUNCTION("""COMPUTED_VALUE"""),54.98)</f>
        <v>54.98</v>
      </c>
      <c r="I2519">
        <f>IFERROR(__xludf.DUMMYFUNCTION("""COMPUTED_VALUE"""),54.95)</f>
        <v>54.95</v>
      </c>
      <c r="BD2519" s="2006"/>
      <c r="LL2519" s="2008"/>
      <c r="LM2519" s="2008"/>
      <c r="MX2519" s="2007"/>
      <c r="ND2519" s="2008"/>
    </row>
    <row r="2520">
      <c r="A2520">
        <f>IFERROR(__xludf.DUMMYFUNCTION("""COMPUTED_VALUE"""),1186599.0)</f>
        <v>1186599</v>
      </c>
      <c r="B2520">
        <f>IFERROR(__xludf.DUMMYFUNCTION("""COMPUTED_VALUE"""),2502010.0)</f>
        <v>2502010</v>
      </c>
      <c r="C2520" t="str">
        <f>IFERROR(__xludf.DUMMYFUNCTION("""COMPUTED_VALUE"""),"Souris")</f>
        <v>Souris</v>
      </c>
      <c r="D2520" t="str">
        <f>IFERROR(__xludf.DUMMYFUNCTION("""COMPUTED_VALUE"""),"Pebble M350 Wireless Lavande")</f>
        <v>Pebble M350 Wireless Lavande</v>
      </c>
      <c r="E2520" t="str">
        <f>IFERROR(__xludf.DUMMYFUNCTION("""COMPUTED_VALUE"""),"LOGITECH")</f>
        <v>LOGITECH</v>
      </c>
      <c r="F2520" t="str">
        <f>IFERROR(__xludf.DUMMYFUNCTION("""COMPUTED_VALUE"""),"W")</f>
        <v>W</v>
      </c>
      <c r="G2520" t="str">
        <f>IFERROR(__xludf.DUMMYFUNCTION("""COMPUTED_VALUE"""),"AC")</f>
        <v>AC</v>
      </c>
      <c r="H2520">
        <f>IFERROR(__xludf.DUMMYFUNCTION("""COMPUTED_VALUE"""),27.99)</f>
        <v>27.99</v>
      </c>
      <c r="I2520">
        <f>IFERROR(__xludf.DUMMYFUNCTION("""COMPUTED_VALUE"""),27.99)</f>
        <v>27.99</v>
      </c>
      <c r="BD2520" s="2006"/>
      <c r="LL2520" s="2008"/>
      <c r="LM2520" s="2008"/>
      <c r="MX2520" s="2007"/>
      <c r="ND2520" s="2008"/>
    </row>
    <row r="2521">
      <c r="A2521">
        <f>IFERROR(__xludf.DUMMYFUNCTION("""COMPUTED_VALUE"""),1186600.0)</f>
        <v>1186600</v>
      </c>
      <c r="B2521">
        <f>IFERROR(__xludf.DUMMYFUNCTION("""COMPUTED_VALUE"""),2502010.0)</f>
        <v>2502010</v>
      </c>
      <c r="C2521" t="str">
        <f>IFERROR(__xludf.DUMMYFUNCTION("""COMPUTED_VALUE"""),"Souris")</f>
        <v>Souris</v>
      </c>
      <c r="D2521" t="str">
        <f>IFERROR(__xludf.DUMMYFUNCTION("""COMPUTED_VALUE"""),"Pebble M350 Wireless Sand")</f>
        <v>Pebble M350 Wireless Sand</v>
      </c>
      <c r="E2521" t="str">
        <f>IFERROR(__xludf.DUMMYFUNCTION("""COMPUTED_VALUE"""),"LOGITECH")</f>
        <v>LOGITECH</v>
      </c>
      <c r="F2521" t="str">
        <f>IFERROR(__xludf.DUMMYFUNCTION("""COMPUTED_VALUE"""),"W")</f>
        <v>W</v>
      </c>
      <c r="G2521" t="str">
        <f>IFERROR(__xludf.DUMMYFUNCTION("""COMPUTED_VALUE"""),"FR")</f>
        <v>FR</v>
      </c>
      <c r="H2521">
        <f>IFERROR(__xludf.DUMMYFUNCTION("""COMPUTED_VALUE"""),27.99)</f>
        <v>27.99</v>
      </c>
      <c r="I2521">
        <f>IFERROR(__xludf.DUMMYFUNCTION("""COMPUTED_VALUE"""),23.99)</f>
        <v>23.99</v>
      </c>
      <c r="BD2521" s="2006"/>
      <c r="LL2521" s="2007"/>
      <c r="LM2521" s="2008"/>
      <c r="MX2521" s="2007"/>
      <c r="ND2521" s="2007"/>
    </row>
    <row r="2522">
      <c r="A2522">
        <f>IFERROR(__xludf.DUMMYFUNCTION("""COMPUTED_VALUE"""),1186610.0)</f>
        <v>1186610</v>
      </c>
      <c r="B2522">
        <f>IFERROR(__xludf.DUMMYFUNCTION("""COMPUTED_VALUE"""),2201099.0)</f>
        <v>2201099</v>
      </c>
      <c r="C2522" t="str">
        <f>IFERROR(__xludf.DUMMYFUNCTION("""COMPUTED_VALUE"""),"Présentoir")</f>
        <v>Présentoir</v>
      </c>
      <c r="D2522" t="str">
        <f>IFERROR(__xludf.DUMMYFUNCTION("""COMPUTED_VALUE"""),"PLV JOY")</f>
        <v>PLV JOY</v>
      </c>
      <c r="E2522" t="str">
        <f>IFERROR(__xludf.DUMMYFUNCTION("""COMPUTED_VALUE"""),"CRICUT")</f>
        <v>CRICUT</v>
      </c>
      <c r="F2522" t="str">
        <f>IFERROR(__xludf.DUMMYFUNCTION("""COMPUTED_VALUE"""),"H")</f>
        <v>H</v>
      </c>
      <c r="G2522" t="str">
        <f>IFERROR(__xludf.DUMMYFUNCTION("""COMPUTED_VALUE"""),"AC")</f>
        <v>AC</v>
      </c>
      <c r="H2522">
        <f>IFERROR(__xludf.DUMMYFUNCTION("""COMPUTED_VALUE"""),999.0)</f>
        <v>999</v>
      </c>
      <c r="I2522">
        <f>IFERROR(__xludf.DUMMYFUNCTION("""COMPUTED_VALUE"""),999.0)</f>
        <v>999</v>
      </c>
      <c r="BD2522" s="2006"/>
      <c r="LL2522" s="2008"/>
      <c r="LM2522" s="2008"/>
      <c r="MX2522" s="2008"/>
      <c r="ND2522" s="2008"/>
    </row>
    <row r="2523">
      <c r="A2523">
        <f>IFERROR(__xludf.DUMMYFUNCTION("""COMPUTED_VALUE"""),1186613.0)</f>
        <v>1186613</v>
      </c>
      <c r="B2523">
        <f>IFERROR(__xludf.DUMMYFUNCTION("""COMPUTED_VALUE"""),2502015.0)</f>
        <v>2502015</v>
      </c>
      <c r="C2523" t="str">
        <f>IFERROR(__xludf.DUMMYFUNCTION("""COMPUTED_VALUE"""),"Clavier")</f>
        <v>Clavier</v>
      </c>
      <c r="D2523" t="str">
        <f>IFERROR(__xludf.DUMMYFUNCTION("""COMPUTED_VALUE"""),"K380 Bluetooth Sand")</f>
        <v>K380 Bluetooth Sand</v>
      </c>
      <c r="E2523" t="str">
        <f>IFERROR(__xludf.DUMMYFUNCTION("""COMPUTED_VALUE"""),"LOGITECH")</f>
        <v>LOGITECH</v>
      </c>
      <c r="F2523" t="str">
        <f>IFERROR(__xludf.DUMMYFUNCTION("""COMPUTED_VALUE"""),"W")</f>
        <v>W</v>
      </c>
      <c r="G2523" t="str">
        <f>IFERROR(__xludf.DUMMYFUNCTION("""COMPUTED_VALUE"""),"NN")</f>
        <v>NN</v>
      </c>
      <c r="H2523">
        <f>IFERROR(__xludf.DUMMYFUNCTION("""COMPUTED_VALUE"""),100.06)</f>
        <v>100.06</v>
      </c>
      <c r="I2523">
        <f>IFERROR(__xludf.DUMMYFUNCTION("""COMPUTED_VALUE"""),100.06)</f>
        <v>100.06</v>
      </c>
      <c r="BD2523" s="2006"/>
      <c r="LL2523" s="2007"/>
      <c r="LM2523" s="2008"/>
      <c r="MX2523" s="2007"/>
      <c r="ND2523" s="2007"/>
    </row>
    <row r="2524">
      <c r="A2524">
        <f>IFERROR(__xludf.DUMMYFUNCTION("""COMPUTED_VALUE"""),1186615.0)</f>
        <v>1186615</v>
      </c>
      <c r="B2524">
        <f>IFERROR(__xludf.DUMMYFUNCTION("""COMPUTED_VALUE"""),2502099.0)</f>
        <v>2502099</v>
      </c>
      <c r="C2524" t="str">
        <f>IFERROR(__xludf.DUMMYFUNCTION("""COMPUTED_VALUE"""),"Box")</f>
        <v>Box</v>
      </c>
      <c r="D2524" t="str">
        <f>IFERROR(__xludf.DUMMYFUNCTION("""COMPUTED_VALUE"""),"Lifestyle")</f>
        <v>Lifestyle</v>
      </c>
      <c r="E2524" t="str">
        <f>IFERROR(__xludf.DUMMYFUNCTION("""COMPUTED_VALUE"""),"LOGITECH")</f>
        <v>LOGITECH</v>
      </c>
      <c r="F2524" t="str">
        <f>IFERROR(__xludf.DUMMYFUNCTION("""COMPUTED_VALUE"""),"H")</f>
        <v>H</v>
      </c>
      <c r="G2524" t="str">
        <f>IFERROR(__xludf.DUMMYFUNCTION("""COMPUTED_VALUE"""),"NN")</f>
        <v>NN</v>
      </c>
      <c r="H2524">
        <f>IFERROR(__xludf.DUMMYFUNCTION("""COMPUTED_VALUE"""),1000.1)</f>
        <v>1000.1</v>
      </c>
      <c r="I2524">
        <f>IFERROR(__xludf.DUMMYFUNCTION("""COMPUTED_VALUE"""),1000.1)</f>
        <v>1000.1</v>
      </c>
      <c r="BD2524" s="2006"/>
      <c r="LL2524" s="2008"/>
      <c r="LM2524" s="2008"/>
      <c r="MX2524" s="2007"/>
      <c r="ND2524" s="2008"/>
    </row>
    <row r="2525">
      <c r="A2525">
        <f>IFERROR(__xludf.DUMMYFUNCTION("""COMPUTED_VALUE"""),1186645.0)</f>
        <v>1186645</v>
      </c>
      <c r="B2525">
        <f>IFERROR(__xludf.DUMMYFUNCTION("""COMPUTED_VALUE"""),2502012.0)</f>
        <v>2502012</v>
      </c>
      <c r="C2525" t="str">
        <f>IFERROR(__xludf.DUMMYFUNCTION("""COMPUTED_VALUE"""),"Tablette Graph")</f>
        <v>Tablette Graph</v>
      </c>
      <c r="D2525" t="str">
        <f>IFERROR(__xludf.DUMMYFUNCTION("""COMPUTED_VALUE"""),"Cintiq Pro 27")</f>
        <v>Cintiq Pro 27</v>
      </c>
      <c r="E2525" t="str">
        <f>IFERROR(__xludf.DUMMYFUNCTION("""COMPUTED_VALUE"""),"WACOM")</f>
        <v>WACOM</v>
      </c>
      <c r="F2525" t="str">
        <f>IFERROR(__xludf.DUMMYFUNCTION("""COMPUTED_VALUE"""),"W")</f>
        <v>W</v>
      </c>
      <c r="G2525" t="str">
        <f>IFERROR(__xludf.DUMMYFUNCTION("""COMPUTED_VALUE"""),"AC")</f>
        <v>AC</v>
      </c>
      <c r="H2525">
        <f>IFERROR(__xludf.DUMMYFUNCTION("""COMPUTED_VALUE"""),4449.99)</f>
        <v>4449.99</v>
      </c>
      <c r="I2525">
        <f>IFERROR(__xludf.DUMMYFUNCTION("""COMPUTED_VALUE"""),4449.99)</f>
        <v>4449.99</v>
      </c>
      <c r="BD2525" s="2006"/>
      <c r="LL2525" s="2007"/>
      <c r="LM2525" s="2008"/>
      <c r="MX2525" s="2007"/>
      <c r="ND2525" s="2007"/>
    </row>
    <row r="2526">
      <c r="A2526">
        <f>IFERROR(__xludf.DUMMYFUNCTION("""COMPUTED_VALUE"""),1186684.0)</f>
        <v>1186684</v>
      </c>
      <c r="B2526">
        <f>IFERROR(__xludf.DUMMYFUNCTION("""COMPUTED_VALUE"""),2209805.0)</f>
        <v>2209805</v>
      </c>
      <c r="C2526" t="str">
        <f>IFERROR(__xludf.DUMMYFUNCTION("""COMPUTED_VALUE"""),"Lot")</f>
        <v>Lot</v>
      </c>
      <c r="D2526" t="str">
        <f>IFERROR(__xludf.DUMMYFUNCTION("""COMPUTED_VALUE"""),"Deskjet 2721e + Cartouche 305 noir")</f>
        <v>Deskjet 2721e + Cartouche 305 noir</v>
      </c>
      <c r="E2526" t="str">
        <f>IFERROR(__xludf.DUMMYFUNCTION("""COMPUTED_VALUE"""),"HP")</f>
        <v>HP</v>
      </c>
      <c r="F2526" t="str">
        <f>IFERROR(__xludf.DUMMYFUNCTION("""COMPUTED_VALUE"""),"H")</f>
        <v>H</v>
      </c>
      <c r="G2526" t="str">
        <f>IFERROR(__xludf.DUMMYFUNCTION("""COMPUTED_VALUE"""),"AC")</f>
        <v>AC</v>
      </c>
      <c r="H2526">
        <f>IFERROR(__xludf.DUMMYFUNCTION("""COMPUTED_VALUE"""),75.97)</f>
        <v>75.97</v>
      </c>
      <c r="I2526">
        <f>IFERROR(__xludf.DUMMYFUNCTION("""COMPUTED_VALUE"""),75.97)</f>
        <v>75.97</v>
      </c>
      <c r="BD2526" s="2006"/>
      <c r="LL2526" s="2007"/>
      <c r="LM2526" s="2008"/>
      <c r="MX2526" s="2007"/>
      <c r="ND2526" s="2007"/>
    </row>
    <row r="2527">
      <c r="A2527">
        <f>IFERROR(__xludf.DUMMYFUNCTION("""COMPUTED_VALUE"""),1186685.0)</f>
        <v>1186685</v>
      </c>
      <c r="B2527">
        <f>IFERROR(__xludf.DUMMYFUNCTION("""COMPUTED_VALUE"""),2209805.0)</f>
        <v>2209805</v>
      </c>
      <c r="C2527" t="str">
        <f>IFERROR(__xludf.DUMMYFUNCTION("""COMPUTED_VALUE"""),"Lot")</f>
        <v>Lot</v>
      </c>
      <c r="D2527" t="str">
        <f>IFERROR(__xludf.DUMMYFUNCTION("""COMPUTED_VALUE"""),"Deskjet 2721e + Cartouche 305 XL noir")</f>
        <v>Deskjet 2721e + Cartouche 305 XL noir</v>
      </c>
      <c r="E2527" t="str">
        <f>IFERROR(__xludf.DUMMYFUNCTION("""COMPUTED_VALUE"""),"HP")</f>
        <v>HP</v>
      </c>
      <c r="F2527" t="str">
        <f>IFERROR(__xludf.DUMMYFUNCTION("""COMPUTED_VALUE"""),"H")</f>
        <v>H</v>
      </c>
      <c r="G2527" t="str">
        <f>IFERROR(__xludf.DUMMYFUNCTION("""COMPUTED_VALUE"""),"AC")</f>
        <v>AC</v>
      </c>
      <c r="H2527">
        <f>IFERROR(__xludf.DUMMYFUNCTION("""COMPUTED_VALUE"""),92.97)</f>
        <v>92.97</v>
      </c>
      <c r="I2527">
        <f>IFERROR(__xludf.DUMMYFUNCTION("""COMPUTED_VALUE"""),92.97)</f>
        <v>92.97</v>
      </c>
      <c r="BD2527" s="2006"/>
      <c r="LL2527" s="2007"/>
      <c r="LM2527" s="2008"/>
      <c r="MX2527" s="2007"/>
      <c r="ND2527" s="2007"/>
    </row>
    <row r="2528">
      <c r="A2528">
        <f>IFERROR(__xludf.DUMMYFUNCTION("""COMPUTED_VALUE"""),1186686.0)</f>
        <v>1186686</v>
      </c>
      <c r="B2528">
        <f>IFERROR(__xludf.DUMMYFUNCTION("""COMPUTED_VALUE"""),2209805.0)</f>
        <v>2209805</v>
      </c>
      <c r="C2528" t="str">
        <f>IFERROR(__xludf.DUMMYFUNCTION("""COMPUTED_VALUE"""),"Lot")</f>
        <v>Lot</v>
      </c>
      <c r="D2528" t="str">
        <f>IFERROR(__xludf.DUMMYFUNCTION("""COMPUTED_VALUE"""),"Deskjet 2721e + Cartouche EB305XL 3 coul")</f>
        <v>Deskjet 2721e + Cartouche EB305XL 3 coul</v>
      </c>
      <c r="E2528" t="str">
        <f>IFERROR(__xludf.DUMMYFUNCTION("""COMPUTED_VALUE"""),"HP")</f>
        <v>HP</v>
      </c>
      <c r="F2528" t="str">
        <f>IFERROR(__xludf.DUMMYFUNCTION("""COMPUTED_VALUE"""),"H")</f>
        <v>H</v>
      </c>
      <c r="G2528" t="str">
        <f>IFERROR(__xludf.DUMMYFUNCTION("""COMPUTED_VALUE"""),"AC")</f>
        <v>AC</v>
      </c>
      <c r="H2528">
        <f>IFERROR(__xludf.DUMMYFUNCTION("""COMPUTED_VALUE"""),84.99)</f>
        <v>84.99</v>
      </c>
      <c r="I2528">
        <f>IFERROR(__xludf.DUMMYFUNCTION("""COMPUTED_VALUE"""),84.99)</f>
        <v>84.99</v>
      </c>
      <c r="BD2528" s="2006"/>
      <c r="LL2528" s="2007"/>
      <c r="LM2528" s="2008"/>
      <c r="MX2528" s="2007"/>
      <c r="ND2528" s="2007"/>
    </row>
    <row r="2529">
      <c r="A2529">
        <f>IFERROR(__xludf.DUMMYFUNCTION("""COMPUTED_VALUE"""),1186687.0)</f>
        <v>1186687</v>
      </c>
      <c r="B2529">
        <f>IFERROR(__xludf.DUMMYFUNCTION("""COMPUTED_VALUE"""),2209805.0)</f>
        <v>2209805</v>
      </c>
      <c r="C2529" t="str">
        <f>IFERROR(__xludf.DUMMYFUNCTION("""COMPUTED_VALUE"""),"Lot")</f>
        <v>Lot</v>
      </c>
      <c r="D2529" t="str">
        <f>IFERROR(__xludf.DUMMYFUNCTION("""COMPUTED_VALUE"""),"Deskjet 2721e + Cartouche EB305XL noir")</f>
        <v>Deskjet 2721e + Cartouche EB305XL noir</v>
      </c>
      <c r="E2529" t="str">
        <f>IFERROR(__xludf.DUMMYFUNCTION("""COMPUTED_VALUE"""),"HP")</f>
        <v>HP</v>
      </c>
      <c r="F2529" t="str">
        <f>IFERROR(__xludf.DUMMYFUNCTION("""COMPUTED_VALUE"""),"H")</f>
        <v>H</v>
      </c>
      <c r="G2529" t="str">
        <f>IFERROR(__xludf.DUMMYFUNCTION("""COMPUTED_VALUE"""),"AC")</f>
        <v>AC</v>
      </c>
      <c r="H2529">
        <f>IFERROR(__xludf.DUMMYFUNCTION("""COMPUTED_VALUE"""),95.0)</f>
        <v>95</v>
      </c>
      <c r="I2529">
        <f>IFERROR(__xludf.DUMMYFUNCTION("""COMPUTED_VALUE"""),95.0)</f>
        <v>95</v>
      </c>
      <c r="BD2529" s="2006"/>
      <c r="LL2529" s="2007"/>
      <c r="LM2529" s="2008"/>
      <c r="MX2529" s="2007"/>
      <c r="ND2529" s="2007"/>
    </row>
    <row r="2530">
      <c r="A2530">
        <f>IFERROR(__xludf.DUMMYFUNCTION("""COMPUTED_VALUE"""),1186688.0)</f>
        <v>1186688</v>
      </c>
      <c r="B2530">
        <f>IFERROR(__xludf.DUMMYFUNCTION("""COMPUTED_VALUE"""),2209805.0)</f>
        <v>2209805</v>
      </c>
      <c r="C2530" t="str">
        <f>IFERROR(__xludf.DUMMYFUNCTION("""COMPUTED_VALUE"""),"Lot")</f>
        <v>Lot</v>
      </c>
      <c r="D2530" t="str">
        <f>IFERROR(__xludf.DUMMYFUNCTION("""COMPUTED_VALUE"""),"Deskjet 2721e + Papier Xeros")</f>
        <v>Deskjet 2721e + Papier Xeros</v>
      </c>
      <c r="E2530" t="str">
        <f>IFERROR(__xludf.DUMMYFUNCTION("""COMPUTED_VALUE"""),"HP")</f>
        <v>HP</v>
      </c>
      <c r="F2530" t="str">
        <f>IFERROR(__xludf.DUMMYFUNCTION("""COMPUTED_VALUE"""),"H")</f>
        <v>H</v>
      </c>
      <c r="G2530" t="str">
        <f>IFERROR(__xludf.DUMMYFUNCTION("""COMPUTED_VALUE"""),"FI")</f>
        <v>FI</v>
      </c>
      <c r="H2530">
        <f>IFERROR(__xludf.DUMMYFUNCTION("""COMPUTED_VALUE"""),76.98)</f>
        <v>76.98</v>
      </c>
      <c r="I2530">
        <f>IFERROR(__xludf.DUMMYFUNCTION("""COMPUTED_VALUE"""),76.98)</f>
        <v>76.98</v>
      </c>
      <c r="BD2530" s="2006"/>
      <c r="LL2530" s="2007"/>
      <c r="LM2530" s="2008"/>
      <c r="MX2530" s="2007"/>
      <c r="ND2530" s="2007"/>
    </row>
    <row r="2531">
      <c r="A2531">
        <f>IFERROR(__xludf.DUMMYFUNCTION("""COMPUTED_VALUE"""),1186689.0)</f>
        <v>1186689</v>
      </c>
      <c r="B2531">
        <f>IFERROR(__xludf.DUMMYFUNCTION("""COMPUTED_VALUE"""),2209805.0)</f>
        <v>2209805</v>
      </c>
      <c r="C2531" t="str">
        <f>IFERROR(__xludf.DUMMYFUNCTION("""COMPUTED_VALUE"""),"Lot")</f>
        <v>Lot</v>
      </c>
      <c r="D2531" t="str">
        <f>IFERROR(__xludf.DUMMYFUNCTION("""COMPUTED_VALUE"""),"Deskjet 2721e + Papier Essentiel B")</f>
        <v>Deskjet 2721e + Papier Essentiel B</v>
      </c>
      <c r="E2531" t="str">
        <f>IFERROR(__xludf.DUMMYFUNCTION("""COMPUTED_VALUE"""),"HP")</f>
        <v>HP</v>
      </c>
      <c r="F2531" t="str">
        <f>IFERROR(__xludf.DUMMYFUNCTION("""COMPUTED_VALUE"""),"H")</f>
        <v>H</v>
      </c>
      <c r="G2531" t="str">
        <f>IFERROR(__xludf.DUMMYFUNCTION("""COMPUTED_VALUE"""),"AC")</f>
        <v>AC</v>
      </c>
      <c r="H2531">
        <f>IFERROR(__xludf.DUMMYFUNCTION("""COMPUTED_VALUE"""),66.97)</f>
        <v>66.97</v>
      </c>
      <c r="I2531">
        <f>IFERROR(__xludf.DUMMYFUNCTION("""COMPUTED_VALUE"""),49.97)</f>
        <v>49.97</v>
      </c>
      <c r="BD2531" s="2006"/>
      <c r="LL2531" s="2007"/>
      <c r="LM2531" s="2008"/>
      <c r="MX2531" s="2007"/>
      <c r="ND2531" s="2007"/>
    </row>
    <row r="2532">
      <c r="A2532">
        <f>IFERROR(__xludf.DUMMYFUNCTION("""COMPUTED_VALUE"""),1186690.0)</f>
        <v>1186690</v>
      </c>
      <c r="B2532">
        <f>IFERROR(__xludf.DUMMYFUNCTION("""COMPUTED_VALUE"""),2209805.0)</f>
        <v>2209805</v>
      </c>
      <c r="C2532" t="str">
        <f>IFERROR(__xludf.DUMMYFUNCTION("""COMPUTED_VALUE"""),"Lot")</f>
        <v>Lot</v>
      </c>
      <c r="D2532" t="str">
        <f>IFERROR(__xludf.DUMMYFUNCTION("""COMPUTED_VALUE"""),"Deskjet 2721e + 305 noir + papier xeros")</f>
        <v>Deskjet 2721e + 305 noir + papier xeros</v>
      </c>
      <c r="E2532" t="str">
        <f>IFERROR(__xludf.DUMMYFUNCTION("""COMPUTED_VALUE"""),"HP")</f>
        <v>HP</v>
      </c>
      <c r="F2532" t="str">
        <f>IFERROR(__xludf.DUMMYFUNCTION("""COMPUTED_VALUE"""),"H")</f>
        <v>H</v>
      </c>
      <c r="G2532" t="str">
        <f>IFERROR(__xludf.DUMMYFUNCTION("""COMPUTED_VALUE"""),"FI")</f>
        <v>FI</v>
      </c>
      <c r="H2532">
        <f>IFERROR(__xludf.DUMMYFUNCTION("""COMPUTED_VALUE"""),101.45)</f>
        <v>101.45</v>
      </c>
      <c r="I2532">
        <f>IFERROR(__xludf.DUMMYFUNCTION("""COMPUTED_VALUE"""),101.45)</f>
        <v>101.45</v>
      </c>
      <c r="BD2532" s="2006"/>
      <c r="LL2532" s="2007"/>
      <c r="LM2532" s="2008"/>
      <c r="MX2532" s="2007"/>
      <c r="ND2532" s="2007"/>
    </row>
    <row r="2533">
      <c r="A2533">
        <f>IFERROR(__xludf.DUMMYFUNCTION("""COMPUTED_VALUE"""),1186721.0)</f>
        <v>1186721</v>
      </c>
      <c r="B2533">
        <f>IFERROR(__xludf.DUMMYFUNCTION("""COMPUTED_VALUE"""),2209805.0)</f>
        <v>2209805</v>
      </c>
      <c r="C2533" t="str">
        <f>IFERROR(__xludf.DUMMYFUNCTION("""COMPUTED_VALUE"""),"Lot")</f>
        <v>Lot</v>
      </c>
      <c r="D2533" t="str">
        <f>IFERROR(__xludf.DUMMYFUNCTION("""COMPUTED_VALUE"""),"Deskjet 2721e + instant ink")</f>
        <v>Deskjet 2721e + instant ink</v>
      </c>
      <c r="E2533" t="str">
        <f>IFERROR(__xludf.DUMMYFUNCTION("""COMPUTED_VALUE"""),"HP")</f>
        <v>HP</v>
      </c>
      <c r="F2533" t="str">
        <f>IFERROR(__xludf.DUMMYFUNCTION("""COMPUTED_VALUE"""),"H")</f>
        <v>H</v>
      </c>
      <c r="G2533" t="str">
        <f>IFERROR(__xludf.DUMMYFUNCTION("""COMPUTED_VALUE"""),"AC")</f>
        <v>AC</v>
      </c>
      <c r="H2533">
        <f>IFERROR(__xludf.DUMMYFUNCTION("""COMPUTED_VALUE"""),64.98)</f>
        <v>64.98</v>
      </c>
      <c r="I2533">
        <f>IFERROR(__xludf.DUMMYFUNCTION("""COMPUTED_VALUE"""),64.98)</f>
        <v>64.98</v>
      </c>
      <c r="BD2533" s="2006"/>
      <c r="LL2533" s="2007"/>
      <c r="LM2533" s="2007"/>
      <c r="MX2533" s="2007"/>
      <c r="ND2533" s="2008"/>
    </row>
    <row r="2534">
      <c r="A2534">
        <f>IFERROR(__xludf.DUMMYFUNCTION("""COMPUTED_VALUE"""),1186748.0)</f>
        <v>1186748</v>
      </c>
      <c r="B2534">
        <f>IFERROR(__xludf.DUMMYFUNCTION("""COMPUTED_VALUE"""),2209805.0)</f>
        <v>2209805</v>
      </c>
      <c r="C2534" t="str">
        <f>IFERROR(__xludf.DUMMYFUNCTION("""COMPUTED_VALUE"""),"Lot")</f>
        <v>Lot</v>
      </c>
      <c r="D2534" t="str">
        <f>IFERROR(__xludf.DUMMYFUNCTION("""COMPUTED_VALUE"""),"4130e + hp 305 noir")</f>
        <v>4130e + hp 305 noir</v>
      </c>
      <c r="E2534" t="str">
        <f>IFERROR(__xludf.DUMMYFUNCTION("""COMPUTED_VALUE"""),"HP")</f>
        <v>HP</v>
      </c>
      <c r="F2534" t="str">
        <f>IFERROR(__xludf.DUMMYFUNCTION("""COMPUTED_VALUE"""),"H")</f>
        <v>H</v>
      </c>
      <c r="G2534" t="str">
        <f>IFERROR(__xludf.DUMMYFUNCTION("""COMPUTED_VALUE"""),"NN")</f>
        <v>NN</v>
      </c>
      <c r="H2534">
        <f>IFERROR(__xludf.DUMMYFUNCTION("""COMPUTED_VALUE"""),95.97)</f>
        <v>95.97</v>
      </c>
      <c r="I2534">
        <f>IFERROR(__xludf.DUMMYFUNCTION("""COMPUTED_VALUE"""),95.97)</f>
        <v>95.97</v>
      </c>
      <c r="BD2534" s="2006"/>
      <c r="LL2534" s="2008"/>
      <c r="LM2534" s="2007"/>
      <c r="MX2534" s="2007"/>
      <c r="ND2534" s="2008"/>
    </row>
    <row r="2535">
      <c r="A2535">
        <f>IFERROR(__xludf.DUMMYFUNCTION("""COMPUTED_VALUE"""),1186749.0)</f>
        <v>1186749</v>
      </c>
      <c r="B2535">
        <f>IFERROR(__xludf.DUMMYFUNCTION("""COMPUTED_VALUE"""),2209805.0)</f>
        <v>2209805</v>
      </c>
      <c r="C2535" t="str">
        <f>IFERROR(__xludf.DUMMYFUNCTION("""COMPUTED_VALUE"""),"Lot")</f>
        <v>Lot</v>
      </c>
      <c r="D2535" t="str">
        <f>IFERROR(__xludf.DUMMYFUNCTION("""COMPUTED_VALUE"""),"4130e + hp 305 3 couleurs")</f>
        <v>4130e + hp 305 3 couleurs</v>
      </c>
      <c r="E2535" t="str">
        <f>IFERROR(__xludf.DUMMYFUNCTION("""COMPUTED_VALUE"""),"HP")</f>
        <v>HP</v>
      </c>
      <c r="F2535" t="str">
        <f>IFERROR(__xludf.DUMMYFUNCTION("""COMPUTED_VALUE"""),"H")</f>
        <v>H</v>
      </c>
      <c r="G2535" t="str">
        <f>IFERROR(__xludf.DUMMYFUNCTION("""COMPUTED_VALUE"""),"NN")</f>
        <v>NN</v>
      </c>
      <c r="H2535">
        <f>IFERROR(__xludf.DUMMYFUNCTION("""COMPUTED_VALUE"""),95.97)</f>
        <v>95.97</v>
      </c>
      <c r="I2535">
        <f>IFERROR(__xludf.DUMMYFUNCTION("""COMPUTED_VALUE"""),95.97)</f>
        <v>95.97</v>
      </c>
      <c r="BD2535" s="2006"/>
      <c r="LL2535" s="2008"/>
      <c r="LM2535" s="2007"/>
      <c r="MX2535" s="2007"/>
      <c r="ND2535" s="2008"/>
    </row>
    <row r="2536">
      <c r="A2536">
        <f>IFERROR(__xludf.DUMMYFUNCTION("""COMPUTED_VALUE"""),1186750.0)</f>
        <v>1186750</v>
      </c>
      <c r="B2536">
        <f>IFERROR(__xludf.DUMMYFUNCTION("""COMPUTED_VALUE"""),2209805.0)</f>
        <v>2209805</v>
      </c>
      <c r="C2536" t="str">
        <f>IFERROR(__xludf.DUMMYFUNCTION("""COMPUTED_VALUE"""),"Lot")</f>
        <v>Lot</v>
      </c>
      <c r="D2536" t="str">
        <f>IFERROR(__xludf.DUMMYFUNCTION("""COMPUTED_VALUE"""),"4130e + hp 305 XL noir")</f>
        <v>4130e + hp 305 XL noir</v>
      </c>
      <c r="E2536" t="str">
        <f>IFERROR(__xludf.DUMMYFUNCTION("""COMPUTED_VALUE"""),"HP")</f>
        <v>HP</v>
      </c>
      <c r="F2536" t="str">
        <f>IFERROR(__xludf.DUMMYFUNCTION("""COMPUTED_VALUE"""),"H")</f>
        <v>H</v>
      </c>
      <c r="G2536" t="str">
        <f>IFERROR(__xludf.DUMMYFUNCTION("""COMPUTED_VALUE"""),"NN")</f>
        <v>NN</v>
      </c>
      <c r="H2536">
        <f>IFERROR(__xludf.DUMMYFUNCTION("""COMPUTED_VALUE"""),112.97)</f>
        <v>112.97</v>
      </c>
      <c r="I2536">
        <f>IFERROR(__xludf.DUMMYFUNCTION("""COMPUTED_VALUE"""),112.97)</f>
        <v>112.97</v>
      </c>
      <c r="BD2536" s="2006"/>
      <c r="LL2536" s="2007"/>
      <c r="LM2536" s="2007"/>
      <c r="MX2536" s="2007"/>
      <c r="ND2536" s="2007"/>
    </row>
    <row r="2537">
      <c r="A2537">
        <f>IFERROR(__xludf.DUMMYFUNCTION("""COMPUTED_VALUE"""),1186751.0)</f>
        <v>1186751</v>
      </c>
      <c r="B2537">
        <f>IFERROR(__xludf.DUMMYFUNCTION("""COMPUTED_VALUE"""),2209805.0)</f>
        <v>2209805</v>
      </c>
      <c r="C2537" t="str">
        <f>IFERROR(__xludf.DUMMYFUNCTION("""COMPUTED_VALUE"""),"Lot")</f>
        <v>Lot</v>
      </c>
      <c r="D2537" t="str">
        <f>IFERROR(__xludf.DUMMYFUNCTION("""COMPUTED_VALUE"""),"4130e + essentiel b h305 xl coul")</f>
        <v>4130e + essentiel b h305 xl coul</v>
      </c>
      <c r="E2537" t="str">
        <f>IFERROR(__xludf.DUMMYFUNCTION("""COMPUTED_VALUE"""),"HP")</f>
        <v>HP</v>
      </c>
      <c r="F2537" t="str">
        <f>IFERROR(__xludf.DUMMYFUNCTION("""COMPUTED_VALUE"""),"H")</f>
        <v>H</v>
      </c>
      <c r="G2537" t="str">
        <f>IFERROR(__xludf.DUMMYFUNCTION("""COMPUTED_VALUE"""),"NN")</f>
        <v>NN</v>
      </c>
      <c r="H2537">
        <f>IFERROR(__xludf.DUMMYFUNCTION("""COMPUTED_VALUE"""),104.99)</f>
        <v>104.99</v>
      </c>
      <c r="I2537">
        <f>IFERROR(__xludf.DUMMYFUNCTION("""COMPUTED_VALUE"""),104.99)</f>
        <v>104.99</v>
      </c>
      <c r="BD2537" s="2006"/>
      <c r="LL2537" s="2007"/>
      <c r="LM2537" s="2007"/>
      <c r="MX2537" s="2007"/>
      <c r="ND2537" s="2008"/>
    </row>
    <row r="2538">
      <c r="A2538">
        <f>IFERROR(__xludf.DUMMYFUNCTION("""COMPUTED_VALUE"""),1186752.0)</f>
        <v>1186752</v>
      </c>
      <c r="B2538">
        <f>IFERROR(__xludf.DUMMYFUNCTION("""COMPUTED_VALUE"""),2209805.0)</f>
        <v>2209805</v>
      </c>
      <c r="C2538" t="str">
        <f>IFERROR(__xludf.DUMMYFUNCTION("""COMPUTED_VALUE"""),"Lot")</f>
        <v>Lot</v>
      </c>
      <c r="D2538" t="str">
        <f>IFERROR(__xludf.DUMMYFUNCTION("""COMPUTED_VALUE"""),"4130e + essentiel b h305xlnoir")</f>
        <v>4130e + essentiel b h305xlnoir</v>
      </c>
      <c r="E2538" t="str">
        <f>IFERROR(__xludf.DUMMYFUNCTION("""COMPUTED_VALUE"""),"HP")</f>
        <v>HP</v>
      </c>
      <c r="F2538" t="str">
        <f>IFERROR(__xludf.DUMMYFUNCTION("""COMPUTED_VALUE"""),"H")</f>
        <v>H</v>
      </c>
      <c r="G2538" t="str">
        <f>IFERROR(__xludf.DUMMYFUNCTION("""COMPUTED_VALUE"""),"NN")</f>
        <v>NN</v>
      </c>
      <c r="H2538">
        <f>IFERROR(__xludf.DUMMYFUNCTION("""COMPUTED_VALUE"""),104.99)</f>
        <v>104.99</v>
      </c>
      <c r="I2538">
        <f>IFERROR(__xludf.DUMMYFUNCTION("""COMPUTED_VALUE"""),104.99)</f>
        <v>104.99</v>
      </c>
      <c r="LL2538" s="2007"/>
      <c r="LM2538" s="2008"/>
    </row>
    <row r="2539">
      <c r="A2539">
        <f>IFERROR(__xludf.DUMMYFUNCTION("""COMPUTED_VALUE"""),1186754.0)</f>
        <v>1186754</v>
      </c>
      <c r="B2539">
        <f>IFERROR(__xludf.DUMMYFUNCTION("""COMPUTED_VALUE"""),2209805.0)</f>
        <v>2209805</v>
      </c>
      <c r="C2539" t="str">
        <f>IFERROR(__xludf.DUMMYFUNCTION("""COMPUTED_VALUE"""),"Lot")</f>
        <v>Lot</v>
      </c>
      <c r="D2539" t="str">
        <f>IFERROR(__xludf.DUMMYFUNCTION("""COMPUTED_VALUE"""),"TS 7451a + Pack PG560/CL561")</f>
        <v>TS 7451a + Pack PG560/CL561</v>
      </c>
      <c r="E2539" t="str">
        <f>IFERROR(__xludf.DUMMYFUNCTION("""COMPUTED_VALUE"""),"CANON")</f>
        <v>CANON</v>
      </c>
      <c r="F2539" t="str">
        <f>IFERROR(__xludf.DUMMYFUNCTION("""COMPUTED_VALUE"""),"H")</f>
        <v>H</v>
      </c>
      <c r="G2539" t="str">
        <f>IFERROR(__xludf.DUMMYFUNCTION("""COMPUTED_VALUE"""),"FI")</f>
        <v>FI</v>
      </c>
      <c r="H2539">
        <f>IFERROR(__xludf.DUMMYFUNCTION("""COMPUTED_VALUE"""),165.49)</f>
        <v>165.49</v>
      </c>
      <c r="I2539">
        <f>IFERROR(__xludf.DUMMYFUNCTION("""COMPUTED_VALUE"""),165.49)</f>
        <v>165.49</v>
      </c>
      <c r="BD2539" s="2006"/>
      <c r="LL2539" s="2008"/>
      <c r="LM2539" s="2008"/>
      <c r="MX2539" s="2007"/>
      <c r="ND2539" s="2008"/>
    </row>
    <row r="2540">
      <c r="A2540">
        <f>IFERROR(__xludf.DUMMYFUNCTION("""COMPUTED_VALUE"""),1186755.0)</f>
        <v>1186755</v>
      </c>
      <c r="B2540">
        <f>IFERROR(__xludf.DUMMYFUNCTION("""COMPUTED_VALUE"""),2209805.0)</f>
        <v>2209805</v>
      </c>
      <c r="C2540" t="str">
        <f>IFERROR(__xludf.DUMMYFUNCTION("""COMPUTED_VALUE"""),"Lot")</f>
        <v>Lot</v>
      </c>
      <c r="D2540" t="str">
        <f>IFERROR(__xludf.DUMMYFUNCTION("""COMPUTED_VALUE"""),"TS 7451a + PPG560 XL noire")</f>
        <v>TS 7451a + PPG560 XL noire</v>
      </c>
      <c r="E2540" t="str">
        <f>IFERROR(__xludf.DUMMYFUNCTION("""COMPUTED_VALUE"""),"CANON")</f>
        <v>CANON</v>
      </c>
      <c r="F2540" t="str">
        <f>IFERROR(__xludf.DUMMYFUNCTION("""COMPUTED_VALUE"""),"H")</f>
        <v>H</v>
      </c>
      <c r="G2540" t="str">
        <f>IFERROR(__xludf.DUMMYFUNCTION("""COMPUTED_VALUE"""),"FI")</f>
        <v>FI</v>
      </c>
      <c r="H2540">
        <f>IFERROR(__xludf.DUMMYFUNCTION("""COMPUTED_VALUE"""),150.47)</f>
        <v>150.47</v>
      </c>
      <c r="I2540">
        <f>IFERROR(__xludf.DUMMYFUNCTION("""COMPUTED_VALUE"""),150.47)</f>
        <v>150.47</v>
      </c>
      <c r="BD2540" s="2006"/>
      <c r="LL2540" s="2007"/>
      <c r="LM2540" s="2008"/>
      <c r="MX2540" s="2007"/>
      <c r="ND2540" s="2007"/>
    </row>
    <row r="2541">
      <c r="A2541">
        <f>IFERROR(__xludf.DUMMYFUNCTION("""COMPUTED_VALUE"""),1186756.0)</f>
        <v>1186756</v>
      </c>
      <c r="B2541">
        <f>IFERROR(__xludf.DUMMYFUNCTION("""COMPUTED_VALUE"""),2209805.0)</f>
        <v>2209805</v>
      </c>
      <c r="C2541" t="str">
        <f>IFERROR(__xludf.DUMMYFUNCTION("""COMPUTED_VALUE"""),"Lot")</f>
        <v>Lot</v>
      </c>
      <c r="D2541" t="str">
        <f>IFERROR(__xludf.DUMMYFUNCTION("""COMPUTED_VALUE"""),"TS 7451a + Pack PG560 XL + papier")</f>
        <v>TS 7451a + Pack PG560 XL + papier</v>
      </c>
      <c r="E2541" t="str">
        <f>IFERROR(__xludf.DUMMYFUNCTION("""COMPUTED_VALUE"""),"CANON")</f>
        <v>CANON</v>
      </c>
      <c r="F2541" t="str">
        <f>IFERROR(__xludf.DUMMYFUNCTION("""COMPUTED_VALUE"""),"H")</f>
        <v>H</v>
      </c>
      <c r="G2541" t="str">
        <f>IFERROR(__xludf.DUMMYFUNCTION("""COMPUTED_VALUE"""),"FI")</f>
        <v>FI</v>
      </c>
      <c r="H2541">
        <f>IFERROR(__xludf.DUMMYFUNCTION("""COMPUTED_VALUE"""),157.46)</f>
        <v>157.46</v>
      </c>
      <c r="I2541">
        <f>IFERROR(__xludf.DUMMYFUNCTION("""COMPUTED_VALUE"""),157.46)</f>
        <v>157.46</v>
      </c>
      <c r="BD2541" s="2006"/>
      <c r="LL2541" s="2007"/>
      <c r="LM2541" s="2008"/>
      <c r="MX2541" s="2007"/>
      <c r="ND2541" s="2007"/>
    </row>
    <row r="2542">
      <c r="A2542">
        <f>IFERROR(__xludf.DUMMYFUNCTION("""COMPUTED_VALUE"""),1186757.0)</f>
        <v>1186757</v>
      </c>
      <c r="B2542">
        <f>IFERROR(__xludf.DUMMYFUNCTION("""COMPUTED_VALUE"""),2209805.0)</f>
        <v>2209805</v>
      </c>
      <c r="C2542" t="str">
        <f>IFERROR(__xludf.DUMMYFUNCTION("""COMPUTED_VALUE"""),"Lot")</f>
        <v>Lot</v>
      </c>
      <c r="D2542" t="str">
        <f>IFERROR(__xludf.DUMMYFUNCTION("""COMPUTED_VALUE"""),"TS 5151 + Pack PG540 noire + papier")</f>
        <v>TS 5151 + Pack PG540 noire + papier</v>
      </c>
      <c r="E2542" t="str">
        <f>IFERROR(__xludf.DUMMYFUNCTION("""COMPUTED_VALUE"""),"CANON")</f>
        <v>CANON</v>
      </c>
      <c r="F2542" t="str">
        <f>IFERROR(__xludf.DUMMYFUNCTION("""COMPUTED_VALUE"""),"H")</f>
        <v>H</v>
      </c>
      <c r="G2542" t="str">
        <f>IFERROR(__xludf.DUMMYFUNCTION("""COMPUTED_VALUE"""),"FI")</f>
        <v>FI</v>
      </c>
      <c r="H2542">
        <f>IFERROR(__xludf.DUMMYFUNCTION("""COMPUTED_VALUE"""),109.46)</f>
        <v>109.46</v>
      </c>
      <c r="I2542">
        <f>IFERROR(__xludf.DUMMYFUNCTION("""COMPUTED_VALUE"""),89.46)</f>
        <v>89.46</v>
      </c>
      <c r="BD2542" s="2006"/>
      <c r="LL2542" s="2007"/>
      <c r="LM2542" s="2008"/>
      <c r="MX2542" s="2008"/>
      <c r="ND2542" s="2007"/>
    </row>
    <row r="2543">
      <c r="A2543">
        <f>IFERROR(__xludf.DUMMYFUNCTION("""COMPUTED_VALUE"""),1186759.0)</f>
        <v>1186759</v>
      </c>
      <c r="B2543">
        <f>IFERROR(__xludf.DUMMYFUNCTION("""COMPUTED_VALUE"""),2209805.0)</f>
        <v>2209805</v>
      </c>
      <c r="C2543" t="str">
        <f>IFERROR(__xludf.DUMMYFUNCTION("""COMPUTED_VALUE"""),"Lot")</f>
        <v>Lot</v>
      </c>
      <c r="D2543" t="str">
        <f>IFERROR(__xludf.DUMMYFUNCTION("""COMPUTED_VALUE"""),"TS 5151 + EB c561 XL 3 couleurs")</f>
        <v>TS 5151 + EB c561 XL 3 couleurs</v>
      </c>
      <c r="E2543" t="str">
        <f>IFERROR(__xludf.DUMMYFUNCTION("""COMPUTED_VALUE"""),"CANON")</f>
        <v>CANON</v>
      </c>
      <c r="F2543" t="str">
        <f>IFERROR(__xludf.DUMMYFUNCTION("""COMPUTED_VALUE"""),"H")</f>
        <v>H</v>
      </c>
      <c r="G2543" t="str">
        <f>IFERROR(__xludf.DUMMYFUNCTION("""COMPUTED_VALUE"""),"AC")</f>
        <v>AC</v>
      </c>
      <c r="H2543">
        <f>IFERROR(__xludf.DUMMYFUNCTION("""COMPUTED_VALUE"""),104.99)</f>
        <v>104.99</v>
      </c>
      <c r="I2543">
        <f>IFERROR(__xludf.DUMMYFUNCTION("""COMPUTED_VALUE"""),84.99)</f>
        <v>84.99</v>
      </c>
      <c r="BD2543" s="2006"/>
      <c r="LL2543" s="2007"/>
      <c r="LM2543" s="2008"/>
      <c r="MX2543" s="2007"/>
      <c r="ND2543" s="2008"/>
    </row>
    <row r="2544">
      <c r="A2544">
        <f>IFERROR(__xludf.DUMMYFUNCTION("""COMPUTED_VALUE"""),1186762.0)</f>
        <v>1186762</v>
      </c>
      <c r="B2544">
        <f>IFERROR(__xludf.DUMMYFUNCTION("""COMPUTED_VALUE"""),2209805.0)</f>
        <v>2209805</v>
      </c>
      <c r="C2544" t="str">
        <f>IFERROR(__xludf.DUMMYFUNCTION("""COMPUTED_VALUE"""),"Lot")</f>
        <v>Lot</v>
      </c>
      <c r="D2544" t="str">
        <f>IFERROR(__xludf.DUMMYFUNCTION("""COMPUTED_VALUE"""),"XP 2205 + 604 noir")</f>
        <v>XP 2205 + 604 noir</v>
      </c>
      <c r="E2544" t="str">
        <f>IFERROR(__xludf.DUMMYFUNCTION("""COMPUTED_VALUE"""),"EPSON")</f>
        <v>EPSON</v>
      </c>
      <c r="F2544" t="str">
        <f>IFERROR(__xludf.DUMMYFUNCTION("""COMPUTED_VALUE"""),"H")</f>
        <v>H</v>
      </c>
      <c r="G2544" t="str">
        <f>IFERROR(__xludf.DUMMYFUNCTION("""COMPUTED_VALUE"""),"AC")</f>
        <v>AC</v>
      </c>
      <c r="H2544">
        <f>IFERROR(__xludf.DUMMYFUNCTION("""COMPUTED_VALUE"""),76.97)</f>
        <v>76.97</v>
      </c>
      <c r="I2544">
        <f>IFERROR(__xludf.DUMMYFUNCTION("""COMPUTED_VALUE"""),66.97)</f>
        <v>66.97</v>
      </c>
      <c r="BD2544" s="2006"/>
      <c r="LL2544" s="2007"/>
      <c r="LM2544" s="2008"/>
      <c r="MX2544" s="2007"/>
      <c r="ND2544" s="2007"/>
    </row>
    <row r="2545">
      <c r="A2545">
        <f>IFERROR(__xludf.DUMMYFUNCTION("""COMPUTED_VALUE"""),1186764.0)</f>
        <v>1186764</v>
      </c>
      <c r="B2545">
        <f>IFERROR(__xludf.DUMMYFUNCTION("""COMPUTED_VALUE"""),2209805.0)</f>
        <v>2209805</v>
      </c>
      <c r="C2545" t="str">
        <f>IFERROR(__xludf.DUMMYFUNCTION("""COMPUTED_VALUE"""),"Lot")</f>
        <v>Lot</v>
      </c>
      <c r="D2545" t="str">
        <f>IFERROR(__xludf.DUMMYFUNCTION("""COMPUTED_VALUE"""),"ET 2811 + 104")</f>
        <v>ET 2811 + 104</v>
      </c>
      <c r="E2545" t="str">
        <f>IFERROR(__xludf.DUMMYFUNCTION("""COMPUTED_VALUE"""),"EPSON")</f>
        <v>EPSON</v>
      </c>
      <c r="F2545" t="str">
        <f>IFERROR(__xludf.DUMMYFUNCTION("""COMPUTED_VALUE"""),"H")</f>
        <v>H</v>
      </c>
      <c r="G2545" t="str">
        <f>IFERROR(__xludf.DUMMYFUNCTION("""COMPUTED_VALUE"""),"AC")</f>
        <v>AC</v>
      </c>
      <c r="H2545">
        <f>IFERROR(__xludf.DUMMYFUNCTION("""COMPUTED_VALUE"""),209.97)</f>
        <v>209.97</v>
      </c>
      <c r="I2545">
        <f>IFERROR(__xludf.DUMMYFUNCTION("""COMPUTED_VALUE"""),209.97)</f>
        <v>209.97</v>
      </c>
      <c r="BD2545" s="2006"/>
      <c r="LL2545" s="2008"/>
      <c r="LM2545" s="2008"/>
      <c r="MX2545" s="2007"/>
      <c r="ND2545" s="2008"/>
    </row>
    <row r="2546">
      <c r="A2546">
        <f>IFERROR(__xludf.DUMMYFUNCTION("""COMPUTED_VALUE"""),1186765.0)</f>
        <v>1186765</v>
      </c>
      <c r="B2546">
        <f>IFERROR(__xludf.DUMMYFUNCTION("""COMPUTED_VALUE"""),2209805.0)</f>
        <v>2209805</v>
      </c>
      <c r="C2546" t="str">
        <f>IFERROR(__xludf.DUMMYFUNCTION("""COMPUTED_VALUE"""),"Lot")</f>
        <v>Lot</v>
      </c>
      <c r="D2546" t="str">
        <f>IFERROR(__xludf.DUMMYFUNCTION("""COMPUTED_VALUE"""),"ET 2811 + pack 4 bouteilles")</f>
        <v>ET 2811 + pack 4 bouteilles</v>
      </c>
      <c r="E2546" t="str">
        <f>IFERROR(__xludf.DUMMYFUNCTION("""COMPUTED_VALUE"""),"EPSON")</f>
        <v>EPSON</v>
      </c>
      <c r="F2546" t="str">
        <f>IFERROR(__xludf.DUMMYFUNCTION("""COMPUTED_VALUE"""),"H")</f>
        <v>H</v>
      </c>
      <c r="G2546" t="str">
        <f>IFERROR(__xludf.DUMMYFUNCTION("""COMPUTED_VALUE"""),"AC")</f>
        <v>AC</v>
      </c>
      <c r="H2546">
        <f>IFERROR(__xludf.DUMMYFUNCTION("""COMPUTED_VALUE"""),239.97)</f>
        <v>239.97</v>
      </c>
      <c r="I2546">
        <f>IFERROR(__xludf.DUMMYFUNCTION("""COMPUTED_VALUE"""),239.97)</f>
        <v>239.97</v>
      </c>
      <c r="BD2546" s="2006"/>
      <c r="LL2546" s="2007"/>
      <c r="LM2546" s="2008"/>
      <c r="MX2546" s="2007"/>
      <c r="ND2546" s="2007"/>
    </row>
    <row r="2547">
      <c r="A2547">
        <f>IFERROR(__xludf.DUMMYFUNCTION("""COMPUTED_VALUE"""),1186766.0)</f>
        <v>1186766</v>
      </c>
      <c r="B2547">
        <f>IFERROR(__xludf.DUMMYFUNCTION("""COMPUTED_VALUE"""),2209805.0)</f>
        <v>2209805</v>
      </c>
      <c r="C2547" t="str">
        <f>IFERROR(__xludf.DUMMYFUNCTION("""COMPUTED_VALUE"""),"Lot")</f>
        <v>Lot</v>
      </c>
      <c r="D2547" t="str">
        <f>IFERROR(__xludf.DUMMYFUNCTION("""COMPUTED_VALUE"""),"Deskjet 2721e + instant ink")</f>
        <v>Deskjet 2721e + instant ink</v>
      </c>
      <c r="E2547" t="str">
        <f>IFERROR(__xludf.DUMMYFUNCTION("""COMPUTED_VALUE"""),"HP")</f>
        <v>HP</v>
      </c>
      <c r="F2547" t="str">
        <f>IFERROR(__xludf.DUMMYFUNCTION("""COMPUTED_VALUE"""),"H")</f>
        <v>H</v>
      </c>
      <c r="G2547" t="str">
        <f>IFERROR(__xludf.DUMMYFUNCTION("""COMPUTED_VALUE"""),"NN")</f>
        <v>NN</v>
      </c>
      <c r="H2547">
        <f>IFERROR(__xludf.DUMMYFUNCTION("""COMPUTED_VALUE"""),84.48)</f>
        <v>84.48</v>
      </c>
      <c r="I2547">
        <f>IFERROR(__xludf.DUMMYFUNCTION("""COMPUTED_VALUE"""),84.48)</f>
        <v>84.48</v>
      </c>
      <c r="BD2547" s="2006"/>
      <c r="LL2547" s="2007"/>
      <c r="LM2547" s="2008"/>
      <c r="MX2547" s="2007"/>
      <c r="ND2547" s="2007"/>
    </row>
    <row r="2548">
      <c r="A2548">
        <f>IFERROR(__xludf.DUMMYFUNCTION("""COMPUTED_VALUE"""),1186770.0)</f>
        <v>1186770</v>
      </c>
      <c r="B2548">
        <f>IFERROR(__xludf.DUMMYFUNCTION("""COMPUTED_VALUE"""),2402005.0)</f>
        <v>2402005</v>
      </c>
      <c r="C2548" t="str">
        <f>IFERROR(__xludf.DUMMYFUNCTION("""COMPUTED_VALUE"""),"Papier")</f>
        <v>Papier</v>
      </c>
      <c r="D2548" t="str">
        <f>IFERROR(__xludf.DUMMYFUNCTION("""COMPUTED_VALUE"""),"Ramette 80g 500 feuilles")</f>
        <v>Ramette 80g 500 feuilles</v>
      </c>
      <c r="E2548" t="str">
        <f>IFERROR(__xludf.DUMMYFUNCTION("""COMPUTED_VALUE"""),"EPSON")</f>
        <v>EPSON</v>
      </c>
      <c r="F2548" t="str">
        <f>IFERROR(__xludf.DUMMYFUNCTION("""COMPUTED_VALUE"""),"B")</f>
        <v>B</v>
      </c>
      <c r="G2548" t="str">
        <f>IFERROR(__xludf.DUMMYFUNCTION("""COMPUTED_VALUE"""),"AC")</f>
        <v>AC</v>
      </c>
      <c r="H2548">
        <f>IFERROR(__xludf.DUMMYFUNCTION("""COMPUTED_VALUE"""),7.99)</f>
        <v>7.99</v>
      </c>
      <c r="I2548">
        <f>IFERROR(__xludf.DUMMYFUNCTION("""COMPUTED_VALUE"""),7.99)</f>
        <v>7.99</v>
      </c>
      <c r="BD2548" s="2006"/>
      <c r="LL2548" s="2007"/>
      <c r="LM2548" s="2008"/>
      <c r="MX2548" s="2007"/>
      <c r="ND2548" s="2007"/>
    </row>
    <row r="2549">
      <c r="A2549">
        <f>IFERROR(__xludf.DUMMYFUNCTION("""COMPUTED_VALUE"""),1186900.0)</f>
        <v>1186900</v>
      </c>
      <c r="B2549">
        <f>IFERROR(__xludf.DUMMYFUNCTION("""COMPUTED_VALUE"""),2403005.0)</f>
        <v>2403005</v>
      </c>
      <c r="C2549" t="str">
        <f>IFERROR(__xludf.DUMMYFUNCTION("""COMPUTED_VALUE"""),"Box")</f>
        <v>Box</v>
      </c>
      <c r="D2549" t="str">
        <f>IFERROR(__xludf.DUMMYFUNCTION("""COMPUTED_VALUE"""),"MULTIPACK 604 ANANAS (CMJN)")</f>
        <v>MULTIPACK 604 ANANAS (CMJN)</v>
      </c>
      <c r="E2549" t="str">
        <f>IFERROR(__xludf.DUMMYFUNCTION("""COMPUTED_VALUE"""),"EPSON")</f>
        <v>EPSON</v>
      </c>
      <c r="F2549" t="str">
        <f>IFERROR(__xludf.DUMMYFUNCTION("""COMPUTED_VALUE"""),"A")</f>
        <v>A</v>
      </c>
      <c r="G2549" t="str">
        <f>IFERROR(__xludf.DUMMYFUNCTION("""COMPUTED_VALUE"""),"NN")</f>
        <v>NN</v>
      </c>
      <c r="H2549">
        <f>IFERROR(__xludf.DUMMYFUNCTION("""COMPUTED_VALUE"""),3000.72)</f>
        <v>3000.72</v>
      </c>
      <c r="I2549">
        <f>IFERROR(__xludf.DUMMYFUNCTION("""COMPUTED_VALUE"""),3000.72)</f>
        <v>3000.72</v>
      </c>
      <c r="BD2549" s="2006"/>
      <c r="LL2549" s="2007"/>
      <c r="LM2549" s="2008"/>
      <c r="MX2549" s="2007"/>
      <c r="ND2549" s="2007"/>
    </row>
    <row r="2550">
      <c r="A2550">
        <f>IFERROR(__xludf.DUMMYFUNCTION("""COMPUTED_VALUE"""),1186985.0)</f>
        <v>1186985</v>
      </c>
      <c r="B2550">
        <f>IFERROR(__xludf.DUMMYFUNCTION("""COMPUTED_VALUE"""),2502010.0)</f>
        <v>2502010</v>
      </c>
      <c r="C2550" t="str">
        <f>IFERROR(__xludf.DUMMYFUNCTION("""COMPUTED_VALUE"""),"Souris")</f>
        <v>Souris</v>
      </c>
      <c r="D2550" t="str">
        <f>IFERROR(__xludf.DUMMYFUNCTION("""COMPUTED_VALUE"""),"verte Dual Connect")</f>
        <v>verte Dual Connect</v>
      </c>
      <c r="E2550" t="str">
        <f>IFERROR(__xludf.DUMMYFUNCTION("""COMPUTED_VALUE"""),"TNB")</f>
        <v>TNB</v>
      </c>
      <c r="F2550" t="str">
        <f>IFERROR(__xludf.DUMMYFUNCTION("""COMPUTED_VALUE"""),"W")</f>
        <v>W</v>
      </c>
      <c r="G2550" t="str">
        <f>IFERROR(__xludf.DUMMYFUNCTION("""COMPUTED_VALUE"""),"AC")</f>
        <v>AC</v>
      </c>
      <c r="H2550">
        <f>IFERROR(__xludf.DUMMYFUNCTION("""COMPUTED_VALUE"""),19.99)</f>
        <v>19.99</v>
      </c>
      <c r="I2550">
        <f>IFERROR(__xludf.DUMMYFUNCTION("""COMPUTED_VALUE"""),19.99)</f>
        <v>19.99</v>
      </c>
      <c r="BD2550" s="2006"/>
      <c r="LL2550" s="2007"/>
      <c r="LM2550" s="2008"/>
      <c r="MX2550" s="2007"/>
      <c r="ND2550" s="2007"/>
    </row>
    <row r="2551">
      <c r="A2551">
        <f>IFERROR(__xludf.DUMMYFUNCTION("""COMPUTED_VALUE"""),1186986.0)</f>
        <v>1186986</v>
      </c>
      <c r="B2551">
        <f>IFERROR(__xludf.DUMMYFUNCTION("""COMPUTED_VALUE"""),2502015.0)</f>
        <v>2502015</v>
      </c>
      <c r="C2551" t="str">
        <f>IFERROR(__xludf.DUMMYFUNCTION("""COMPUTED_VALUE"""),"Clavier")</f>
        <v>Clavier</v>
      </c>
      <c r="D2551" t="str">
        <f>IFERROR(__xludf.DUMMYFUNCTION("""COMPUTED_VALUE"""),"rechargeable en aluminium")</f>
        <v>rechargeable en aluminium</v>
      </c>
      <c r="E2551" t="str">
        <f>IFERROR(__xludf.DUMMYFUNCTION("""COMPUTED_VALUE"""),"TNB")</f>
        <v>TNB</v>
      </c>
      <c r="F2551" t="str">
        <f>IFERROR(__xludf.DUMMYFUNCTION("""COMPUTED_VALUE"""),"W")</f>
        <v>W</v>
      </c>
      <c r="G2551" t="str">
        <f>IFERROR(__xludf.DUMMYFUNCTION("""COMPUTED_VALUE"""),"AC")</f>
        <v>AC</v>
      </c>
      <c r="H2551">
        <f>IFERROR(__xludf.DUMMYFUNCTION("""COMPUTED_VALUE"""),59.99)</f>
        <v>59.99</v>
      </c>
      <c r="I2551">
        <f>IFERROR(__xludf.DUMMYFUNCTION("""COMPUTED_VALUE"""),59.99)</f>
        <v>59.99</v>
      </c>
      <c r="BD2551" s="2006"/>
      <c r="LL2551" s="2007"/>
      <c r="LM2551" s="2008"/>
      <c r="MX2551" s="2007"/>
      <c r="ND2551" s="2007"/>
    </row>
    <row r="2552">
      <c r="A2552">
        <f>IFERROR(__xludf.DUMMYFUNCTION("""COMPUTED_VALUE"""),1186988.0)</f>
        <v>1186988</v>
      </c>
      <c r="B2552">
        <f>IFERROR(__xludf.DUMMYFUNCTION("""COMPUTED_VALUE"""),2503010.0)</f>
        <v>2503010</v>
      </c>
      <c r="C2552" t="str">
        <f>IFERROR(__xludf.DUMMYFUNCTION("""COMPUTED_VALUE"""),"Casque micro")</f>
        <v>Casque micro</v>
      </c>
      <c r="D2552" t="str">
        <f>IFERROR(__xludf.DUMMYFUNCTION("""COMPUTED_VALUE"""),"Evolve 65 SE sans fil")</f>
        <v>Evolve 65 SE sans fil</v>
      </c>
      <c r="E2552" t="str">
        <f>IFERROR(__xludf.DUMMYFUNCTION("""COMPUTED_VALUE"""),"JABRA")</f>
        <v>JABRA</v>
      </c>
      <c r="F2552" t="str">
        <f>IFERROR(__xludf.DUMMYFUNCTION("""COMPUTED_VALUE"""),"W")</f>
        <v>W</v>
      </c>
      <c r="G2552" t="str">
        <f>IFERROR(__xludf.DUMMYFUNCTION("""COMPUTED_VALUE"""),"AC")</f>
        <v>AC</v>
      </c>
      <c r="H2552">
        <f>IFERROR(__xludf.DUMMYFUNCTION("""COMPUTED_VALUE"""),174.99)</f>
        <v>174.99</v>
      </c>
      <c r="I2552">
        <f>IFERROR(__xludf.DUMMYFUNCTION("""COMPUTED_VALUE"""),159.0)</f>
        <v>159</v>
      </c>
      <c r="BD2552" s="2006"/>
      <c r="LL2552" s="2007"/>
      <c r="LM2552" s="2008"/>
      <c r="MX2552" s="2007"/>
      <c r="ND2552" s="2007"/>
    </row>
    <row r="2553">
      <c r="A2553">
        <f>IFERROR(__xludf.DUMMYFUNCTION("""COMPUTED_VALUE"""),1186990.0)</f>
        <v>1186990</v>
      </c>
      <c r="B2553">
        <f>IFERROR(__xludf.DUMMYFUNCTION("""COMPUTED_VALUE"""),2503010.0)</f>
        <v>2503010</v>
      </c>
      <c r="C2553" t="str">
        <f>IFERROR(__xludf.DUMMYFUNCTION("""COMPUTED_VALUE"""),"Casque micro")</f>
        <v>Casque micro</v>
      </c>
      <c r="D2553" t="str">
        <f>IFERROR(__xludf.DUMMYFUNCTION("""COMPUTED_VALUE"""),"Evolve 75 SE Sans fil")</f>
        <v>Evolve 75 SE Sans fil</v>
      </c>
      <c r="E2553" t="str">
        <f>IFERROR(__xludf.DUMMYFUNCTION("""COMPUTED_VALUE"""),"JABRA")</f>
        <v>JABRA</v>
      </c>
      <c r="F2553" t="str">
        <f>IFERROR(__xludf.DUMMYFUNCTION("""COMPUTED_VALUE"""),"W")</f>
        <v>W</v>
      </c>
      <c r="G2553" t="str">
        <f>IFERROR(__xludf.DUMMYFUNCTION("""COMPUTED_VALUE"""),"AC")</f>
        <v>AC</v>
      </c>
      <c r="H2553">
        <f>IFERROR(__xludf.DUMMYFUNCTION("""COMPUTED_VALUE"""),329.99)</f>
        <v>329.99</v>
      </c>
      <c r="I2553">
        <f>IFERROR(__xludf.DUMMYFUNCTION("""COMPUTED_VALUE"""),293.86)</f>
        <v>293.86</v>
      </c>
      <c r="BD2553" s="2006"/>
      <c r="LL2553" s="2007"/>
      <c r="LM2553" s="2007"/>
      <c r="MX2553" s="2007"/>
      <c r="ND2553" s="2007"/>
    </row>
    <row r="2554">
      <c r="A2554">
        <f>IFERROR(__xludf.DUMMYFUNCTION("""COMPUTED_VALUE"""),1187010.0)</f>
        <v>1187010</v>
      </c>
      <c r="B2554">
        <f>IFERROR(__xludf.DUMMYFUNCTION("""COMPUTED_VALUE"""),2502010.0)</f>
        <v>2502010</v>
      </c>
      <c r="C2554" t="str">
        <f>IFERROR(__xludf.DUMMYFUNCTION("""COMPUTED_VALUE"""),"Souris")</f>
        <v>Souris</v>
      </c>
      <c r="D2554" t="str">
        <f>IFERROR(__xludf.DUMMYFUNCTION("""COMPUTED_VALUE"""),"Souris semi-ergonomique rechargeabl")</f>
        <v>Souris semi-ergonomique rechargeabl</v>
      </c>
      <c r="E2554" t="str">
        <f>IFERROR(__xludf.DUMMYFUNCTION("""COMPUTED_VALUE"""),"TNB")</f>
        <v>TNB</v>
      </c>
      <c r="F2554" t="str">
        <f>IFERROR(__xludf.DUMMYFUNCTION("""COMPUTED_VALUE"""),"W")</f>
        <v>W</v>
      </c>
      <c r="G2554" t="str">
        <f>IFERROR(__xludf.DUMMYFUNCTION("""COMPUTED_VALUE"""),"AC")</f>
        <v>AC</v>
      </c>
      <c r="H2554">
        <f>IFERROR(__xludf.DUMMYFUNCTION("""COMPUTED_VALUE"""),49.99)</f>
        <v>49.99</v>
      </c>
      <c r="I2554">
        <f>IFERROR(__xludf.DUMMYFUNCTION("""COMPUTED_VALUE"""),49.99)</f>
        <v>49.99</v>
      </c>
      <c r="BD2554" s="2006"/>
      <c r="LL2554" s="2007"/>
      <c r="LM2554" s="2007"/>
      <c r="MX2554" s="2007"/>
      <c r="ND2554" s="2007"/>
    </row>
    <row r="2555">
      <c r="A2555">
        <f>IFERROR(__xludf.DUMMYFUNCTION("""COMPUTED_VALUE"""),1187026.0)</f>
        <v>1187026</v>
      </c>
      <c r="B2555">
        <f>IFERROR(__xludf.DUMMYFUNCTION("""COMPUTED_VALUE"""),2502010.0)</f>
        <v>2502010</v>
      </c>
      <c r="C2555" t="str">
        <f>IFERROR(__xludf.DUMMYFUNCTION("""COMPUTED_VALUE"""),"Souris")</f>
        <v>Souris</v>
      </c>
      <c r="D2555" t="str">
        <f>IFERROR(__xludf.DUMMYFUNCTION("""COMPUTED_VALUE"""),"bleu Dual Connect")</f>
        <v>bleu Dual Connect</v>
      </c>
      <c r="E2555" t="str">
        <f>IFERROR(__xludf.DUMMYFUNCTION("""COMPUTED_VALUE"""),"TNB")</f>
        <v>TNB</v>
      </c>
      <c r="F2555" t="str">
        <f>IFERROR(__xludf.DUMMYFUNCTION("""COMPUTED_VALUE"""),"W")</f>
        <v>W</v>
      </c>
      <c r="G2555" t="str">
        <f>IFERROR(__xludf.DUMMYFUNCTION("""COMPUTED_VALUE"""),"AC")</f>
        <v>AC</v>
      </c>
      <c r="H2555">
        <f>IFERROR(__xludf.DUMMYFUNCTION("""COMPUTED_VALUE"""),19.99)</f>
        <v>19.99</v>
      </c>
      <c r="I2555">
        <f>IFERROR(__xludf.DUMMYFUNCTION("""COMPUTED_VALUE"""),19.99)</f>
        <v>19.99</v>
      </c>
      <c r="BD2555" s="2006"/>
      <c r="LL2555" s="2008"/>
      <c r="LM2555" s="2007"/>
      <c r="MX2555" s="2008"/>
      <c r="ND2555" s="2008"/>
    </row>
    <row r="2556">
      <c r="A2556">
        <f>IFERROR(__xludf.DUMMYFUNCTION("""COMPUTED_VALUE"""),1187027.0)</f>
        <v>1187027</v>
      </c>
      <c r="B2556">
        <f>IFERROR(__xludf.DUMMYFUNCTION("""COMPUTED_VALUE"""),2502015.0)</f>
        <v>2502015</v>
      </c>
      <c r="C2556" t="str">
        <f>IFERROR(__xludf.DUMMYFUNCTION("""COMPUTED_VALUE"""),"Clavier+Souris")</f>
        <v>Clavier+Souris</v>
      </c>
      <c r="D2556" t="str">
        <f>IFERROR(__xludf.DUMMYFUNCTION("""COMPUTED_VALUE"""),"rechargeable en aluminium et souris")</f>
        <v>rechargeable en aluminium et souris</v>
      </c>
      <c r="E2556" t="str">
        <f>IFERROR(__xludf.DUMMYFUNCTION("""COMPUTED_VALUE"""),"TNB")</f>
        <v>TNB</v>
      </c>
      <c r="F2556" t="str">
        <f>IFERROR(__xludf.DUMMYFUNCTION("""COMPUTED_VALUE"""),"W")</f>
        <v>W</v>
      </c>
      <c r="G2556" t="str">
        <f>IFERROR(__xludf.DUMMYFUNCTION("""COMPUTED_VALUE"""),"AC")</f>
        <v>AC</v>
      </c>
      <c r="H2556">
        <f>IFERROR(__xludf.DUMMYFUNCTION("""COMPUTED_VALUE"""),59.99)</f>
        <v>59.99</v>
      </c>
      <c r="I2556">
        <f>IFERROR(__xludf.DUMMYFUNCTION("""COMPUTED_VALUE"""),59.99)</f>
        <v>59.99</v>
      </c>
      <c r="BD2556" s="2006"/>
      <c r="LL2556" s="2007"/>
      <c r="LM2556" s="2007"/>
      <c r="MX2556" s="2007"/>
      <c r="ND2556" s="2007"/>
    </row>
    <row r="2557">
      <c r="A2557">
        <f>IFERROR(__xludf.DUMMYFUNCTION("""COMPUTED_VALUE"""),1187031.0)</f>
        <v>1187031</v>
      </c>
      <c r="B2557">
        <f>IFERROR(__xludf.DUMMYFUNCTION("""COMPUTED_VALUE"""),2502099.0)</f>
        <v>2502099</v>
      </c>
      <c r="C2557" t="str">
        <f>IFERROR(__xludf.DUMMYFUNCTION("""COMPUTED_VALUE"""),"Clavier+Souris")</f>
        <v>Clavier+Souris</v>
      </c>
      <c r="D2557" t="str">
        <f>IFERROR(__xludf.DUMMYFUNCTION("""COMPUTED_VALUE"""),"K650 + M650 noires")</f>
        <v>K650 + M650 noires</v>
      </c>
      <c r="E2557" t="str">
        <f>IFERROR(__xludf.DUMMYFUNCTION("""COMPUTED_VALUE"""),"LOGITECH")</f>
        <v>LOGITECH</v>
      </c>
      <c r="F2557" t="str">
        <f>IFERROR(__xludf.DUMMYFUNCTION("""COMPUTED_VALUE"""),"H")</f>
        <v>H</v>
      </c>
      <c r="G2557" t="str">
        <f>IFERROR(__xludf.DUMMYFUNCTION("""COMPUTED_VALUE"""),"AC")</f>
        <v>AC</v>
      </c>
      <c r="H2557">
        <f>IFERROR(__xludf.DUMMYFUNCTION("""COMPUTED_VALUE"""),104.97)</f>
        <v>104.97</v>
      </c>
      <c r="I2557">
        <f>IFERROR(__xludf.DUMMYFUNCTION("""COMPUTED_VALUE"""),89.94)</f>
        <v>89.94</v>
      </c>
      <c r="BD2557" s="2006"/>
      <c r="LL2557" s="2007"/>
      <c r="LM2557" s="2008"/>
      <c r="MX2557" s="2007"/>
      <c r="ND2557" s="2007"/>
    </row>
    <row r="2558">
      <c r="A2558">
        <f>IFERROR(__xludf.DUMMYFUNCTION("""COMPUTED_VALUE"""),1187032.0)</f>
        <v>1187032</v>
      </c>
      <c r="B2558">
        <f>IFERROR(__xludf.DUMMYFUNCTION("""COMPUTED_VALUE"""),2502099.0)</f>
        <v>2502099</v>
      </c>
      <c r="C2558" t="str">
        <f>IFERROR(__xludf.DUMMYFUNCTION("""COMPUTED_VALUE"""),"Clavier+Souris")</f>
        <v>Clavier+Souris</v>
      </c>
      <c r="D2558" t="str">
        <f>IFERROR(__xludf.DUMMYFUNCTION("""COMPUTED_VALUE"""),"Mx Keys + Mx anywhere 3")</f>
        <v>Mx Keys + Mx anywhere 3</v>
      </c>
      <c r="E2558" t="str">
        <f>IFERROR(__xludf.DUMMYFUNCTION("""COMPUTED_VALUE"""),"LOGITECH")</f>
        <v>LOGITECH</v>
      </c>
      <c r="F2558" t="str">
        <f>IFERROR(__xludf.DUMMYFUNCTION("""COMPUTED_VALUE"""),"H")</f>
        <v>H</v>
      </c>
      <c r="G2558" t="str">
        <f>IFERROR(__xludf.DUMMYFUNCTION("""COMPUTED_VALUE"""),"FI")</f>
        <v>FI</v>
      </c>
      <c r="H2558">
        <f>IFERROR(__xludf.DUMMYFUNCTION("""COMPUTED_VALUE"""),229.97)</f>
        <v>229.97</v>
      </c>
      <c r="I2558">
        <f>IFERROR(__xludf.DUMMYFUNCTION("""COMPUTED_VALUE"""),229.97)</f>
        <v>229.97</v>
      </c>
      <c r="BD2558" s="2006"/>
      <c r="LL2558" s="2007"/>
      <c r="LM2558" s="2008"/>
      <c r="MX2558" s="2008"/>
      <c r="ND2558" s="2007"/>
    </row>
    <row r="2559">
      <c r="A2559">
        <f>IFERROR(__xludf.DUMMYFUNCTION("""COMPUTED_VALUE"""),1187033.0)</f>
        <v>1187033</v>
      </c>
      <c r="B2559">
        <f>IFERROR(__xludf.DUMMYFUNCTION("""COMPUTED_VALUE"""),2502099.0)</f>
        <v>2502099</v>
      </c>
      <c r="C2559" t="str">
        <f>IFERROR(__xludf.DUMMYFUNCTION("""COMPUTED_VALUE"""),"Clavier+Souris")</f>
        <v>Clavier+Souris</v>
      </c>
      <c r="D2559" t="str">
        <f>IFERROR(__xludf.DUMMYFUNCTION("""COMPUTED_VALUE"""),"Mx Keys mini + Mx anywhere 3")</f>
        <v>Mx Keys mini + Mx anywhere 3</v>
      </c>
      <c r="E2559" t="str">
        <f>IFERROR(__xludf.DUMMYFUNCTION("""COMPUTED_VALUE"""),"LOGITECH")</f>
        <v>LOGITECH</v>
      </c>
      <c r="F2559" t="str">
        <f>IFERROR(__xludf.DUMMYFUNCTION("""COMPUTED_VALUE"""),"H")</f>
        <v>H</v>
      </c>
      <c r="G2559" t="str">
        <f>IFERROR(__xludf.DUMMYFUNCTION("""COMPUTED_VALUE"""),"FI")</f>
        <v>FI</v>
      </c>
      <c r="H2559">
        <f>IFERROR(__xludf.DUMMYFUNCTION("""COMPUTED_VALUE"""),219.97)</f>
        <v>219.97</v>
      </c>
      <c r="I2559">
        <f>IFERROR(__xludf.DUMMYFUNCTION("""COMPUTED_VALUE"""),219.97)</f>
        <v>219.97</v>
      </c>
      <c r="BD2559" s="2006"/>
      <c r="LL2559" s="2007"/>
      <c r="LM2559" s="2007"/>
      <c r="MX2559" s="2007"/>
      <c r="ND2559" s="2007"/>
    </row>
    <row r="2560">
      <c r="A2560">
        <f>IFERROR(__xludf.DUMMYFUNCTION("""COMPUTED_VALUE"""),1187034.0)</f>
        <v>1187034</v>
      </c>
      <c r="B2560">
        <f>IFERROR(__xludf.DUMMYFUNCTION("""COMPUTED_VALUE"""),2502099.0)</f>
        <v>2502099</v>
      </c>
      <c r="C2560" t="str">
        <f>IFERROR(__xludf.DUMMYFUNCTION("""COMPUTED_VALUE"""),"Clavier+Souris")</f>
        <v>Clavier+Souris</v>
      </c>
      <c r="D2560" t="str">
        <f>IFERROR(__xludf.DUMMYFUNCTION("""COMPUTED_VALUE"""),"Pop Keys + Pop Mouse jaune")</f>
        <v>Pop Keys + Pop Mouse jaune</v>
      </c>
      <c r="E2560" t="str">
        <f>IFERROR(__xludf.DUMMYFUNCTION("""COMPUTED_VALUE"""),"LOGITECH")</f>
        <v>LOGITECH</v>
      </c>
      <c r="F2560" t="str">
        <f>IFERROR(__xludf.DUMMYFUNCTION("""COMPUTED_VALUE"""),"H")</f>
        <v>H</v>
      </c>
      <c r="G2560" t="str">
        <f>IFERROR(__xludf.DUMMYFUNCTION("""COMPUTED_VALUE"""),"AC")</f>
        <v>AC</v>
      </c>
      <c r="H2560">
        <f>IFERROR(__xludf.DUMMYFUNCTION("""COMPUTED_VALUE"""),149.97)</f>
        <v>149.97</v>
      </c>
      <c r="I2560">
        <f>IFERROR(__xludf.DUMMYFUNCTION("""COMPUTED_VALUE"""),149.97)</f>
        <v>149.97</v>
      </c>
      <c r="BD2560" s="2006"/>
      <c r="LL2560" s="2007"/>
      <c r="LM2560" s="2007"/>
      <c r="MX2560" s="2007"/>
      <c r="ND2560" s="2007"/>
    </row>
    <row r="2561">
      <c r="A2561">
        <f>IFERROR(__xludf.DUMMYFUNCTION("""COMPUTED_VALUE"""),1187035.0)</f>
        <v>1187035</v>
      </c>
      <c r="B2561">
        <f>IFERROR(__xludf.DUMMYFUNCTION("""COMPUTED_VALUE"""),2502099.0)</f>
        <v>2502099</v>
      </c>
      <c r="C2561" t="str">
        <f>IFERROR(__xludf.DUMMYFUNCTION("""COMPUTED_VALUE"""),"Clavier+Souris")</f>
        <v>Clavier+Souris</v>
      </c>
      <c r="D2561" t="str">
        <f>IFERROR(__xludf.DUMMYFUNCTION("""COMPUTED_VALUE"""),"Mx keys + Mx Anywhere 3 + Housse")</f>
        <v>Mx keys + Mx Anywhere 3 + Housse</v>
      </c>
      <c r="E2561" t="str">
        <f>IFERROR(__xludf.DUMMYFUNCTION("""COMPUTED_VALUE"""),"LOGITECH")</f>
        <v>LOGITECH</v>
      </c>
      <c r="F2561" t="str">
        <f>IFERROR(__xludf.DUMMYFUNCTION("""COMPUTED_VALUE"""),"H")</f>
        <v>H</v>
      </c>
      <c r="G2561" t="str">
        <f>IFERROR(__xludf.DUMMYFUNCTION("""COMPUTED_VALUE"""),"FI")</f>
        <v>FI</v>
      </c>
      <c r="H2561">
        <f>IFERROR(__xludf.DUMMYFUNCTION("""COMPUTED_VALUE"""),229.97)</f>
        <v>229.97</v>
      </c>
      <c r="I2561">
        <f>IFERROR(__xludf.DUMMYFUNCTION("""COMPUTED_VALUE"""),229.97)</f>
        <v>229.97</v>
      </c>
      <c r="BD2561" s="2006"/>
      <c r="LL2561" s="2007"/>
      <c r="LM2561" s="2007"/>
      <c r="MX2561" s="2007"/>
      <c r="ND2561" s="2007"/>
    </row>
    <row r="2562">
      <c r="A2562">
        <f>IFERROR(__xludf.DUMMYFUNCTION("""COMPUTED_VALUE"""),1187036.0)</f>
        <v>1187036</v>
      </c>
      <c r="B2562">
        <f>IFERROR(__xludf.DUMMYFUNCTION("""COMPUTED_VALUE"""),2502099.0)</f>
        <v>2502099</v>
      </c>
      <c r="C2562" t="str">
        <f>IFERROR(__xludf.DUMMYFUNCTION("""COMPUTED_VALUE"""),"Box")</f>
        <v>Box</v>
      </c>
      <c r="D2562" t="str">
        <f>IFERROR(__xludf.DUMMYFUNCTION("""COMPUTED_VALUE"""),"Lifestyle v2")</f>
        <v>Lifestyle v2</v>
      </c>
      <c r="E2562" t="str">
        <f>IFERROR(__xludf.DUMMYFUNCTION("""COMPUTED_VALUE"""),"LOGITECH")</f>
        <v>LOGITECH</v>
      </c>
      <c r="F2562" t="str">
        <f>IFERROR(__xludf.DUMMYFUNCTION("""COMPUTED_VALUE"""),"H")</f>
        <v>H</v>
      </c>
      <c r="G2562" t="str">
        <f>IFERROR(__xludf.DUMMYFUNCTION("""COMPUTED_VALUE"""),"NN")</f>
        <v>NN</v>
      </c>
      <c r="H2562">
        <f>IFERROR(__xludf.DUMMYFUNCTION("""COMPUTED_VALUE"""),1000.1)</f>
        <v>1000.1</v>
      </c>
      <c r="I2562">
        <f>IFERROR(__xludf.DUMMYFUNCTION("""COMPUTED_VALUE"""),1000.1)</f>
        <v>1000.1</v>
      </c>
      <c r="BD2562" s="2006"/>
      <c r="LL2562" s="2007"/>
      <c r="LM2562" s="2007"/>
      <c r="MX2562" s="2007"/>
      <c r="ND2562" s="2007"/>
    </row>
    <row r="2563">
      <c r="A2563">
        <f>IFERROR(__xludf.DUMMYFUNCTION("""COMPUTED_VALUE"""),1187046.0)</f>
        <v>1187046</v>
      </c>
      <c r="B2563">
        <f>IFERROR(__xludf.DUMMYFUNCTION("""COMPUTED_VALUE"""),2502010.0)</f>
        <v>2502010</v>
      </c>
      <c r="C2563" t="str">
        <f>IFERROR(__xludf.DUMMYFUNCTION("""COMPUTED_VALUE"""),"Souris")</f>
        <v>Souris</v>
      </c>
      <c r="D2563" t="str">
        <f>IFERROR(__xludf.DUMMYFUNCTION("""COMPUTED_VALUE"""),"rechargeable TRIPLE CONNECT")</f>
        <v>rechargeable TRIPLE CONNECT</v>
      </c>
      <c r="E2563" t="str">
        <f>IFERROR(__xludf.DUMMYFUNCTION("""COMPUTED_VALUE"""),"TNB")</f>
        <v>TNB</v>
      </c>
      <c r="F2563" t="str">
        <f>IFERROR(__xludf.DUMMYFUNCTION("""COMPUTED_VALUE"""),"W")</f>
        <v>W</v>
      </c>
      <c r="G2563" t="str">
        <f>IFERROR(__xludf.DUMMYFUNCTION("""COMPUTED_VALUE"""),"AC")</f>
        <v>AC</v>
      </c>
      <c r="H2563">
        <f>IFERROR(__xludf.DUMMYFUNCTION("""COMPUTED_VALUE"""),39.99)</f>
        <v>39.99</v>
      </c>
      <c r="I2563">
        <f>IFERROR(__xludf.DUMMYFUNCTION("""COMPUTED_VALUE"""),39.99)</f>
        <v>39.99</v>
      </c>
      <c r="BD2563" s="2006"/>
      <c r="LL2563" s="2007"/>
      <c r="LM2563" s="2007"/>
      <c r="MX2563" s="2007"/>
      <c r="ND2563" s="2007"/>
    </row>
    <row r="2564">
      <c r="A2564">
        <f>IFERROR(__xludf.DUMMYFUNCTION("""COMPUTED_VALUE"""),1187047.0)</f>
        <v>1187047</v>
      </c>
      <c r="B2564">
        <f>IFERROR(__xludf.DUMMYFUNCTION("""COMPUTED_VALUE"""),2502015.0)</f>
        <v>2502015</v>
      </c>
      <c r="C2564" t="str">
        <f>IFERROR(__xludf.DUMMYFUNCTION("""COMPUTED_VALUE"""),"Clavier+Souris")</f>
        <v>Clavier+Souris</v>
      </c>
      <c r="D2564" t="str">
        <f>IFERROR(__xludf.DUMMYFUNCTION("""COMPUTED_VALUE"""),"rechargeable en aluminium et souris")</f>
        <v>rechargeable en aluminium et souris</v>
      </c>
      <c r="E2564" t="str">
        <f>IFERROR(__xludf.DUMMYFUNCTION("""COMPUTED_VALUE"""),"TNB")</f>
        <v>TNB</v>
      </c>
      <c r="F2564" t="str">
        <f>IFERROR(__xludf.DUMMYFUNCTION("""COMPUTED_VALUE"""),"W")</f>
        <v>W</v>
      </c>
      <c r="G2564" t="str">
        <f>IFERROR(__xludf.DUMMYFUNCTION("""COMPUTED_VALUE"""),"AC")</f>
        <v>AC</v>
      </c>
      <c r="H2564">
        <f>IFERROR(__xludf.DUMMYFUNCTION("""COMPUTED_VALUE"""),59.99)</f>
        <v>59.99</v>
      </c>
      <c r="I2564">
        <f>IFERROR(__xludf.DUMMYFUNCTION("""COMPUTED_VALUE"""),59.99)</f>
        <v>59.99</v>
      </c>
      <c r="BD2564" s="2006"/>
      <c r="LL2564" s="2007"/>
      <c r="LM2564" s="2007"/>
      <c r="MX2564" s="2007"/>
      <c r="ND2564" s="2008"/>
    </row>
    <row r="2565">
      <c r="A2565">
        <f>IFERROR(__xludf.DUMMYFUNCTION("""COMPUTED_VALUE"""),1187048.0)</f>
        <v>1187048</v>
      </c>
      <c r="B2565">
        <f>IFERROR(__xludf.DUMMYFUNCTION("""COMPUTED_VALUE"""),2502510.0)</f>
        <v>2502510</v>
      </c>
      <c r="C2565" t="str">
        <f>IFERROR(__xludf.DUMMYFUNCTION("""COMPUTED_VALUE"""),"Support")</f>
        <v>Support</v>
      </c>
      <c r="D2565" t="str">
        <f>IFERROR(__xludf.DUMMYFUNCTION("""COMPUTED_VALUE"""),"aluminium")</f>
        <v>aluminium</v>
      </c>
      <c r="E2565" t="str">
        <f>IFERROR(__xludf.DUMMYFUNCTION("""COMPUTED_VALUE"""),"TNB")</f>
        <v>TNB</v>
      </c>
      <c r="F2565" t="str">
        <f>IFERROR(__xludf.DUMMYFUNCTION("""COMPUTED_VALUE"""),"W")</f>
        <v>W</v>
      </c>
      <c r="G2565" t="str">
        <f>IFERROR(__xludf.DUMMYFUNCTION("""COMPUTED_VALUE"""),"AC")</f>
        <v>AC</v>
      </c>
      <c r="H2565">
        <f>IFERROR(__xludf.DUMMYFUNCTION("""COMPUTED_VALUE"""),19.99)</f>
        <v>19.99</v>
      </c>
      <c r="I2565">
        <f>IFERROR(__xludf.DUMMYFUNCTION("""COMPUTED_VALUE"""),19.99)</f>
        <v>19.99</v>
      </c>
      <c r="LL2565" s="2007"/>
      <c r="LM2565" s="2008"/>
    </row>
    <row r="2566">
      <c r="A2566">
        <f>IFERROR(__xludf.DUMMYFUNCTION("""COMPUTED_VALUE"""),1187055.0)</f>
        <v>1187055</v>
      </c>
      <c r="B2566">
        <f>IFERROR(__xludf.DUMMYFUNCTION("""COMPUTED_VALUE"""),2502010.0)</f>
        <v>2502010</v>
      </c>
      <c r="C2566" t="str">
        <f>IFERROR(__xludf.DUMMYFUNCTION("""COMPUTED_VALUE"""),"Souris")</f>
        <v>Souris</v>
      </c>
      <c r="D2566" t="str">
        <f>IFERROR(__xludf.DUMMYFUNCTION("""COMPUTED_VALUE"""),"rose Dual Connect")</f>
        <v>rose Dual Connect</v>
      </c>
      <c r="E2566" t="str">
        <f>IFERROR(__xludf.DUMMYFUNCTION("""COMPUTED_VALUE"""),"TNB")</f>
        <v>TNB</v>
      </c>
      <c r="F2566" t="str">
        <f>IFERROR(__xludf.DUMMYFUNCTION("""COMPUTED_VALUE"""),"W")</f>
        <v>W</v>
      </c>
      <c r="G2566" t="str">
        <f>IFERROR(__xludf.DUMMYFUNCTION("""COMPUTED_VALUE"""),"AC")</f>
        <v>AC</v>
      </c>
      <c r="H2566">
        <f>IFERROR(__xludf.DUMMYFUNCTION("""COMPUTED_VALUE"""),19.99)</f>
        <v>19.99</v>
      </c>
      <c r="I2566">
        <f>IFERROR(__xludf.DUMMYFUNCTION("""COMPUTED_VALUE"""),19.99)</f>
        <v>19.99</v>
      </c>
      <c r="LL2566" s="2007"/>
      <c r="LM2566" s="2008"/>
    </row>
    <row r="2567">
      <c r="A2567">
        <f>IFERROR(__xludf.DUMMYFUNCTION("""COMPUTED_VALUE"""),1187056.0)</f>
        <v>1187056</v>
      </c>
      <c r="B2567">
        <f>IFERROR(__xludf.DUMMYFUNCTION("""COMPUTED_VALUE"""),2502505.0)</f>
        <v>2502505</v>
      </c>
      <c r="C2567" t="str">
        <f>IFERROR(__xludf.DUMMYFUNCTION("""COMPUTED_VALUE"""),"Tapis")</f>
        <v>Tapis</v>
      </c>
      <c r="D2567" t="str">
        <f>IFERROR(__xludf.DUMMYFUNCTION("""COMPUTED_VALUE"""),"Gel System")</f>
        <v>Gel System</v>
      </c>
      <c r="E2567" t="str">
        <f>IFERROR(__xludf.DUMMYFUNCTION("""COMPUTED_VALUE"""),"TNB")</f>
        <v>TNB</v>
      </c>
      <c r="F2567" t="str">
        <f>IFERROR(__xludf.DUMMYFUNCTION("""COMPUTED_VALUE"""),"W")</f>
        <v>W</v>
      </c>
      <c r="G2567" t="str">
        <f>IFERROR(__xludf.DUMMYFUNCTION("""COMPUTED_VALUE"""),"AC")</f>
        <v>AC</v>
      </c>
      <c r="H2567">
        <f>IFERROR(__xludf.DUMMYFUNCTION("""COMPUTED_VALUE"""),19.99)</f>
        <v>19.99</v>
      </c>
      <c r="I2567">
        <f>IFERROR(__xludf.DUMMYFUNCTION("""COMPUTED_VALUE"""),13.8)</f>
        <v>13.8</v>
      </c>
      <c r="LL2567" s="2007"/>
      <c r="LM2567" s="2008"/>
      <c r="MX2567" s="2007"/>
      <c r="ND2567" s="2007"/>
    </row>
    <row r="2568">
      <c r="A2568">
        <f>IFERROR(__xludf.DUMMYFUNCTION("""COMPUTED_VALUE"""),1187061.0)</f>
        <v>1187061</v>
      </c>
      <c r="B2568">
        <f>IFERROR(__xludf.DUMMYFUNCTION("""COMPUTED_VALUE"""),2502015.0)</f>
        <v>2502015</v>
      </c>
      <c r="C2568" t="str">
        <f>IFERROR(__xludf.DUMMYFUNCTION("""COMPUTED_VALUE"""),"Clavier+Souris")</f>
        <v>Clavier+Souris</v>
      </c>
      <c r="D2568" t="str">
        <f>IFERROR(__xludf.DUMMYFUNCTION("""COMPUTED_VALUE"""),"rechargeable en aluminium et souris")</f>
        <v>rechargeable en aluminium et souris</v>
      </c>
      <c r="E2568" t="str">
        <f>IFERROR(__xludf.DUMMYFUNCTION("""COMPUTED_VALUE"""),"TNB")</f>
        <v>TNB</v>
      </c>
      <c r="F2568" t="str">
        <f>IFERROR(__xludf.DUMMYFUNCTION("""COMPUTED_VALUE"""),"W")</f>
        <v>W</v>
      </c>
      <c r="G2568" t="str">
        <f>IFERROR(__xludf.DUMMYFUNCTION("""COMPUTED_VALUE"""),"AC")</f>
        <v>AC</v>
      </c>
      <c r="H2568">
        <f>IFERROR(__xludf.DUMMYFUNCTION("""COMPUTED_VALUE"""),59.99)</f>
        <v>59.99</v>
      </c>
      <c r="I2568">
        <f>IFERROR(__xludf.DUMMYFUNCTION("""COMPUTED_VALUE"""),59.99)</f>
        <v>59.99</v>
      </c>
      <c r="LL2568" s="2007"/>
      <c r="LM2568" s="2008"/>
      <c r="MX2568" s="2007"/>
      <c r="ND2568" s="2007"/>
    </row>
    <row r="2569">
      <c r="A2569">
        <f>IFERROR(__xludf.DUMMYFUNCTION("""COMPUTED_VALUE"""),1187086.0)</f>
        <v>1187086</v>
      </c>
      <c r="B2569">
        <f>IFERROR(__xludf.DUMMYFUNCTION("""COMPUTED_VALUE"""),2403005.0)</f>
        <v>2403005</v>
      </c>
      <c r="C2569" t="str">
        <f>IFERROR(__xludf.DUMMYFUNCTION("""COMPUTED_VALUE"""),"Cartouche")</f>
        <v>Cartouche</v>
      </c>
      <c r="D2569" t="str">
        <f>IFERROR(__xludf.DUMMYFUNCTION("""COMPUTED_VALUE"""),"Noir + CMJ LC424")</f>
        <v>Noir + CMJ LC424</v>
      </c>
      <c r="E2569" t="str">
        <f>IFERROR(__xludf.DUMMYFUNCTION("""COMPUTED_VALUE"""),"BROTHER")</f>
        <v>BROTHER</v>
      </c>
      <c r="F2569" t="str">
        <f>IFERROR(__xludf.DUMMYFUNCTION("""COMPUTED_VALUE"""),"W")</f>
        <v>W</v>
      </c>
      <c r="G2569" t="str">
        <f>IFERROR(__xludf.DUMMYFUNCTION("""COMPUTED_VALUE"""),"AC")</f>
        <v>AC</v>
      </c>
      <c r="H2569">
        <f>IFERROR(__xludf.DUMMYFUNCTION("""COMPUTED_VALUE"""),79.99)</f>
        <v>79.99</v>
      </c>
      <c r="I2569">
        <f>IFERROR(__xludf.DUMMYFUNCTION("""COMPUTED_VALUE"""),59.95)</f>
        <v>59.95</v>
      </c>
      <c r="BD2569" s="2006"/>
      <c r="LL2569" s="2007"/>
      <c r="LM2569" s="2008"/>
      <c r="MX2569" s="2007"/>
      <c r="ND2569" s="2007"/>
    </row>
    <row r="2570">
      <c r="A2570">
        <f>IFERROR(__xludf.DUMMYFUNCTION("""COMPUTED_VALUE"""),1187087.0)</f>
        <v>1187087</v>
      </c>
      <c r="B2570">
        <f>IFERROR(__xludf.DUMMYFUNCTION("""COMPUTED_VALUE"""),2403005.0)</f>
        <v>2403005</v>
      </c>
      <c r="C2570" t="str">
        <f>IFERROR(__xludf.DUMMYFUNCTION("""COMPUTED_VALUE"""),"Cartouche")</f>
        <v>Cartouche</v>
      </c>
      <c r="D2570" t="str">
        <f>IFERROR(__xludf.DUMMYFUNCTION("""COMPUTED_VALUE"""),"Noir + CMJ LC421")</f>
        <v>Noir + CMJ LC421</v>
      </c>
      <c r="E2570" t="str">
        <f>IFERROR(__xludf.DUMMYFUNCTION("""COMPUTED_VALUE"""),"BROTHER")</f>
        <v>BROTHER</v>
      </c>
      <c r="F2570" t="str">
        <f>IFERROR(__xludf.DUMMYFUNCTION("""COMPUTED_VALUE"""),"W")</f>
        <v>W</v>
      </c>
      <c r="G2570" t="str">
        <f>IFERROR(__xludf.DUMMYFUNCTION("""COMPUTED_VALUE"""),"AC")</f>
        <v>AC</v>
      </c>
      <c r="H2570">
        <f>IFERROR(__xludf.DUMMYFUNCTION("""COMPUTED_VALUE"""),43.94)</f>
        <v>43.94</v>
      </c>
      <c r="I2570">
        <f>IFERROR(__xludf.DUMMYFUNCTION("""COMPUTED_VALUE"""),34.94)</f>
        <v>34.94</v>
      </c>
      <c r="BD2570" s="2006"/>
      <c r="LL2570" s="2007"/>
      <c r="LM2570" s="2008"/>
      <c r="MX2570" s="2007"/>
      <c r="ND2570" s="2007"/>
    </row>
    <row r="2571">
      <c r="A2571">
        <f>IFERROR(__xludf.DUMMYFUNCTION("""COMPUTED_VALUE"""),1187101.0)</f>
        <v>1187101</v>
      </c>
      <c r="B2571">
        <f>IFERROR(__xludf.DUMMYFUNCTION("""COMPUTED_VALUE"""),2201020.0)</f>
        <v>2201020</v>
      </c>
      <c r="C2571" t="str">
        <f>IFERROR(__xludf.DUMMYFUNCTION("""COMPUTED_VALUE"""),"Mono Laser")</f>
        <v>Mono Laser</v>
      </c>
      <c r="D2571" t="str">
        <f>IFERROR(__xludf.DUMMYFUNCTION("""COMPUTED_VALUE"""),"HLL2350DW")</f>
        <v>HLL2350DW</v>
      </c>
      <c r="E2571" t="str">
        <f>IFERROR(__xludf.DUMMYFUNCTION("""COMPUTED_VALUE"""),"BROTHER")</f>
        <v>BROTHER</v>
      </c>
      <c r="F2571" t="str">
        <f>IFERROR(__xludf.DUMMYFUNCTION("""COMPUTED_VALUE"""),"W")</f>
        <v>W</v>
      </c>
      <c r="G2571" t="str">
        <f>IFERROR(__xludf.DUMMYFUNCTION("""COMPUTED_VALUE"""),"FR")</f>
        <v>FR</v>
      </c>
      <c r="H2571">
        <f>IFERROR(__xludf.DUMMYFUNCTION("""COMPUTED_VALUE"""),154.99)</f>
        <v>154.99</v>
      </c>
      <c r="I2571">
        <f>IFERROR(__xludf.DUMMYFUNCTION("""COMPUTED_VALUE"""),121.99)</f>
        <v>121.99</v>
      </c>
      <c r="BD2571" s="2006"/>
      <c r="LL2571" s="2008"/>
      <c r="LM2571" s="2008"/>
      <c r="MX2571" s="2007"/>
      <c r="ND2571" s="2007"/>
    </row>
    <row r="2572">
      <c r="A2572">
        <f>IFERROR(__xludf.DUMMYFUNCTION("""COMPUTED_VALUE"""),1187102.0)</f>
        <v>1187102</v>
      </c>
      <c r="B2572">
        <f>IFERROR(__xludf.DUMMYFUNCTION("""COMPUTED_VALUE"""),2202005.0)</f>
        <v>2202005</v>
      </c>
      <c r="C2572" t="str">
        <f>IFERROR(__xludf.DUMMYFUNCTION("""COMPUTED_VALUE"""),"Multi Jet d'enc")</f>
        <v>Multi Jet d'enc</v>
      </c>
      <c r="D2572" t="str">
        <f>IFERROR(__xludf.DUMMYFUNCTION("""COMPUTED_VALUE"""),"DCP-J1200WE éligible à Ecopro")</f>
        <v>DCP-J1200WE éligible à Ecopro</v>
      </c>
      <c r="E2572" t="str">
        <f>IFERROR(__xludf.DUMMYFUNCTION("""COMPUTED_VALUE"""),"BROTHER")</f>
        <v>BROTHER</v>
      </c>
      <c r="F2572" t="str">
        <f>IFERROR(__xludf.DUMMYFUNCTION("""COMPUTED_VALUE"""),"H")</f>
        <v>H</v>
      </c>
      <c r="G2572" t="str">
        <f>IFERROR(__xludf.DUMMYFUNCTION("""COMPUTED_VALUE"""),"AC")</f>
        <v>AC</v>
      </c>
      <c r="H2572">
        <f>IFERROR(__xludf.DUMMYFUNCTION("""COMPUTED_VALUE"""),118.8)</f>
        <v>118.8</v>
      </c>
      <c r="I2572">
        <f>IFERROR(__xludf.DUMMYFUNCTION("""COMPUTED_VALUE"""),118.8)</f>
        <v>118.8</v>
      </c>
      <c r="BD2572" s="2006"/>
      <c r="LL2572" s="2007"/>
      <c r="LM2572" s="2008"/>
      <c r="MX2572" s="2007"/>
      <c r="ND2572" s="2007"/>
    </row>
    <row r="2573">
      <c r="A2573">
        <f>IFERROR(__xludf.DUMMYFUNCTION("""COMPUTED_VALUE"""),1187103.0)</f>
        <v>1187103</v>
      </c>
      <c r="B2573">
        <f>IFERROR(__xludf.DUMMYFUNCTION("""COMPUTED_VALUE"""),2202005.0)</f>
        <v>2202005</v>
      </c>
      <c r="C2573" t="str">
        <f>IFERROR(__xludf.DUMMYFUNCTION("""COMPUTED_VALUE"""),"Multi Jet d'enc")</f>
        <v>Multi Jet d'enc</v>
      </c>
      <c r="D2573" t="str">
        <f>IFERROR(__xludf.DUMMYFUNCTION("""COMPUTED_VALUE"""),"MFC-J6540DWE éligible à Ecopro")</f>
        <v>MFC-J6540DWE éligible à Ecopro</v>
      </c>
      <c r="E2573" t="str">
        <f>IFERROR(__xludf.DUMMYFUNCTION("""COMPUTED_VALUE"""),"BROTHER")</f>
        <v>BROTHER</v>
      </c>
      <c r="F2573" t="str">
        <f>IFERROR(__xludf.DUMMYFUNCTION("""COMPUTED_VALUE"""),"H")</f>
        <v>H</v>
      </c>
      <c r="G2573" t="str">
        <f>IFERROR(__xludf.DUMMYFUNCTION("""COMPUTED_VALUE"""),"AC")</f>
        <v>AC</v>
      </c>
      <c r="H2573">
        <f>IFERROR(__xludf.DUMMYFUNCTION("""COMPUTED_VALUE"""),298.8)</f>
        <v>298.8</v>
      </c>
      <c r="I2573">
        <f>IFERROR(__xludf.DUMMYFUNCTION("""COMPUTED_VALUE"""),298.8)</f>
        <v>298.8</v>
      </c>
      <c r="BD2573" s="2006"/>
      <c r="LL2573" s="2007"/>
      <c r="LM2573" s="2008"/>
      <c r="MX2573" s="2007"/>
      <c r="ND2573" s="2007"/>
    </row>
    <row r="2574">
      <c r="A2574">
        <f>IFERROR(__xludf.DUMMYFUNCTION("""COMPUTED_VALUE"""),1187124.0)</f>
        <v>1187124</v>
      </c>
      <c r="B2574">
        <f>IFERROR(__xludf.DUMMYFUNCTION("""COMPUTED_VALUE"""),2201099.0)</f>
        <v>2201099</v>
      </c>
      <c r="C2574" t="str">
        <f>IFERROR(__xludf.DUMMYFUNCTION("""COMPUTED_VALUE"""),"Imprimante")</f>
        <v>Imprimante</v>
      </c>
      <c r="D2574" t="str">
        <f>IFERROR(__xludf.DUMMYFUNCTION("""COMPUTED_VALUE"""),"A4 FT800")</f>
        <v>A4 FT800</v>
      </c>
      <c r="E2574" t="str">
        <f>IFERROR(__xludf.DUMMYFUNCTION("""COMPUTED_VALUE"""),"HPRT")</f>
        <v>HPRT</v>
      </c>
      <c r="F2574" t="str">
        <f>IFERROR(__xludf.DUMMYFUNCTION("""COMPUTED_VALUE"""),"W")</f>
        <v>W</v>
      </c>
      <c r="G2574" t="str">
        <f>IFERROR(__xludf.DUMMYFUNCTION("""COMPUTED_VALUE"""),"NN")</f>
        <v>NN</v>
      </c>
      <c r="H2574">
        <f>IFERROR(__xludf.DUMMYFUNCTION("""COMPUTED_VALUE"""),249.99)</f>
        <v>249.99</v>
      </c>
      <c r="I2574">
        <f>IFERROR(__xludf.DUMMYFUNCTION("""COMPUTED_VALUE"""),249.99)</f>
        <v>249.99</v>
      </c>
      <c r="BD2574" s="2006"/>
      <c r="LL2574" s="2007"/>
      <c r="LM2574" s="2008"/>
      <c r="MX2574" s="2007"/>
      <c r="ND2574" s="2007"/>
    </row>
    <row r="2575">
      <c r="A2575">
        <f>IFERROR(__xludf.DUMMYFUNCTION("""COMPUTED_VALUE"""),1187125.0)</f>
        <v>1187125</v>
      </c>
      <c r="B2575">
        <f>IFERROR(__xludf.DUMMYFUNCTION("""COMPUTED_VALUE"""),2201099.0)</f>
        <v>2201099</v>
      </c>
      <c r="C2575" t="str">
        <f>IFERROR(__xludf.DUMMYFUNCTION("""COMPUTED_VALUE"""),"Imprimante")</f>
        <v>Imprimante</v>
      </c>
      <c r="D2575" t="str">
        <f>IFERROR(__xludf.DUMMYFUNCTION("""COMPUTED_VALUE"""),"Mini direct MT810")</f>
        <v>Mini direct MT810</v>
      </c>
      <c r="E2575" t="str">
        <f>IFERROR(__xludf.DUMMYFUNCTION("""COMPUTED_VALUE"""),"HPRT")</f>
        <v>HPRT</v>
      </c>
      <c r="F2575" t="str">
        <f>IFERROR(__xludf.DUMMYFUNCTION("""COMPUTED_VALUE"""),"W")</f>
        <v>W</v>
      </c>
      <c r="G2575" t="str">
        <f>IFERROR(__xludf.DUMMYFUNCTION("""COMPUTED_VALUE"""),"NN")</f>
        <v>NN</v>
      </c>
      <c r="H2575">
        <f>IFERROR(__xludf.DUMMYFUNCTION("""COMPUTED_VALUE"""),259.99)</f>
        <v>259.99</v>
      </c>
      <c r="I2575">
        <f>IFERROR(__xludf.DUMMYFUNCTION("""COMPUTED_VALUE"""),259.99)</f>
        <v>259.99</v>
      </c>
      <c r="BD2575" s="2006"/>
      <c r="LL2575" s="2007"/>
      <c r="LM2575" s="2008"/>
      <c r="MX2575" s="2007"/>
      <c r="ND2575" s="2007"/>
    </row>
    <row r="2576">
      <c r="A2576">
        <f>IFERROR(__xludf.DUMMYFUNCTION("""COMPUTED_VALUE"""),1187126.0)</f>
        <v>1187126</v>
      </c>
      <c r="B2576">
        <f>IFERROR(__xludf.DUMMYFUNCTION("""COMPUTED_VALUE"""),2402045.0)</f>
        <v>2402045</v>
      </c>
      <c r="C2576" t="str">
        <f>IFERROR(__xludf.DUMMYFUNCTION("""COMPUTED_VALUE"""),"Papier")</f>
        <v>Papier</v>
      </c>
      <c r="D2576" t="str">
        <f>IFERROR(__xludf.DUMMYFUNCTION("""COMPUTED_VALUE"""),"recharge rouleau thermique FT800")</f>
        <v>recharge rouleau thermique FT800</v>
      </c>
      <c r="E2576" t="str">
        <f>IFERROR(__xludf.DUMMYFUNCTION("""COMPUTED_VALUE"""),"HPRT")</f>
        <v>HPRT</v>
      </c>
      <c r="F2576" t="str">
        <f>IFERROR(__xludf.DUMMYFUNCTION("""COMPUTED_VALUE"""),"W")</f>
        <v>W</v>
      </c>
      <c r="G2576" t="str">
        <f>IFERROR(__xludf.DUMMYFUNCTION("""COMPUTED_VALUE"""),"FR")</f>
        <v>FR</v>
      </c>
      <c r="H2576">
        <f>IFERROR(__xludf.DUMMYFUNCTION("""COMPUTED_VALUE"""),24.99)</f>
        <v>24.99</v>
      </c>
      <c r="I2576">
        <f>IFERROR(__xludf.DUMMYFUNCTION("""COMPUTED_VALUE"""),24.99)</f>
        <v>24.99</v>
      </c>
      <c r="BD2576" s="2006"/>
      <c r="LL2576" s="2007"/>
      <c r="LM2576" s="2008"/>
      <c r="MX2576" s="2007"/>
      <c r="ND2576" s="2007"/>
    </row>
    <row r="2577">
      <c r="A2577">
        <f>IFERROR(__xludf.DUMMYFUNCTION("""COMPUTED_VALUE"""),1187127.0)</f>
        <v>1187127</v>
      </c>
      <c r="B2577">
        <f>IFERROR(__xludf.DUMMYFUNCTION("""COMPUTED_VALUE"""),2402045.0)</f>
        <v>2402045</v>
      </c>
      <c r="C2577" t="str">
        <f>IFERROR(__xludf.DUMMYFUNCTION("""COMPUTED_VALUE"""),"Papier")</f>
        <v>Papier</v>
      </c>
      <c r="D2577" t="str">
        <f>IFERROR(__xludf.DUMMYFUNCTION("""COMPUTED_VALUE"""),"recharge rouleau thermique MT810")</f>
        <v>recharge rouleau thermique MT810</v>
      </c>
      <c r="E2577" t="str">
        <f>IFERROR(__xludf.DUMMYFUNCTION("""COMPUTED_VALUE"""),"HPRT")</f>
        <v>HPRT</v>
      </c>
      <c r="F2577" t="str">
        <f>IFERROR(__xludf.DUMMYFUNCTION("""COMPUTED_VALUE"""),"W")</f>
        <v>W</v>
      </c>
      <c r="G2577" t="str">
        <f>IFERROR(__xludf.DUMMYFUNCTION("""COMPUTED_VALUE"""),"AC")</f>
        <v>AC</v>
      </c>
      <c r="H2577">
        <f>IFERROR(__xludf.DUMMYFUNCTION("""COMPUTED_VALUE"""),24.99)</f>
        <v>24.99</v>
      </c>
      <c r="I2577">
        <f>IFERROR(__xludf.DUMMYFUNCTION("""COMPUTED_VALUE"""),24.99)</f>
        <v>24.99</v>
      </c>
      <c r="BD2577" s="2006"/>
      <c r="LL2577" s="2007"/>
      <c r="LM2577" s="2008"/>
      <c r="MX2577" s="2007"/>
      <c r="ND2577" s="2007"/>
    </row>
    <row r="2578">
      <c r="A2578">
        <f>IFERROR(__xludf.DUMMYFUNCTION("""COMPUTED_VALUE"""),1187129.0)</f>
        <v>1187129</v>
      </c>
      <c r="B2578">
        <f>IFERROR(__xludf.DUMMYFUNCTION("""COMPUTED_VALUE"""),2403005.0)</f>
        <v>2403005</v>
      </c>
      <c r="C2578" t="str">
        <f>IFERROR(__xludf.DUMMYFUNCTION("""COMPUTED_VALUE"""),"Cartouche")</f>
        <v>Cartouche</v>
      </c>
      <c r="D2578" t="str">
        <f>IFERROR(__xludf.DUMMYFUNCTION("""COMPUTED_VALUE"""),"Jaune LC424")</f>
        <v>Jaune LC424</v>
      </c>
      <c r="E2578" t="str">
        <f>IFERROR(__xludf.DUMMYFUNCTION("""COMPUTED_VALUE"""),"BROTHER")</f>
        <v>BROTHER</v>
      </c>
      <c r="F2578" t="str">
        <f>IFERROR(__xludf.DUMMYFUNCTION("""COMPUTED_VALUE"""),"W")</f>
        <v>W</v>
      </c>
      <c r="G2578" t="str">
        <f>IFERROR(__xludf.DUMMYFUNCTION("""COMPUTED_VALUE"""),"FR")</f>
        <v>FR</v>
      </c>
      <c r="H2578">
        <f>IFERROR(__xludf.DUMMYFUNCTION("""COMPUTED_VALUE"""),18.49)</f>
        <v>18.49</v>
      </c>
      <c r="I2578">
        <f>IFERROR(__xludf.DUMMYFUNCTION("""COMPUTED_VALUE"""),14.95)</f>
        <v>14.95</v>
      </c>
      <c r="BD2578" s="2006"/>
      <c r="LL2578" s="2007"/>
      <c r="LM2578" s="2008"/>
      <c r="MX2578" s="2007"/>
      <c r="ND2578" s="2007"/>
    </row>
    <row r="2579">
      <c r="A2579">
        <f>IFERROR(__xludf.DUMMYFUNCTION("""COMPUTED_VALUE"""),1187130.0)</f>
        <v>1187130</v>
      </c>
      <c r="B2579">
        <f>IFERROR(__xludf.DUMMYFUNCTION("""COMPUTED_VALUE"""),2403005.0)</f>
        <v>2403005</v>
      </c>
      <c r="C2579" t="str">
        <f>IFERROR(__xludf.DUMMYFUNCTION("""COMPUTED_VALUE"""),"Cartouche")</f>
        <v>Cartouche</v>
      </c>
      <c r="D2579" t="str">
        <f>IFERROR(__xludf.DUMMYFUNCTION("""COMPUTED_VALUE"""),"Jaune LC421")</f>
        <v>Jaune LC421</v>
      </c>
      <c r="E2579" t="str">
        <f>IFERROR(__xludf.DUMMYFUNCTION("""COMPUTED_VALUE"""),"BROTHER")</f>
        <v>BROTHER</v>
      </c>
      <c r="F2579" t="str">
        <f>IFERROR(__xludf.DUMMYFUNCTION("""COMPUTED_VALUE"""),"W")</f>
        <v>W</v>
      </c>
      <c r="G2579" t="str">
        <f>IFERROR(__xludf.DUMMYFUNCTION("""COMPUTED_VALUE"""),"FR")</f>
        <v>FR</v>
      </c>
      <c r="H2579">
        <f>IFERROR(__xludf.DUMMYFUNCTION("""COMPUTED_VALUE"""),9.97)</f>
        <v>9.97</v>
      </c>
      <c r="I2579">
        <f>IFERROR(__xludf.DUMMYFUNCTION("""COMPUTED_VALUE"""),7.94)</f>
        <v>7.94</v>
      </c>
      <c r="BD2579" s="2006"/>
      <c r="LL2579" s="2007"/>
      <c r="LM2579" s="2008"/>
      <c r="MX2579" s="2007"/>
      <c r="ND2579" s="2007"/>
    </row>
    <row r="2580">
      <c r="A2580">
        <f>IFERROR(__xludf.DUMMYFUNCTION("""COMPUTED_VALUE"""),1187139.0)</f>
        <v>1187139</v>
      </c>
      <c r="B2580">
        <f>IFERROR(__xludf.DUMMYFUNCTION("""COMPUTED_VALUE"""),2403005.0)</f>
        <v>2403005</v>
      </c>
      <c r="C2580" t="str">
        <f>IFERROR(__xludf.DUMMYFUNCTION("""COMPUTED_VALUE"""),"Cartouche")</f>
        <v>Cartouche</v>
      </c>
      <c r="D2580" t="str">
        <f>IFERROR(__xludf.DUMMYFUNCTION("""COMPUTED_VALUE"""),"Noir LC424")</f>
        <v>Noir LC424</v>
      </c>
      <c r="E2580" t="str">
        <f>IFERROR(__xludf.DUMMYFUNCTION("""COMPUTED_VALUE"""),"BROTHER")</f>
        <v>BROTHER</v>
      </c>
      <c r="F2580" t="str">
        <f>IFERROR(__xludf.DUMMYFUNCTION("""COMPUTED_VALUE"""),"W")</f>
        <v>W</v>
      </c>
      <c r="G2580" t="str">
        <f>IFERROR(__xludf.DUMMYFUNCTION("""COMPUTED_VALUE"""),"AC")</f>
        <v>AC</v>
      </c>
      <c r="H2580">
        <f>IFERROR(__xludf.DUMMYFUNCTION("""COMPUTED_VALUE"""),26.99)</f>
        <v>26.99</v>
      </c>
      <c r="I2580">
        <f>IFERROR(__xludf.DUMMYFUNCTION("""COMPUTED_VALUE"""),19.99)</f>
        <v>19.99</v>
      </c>
      <c r="BD2580" s="2006"/>
      <c r="LL2580" s="2007"/>
      <c r="LM2580" s="2008"/>
      <c r="MX2580" s="2007"/>
      <c r="ND2580" s="2007"/>
    </row>
    <row r="2581">
      <c r="A2581">
        <f>IFERROR(__xludf.DUMMYFUNCTION("""COMPUTED_VALUE"""),1187140.0)</f>
        <v>1187140</v>
      </c>
      <c r="B2581">
        <f>IFERROR(__xludf.DUMMYFUNCTION("""COMPUTED_VALUE"""),2403005.0)</f>
        <v>2403005</v>
      </c>
      <c r="C2581" t="str">
        <f>IFERROR(__xludf.DUMMYFUNCTION("""COMPUTED_VALUE"""),"Cartouche")</f>
        <v>Cartouche</v>
      </c>
      <c r="D2581" t="str">
        <f>IFERROR(__xludf.DUMMYFUNCTION("""COMPUTED_VALUE"""),"Noir LC421")</f>
        <v>Noir LC421</v>
      </c>
      <c r="E2581" t="str">
        <f>IFERROR(__xludf.DUMMYFUNCTION("""COMPUTED_VALUE"""),"BROTHER")</f>
        <v>BROTHER</v>
      </c>
      <c r="F2581" t="str">
        <f>IFERROR(__xludf.DUMMYFUNCTION("""COMPUTED_VALUE"""),"W")</f>
        <v>W</v>
      </c>
      <c r="G2581" t="str">
        <f>IFERROR(__xludf.DUMMYFUNCTION("""COMPUTED_VALUE"""),"AC")</f>
        <v>AC</v>
      </c>
      <c r="H2581">
        <f>IFERROR(__xludf.DUMMYFUNCTION("""COMPUTED_VALUE"""),15.97)</f>
        <v>15.97</v>
      </c>
      <c r="I2581">
        <f>IFERROR(__xludf.DUMMYFUNCTION("""COMPUTED_VALUE"""),12.95)</f>
        <v>12.95</v>
      </c>
      <c r="BD2581" s="2006"/>
      <c r="LL2581" s="2007"/>
      <c r="LM2581" s="2008"/>
      <c r="MX2581" s="2007"/>
      <c r="ND2581" s="2007"/>
    </row>
    <row r="2582">
      <c r="A2582">
        <f>IFERROR(__xludf.DUMMYFUNCTION("""COMPUTED_VALUE"""),1187151.0)</f>
        <v>1187151</v>
      </c>
      <c r="B2582">
        <f>IFERROR(__xludf.DUMMYFUNCTION("""COMPUTED_VALUE"""),2403005.0)</f>
        <v>2403005</v>
      </c>
      <c r="C2582" t="str">
        <f>IFERROR(__xludf.DUMMYFUNCTION("""COMPUTED_VALUE"""),"Cartouche")</f>
        <v>Cartouche</v>
      </c>
      <c r="D2582" t="str">
        <f>IFERROR(__xludf.DUMMYFUNCTION("""COMPUTED_VALUE"""),"Cyan LC424")</f>
        <v>Cyan LC424</v>
      </c>
      <c r="E2582" t="str">
        <f>IFERROR(__xludf.DUMMYFUNCTION("""COMPUTED_VALUE"""),"BROTHER")</f>
        <v>BROTHER</v>
      </c>
      <c r="F2582" t="str">
        <f>IFERROR(__xludf.DUMMYFUNCTION("""COMPUTED_VALUE"""),"W")</f>
        <v>W</v>
      </c>
      <c r="G2582" t="str">
        <f>IFERROR(__xludf.DUMMYFUNCTION("""COMPUTED_VALUE"""),"FR")</f>
        <v>FR</v>
      </c>
      <c r="H2582">
        <f>IFERROR(__xludf.DUMMYFUNCTION("""COMPUTED_VALUE"""),18.49)</f>
        <v>18.49</v>
      </c>
      <c r="I2582">
        <f>IFERROR(__xludf.DUMMYFUNCTION("""COMPUTED_VALUE"""),14.95)</f>
        <v>14.95</v>
      </c>
      <c r="BD2582" s="2006"/>
      <c r="LL2582" s="2007"/>
      <c r="LM2582" s="2008"/>
      <c r="MX2582" s="2007"/>
      <c r="ND2582" s="2007"/>
    </row>
    <row r="2583">
      <c r="A2583">
        <f>IFERROR(__xludf.DUMMYFUNCTION("""COMPUTED_VALUE"""),1187152.0)</f>
        <v>1187152</v>
      </c>
      <c r="B2583">
        <f>IFERROR(__xludf.DUMMYFUNCTION("""COMPUTED_VALUE"""),2403005.0)</f>
        <v>2403005</v>
      </c>
      <c r="C2583" t="str">
        <f>IFERROR(__xludf.DUMMYFUNCTION("""COMPUTED_VALUE"""),"Cartouche")</f>
        <v>Cartouche</v>
      </c>
      <c r="D2583" t="str">
        <f>IFERROR(__xludf.DUMMYFUNCTION("""COMPUTED_VALUE"""),"Cyan LC421")</f>
        <v>Cyan LC421</v>
      </c>
      <c r="E2583" t="str">
        <f>IFERROR(__xludf.DUMMYFUNCTION("""COMPUTED_VALUE"""),"BROTHER")</f>
        <v>BROTHER</v>
      </c>
      <c r="F2583" t="str">
        <f>IFERROR(__xludf.DUMMYFUNCTION("""COMPUTED_VALUE"""),"W")</f>
        <v>W</v>
      </c>
      <c r="G2583" t="str">
        <f>IFERROR(__xludf.DUMMYFUNCTION("""COMPUTED_VALUE"""),"FR")</f>
        <v>FR</v>
      </c>
      <c r="H2583">
        <f>IFERROR(__xludf.DUMMYFUNCTION("""COMPUTED_VALUE"""),9.97)</f>
        <v>9.97</v>
      </c>
      <c r="I2583">
        <f>IFERROR(__xludf.DUMMYFUNCTION("""COMPUTED_VALUE"""),7.94)</f>
        <v>7.94</v>
      </c>
      <c r="BD2583" s="2006"/>
      <c r="LL2583" s="2007"/>
      <c r="LM2583" s="2008"/>
      <c r="MX2583" s="2007"/>
      <c r="ND2583" s="2007"/>
    </row>
    <row r="2584">
      <c r="A2584">
        <f>IFERROR(__xludf.DUMMYFUNCTION("""COMPUTED_VALUE"""),1187161.0)</f>
        <v>1187161</v>
      </c>
      <c r="B2584">
        <f>IFERROR(__xludf.DUMMYFUNCTION("""COMPUTED_VALUE"""),2403005.0)</f>
        <v>2403005</v>
      </c>
      <c r="C2584" t="str">
        <f>IFERROR(__xludf.DUMMYFUNCTION("""COMPUTED_VALUE"""),"Cartouche")</f>
        <v>Cartouche</v>
      </c>
      <c r="D2584" t="str">
        <f>IFERROR(__xludf.DUMMYFUNCTION("""COMPUTED_VALUE"""),"Magenta LC424")</f>
        <v>Magenta LC424</v>
      </c>
      <c r="E2584" t="str">
        <f>IFERROR(__xludf.DUMMYFUNCTION("""COMPUTED_VALUE"""),"BROTHER")</f>
        <v>BROTHER</v>
      </c>
      <c r="F2584" t="str">
        <f>IFERROR(__xludf.DUMMYFUNCTION("""COMPUTED_VALUE"""),"W")</f>
        <v>W</v>
      </c>
      <c r="G2584" t="str">
        <f>IFERROR(__xludf.DUMMYFUNCTION("""COMPUTED_VALUE"""),"FR")</f>
        <v>FR</v>
      </c>
      <c r="H2584">
        <f>IFERROR(__xludf.DUMMYFUNCTION("""COMPUTED_VALUE"""),18.49)</f>
        <v>18.49</v>
      </c>
      <c r="I2584">
        <f>IFERROR(__xludf.DUMMYFUNCTION("""COMPUTED_VALUE"""),14.95)</f>
        <v>14.95</v>
      </c>
      <c r="BD2584" s="2006"/>
      <c r="LL2584" s="2007"/>
      <c r="LM2584" s="2008"/>
      <c r="MX2584" s="2007"/>
      <c r="ND2584" s="2007"/>
    </row>
    <row r="2585">
      <c r="A2585">
        <f>IFERROR(__xludf.DUMMYFUNCTION("""COMPUTED_VALUE"""),1187162.0)</f>
        <v>1187162</v>
      </c>
      <c r="B2585">
        <f>IFERROR(__xludf.DUMMYFUNCTION("""COMPUTED_VALUE"""),2403005.0)</f>
        <v>2403005</v>
      </c>
      <c r="C2585" t="str">
        <f>IFERROR(__xludf.DUMMYFUNCTION("""COMPUTED_VALUE"""),"Cartouche")</f>
        <v>Cartouche</v>
      </c>
      <c r="D2585" t="str">
        <f>IFERROR(__xludf.DUMMYFUNCTION("""COMPUTED_VALUE"""),"Magenta LC421")</f>
        <v>Magenta LC421</v>
      </c>
      <c r="E2585" t="str">
        <f>IFERROR(__xludf.DUMMYFUNCTION("""COMPUTED_VALUE"""),"BROTHER")</f>
        <v>BROTHER</v>
      </c>
      <c r="F2585" t="str">
        <f>IFERROR(__xludf.DUMMYFUNCTION("""COMPUTED_VALUE"""),"W")</f>
        <v>W</v>
      </c>
      <c r="G2585" t="str">
        <f>IFERROR(__xludf.DUMMYFUNCTION("""COMPUTED_VALUE"""),"FR")</f>
        <v>FR</v>
      </c>
      <c r="H2585">
        <f>IFERROR(__xludf.DUMMYFUNCTION("""COMPUTED_VALUE"""),9.97)</f>
        <v>9.97</v>
      </c>
      <c r="I2585">
        <f>IFERROR(__xludf.DUMMYFUNCTION("""COMPUTED_VALUE"""),7.94)</f>
        <v>7.94</v>
      </c>
      <c r="BD2585" s="2006"/>
      <c r="LL2585" s="2007"/>
      <c r="LM2585" s="2007"/>
      <c r="MX2585" s="2007"/>
      <c r="ND2585" s="2007"/>
    </row>
    <row r="2586">
      <c r="A2586">
        <f>IFERROR(__xludf.DUMMYFUNCTION("""COMPUTED_VALUE"""),1187530.0)</f>
        <v>1187530</v>
      </c>
      <c r="B2586">
        <f>IFERROR(__xludf.DUMMYFUNCTION("""COMPUTED_VALUE"""),2202005.0)</f>
        <v>2202005</v>
      </c>
      <c r="C2586" t="str">
        <f>IFERROR(__xludf.DUMMYFUNCTION("""COMPUTED_VALUE"""),"Multi Jet d'enc")</f>
        <v>Multi Jet d'enc</v>
      </c>
      <c r="D2586" t="str">
        <f>IFERROR(__xludf.DUMMYFUNCTION("""COMPUTED_VALUE"""),"Deskjet 2723e éligible Instant Ink")</f>
        <v>Deskjet 2723e éligible Instant Ink</v>
      </c>
      <c r="E2586" t="str">
        <f>IFERROR(__xludf.DUMMYFUNCTION("""COMPUTED_VALUE"""),"HP")</f>
        <v>HP</v>
      </c>
      <c r="F2586" t="str">
        <f>IFERROR(__xludf.DUMMYFUNCTION("""COMPUTED_VALUE"""),"A")</f>
        <v>A</v>
      </c>
      <c r="G2586" t="str">
        <f>IFERROR(__xludf.DUMMYFUNCTION("""COMPUTED_VALUE"""),"FI")</f>
        <v>FI</v>
      </c>
      <c r="H2586">
        <f>IFERROR(__xludf.DUMMYFUNCTION("""COMPUTED_VALUE"""),69.99)</f>
        <v>69.99</v>
      </c>
      <c r="I2586">
        <f>IFERROR(__xludf.DUMMYFUNCTION("""COMPUTED_VALUE"""),59.99)</f>
        <v>59.99</v>
      </c>
      <c r="BD2586" s="2006"/>
      <c r="LL2586" s="2007"/>
      <c r="LM2586" s="2007"/>
      <c r="MX2586" s="2007"/>
      <c r="ND2586" s="2007"/>
    </row>
    <row r="2587">
      <c r="A2587">
        <f>IFERROR(__xludf.DUMMYFUNCTION("""COMPUTED_VALUE"""),1187558.0)</f>
        <v>1187558</v>
      </c>
      <c r="B2587">
        <f>IFERROR(__xludf.DUMMYFUNCTION("""COMPUTED_VALUE"""),2502040.0)</f>
        <v>2502040</v>
      </c>
      <c r="C2587" t="str">
        <f>IFERROR(__xludf.DUMMYFUNCTION("""COMPUTED_VALUE"""),"Clavier")</f>
        <v>Clavier</v>
      </c>
      <c r="D2587" t="str">
        <f>IFERROR(__xludf.DUMMYFUNCTION("""COMPUTED_VALUE"""),"Remise clavier Surface Pro 9")</f>
        <v>Remise clavier Surface Pro 9</v>
      </c>
      <c r="E2587" t="str">
        <f>IFERROR(__xludf.DUMMYFUNCTION("""COMPUTED_VALUE"""),".")</f>
        <v>.</v>
      </c>
      <c r="F2587" t="str">
        <f>IFERROR(__xludf.DUMMYFUNCTION("""COMPUTED_VALUE"""),"H")</f>
        <v>H</v>
      </c>
      <c r="G2587" t="str">
        <f>IFERROR(__xludf.DUMMYFUNCTION("""COMPUTED_VALUE"""),"AC")</f>
        <v>AC</v>
      </c>
      <c r="H2587">
        <f>IFERROR(__xludf.DUMMYFUNCTION("""COMPUTED_VALUE"""),179.99)</f>
        <v>179.99</v>
      </c>
      <c r="I2587">
        <f>IFERROR(__xludf.DUMMYFUNCTION("""COMPUTED_VALUE"""),179.99)</f>
        <v>179.99</v>
      </c>
      <c r="BD2587" s="2006"/>
      <c r="LL2587" s="2007"/>
      <c r="LM2587" s="2007"/>
      <c r="MX2587" s="2007"/>
      <c r="ND2587" s="2007"/>
    </row>
    <row r="2588">
      <c r="A2588">
        <f>IFERROR(__xludf.DUMMYFUNCTION("""COMPUTED_VALUE"""),1187934.0)</f>
        <v>1187934</v>
      </c>
      <c r="B2588">
        <f>IFERROR(__xludf.DUMMYFUNCTION("""COMPUTED_VALUE"""),2209805.0)</f>
        <v>2209805</v>
      </c>
      <c r="C2588" t="str">
        <f>IFERROR(__xludf.DUMMYFUNCTION("""COMPUTED_VALUE"""),"Lot")</f>
        <v>Lot</v>
      </c>
      <c r="D2588" t="str">
        <f>IFERROR(__xludf.DUMMYFUNCTION("""COMPUTED_VALUE"""),"LaserJet Pro M234sdwe + toner135A Noir")</f>
        <v>LaserJet Pro M234sdwe + toner135A Noir</v>
      </c>
      <c r="E2588" t="str">
        <f>IFERROR(__xludf.DUMMYFUNCTION("""COMPUTED_VALUE"""),"HP")</f>
        <v>HP</v>
      </c>
      <c r="F2588" t="str">
        <f>IFERROR(__xludf.DUMMYFUNCTION("""COMPUTED_VALUE"""),"H")</f>
        <v>H</v>
      </c>
      <c r="G2588" t="str">
        <f>IFERROR(__xludf.DUMMYFUNCTION("""COMPUTED_VALUE"""),"AC")</f>
        <v>AC</v>
      </c>
      <c r="H2588">
        <f>IFERROR(__xludf.DUMMYFUNCTION("""COMPUTED_VALUE"""),199.6)</f>
        <v>199.6</v>
      </c>
      <c r="I2588">
        <f>IFERROR(__xludf.DUMMYFUNCTION("""COMPUTED_VALUE"""),199.6)</f>
        <v>199.6</v>
      </c>
      <c r="BD2588" s="2006"/>
      <c r="LL2588" s="2007"/>
      <c r="LM2588" s="2007"/>
      <c r="MX2588" s="2007"/>
      <c r="ND2588" s="2007"/>
    </row>
    <row r="2589">
      <c r="A2589">
        <f>IFERROR(__xludf.DUMMYFUNCTION("""COMPUTED_VALUE"""),1188038.0)</f>
        <v>1188038</v>
      </c>
      <c r="B2589">
        <f>IFERROR(__xludf.DUMMYFUNCTION("""COMPUTED_VALUE"""),2202010.0)</f>
        <v>2202010</v>
      </c>
      <c r="C2589" t="str">
        <f>IFERROR(__xludf.DUMMYFUNCTION("""COMPUTED_VALUE"""),"Multi Jet d'enc")</f>
        <v>Multi Jet d'enc</v>
      </c>
      <c r="D2589" t="str">
        <f>IFERROR(__xludf.DUMMYFUNCTION("""COMPUTED_VALUE"""),"EcoTank ET-16650")</f>
        <v>EcoTank ET-16650</v>
      </c>
      <c r="E2589" t="str">
        <f>IFERROR(__xludf.DUMMYFUNCTION("""COMPUTED_VALUE"""),"EPSON")</f>
        <v>EPSON</v>
      </c>
      <c r="F2589" t="str">
        <f>IFERROR(__xludf.DUMMYFUNCTION("""COMPUTED_VALUE"""),"H")</f>
        <v>H</v>
      </c>
      <c r="G2589" t="str">
        <f>IFERROR(__xludf.DUMMYFUNCTION("""COMPUTED_VALUE"""),"NN")</f>
        <v>NN</v>
      </c>
      <c r="H2589">
        <f>IFERROR(__xludf.DUMMYFUNCTION("""COMPUTED_VALUE"""),1451.8)</f>
        <v>1451.8</v>
      </c>
      <c r="I2589">
        <f>IFERROR(__xludf.DUMMYFUNCTION("""COMPUTED_VALUE"""),1451.8)</f>
        <v>1451.8</v>
      </c>
      <c r="BD2589" s="2006"/>
      <c r="LL2589" s="2007"/>
      <c r="LM2589" s="2007"/>
      <c r="MX2589" s="2007"/>
      <c r="ND2589" s="2007"/>
    </row>
    <row r="2590">
      <c r="A2590">
        <f>IFERROR(__xludf.DUMMYFUNCTION("""COMPUTED_VALUE"""),1188141.0)</f>
        <v>1188141</v>
      </c>
      <c r="B2590">
        <f>IFERROR(__xludf.DUMMYFUNCTION("""COMPUTED_VALUE"""),2202010.0)</f>
        <v>2202010</v>
      </c>
      <c r="C2590" t="str">
        <f>IFERROR(__xludf.DUMMYFUNCTION("""COMPUTED_VALUE"""),"Multi Jet d'enc")</f>
        <v>Multi Jet d'enc</v>
      </c>
      <c r="D2590" t="str">
        <f>IFERROR(__xludf.DUMMYFUNCTION("""COMPUTED_VALUE"""),"MegaTank G3570")</f>
        <v>MegaTank G3570</v>
      </c>
      <c r="E2590" t="str">
        <f>IFERROR(__xludf.DUMMYFUNCTION("""COMPUTED_VALUE"""),"CANON")</f>
        <v>CANON</v>
      </c>
      <c r="F2590" t="str">
        <f>IFERROR(__xludf.DUMMYFUNCTION("""COMPUTED_VALUE"""),"E")</f>
        <v>E</v>
      </c>
      <c r="G2590" t="str">
        <f>IFERROR(__xludf.DUMMYFUNCTION("""COMPUTED_VALUE"""),"NN")</f>
        <v>NN</v>
      </c>
      <c r="H2590">
        <f>IFERROR(__xludf.DUMMYFUNCTION("""COMPUTED_VALUE"""),349.99)</f>
        <v>349.99</v>
      </c>
      <c r="I2590">
        <f>IFERROR(__xludf.DUMMYFUNCTION("""COMPUTED_VALUE"""),349.99)</f>
        <v>349.99</v>
      </c>
      <c r="BD2590" s="2006"/>
      <c r="LL2590" s="2007"/>
      <c r="LM2590" s="2007"/>
      <c r="MX2590" s="2007"/>
      <c r="ND2590" s="2007"/>
    </row>
    <row r="2591">
      <c r="A2591">
        <f>IFERROR(__xludf.DUMMYFUNCTION("""COMPUTED_VALUE"""),1188142.0)</f>
        <v>1188142</v>
      </c>
      <c r="B2591">
        <f>IFERROR(__xludf.DUMMYFUNCTION("""COMPUTED_VALUE"""),2202010.0)</f>
        <v>2202010</v>
      </c>
      <c r="C2591" t="str">
        <f>IFERROR(__xludf.DUMMYFUNCTION("""COMPUTED_VALUE"""),"Multi Jet d'enc")</f>
        <v>Multi Jet d'enc</v>
      </c>
      <c r="D2591" t="str">
        <f>IFERROR(__xludf.DUMMYFUNCTION("""COMPUTED_VALUE"""),"MegaTank G4570")</f>
        <v>MegaTank G4570</v>
      </c>
      <c r="E2591" t="str">
        <f>IFERROR(__xludf.DUMMYFUNCTION("""COMPUTED_VALUE"""),"CANON")</f>
        <v>CANON</v>
      </c>
      <c r="F2591" t="str">
        <f>IFERROR(__xludf.DUMMYFUNCTION("""COMPUTED_VALUE"""),"H")</f>
        <v>H</v>
      </c>
      <c r="G2591" t="str">
        <f>IFERROR(__xludf.DUMMYFUNCTION("""COMPUTED_VALUE"""),"AC")</f>
        <v>AC</v>
      </c>
      <c r="H2591">
        <f>IFERROR(__xludf.DUMMYFUNCTION("""COMPUTED_VALUE"""),369.99)</f>
        <v>369.99</v>
      </c>
      <c r="I2591">
        <f>IFERROR(__xludf.DUMMYFUNCTION("""COMPUTED_VALUE"""),369.99)</f>
        <v>369.99</v>
      </c>
      <c r="BD2591" s="2006"/>
      <c r="LL2591" s="2007"/>
      <c r="LM2591" s="2007"/>
      <c r="MX2591" s="2007"/>
      <c r="ND2591" s="2007"/>
    </row>
    <row r="2592">
      <c r="A2592">
        <f>IFERROR(__xludf.DUMMYFUNCTION("""COMPUTED_VALUE"""),1188143.0)</f>
        <v>1188143</v>
      </c>
      <c r="B2592">
        <f>IFERROR(__xludf.DUMMYFUNCTION("""COMPUTED_VALUE"""),2202005.0)</f>
        <v>2202005</v>
      </c>
      <c r="C2592" t="str">
        <f>IFERROR(__xludf.DUMMYFUNCTION("""COMPUTED_VALUE"""),"Multi Jet d'enc")</f>
        <v>Multi Jet d'enc</v>
      </c>
      <c r="D2592" t="str">
        <f>IFERROR(__xludf.DUMMYFUNCTION("""COMPUTED_VALUE"""),"Pixma TS 3551i")</f>
        <v>Pixma TS 3551i</v>
      </c>
      <c r="E2592" t="str">
        <f>IFERROR(__xludf.DUMMYFUNCTION("""COMPUTED_VALUE"""),"CANON")</f>
        <v>CANON</v>
      </c>
      <c r="F2592" t="str">
        <f>IFERROR(__xludf.DUMMYFUNCTION("""COMPUTED_VALUE"""),"B")</f>
        <v>B</v>
      </c>
      <c r="G2592" t="str">
        <f>IFERROR(__xludf.DUMMYFUNCTION("""COMPUTED_VALUE"""),"AC")</f>
        <v>AC</v>
      </c>
      <c r="H2592">
        <f>IFERROR(__xludf.DUMMYFUNCTION("""COMPUTED_VALUE"""),59.99)</f>
        <v>59.99</v>
      </c>
      <c r="I2592">
        <f>IFERROR(__xludf.DUMMYFUNCTION("""COMPUTED_VALUE"""),59.99)</f>
        <v>59.99</v>
      </c>
      <c r="BD2592" s="2006"/>
      <c r="LL2592" s="2007"/>
      <c r="LM2592" s="2007"/>
      <c r="MX2592" s="2007"/>
      <c r="ND2592" s="2007"/>
    </row>
    <row r="2593">
      <c r="A2593">
        <f>IFERROR(__xludf.DUMMYFUNCTION("""COMPUTED_VALUE"""),1188144.0)</f>
        <v>1188144</v>
      </c>
      <c r="B2593">
        <f>IFERROR(__xludf.DUMMYFUNCTION("""COMPUTED_VALUE"""),2202005.0)</f>
        <v>2202005</v>
      </c>
      <c r="C2593" t="str">
        <f>IFERROR(__xludf.DUMMYFUNCTION("""COMPUTED_VALUE"""),"Multi Jet d'enc")</f>
        <v>Multi Jet d'enc</v>
      </c>
      <c r="D2593" t="str">
        <f>IFERROR(__xludf.DUMMYFUNCTION("""COMPUTED_VALUE"""),"Pixma TS 4751i")</f>
        <v>Pixma TS 4751i</v>
      </c>
      <c r="E2593" t="str">
        <f>IFERROR(__xludf.DUMMYFUNCTION("""COMPUTED_VALUE"""),"CANON")</f>
        <v>CANON</v>
      </c>
      <c r="F2593" t="str">
        <f>IFERROR(__xludf.DUMMYFUNCTION("""COMPUTED_VALUE"""),"H")</f>
        <v>H</v>
      </c>
      <c r="G2593" t="str">
        <f>IFERROR(__xludf.DUMMYFUNCTION("""COMPUTED_VALUE"""),"AC")</f>
        <v>AC</v>
      </c>
      <c r="H2593">
        <f>IFERROR(__xludf.DUMMYFUNCTION("""COMPUTED_VALUE"""),79.99)</f>
        <v>79.99</v>
      </c>
      <c r="I2593">
        <f>IFERROR(__xludf.DUMMYFUNCTION("""COMPUTED_VALUE"""),79.99)</f>
        <v>79.99</v>
      </c>
      <c r="BD2593" s="2006"/>
      <c r="LL2593" s="2007"/>
      <c r="LM2593" s="2007"/>
      <c r="MX2593" s="2007"/>
      <c r="ND2593" s="2007"/>
    </row>
    <row r="2594">
      <c r="A2594">
        <f>IFERROR(__xludf.DUMMYFUNCTION("""COMPUTED_VALUE"""),1188145.0)</f>
        <v>1188145</v>
      </c>
      <c r="B2594">
        <f>IFERROR(__xludf.DUMMYFUNCTION("""COMPUTED_VALUE"""),2202005.0)</f>
        <v>2202005</v>
      </c>
      <c r="C2594" t="str">
        <f>IFERROR(__xludf.DUMMYFUNCTION("""COMPUTED_VALUE"""),"Multi Jet d'enc")</f>
        <v>Multi Jet d'enc</v>
      </c>
      <c r="D2594" t="str">
        <f>IFERROR(__xludf.DUMMYFUNCTION("""COMPUTED_VALUE"""),"Pixma TS 5351i")</f>
        <v>Pixma TS 5351i</v>
      </c>
      <c r="E2594" t="str">
        <f>IFERROR(__xludf.DUMMYFUNCTION("""COMPUTED_VALUE"""),"CANON")</f>
        <v>CANON</v>
      </c>
      <c r="F2594" t="str">
        <f>IFERROR(__xludf.DUMMYFUNCTION("""COMPUTED_VALUE"""),"H")</f>
        <v>H</v>
      </c>
      <c r="G2594" t="str">
        <f>IFERROR(__xludf.DUMMYFUNCTION("""COMPUTED_VALUE"""),"AC")</f>
        <v>AC</v>
      </c>
      <c r="H2594">
        <f>IFERROR(__xludf.DUMMYFUNCTION("""COMPUTED_VALUE"""),99.99)</f>
        <v>99.99</v>
      </c>
      <c r="I2594">
        <f>IFERROR(__xludf.DUMMYFUNCTION("""COMPUTED_VALUE"""),99.99)</f>
        <v>99.99</v>
      </c>
      <c r="BD2594" s="2006"/>
      <c r="LL2594" s="2007"/>
      <c r="LM2594" s="2007"/>
      <c r="MX2594" s="2007"/>
      <c r="ND2594" s="2007"/>
    </row>
    <row r="2595">
      <c r="A2595">
        <f>IFERROR(__xludf.DUMMYFUNCTION("""COMPUTED_VALUE"""),1188146.0)</f>
        <v>1188146</v>
      </c>
      <c r="B2595">
        <f>IFERROR(__xludf.DUMMYFUNCTION("""COMPUTED_VALUE"""),2202005.0)</f>
        <v>2202005</v>
      </c>
      <c r="C2595" t="str">
        <f>IFERROR(__xludf.DUMMYFUNCTION("""COMPUTED_VALUE"""),"Multi Jet d'enc")</f>
        <v>Multi Jet d'enc</v>
      </c>
      <c r="D2595" t="str">
        <f>IFERROR(__xludf.DUMMYFUNCTION("""COMPUTED_VALUE"""),"Pixma TS 7451i")</f>
        <v>Pixma TS 7451i</v>
      </c>
      <c r="E2595" t="str">
        <f>IFERROR(__xludf.DUMMYFUNCTION("""COMPUTED_VALUE"""),"CANON")</f>
        <v>CANON</v>
      </c>
      <c r="F2595" t="str">
        <f>IFERROR(__xludf.DUMMYFUNCTION("""COMPUTED_VALUE"""),"D")</f>
        <v>D</v>
      </c>
      <c r="G2595" t="str">
        <f>IFERROR(__xludf.DUMMYFUNCTION("""COMPUTED_VALUE"""),"AC")</f>
        <v>AC</v>
      </c>
      <c r="H2595">
        <f>IFERROR(__xludf.DUMMYFUNCTION("""COMPUTED_VALUE"""),99.99)</f>
        <v>99.99</v>
      </c>
      <c r="I2595">
        <f>IFERROR(__xludf.DUMMYFUNCTION("""COMPUTED_VALUE"""),99.99)</f>
        <v>99.99</v>
      </c>
      <c r="BD2595" s="2006"/>
      <c r="LL2595" s="2007"/>
      <c r="LM2595" s="2007"/>
      <c r="MX2595" s="2007"/>
      <c r="ND2595" s="2007"/>
    </row>
    <row r="2596">
      <c r="A2596">
        <f>IFERROR(__xludf.DUMMYFUNCTION("""COMPUTED_VALUE"""),1188147.0)</f>
        <v>1188147</v>
      </c>
      <c r="B2596">
        <f>IFERROR(__xludf.DUMMYFUNCTION("""COMPUTED_VALUE"""),2202010.0)</f>
        <v>2202010</v>
      </c>
      <c r="C2596" t="str">
        <f>IFERROR(__xludf.DUMMYFUNCTION("""COMPUTED_VALUE"""),"Multi Jet d'enc")</f>
        <v>Multi Jet d'enc</v>
      </c>
      <c r="D2596" t="str">
        <f>IFERROR(__xludf.DUMMYFUNCTION("""COMPUTED_VALUE"""),"MegaTank Gx 3050")</f>
        <v>MegaTank Gx 3050</v>
      </c>
      <c r="E2596" t="str">
        <f>IFERROR(__xludf.DUMMYFUNCTION("""COMPUTED_VALUE"""),"CANON")</f>
        <v>CANON</v>
      </c>
      <c r="F2596" t="str">
        <f>IFERROR(__xludf.DUMMYFUNCTION("""COMPUTED_VALUE"""),"A")</f>
        <v>A</v>
      </c>
      <c r="G2596" t="str">
        <f>IFERROR(__xludf.DUMMYFUNCTION("""COMPUTED_VALUE"""),"FR")</f>
        <v>FR</v>
      </c>
      <c r="H2596">
        <f>IFERROR(__xludf.DUMMYFUNCTION("""COMPUTED_VALUE"""),449.99)</f>
        <v>449.99</v>
      </c>
      <c r="I2596">
        <f>IFERROR(__xludf.DUMMYFUNCTION("""COMPUTED_VALUE"""),449.99)</f>
        <v>449.99</v>
      </c>
      <c r="BD2596" s="2006"/>
      <c r="LL2596" s="2007"/>
      <c r="LM2596" s="2007"/>
      <c r="MX2596" s="2007"/>
      <c r="ND2596" s="2007"/>
    </row>
    <row r="2597">
      <c r="A2597">
        <f>IFERROR(__xludf.DUMMYFUNCTION("""COMPUTED_VALUE"""),1188148.0)</f>
        <v>1188148</v>
      </c>
      <c r="B2597">
        <f>IFERROR(__xludf.DUMMYFUNCTION("""COMPUTED_VALUE"""),2202010.0)</f>
        <v>2202010</v>
      </c>
      <c r="C2597" t="str">
        <f>IFERROR(__xludf.DUMMYFUNCTION("""COMPUTED_VALUE"""),"Multi Jet d'enc")</f>
        <v>Multi Jet d'enc</v>
      </c>
      <c r="D2597" t="str">
        <f>IFERROR(__xludf.DUMMYFUNCTION("""COMPUTED_VALUE"""),"MegaTank Gx 4050")</f>
        <v>MegaTank Gx 4050</v>
      </c>
      <c r="E2597" t="str">
        <f>IFERROR(__xludf.DUMMYFUNCTION("""COMPUTED_VALUE"""),"CANON")</f>
        <v>CANON</v>
      </c>
      <c r="F2597" t="str">
        <f>IFERROR(__xludf.DUMMYFUNCTION("""COMPUTED_VALUE"""),"H")</f>
        <v>H</v>
      </c>
      <c r="G2597" t="str">
        <f>IFERROR(__xludf.DUMMYFUNCTION("""COMPUTED_VALUE"""),"AC")</f>
        <v>AC</v>
      </c>
      <c r="H2597">
        <f>IFERROR(__xludf.DUMMYFUNCTION("""COMPUTED_VALUE"""),499.99)</f>
        <v>499.99</v>
      </c>
      <c r="I2597">
        <f>IFERROR(__xludf.DUMMYFUNCTION("""COMPUTED_VALUE"""),419.99)</f>
        <v>419.99</v>
      </c>
      <c r="BD2597" s="2006"/>
      <c r="LL2597" s="2007"/>
      <c r="LM2597" s="2007"/>
      <c r="MX2597" s="2007"/>
      <c r="ND2597" s="2007"/>
    </row>
    <row r="2598">
      <c r="A2598">
        <f>IFERROR(__xludf.DUMMYFUNCTION("""COMPUTED_VALUE"""),1188149.0)</f>
        <v>1188149</v>
      </c>
      <c r="B2598">
        <f>IFERROR(__xludf.DUMMYFUNCTION("""COMPUTED_VALUE"""),1101005.0)</f>
        <v>1101005</v>
      </c>
      <c r="C2598" t="str">
        <f>IFERROR(__xludf.DUMMYFUNCTION("""COMPUTED_VALUE"""),"Tél.")</f>
        <v>Tél.</v>
      </c>
      <c r="D2598" t="str">
        <f>IFERROR(__xludf.DUMMYFUNCTION("""COMPUTED_VALUE"""),"Dallas 20 grosses touches")</f>
        <v>Dallas 20 grosses touches</v>
      </c>
      <c r="E2598" t="str">
        <f>IFERROR(__xludf.DUMMYFUNCTION("""COMPUTED_VALUE"""),"GEEMARC")</f>
        <v>GEEMARC</v>
      </c>
      <c r="F2598" t="str">
        <f>IFERROR(__xludf.DUMMYFUNCTION("""COMPUTED_VALUE"""),"W")</f>
        <v>W</v>
      </c>
      <c r="G2598" t="str">
        <f>IFERROR(__xludf.DUMMYFUNCTION("""COMPUTED_VALUE"""),"AC")</f>
        <v>AC</v>
      </c>
      <c r="H2598">
        <f>IFERROR(__xludf.DUMMYFUNCTION("""COMPUTED_VALUE"""),39.99)</f>
        <v>39.99</v>
      </c>
      <c r="I2598">
        <f>IFERROR(__xludf.DUMMYFUNCTION("""COMPUTED_VALUE"""),39.99)</f>
        <v>39.99</v>
      </c>
      <c r="BD2598" s="2006"/>
      <c r="LL2598" s="2008"/>
      <c r="LM2598" s="2007"/>
      <c r="MX2598" s="2007"/>
      <c r="ND2598" s="2008"/>
    </row>
    <row r="2599">
      <c r="A2599">
        <f>IFERROR(__xludf.DUMMYFUNCTION("""COMPUTED_VALUE"""),1188150.0)</f>
        <v>1188150</v>
      </c>
      <c r="B2599">
        <f>IFERROR(__xludf.DUMMYFUNCTION("""COMPUTED_VALUE"""),1101005.0)</f>
        <v>1101005</v>
      </c>
      <c r="C2599" t="str">
        <f>IFERROR(__xludf.DUMMYFUNCTION("""COMPUTED_VALUE"""),"Tél.")</f>
        <v>Tél.</v>
      </c>
      <c r="D2599" t="str">
        <f>IFERROR(__xludf.DUMMYFUNCTION("""COMPUTED_VALUE"""),"Photophone 110")</f>
        <v>Photophone 110</v>
      </c>
      <c r="E2599" t="str">
        <f>IFERROR(__xludf.DUMMYFUNCTION("""COMPUTED_VALUE"""),"GEEMARC")</f>
        <v>GEEMARC</v>
      </c>
      <c r="F2599" t="str">
        <f>IFERROR(__xludf.DUMMYFUNCTION("""COMPUTED_VALUE"""),"W")</f>
        <v>W</v>
      </c>
      <c r="G2599" t="str">
        <f>IFERROR(__xludf.DUMMYFUNCTION("""COMPUTED_VALUE"""),"AC")</f>
        <v>AC</v>
      </c>
      <c r="H2599">
        <f>IFERROR(__xludf.DUMMYFUNCTION("""COMPUTED_VALUE"""),64.99)</f>
        <v>64.99</v>
      </c>
      <c r="I2599">
        <f>IFERROR(__xludf.DUMMYFUNCTION("""COMPUTED_VALUE"""),64.99)</f>
        <v>64.99</v>
      </c>
      <c r="BD2599" s="2006"/>
      <c r="LL2599" s="2007"/>
      <c r="LM2599" s="2007"/>
      <c r="MX2599" s="2007"/>
      <c r="ND2599" s="2007"/>
    </row>
    <row r="2600">
      <c r="A2600">
        <f>IFERROR(__xludf.DUMMYFUNCTION("""COMPUTED_VALUE"""),1188151.0)</f>
        <v>1188151</v>
      </c>
      <c r="B2600">
        <f>IFERROR(__xludf.DUMMYFUNCTION("""COMPUTED_VALUE"""),2502015.0)</f>
        <v>2502015</v>
      </c>
      <c r="C2600" t="str">
        <f>IFERROR(__xludf.DUMMYFUNCTION("""COMPUTED_VALUE"""),"Clavier")</f>
        <v>Clavier</v>
      </c>
      <c r="D2600" t="str">
        <f>IFERROR(__xludf.DUMMYFUNCTION("""COMPUTED_VALUE"""),"Confort Visuel Noir")</f>
        <v>Confort Visuel Noir</v>
      </c>
      <c r="E2600" t="str">
        <f>IFERROR(__xludf.DUMMYFUNCTION("""COMPUTED_VALUE"""),"GEEMARC")</f>
        <v>GEEMARC</v>
      </c>
      <c r="F2600" t="str">
        <f>IFERROR(__xludf.DUMMYFUNCTION("""COMPUTED_VALUE"""),"W")</f>
        <v>W</v>
      </c>
      <c r="G2600" t="str">
        <f>IFERROR(__xludf.DUMMYFUNCTION("""COMPUTED_VALUE"""),"AC")</f>
        <v>AC</v>
      </c>
      <c r="H2600">
        <f>IFERROR(__xludf.DUMMYFUNCTION("""COMPUTED_VALUE"""),39.99)</f>
        <v>39.99</v>
      </c>
      <c r="I2600">
        <f>IFERROR(__xludf.DUMMYFUNCTION("""COMPUTED_VALUE"""),37.34)</f>
        <v>37.34</v>
      </c>
      <c r="BD2600" s="2006"/>
      <c r="LL2600" s="2007"/>
      <c r="LM2600" s="2007"/>
      <c r="MX2600" s="2007"/>
      <c r="ND2600" s="2007"/>
    </row>
    <row r="2601">
      <c r="A2601">
        <f>IFERROR(__xludf.DUMMYFUNCTION("""COMPUTED_VALUE"""),1188152.0)</f>
        <v>1188152</v>
      </c>
      <c r="B2601">
        <f>IFERROR(__xludf.DUMMYFUNCTION("""COMPUTED_VALUE"""),2502015.0)</f>
        <v>2502015</v>
      </c>
      <c r="C2601" t="str">
        <f>IFERROR(__xludf.DUMMYFUNCTION("""COMPUTED_VALUE"""),"Clavier")</f>
        <v>Clavier</v>
      </c>
      <c r="D2601" t="str">
        <f>IFERROR(__xludf.DUMMYFUNCTION("""COMPUTED_VALUE"""),"Confort Visuel blanc")</f>
        <v>Confort Visuel blanc</v>
      </c>
      <c r="E2601" t="str">
        <f>IFERROR(__xludf.DUMMYFUNCTION("""COMPUTED_VALUE"""),"GEEMARC")</f>
        <v>GEEMARC</v>
      </c>
      <c r="F2601" t="str">
        <f>IFERROR(__xludf.DUMMYFUNCTION("""COMPUTED_VALUE"""),"W")</f>
        <v>W</v>
      </c>
      <c r="G2601" t="str">
        <f>IFERROR(__xludf.DUMMYFUNCTION("""COMPUTED_VALUE"""),"FR")</f>
        <v>FR</v>
      </c>
      <c r="H2601">
        <f>IFERROR(__xludf.DUMMYFUNCTION("""COMPUTED_VALUE"""),39.99)</f>
        <v>39.99</v>
      </c>
      <c r="I2601">
        <f>IFERROR(__xludf.DUMMYFUNCTION("""COMPUTED_VALUE"""),39.99)</f>
        <v>39.99</v>
      </c>
      <c r="BD2601" s="2006"/>
      <c r="LL2601" s="2007"/>
      <c r="LM2601" s="2007"/>
      <c r="MX2601" s="2007"/>
      <c r="ND2601" s="2007"/>
    </row>
    <row r="2602">
      <c r="A2602">
        <f>IFERROR(__xludf.DUMMYFUNCTION("""COMPUTED_VALUE"""),1188159.0)</f>
        <v>1188159</v>
      </c>
      <c r="B2602">
        <f>IFERROR(__xludf.DUMMYFUNCTION("""COMPUTED_VALUE"""),2209805.0)</f>
        <v>2209805</v>
      </c>
      <c r="C2602" t="str">
        <f>IFERROR(__xludf.DUMMYFUNCTION("""COMPUTED_VALUE"""),"Lot")</f>
        <v>Lot</v>
      </c>
      <c r="D2602" t="str">
        <f>IFERROR(__xludf.DUMMYFUNCTION("""COMPUTED_VALUE"""),"TS5151 + C540/C541 Noir + 3 couleurs")</f>
        <v>TS5151 + C540/C541 Noir + 3 couleurs</v>
      </c>
      <c r="E2602" t="str">
        <f>IFERROR(__xludf.DUMMYFUNCTION("""COMPUTED_VALUE"""),"CANON")</f>
        <v>CANON</v>
      </c>
      <c r="F2602" t="str">
        <f>IFERROR(__xludf.DUMMYFUNCTION("""COMPUTED_VALUE"""),"H")</f>
        <v>H</v>
      </c>
      <c r="G2602" t="str">
        <f>IFERROR(__xludf.DUMMYFUNCTION("""COMPUTED_VALUE"""),"AC")</f>
        <v>AC</v>
      </c>
      <c r="H2602">
        <f>IFERROR(__xludf.DUMMYFUNCTION("""COMPUTED_VALUE"""),122.07)</f>
        <v>122.07</v>
      </c>
      <c r="I2602">
        <f>IFERROR(__xludf.DUMMYFUNCTION("""COMPUTED_VALUE"""),102.07)</f>
        <v>102.07</v>
      </c>
      <c r="BD2602" s="2006"/>
      <c r="LL2602" s="2007"/>
      <c r="LM2602" s="2007"/>
      <c r="MX2602" s="2007"/>
      <c r="ND2602" s="2007"/>
    </row>
    <row r="2603">
      <c r="A2603">
        <f>IFERROR(__xludf.DUMMYFUNCTION("""COMPUTED_VALUE"""),1188160.0)</f>
        <v>1188160</v>
      </c>
      <c r="B2603">
        <f>IFERROR(__xludf.DUMMYFUNCTION("""COMPUTED_VALUE"""),2209805.0)</f>
        <v>2209805</v>
      </c>
      <c r="C2603" t="str">
        <f>IFERROR(__xludf.DUMMYFUNCTION("""COMPUTED_VALUE"""),"Lot")</f>
        <v>Lot</v>
      </c>
      <c r="D2603" t="str">
        <f>IFERROR(__xludf.DUMMYFUNCTION("""COMPUTED_VALUE"""),"TS 5151 + Essentielb C540 XL Noir")</f>
        <v>TS 5151 + Essentielb C540 XL Noir</v>
      </c>
      <c r="E2603" t="str">
        <f>IFERROR(__xludf.DUMMYFUNCTION("""COMPUTED_VALUE"""),"CANON")</f>
        <v>CANON</v>
      </c>
      <c r="F2603" t="str">
        <f>IFERROR(__xludf.DUMMYFUNCTION("""COMPUTED_VALUE"""),"H")</f>
        <v>H</v>
      </c>
      <c r="G2603" t="str">
        <f>IFERROR(__xludf.DUMMYFUNCTION("""COMPUTED_VALUE"""),"AC")</f>
        <v>AC</v>
      </c>
      <c r="H2603">
        <f>IFERROR(__xludf.DUMMYFUNCTION("""COMPUTED_VALUE"""),103.07)</f>
        <v>103.07</v>
      </c>
      <c r="I2603">
        <f>IFERROR(__xludf.DUMMYFUNCTION("""COMPUTED_VALUE"""),83.07)</f>
        <v>83.07</v>
      </c>
      <c r="BD2603" s="2006"/>
      <c r="LL2603" s="2007"/>
      <c r="LM2603" s="2007"/>
      <c r="MX2603" s="2007"/>
      <c r="ND2603" s="2007"/>
    </row>
    <row r="2604">
      <c r="A2604">
        <f>IFERROR(__xludf.DUMMYFUNCTION("""COMPUTED_VALUE"""),1188408.0)</f>
        <v>1188408</v>
      </c>
      <c r="B2604">
        <f>IFERROR(__xludf.DUMMYFUNCTION("""COMPUTED_VALUE"""),2502015.0)</f>
        <v>2502015</v>
      </c>
      <c r="C2604" t="str">
        <f>IFERROR(__xludf.DUMMYFUNCTION("""COMPUTED_VALUE"""),"Clavier+Souris")</f>
        <v>Clavier+Souris</v>
      </c>
      <c r="D2604" t="str">
        <f>IFERROR(__xludf.DUMMYFUNCTION("""COMPUTED_VALUE"""),"MK470 Slim Combo Silencieux")</f>
        <v>MK470 Slim Combo Silencieux</v>
      </c>
      <c r="E2604" t="str">
        <f>IFERROR(__xludf.DUMMYFUNCTION("""COMPUTED_VALUE"""),"LOGITECH")</f>
        <v>LOGITECH</v>
      </c>
      <c r="F2604" t="str">
        <f>IFERROR(__xludf.DUMMYFUNCTION("""COMPUTED_VALUE"""),"W")</f>
        <v>W</v>
      </c>
      <c r="G2604" t="str">
        <f>IFERROR(__xludf.DUMMYFUNCTION("""COMPUTED_VALUE"""),"NN")</f>
        <v>NN</v>
      </c>
      <c r="H2604">
        <f>IFERROR(__xludf.DUMMYFUNCTION("""COMPUTED_VALUE"""),59.99)</f>
        <v>59.99</v>
      </c>
      <c r="I2604">
        <f>IFERROR(__xludf.DUMMYFUNCTION("""COMPUTED_VALUE"""),59.99)</f>
        <v>59.99</v>
      </c>
      <c r="BD2604" s="2006"/>
      <c r="LL2604" s="2007"/>
      <c r="LM2604" s="2007"/>
      <c r="MX2604" s="2007"/>
      <c r="ND2604" s="2007"/>
    </row>
    <row r="2605">
      <c r="A2605">
        <f>IFERROR(__xludf.DUMMYFUNCTION("""COMPUTED_VALUE"""),1188409.0)</f>
        <v>1188409</v>
      </c>
      <c r="B2605">
        <f>IFERROR(__xludf.DUMMYFUNCTION("""COMPUTED_VALUE"""),2503010.0)</f>
        <v>2503010</v>
      </c>
      <c r="C2605" t="str">
        <f>IFERROR(__xludf.DUMMYFUNCTION("""COMPUTED_VALUE"""),"Casque micro")</f>
        <v>Casque micro</v>
      </c>
      <c r="D2605" t="str">
        <f>IFERROR(__xludf.DUMMYFUNCTION("""COMPUTED_VALUE"""),"H390 avec Microphone Antibruit - Blanc")</f>
        <v>H390 avec Microphone Antibruit - Blanc</v>
      </c>
      <c r="E2605" t="str">
        <f>IFERROR(__xludf.DUMMYFUNCTION("""COMPUTED_VALUE"""),"LOGITECH")</f>
        <v>LOGITECH</v>
      </c>
      <c r="F2605" t="str">
        <f>IFERROR(__xludf.DUMMYFUNCTION("""COMPUTED_VALUE"""),"W")</f>
        <v>W</v>
      </c>
      <c r="G2605" t="str">
        <f>IFERROR(__xludf.DUMMYFUNCTION("""COMPUTED_VALUE"""),"AC")</f>
        <v>AC</v>
      </c>
      <c r="H2605">
        <f>IFERROR(__xludf.DUMMYFUNCTION("""COMPUTED_VALUE"""),49.99)</f>
        <v>49.99</v>
      </c>
      <c r="I2605">
        <f>IFERROR(__xludf.DUMMYFUNCTION("""COMPUTED_VALUE"""),38.45)</f>
        <v>38.45</v>
      </c>
      <c r="BD2605" s="2006"/>
      <c r="LL2605" s="2007"/>
      <c r="LM2605" s="2007"/>
      <c r="MX2605" s="2007"/>
      <c r="ND2605" s="2007"/>
    </row>
    <row r="2606">
      <c r="A2606">
        <f>IFERROR(__xludf.DUMMYFUNCTION("""COMPUTED_VALUE"""),1188410.0)</f>
        <v>1188410</v>
      </c>
      <c r="B2606">
        <f>IFERROR(__xludf.DUMMYFUNCTION("""COMPUTED_VALUE"""),2503010.0)</f>
        <v>2503010</v>
      </c>
      <c r="C2606" t="str">
        <f>IFERROR(__xludf.DUMMYFUNCTION("""COMPUTED_VALUE"""),"Casque micro")</f>
        <v>Casque micro</v>
      </c>
      <c r="D2606" t="str">
        <f>IFERROR(__xludf.DUMMYFUNCTION("""COMPUTED_VALUE"""),"H390 avec Microphone Antibruit - Rose")</f>
        <v>H390 avec Microphone Antibruit - Rose</v>
      </c>
      <c r="E2606" t="str">
        <f>IFERROR(__xludf.DUMMYFUNCTION("""COMPUTED_VALUE"""),"LOGITECH")</f>
        <v>LOGITECH</v>
      </c>
      <c r="F2606" t="str">
        <f>IFERROR(__xludf.DUMMYFUNCTION("""COMPUTED_VALUE"""),"W")</f>
        <v>W</v>
      </c>
      <c r="G2606" t="str">
        <f>IFERROR(__xludf.DUMMYFUNCTION("""COMPUTED_VALUE"""),"NN")</f>
        <v>NN</v>
      </c>
      <c r="H2606">
        <f>IFERROR(__xludf.DUMMYFUNCTION("""COMPUTED_VALUE"""),49.99)</f>
        <v>49.99</v>
      </c>
      <c r="I2606">
        <f>IFERROR(__xludf.DUMMYFUNCTION("""COMPUTED_VALUE"""),49.99)</f>
        <v>49.99</v>
      </c>
      <c r="BD2606" s="2006"/>
      <c r="LL2606" s="2007"/>
      <c r="LM2606" s="2007"/>
      <c r="MX2606" s="2007"/>
      <c r="ND2606" s="2007"/>
    </row>
    <row r="2607">
      <c r="A2607">
        <f>IFERROR(__xludf.DUMMYFUNCTION("""COMPUTED_VALUE"""),1188435.0)</f>
        <v>1188435</v>
      </c>
      <c r="B2607">
        <f>IFERROR(__xludf.DUMMYFUNCTION("""COMPUTED_VALUE"""),2502010.0)</f>
        <v>2502010</v>
      </c>
      <c r="C2607" t="str">
        <f>IFERROR(__xludf.DUMMYFUNCTION("""COMPUTED_VALUE"""),"Souris")</f>
        <v>Souris</v>
      </c>
      <c r="D2607" t="str">
        <f>IFERROR(__xludf.DUMMYFUNCTION("""COMPUTED_VALUE"""),"M171 Optique - Rose")</f>
        <v>M171 Optique - Rose</v>
      </c>
      <c r="E2607" t="str">
        <f>IFERROR(__xludf.DUMMYFUNCTION("""COMPUTED_VALUE"""),"LOGITECH")</f>
        <v>LOGITECH</v>
      </c>
      <c r="F2607" t="str">
        <f>IFERROR(__xludf.DUMMYFUNCTION("""COMPUTED_VALUE"""),"W")</f>
        <v>W</v>
      </c>
      <c r="G2607" t="str">
        <f>IFERROR(__xludf.DUMMYFUNCTION("""COMPUTED_VALUE"""),"AC")</f>
        <v>AC</v>
      </c>
      <c r="H2607">
        <f>IFERROR(__xludf.DUMMYFUNCTION("""COMPUTED_VALUE"""),15.99)</f>
        <v>15.99</v>
      </c>
      <c r="I2607">
        <f>IFERROR(__xludf.DUMMYFUNCTION("""COMPUTED_VALUE"""),15.95)</f>
        <v>15.95</v>
      </c>
      <c r="BD2607" s="2006"/>
      <c r="LL2607" s="2007"/>
      <c r="LM2607" s="2007"/>
      <c r="MX2607" s="2007"/>
      <c r="ND2607" s="2007"/>
    </row>
    <row r="2608">
      <c r="A2608">
        <f>IFERROR(__xludf.DUMMYFUNCTION("""COMPUTED_VALUE"""),1188436.0)</f>
        <v>1188436</v>
      </c>
      <c r="B2608">
        <f>IFERROR(__xludf.DUMMYFUNCTION("""COMPUTED_VALUE"""),2502010.0)</f>
        <v>2502010</v>
      </c>
      <c r="C2608" t="str">
        <f>IFERROR(__xludf.DUMMYFUNCTION("""COMPUTED_VALUE"""),"Souris")</f>
        <v>Souris</v>
      </c>
      <c r="D2608" t="str">
        <f>IFERROR(__xludf.DUMMYFUNCTION("""COMPUTED_VALUE"""),"M171 Optique - Bleu gris")</f>
        <v>M171 Optique - Bleu gris</v>
      </c>
      <c r="E2608" t="str">
        <f>IFERROR(__xludf.DUMMYFUNCTION("""COMPUTED_VALUE"""),"LOGITECH")</f>
        <v>LOGITECH</v>
      </c>
      <c r="F2608" t="str">
        <f>IFERROR(__xludf.DUMMYFUNCTION("""COMPUTED_VALUE"""),"W")</f>
        <v>W</v>
      </c>
      <c r="G2608" t="str">
        <f>IFERROR(__xludf.DUMMYFUNCTION("""COMPUTED_VALUE"""),"AC")</f>
        <v>AC</v>
      </c>
      <c r="H2608">
        <f>IFERROR(__xludf.DUMMYFUNCTION("""COMPUTED_VALUE"""),15.99)</f>
        <v>15.99</v>
      </c>
      <c r="I2608">
        <f>IFERROR(__xludf.DUMMYFUNCTION("""COMPUTED_VALUE"""),15.95)</f>
        <v>15.95</v>
      </c>
      <c r="BD2608" s="2006"/>
      <c r="LL2608" s="2007"/>
      <c r="LM2608" s="2007"/>
      <c r="MX2608" s="2007"/>
      <c r="ND2608" s="2007"/>
    </row>
    <row r="2609">
      <c r="A2609">
        <f>IFERROR(__xludf.DUMMYFUNCTION("""COMPUTED_VALUE"""),1188437.0)</f>
        <v>1188437</v>
      </c>
      <c r="B2609">
        <f>IFERROR(__xludf.DUMMYFUNCTION("""COMPUTED_VALUE"""),2502010.0)</f>
        <v>2502010</v>
      </c>
      <c r="C2609" t="str">
        <f>IFERROR(__xludf.DUMMYFUNCTION("""COMPUTED_VALUE"""),"Souris")</f>
        <v>Souris</v>
      </c>
      <c r="D2609" t="str">
        <f>IFERROR(__xludf.DUMMYFUNCTION("""COMPUTED_VALUE"""),"M171 Optique - Blanc")</f>
        <v>M171 Optique - Blanc</v>
      </c>
      <c r="E2609" t="str">
        <f>IFERROR(__xludf.DUMMYFUNCTION("""COMPUTED_VALUE"""),"LOGITECH")</f>
        <v>LOGITECH</v>
      </c>
      <c r="F2609" t="str">
        <f>IFERROR(__xludf.DUMMYFUNCTION("""COMPUTED_VALUE"""),"W")</f>
        <v>W</v>
      </c>
      <c r="G2609" t="str">
        <f>IFERROR(__xludf.DUMMYFUNCTION("""COMPUTED_VALUE"""),"AC")</f>
        <v>AC</v>
      </c>
      <c r="H2609">
        <f>IFERROR(__xludf.DUMMYFUNCTION("""COMPUTED_VALUE"""),15.99)</f>
        <v>15.99</v>
      </c>
      <c r="I2609">
        <f>IFERROR(__xludf.DUMMYFUNCTION("""COMPUTED_VALUE"""),15.95)</f>
        <v>15.95</v>
      </c>
      <c r="BD2609" s="2006"/>
      <c r="LL2609" s="2007"/>
      <c r="LM2609" s="2007"/>
      <c r="MX2609" s="2007"/>
      <c r="ND2609" s="2007"/>
    </row>
    <row r="2610">
      <c r="A2610">
        <f>IFERROR(__xludf.DUMMYFUNCTION("""COMPUTED_VALUE"""),1188441.0)</f>
        <v>1188441</v>
      </c>
      <c r="B2610">
        <f>IFERROR(__xludf.DUMMYFUNCTION("""COMPUTED_VALUE"""),2502020.0)</f>
        <v>2502020</v>
      </c>
      <c r="C2610" t="str">
        <f>IFERROR(__xludf.DUMMYFUNCTION("""COMPUTED_VALUE"""),"Webcam")</f>
        <v>Webcam</v>
      </c>
      <c r="D2610" t="str">
        <f>IFERROR(__xludf.DUMMYFUNCTION("""COMPUTED_VALUE"""),"Brio 300 Full HD avec micro - Graphite")</f>
        <v>Brio 300 Full HD avec micro - Graphite</v>
      </c>
      <c r="E2610" t="str">
        <f>IFERROR(__xludf.DUMMYFUNCTION("""COMPUTED_VALUE"""),"LOGITECH")</f>
        <v>LOGITECH</v>
      </c>
      <c r="F2610" t="str">
        <f>IFERROR(__xludf.DUMMYFUNCTION("""COMPUTED_VALUE"""),"W")</f>
        <v>W</v>
      </c>
      <c r="G2610" t="str">
        <f>IFERROR(__xludf.DUMMYFUNCTION("""COMPUTED_VALUE"""),"AC")</f>
        <v>AC</v>
      </c>
      <c r="H2610">
        <f>IFERROR(__xludf.DUMMYFUNCTION("""COMPUTED_VALUE"""),79.99)</f>
        <v>79.99</v>
      </c>
      <c r="I2610">
        <f>IFERROR(__xludf.DUMMYFUNCTION("""COMPUTED_VALUE"""),59.99)</f>
        <v>59.99</v>
      </c>
      <c r="BD2610" s="2006"/>
      <c r="LL2610" s="2007"/>
      <c r="LM2610" s="2007"/>
      <c r="MX2610" s="2007"/>
      <c r="ND2610" s="2007"/>
    </row>
    <row r="2611">
      <c r="A2611">
        <f>IFERROR(__xludf.DUMMYFUNCTION("""COMPUTED_VALUE"""),1188442.0)</f>
        <v>1188442</v>
      </c>
      <c r="B2611">
        <f>IFERROR(__xludf.DUMMYFUNCTION("""COMPUTED_VALUE"""),2502020.0)</f>
        <v>2502020</v>
      </c>
      <c r="C2611" t="str">
        <f>IFERROR(__xludf.DUMMYFUNCTION("""COMPUTED_VALUE"""),"Webcam")</f>
        <v>Webcam</v>
      </c>
      <c r="D2611" t="str">
        <f>IFERROR(__xludf.DUMMYFUNCTION("""COMPUTED_VALUE"""),"Brio 300 Full HD avec micro - Blanc")</f>
        <v>Brio 300 Full HD avec micro - Blanc</v>
      </c>
      <c r="E2611" t="str">
        <f>IFERROR(__xludf.DUMMYFUNCTION("""COMPUTED_VALUE"""),"LOGITECH")</f>
        <v>LOGITECH</v>
      </c>
      <c r="F2611" t="str">
        <f>IFERROR(__xludf.DUMMYFUNCTION("""COMPUTED_VALUE"""),"W")</f>
        <v>W</v>
      </c>
      <c r="G2611" t="str">
        <f>IFERROR(__xludf.DUMMYFUNCTION("""COMPUTED_VALUE"""),"AC")</f>
        <v>AC</v>
      </c>
      <c r="H2611">
        <f>IFERROR(__xludf.DUMMYFUNCTION("""COMPUTED_VALUE"""),79.99)</f>
        <v>79.99</v>
      </c>
      <c r="I2611">
        <f>IFERROR(__xludf.DUMMYFUNCTION("""COMPUTED_VALUE"""),59.99)</f>
        <v>59.99</v>
      </c>
      <c r="BD2611" s="2006"/>
      <c r="LL2611" s="2008"/>
      <c r="LM2611" s="2007"/>
      <c r="MX2611" s="2007"/>
      <c r="ND2611" s="2008"/>
    </row>
    <row r="2612">
      <c r="A2612">
        <f>IFERROR(__xludf.DUMMYFUNCTION("""COMPUTED_VALUE"""),1188443.0)</f>
        <v>1188443</v>
      </c>
      <c r="B2612">
        <f>IFERROR(__xludf.DUMMYFUNCTION("""COMPUTED_VALUE"""),2502020.0)</f>
        <v>2502020</v>
      </c>
      <c r="C2612" t="str">
        <f>IFERROR(__xludf.DUMMYFUNCTION("""COMPUTED_VALUE"""),"Webcam")</f>
        <v>Webcam</v>
      </c>
      <c r="D2612" t="str">
        <f>IFERROR(__xludf.DUMMYFUNCTION("""COMPUTED_VALUE"""),"Brio 300 Full HD avec micro - Rose")</f>
        <v>Brio 300 Full HD avec micro - Rose</v>
      </c>
      <c r="E2612" t="str">
        <f>IFERROR(__xludf.DUMMYFUNCTION("""COMPUTED_VALUE"""),"LOGITECH")</f>
        <v>LOGITECH</v>
      </c>
      <c r="F2612" t="str">
        <f>IFERROR(__xludf.DUMMYFUNCTION("""COMPUTED_VALUE"""),"W")</f>
        <v>W</v>
      </c>
      <c r="G2612" t="str">
        <f>IFERROR(__xludf.DUMMYFUNCTION("""COMPUTED_VALUE"""),"AC")</f>
        <v>AC</v>
      </c>
      <c r="H2612">
        <f>IFERROR(__xludf.DUMMYFUNCTION("""COMPUTED_VALUE"""),79.99)</f>
        <v>79.99</v>
      </c>
      <c r="I2612">
        <f>IFERROR(__xludf.DUMMYFUNCTION("""COMPUTED_VALUE"""),79.95)</f>
        <v>79.95</v>
      </c>
      <c r="BD2612" s="2006"/>
      <c r="LL2612" s="2007"/>
      <c r="LM2612" s="2007"/>
      <c r="MX2612" s="2007"/>
      <c r="ND2612" s="2007"/>
    </row>
    <row r="2613">
      <c r="A2613">
        <f>IFERROR(__xludf.DUMMYFUNCTION("""COMPUTED_VALUE"""),1188621.0)</f>
        <v>1188621</v>
      </c>
      <c r="B2613">
        <f>IFERROR(__xludf.DUMMYFUNCTION("""COMPUTED_VALUE"""),2704515.0)</f>
        <v>2704515</v>
      </c>
      <c r="C2613" t="str">
        <f>IFERROR(__xludf.DUMMYFUNCTION("""COMPUTED_VALUE"""),"Calc.")</f>
        <v>Calc.</v>
      </c>
      <c r="D2613" t="str">
        <f>IFERROR(__xludf.DUMMYFUNCTION("""COMPUTED_VALUE"""),"FX-92 COLLEGE")</f>
        <v>FX-92 COLLEGE</v>
      </c>
      <c r="E2613" t="str">
        <f>IFERROR(__xludf.DUMMYFUNCTION("""COMPUTED_VALUE"""),"CASIO")</f>
        <v>CASIO</v>
      </c>
      <c r="F2613" t="str">
        <f>IFERROR(__xludf.DUMMYFUNCTION("""COMPUTED_VALUE"""),"E")</f>
        <v>E</v>
      </c>
      <c r="G2613" t="str">
        <f>IFERROR(__xludf.DUMMYFUNCTION("""COMPUTED_VALUE"""),"FR")</f>
        <v>FR</v>
      </c>
      <c r="H2613">
        <f>IFERROR(__xludf.DUMMYFUNCTION("""COMPUTED_VALUE"""),29.99)</f>
        <v>29.99</v>
      </c>
      <c r="I2613">
        <f>IFERROR(__xludf.DUMMYFUNCTION("""COMPUTED_VALUE"""),29.99)</f>
        <v>29.99</v>
      </c>
      <c r="BD2613" s="2006"/>
      <c r="LL2613" s="2007"/>
      <c r="LM2613" s="2007"/>
      <c r="MX2613" s="2007"/>
      <c r="ND2613" s="2007"/>
    </row>
    <row r="2614">
      <c r="A2614">
        <f>IFERROR(__xludf.DUMMYFUNCTION("""COMPUTED_VALUE"""),1188689.0)</f>
        <v>1188689</v>
      </c>
      <c r="B2614">
        <f>IFERROR(__xludf.DUMMYFUNCTION("""COMPUTED_VALUE"""),2502040.0)</f>
        <v>2502040</v>
      </c>
      <c r="C2614" t="str">
        <f>IFERROR(__xludf.DUMMYFUNCTION("""COMPUTED_VALUE"""),"Clavier")</f>
        <v>Clavier</v>
      </c>
      <c r="D2614" t="str">
        <f>IFERROR(__xludf.DUMMYFUNCTION("""COMPUTED_VALUE"""),"Signature - Sapphire")</f>
        <v>Signature - Sapphire</v>
      </c>
      <c r="E2614" t="str">
        <f>IFERROR(__xludf.DUMMYFUNCTION("""COMPUTED_VALUE"""),"MICROSOFT")</f>
        <v>MICROSOFT</v>
      </c>
      <c r="F2614" t="str">
        <f>IFERROR(__xludf.DUMMYFUNCTION("""COMPUTED_VALUE"""),"W")</f>
        <v>W</v>
      </c>
      <c r="G2614" t="str">
        <f>IFERROR(__xludf.DUMMYFUNCTION("""COMPUTED_VALUE"""),"AC")</f>
        <v>AC</v>
      </c>
      <c r="H2614">
        <f>IFERROR(__xludf.DUMMYFUNCTION("""COMPUTED_VALUE"""),180.05)</f>
        <v>180.05</v>
      </c>
      <c r="I2614">
        <f>IFERROR(__xludf.DUMMYFUNCTION("""COMPUTED_VALUE"""),125.99)</f>
        <v>125.99</v>
      </c>
      <c r="BD2614" s="2006"/>
      <c r="LL2614" s="2007"/>
      <c r="LM2614" s="2007"/>
      <c r="MX2614" s="2007"/>
      <c r="ND2614" s="2007"/>
    </row>
    <row r="2615">
      <c r="A2615">
        <f>IFERROR(__xludf.DUMMYFUNCTION("""COMPUTED_VALUE"""),1188690.0)</f>
        <v>1188690</v>
      </c>
      <c r="B2615">
        <f>IFERROR(__xludf.DUMMYFUNCTION("""COMPUTED_VALUE"""),2502040.0)</f>
        <v>2502040</v>
      </c>
      <c r="C2615" t="str">
        <f>IFERROR(__xludf.DUMMYFUNCTION("""COMPUTED_VALUE"""),"Clavier")</f>
        <v>Clavier</v>
      </c>
      <c r="D2615" t="str">
        <f>IFERROR(__xludf.DUMMYFUNCTION("""COMPUTED_VALUE"""),"Signature - Forest")</f>
        <v>Signature - Forest</v>
      </c>
      <c r="E2615" t="str">
        <f>IFERROR(__xludf.DUMMYFUNCTION("""COMPUTED_VALUE"""),"MICROSOFT")</f>
        <v>MICROSOFT</v>
      </c>
      <c r="F2615" t="str">
        <f>IFERROR(__xludf.DUMMYFUNCTION("""COMPUTED_VALUE"""),"W")</f>
        <v>W</v>
      </c>
      <c r="G2615" t="str">
        <f>IFERROR(__xludf.DUMMYFUNCTION("""COMPUTED_VALUE"""),"AC")</f>
        <v>AC</v>
      </c>
      <c r="H2615">
        <f>IFERROR(__xludf.DUMMYFUNCTION("""COMPUTED_VALUE"""),179.99)</f>
        <v>179.99</v>
      </c>
      <c r="I2615">
        <f>IFERROR(__xludf.DUMMYFUNCTION("""COMPUTED_VALUE"""),143.99)</f>
        <v>143.99</v>
      </c>
      <c r="BD2615" s="2006"/>
      <c r="LL2615" s="2007"/>
      <c r="LM2615" s="2007"/>
      <c r="MX2615" s="2007"/>
      <c r="ND2615" s="2007"/>
    </row>
    <row r="2616">
      <c r="A2616">
        <f>IFERROR(__xludf.DUMMYFUNCTION("""COMPUTED_VALUE"""),1188792.0)</f>
        <v>1188792</v>
      </c>
      <c r="B2616">
        <f>IFERROR(__xludf.DUMMYFUNCTION("""COMPUTED_VALUE"""),2502040.0)</f>
        <v>2502040</v>
      </c>
      <c r="C2616" t="str">
        <f>IFERROR(__xludf.DUMMYFUNCTION("""COMPUTED_VALUE"""),"Clavier")</f>
        <v>Clavier</v>
      </c>
      <c r="D2616" t="str">
        <f>IFERROR(__xludf.DUMMYFUNCTION("""COMPUTED_VALUE"""),"Signature - Sapphire avec stylet")</f>
        <v>Signature - Sapphire avec stylet</v>
      </c>
      <c r="E2616" t="str">
        <f>IFERROR(__xludf.DUMMYFUNCTION("""COMPUTED_VALUE"""),"MICROSOFT")</f>
        <v>MICROSOFT</v>
      </c>
      <c r="F2616" t="str">
        <f>IFERROR(__xludf.DUMMYFUNCTION("""COMPUTED_VALUE"""),"W")</f>
        <v>W</v>
      </c>
      <c r="G2616" t="str">
        <f>IFERROR(__xludf.DUMMYFUNCTION("""COMPUTED_VALUE"""),"AC")</f>
        <v>AC</v>
      </c>
      <c r="H2616">
        <f>IFERROR(__xludf.DUMMYFUNCTION("""COMPUTED_VALUE"""),279.99)</f>
        <v>279.99</v>
      </c>
      <c r="I2616">
        <f>IFERROR(__xludf.DUMMYFUNCTION("""COMPUTED_VALUE"""),216.22)</f>
        <v>216.22</v>
      </c>
      <c r="BD2616" s="2006"/>
      <c r="LL2616" s="2007"/>
      <c r="LM2616" s="2007"/>
      <c r="MX2616" s="2007"/>
      <c r="ND2616" s="2007"/>
    </row>
    <row r="2617">
      <c r="A2617">
        <f>IFERROR(__xludf.DUMMYFUNCTION("""COMPUTED_VALUE"""),1188793.0)</f>
        <v>1188793</v>
      </c>
      <c r="B2617">
        <f>IFERROR(__xludf.DUMMYFUNCTION("""COMPUTED_VALUE"""),2502040.0)</f>
        <v>2502040</v>
      </c>
      <c r="C2617" t="str">
        <f>IFERROR(__xludf.DUMMYFUNCTION("""COMPUTED_VALUE"""),"Clavier")</f>
        <v>Clavier</v>
      </c>
      <c r="D2617" t="str">
        <f>IFERROR(__xludf.DUMMYFUNCTION("""COMPUTED_VALUE"""),"Signature - Forest avec stylet")</f>
        <v>Signature - Forest avec stylet</v>
      </c>
      <c r="E2617" t="str">
        <f>IFERROR(__xludf.DUMMYFUNCTION("""COMPUTED_VALUE"""),"MICROSOFT")</f>
        <v>MICROSOFT</v>
      </c>
      <c r="F2617" t="str">
        <f>IFERROR(__xludf.DUMMYFUNCTION("""COMPUTED_VALUE"""),"W")</f>
        <v>W</v>
      </c>
      <c r="G2617" t="str">
        <f>IFERROR(__xludf.DUMMYFUNCTION("""COMPUTED_VALUE"""),"AC")</f>
        <v>AC</v>
      </c>
      <c r="H2617">
        <f>IFERROR(__xludf.DUMMYFUNCTION("""COMPUTED_VALUE"""),279.99)</f>
        <v>279.99</v>
      </c>
      <c r="I2617">
        <f>IFERROR(__xludf.DUMMYFUNCTION("""COMPUTED_VALUE"""),222.69)</f>
        <v>222.69</v>
      </c>
      <c r="BD2617" s="2006"/>
      <c r="LL2617" s="2007"/>
      <c r="LM2617" s="2007"/>
      <c r="MX2617" s="2007"/>
      <c r="ND2617" s="2007"/>
    </row>
    <row r="2618">
      <c r="A2618">
        <f>IFERROR(__xludf.DUMMYFUNCTION("""COMPUTED_VALUE"""),1188794.0)</f>
        <v>1188794</v>
      </c>
      <c r="B2618">
        <f>IFERROR(__xludf.DUMMYFUNCTION("""COMPUTED_VALUE"""),2502040.0)</f>
        <v>2502040</v>
      </c>
      <c r="C2618" t="str">
        <f>IFERROR(__xludf.DUMMYFUNCTION("""COMPUTED_VALUE"""),"Souris")</f>
        <v>Souris</v>
      </c>
      <c r="D2618" t="str">
        <f>IFERROR(__xludf.DUMMYFUNCTION("""COMPUTED_VALUE"""),"Modern Mobile Mouse Saphir")</f>
        <v>Modern Mobile Mouse Saphir</v>
      </c>
      <c r="E2618" t="str">
        <f>IFERROR(__xludf.DUMMYFUNCTION("""COMPUTED_VALUE"""),"MICROSOFT")</f>
        <v>MICROSOFT</v>
      </c>
      <c r="F2618" t="str">
        <f>IFERROR(__xludf.DUMMYFUNCTION("""COMPUTED_VALUE"""),"W")</f>
        <v>W</v>
      </c>
      <c r="G2618" t="str">
        <f>IFERROR(__xludf.DUMMYFUNCTION("""COMPUTED_VALUE"""),"NN")</f>
        <v>NN</v>
      </c>
      <c r="H2618">
        <f>IFERROR(__xludf.DUMMYFUNCTION("""COMPUTED_VALUE"""),35.99)</f>
        <v>35.99</v>
      </c>
      <c r="I2618">
        <f>IFERROR(__xludf.DUMMYFUNCTION("""COMPUTED_VALUE"""),35.99)</f>
        <v>35.99</v>
      </c>
      <c r="BD2618" s="2006"/>
      <c r="LL2618" s="2007"/>
      <c r="LM2618" s="2007"/>
      <c r="MX2618" s="2007"/>
      <c r="ND2618" s="2007"/>
    </row>
    <row r="2619">
      <c r="A2619">
        <f>IFERROR(__xludf.DUMMYFUNCTION("""COMPUTED_VALUE"""),1188795.0)</f>
        <v>1188795</v>
      </c>
      <c r="B2619">
        <f>IFERROR(__xludf.DUMMYFUNCTION("""COMPUTED_VALUE"""),2502040.0)</f>
        <v>2502040</v>
      </c>
      <c r="C2619" t="str">
        <f>IFERROR(__xludf.DUMMYFUNCTION("""COMPUTED_VALUE"""),"Souris")</f>
        <v>Souris</v>
      </c>
      <c r="D2619" t="str">
        <f>IFERROR(__xludf.DUMMYFUNCTION("""COMPUTED_VALUE"""),"Modern Mobile Mouse Forest")</f>
        <v>Modern Mobile Mouse Forest</v>
      </c>
      <c r="E2619" t="str">
        <f>IFERROR(__xludf.DUMMYFUNCTION("""COMPUTED_VALUE"""),"MICROSOFT")</f>
        <v>MICROSOFT</v>
      </c>
      <c r="F2619" t="str">
        <f>IFERROR(__xludf.DUMMYFUNCTION("""COMPUTED_VALUE"""),"W")</f>
        <v>W</v>
      </c>
      <c r="G2619" t="str">
        <f>IFERROR(__xludf.DUMMYFUNCTION("""COMPUTED_VALUE"""),"NN")</f>
        <v>NN</v>
      </c>
      <c r="H2619">
        <f>IFERROR(__xludf.DUMMYFUNCTION("""COMPUTED_VALUE"""),35.99)</f>
        <v>35.99</v>
      </c>
      <c r="I2619">
        <f>IFERROR(__xludf.DUMMYFUNCTION("""COMPUTED_VALUE"""),35.99)</f>
        <v>35.99</v>
      </c>
      <c r="BD2619" s="2006"/>
      <c r="LL2619" s="2007"/>
      <c r="LM2619" s="2007"/>
      <c r="MX2619" s="2007"/>
      <c r="ND2619" s="2007"/>
    </row>
    <row r="2620">
      <c r="A2620">
        <f>IFERROR(__xludf.DUMMYFUNCTION("""COMPUTED_VALUE"""),1188810.0)</f>
        <v>1188810</v>
      </c>
      <c r="B2620">
        <f>IFERROR(__xludf.DUMMYFUNCTION("""COMPUTED_VALUE"""),2201010.0)</f>
        <v>2201010</v>
      </c>
      <c r="C2620" t="str">
        <f>IFERROR(__xludf.DUMMYFUNCTION("""COMPUTED_VALUE"""),"Mono Jet d'encr")</f>
        <v>Mono Jet d'encr</v>
      </c>
      <c r="D2620" t="str">
        <f>IFERROR(__xludf.DUMMYFUNCTION("""COMPUTED_VALUE"""),"PJ-822")</f>
        <v>PJ-822</v>
      </c>
      <c r="E2620" t="str">
        <f>IFERROR(__xludf.DUMMYFUNCTION("""COMPUTED_VALUE"""),"BROTHER")</f>
        <v>BROTHER</v>
      </c>
      <c r="F2620" t="str">
        <f>IFERROR(__xludf.DUMMYFUNCTION("""COMPUTED_VALUE"""),"W")</f>
        <v>W</v>
      </c>
      <c r="G2620" t="str">
        <f>IFERROR(__xludf.DUMMYFUNCTION("""COMPUTED_VALUE"""),"AC")</f>
        <v>AC</v>
      </c>
      <c r="H2620">
        <f>IFERROR(__xludf.DUMMYFUNCTION("""COMPUTED_VALUE"""),489.0)</f>
        <v>489</v>
      </c>
      <c r="I2620">
        <f>IFERROR(__xludf.DUMMYFUNCTION("""COMPUTED_VALUE"""),489.0)</f>
        <v>489</v>
      </c>
      <c r="BD2620" s="2006"/>
      <c r="LL2620" s="2007"/>
      <c r="LM2620" s="2007"/>
      <c r="MX2620" s="2007"/>
      <c r="ND2620" s="2007"/>
    </row>
    <row r="2621">
      <c r="A2621">
        <f>IFERROR(__xludf.DUMMYFUNCTION("""COMPUTED_VALUE"""),1188822.0)</f>
        <v>1188822</v>
      </c>
      <c r="B2621">
        <f>IFERROR(__xludf.DUMMYFUNCTION("""COMPUTED_VALUE"""),2201010.0)</f>
        <v>2201010</v>
      </c>
      <c r="C2621" t="str">
        <f>IFERROR(__xludf.DUMMYFUNCTION("""COMPUTED_VALUE"""),"Mono Jet d'encr")</f>
        <v>Mono Jet d'encr</v>
      </c>
      <c r="D2621" t="str">
        <f>IFERROR(__xludf.DUMMYFUNCTION("""COMPUTED_VALUE"""),"PJ-862")</f>
        <v>PJ-862</v>
      </c>
      <c r="E2621" t="str">
        <f>IFERROR(__xludf.DUMMYFUNCTION("""COMPUTED_VALUE"""),"BROTHER")</f>
        <v>BROTHER</v>
      </c>
      <c r="F2621" t="str">
        <f>IFERROR(__xludf.DUMMYFUNCTION("""COMPUTED_VALUE"""),"W")</f>
        <v>W</v>
      </c>
      <c r="G2621" t="str">
        <f>IFERROR(__xludf.DUMMYFUNCTION("""COMPUTED_VALUE"""),"AC")</f>
        <v>AC</v>
      </c>
      <c r="H2621">
        <f>IFERROR(__xludf.DUMMYFUNCTION("""COMPUTED_VALUE"""),567.6)</f>
        <v>567.6</v>
      </c>
      <c r="I2621">
        <f>IFERROR(__xludf.DUMMYFUNCTION("""COMPUTED_VALUE"""),567.6)</f>
        <v>567.6</v>
      </c>
      <c r="BD2621" s="2006"/>
      <c r="LL2621" s="2007"/>
      <c r="LM2621" s="2007"/>
      <c r="MX2621" s="2007"/>
      <c r="ND2621" s="2007"/>
    </row>
    <row r="2622">
      <c r="A2622">
        <f>IFERROR(__xludf.DUMMYFUNCTION("""COMPUTED_VALUE"""),1188823.0)</f>
        <v>1188823</v>
      </c>
      <c r="B2622">
        <f>IFERROR(__xludf.DUMMYFUNCTION("""COMPUTED_VALUE"""),2201010.0)</f>
        <v>2201010</v>
      </c>
      <c r="C2622" t="str">
        <f>IFERROR(__xludf.DUMMYFUNCTION("""COMPUTED_VALUE"""),"Multi Laser")</f>
        <v>Multi Laser</v>
      </c>
      <c r="D2622" t="str">
        <f>IFERROR(__xludf.DUMMYFUNCTION("""COMPUTED_VALUE"""),"HL-L8260CDW")</f>
        <v>HL-L8260CDW</v>
      </c>
      <c r="E2622" t="str">
        <f>IFERROR(__xludf.DUMMYFUNCTION("""COMPUTED_VALUE"""),"BROTHER")</f>
        <v>BROTHER</v>
      </c>
      <c r="F2622" t="str">
        <f>IFERROR(__xludf.DUMMYFUNCTION("""COMPUTED_VALUE"""),"W")</f>
        <v>W</v>
      </c>
      <c r="G2622" t="str">
        <f>IFERROR(__xludf.DUMMYFUNCTION("""COMPUTED_VALUE"""),"AC")</f>
        <v>AC</v>
      </c>
      <c r="H2622">
        <f>IFERROR(__xludf.DUMMYFUNCTION("""COMPUTED_VALUE"""),729.0)</f>
        <v>729</v>
      </c>
      <c r="I2622">
        <f>IFERROR(__xludf.DUMMYFUNCTION("""COMPUTED_VALUE"""),729.0)</f>
        <v>729</v>
      </c>
      <c r="BD2622" s="2006"/>
      <c r="LL2622" s="2007"/>
      <c r="LM2622" s="2007"/>
      <c r="MX2622" s="2007"/>
      <c r="ND2622" s="2007"/>
    </row>
    <row r="2623">
      <c r="A2623">
        <f>IFERROR(__xludf.DUMMYFUNCTION("""COMPUTED_VALUE"""),1188892.0)</f>
        <v>1188892</v>
      </c>
      <c r="B2623">
        <f>IFERROR(__xludf.DUMMYFUNCTION("""COMPUTED_VALUE"""),2202005.0)</f>
        <v>2202005</v>
      </c>
      <c r="D2623" t="str">
        <f>IFERROR(__xludf.DUMMYFUNCTION("""COMPUTED_VALUE"""),"ZIMM ouv Draguigan HP 7224e 40e")</f>
        <v>ZIMM ouv Draguigan HP 7224e 40e</v>
      </c>
      <c r="E2623" t="str">
        <f>IFERROR(__xludf.DUMMYFUNCTION("""COMPUTED_VALUE"""),".")</f>
        <v>.</v>
      </c>
      <c r="F2623" t="str">
        <f>IFERROR(__xludf.DUMMYFUNCTION("""COMPUTED_VALUE"""),"H")</f>
        <v>H</v>
      </c>
      <c r="G2623" t="str">
        <f>IFERROR(__xludf.DUMMYFUNCTION("""COMPUTED_VALUE"""),"AC")</f>
        <v>AC</v>
      </c>
      <c r="H2623">
        <f>IFERROR(__xludf.DUMMYFUNCTION("""COMPUTED_VALUE"""),0.01)</f>
        <v>0.01</v>
      </c>
      <c r="I2623">
        <f>IFERROR(__xludf.DUMMYFUNCTION("""COMPUTED_VALUE"""),0.01)</f>
        <v>0.01</v>
      </c>
      <c r="BD2623" s="2006"/>
      <c r="LL2623" s="2007"/>
      <c r="LM2623" s="2007"/>
      <c r="MX2623" s="2007"/>
      <c r="ND2623" s="2007"/>
    </row>
    <row r="2624">
      <c r="A2624">
        <f>IFERROR(__xludf.DUMMYFUNCTION("""COMPUTED_VALUE"""),1189229.0)</f>
        <v>1189229</v>
      </c>
      <c r="B2624">
        <f>IFERROR(__xludf.DUMMYFUNCTION("""COMPUTED_VALUE"""),2202010.0)</f>
        <v>2202010</v>
      </c>
      <c r="C2624" t="str">
        <f>IFERROR(__xludf.DUMMYFUNCTION("""COMPUTED_VALUE"""),"Multi Jet d'enc")</f>
        <v>Multi Jet d'enc</v>
      </c>
      <c r="D2624" t="str">
        <f>IFERROR(__xludf.DUMMYFUNCTION("""COMPUTED_VALUE"""),"Smart Tank 5106")</f>
        <v>Smart Tank 5106</v>
      </c>
      <c r="E2624" t="str">
        <f>IFERROR(__xludf.DUMMYFUNCTION("""COMPUTED_VALUE"""),"HP")</f>
        <v>HP</v>
      </c>
      <c r="F2624" t="str">
        <f>IFERROR(__xludf.DUMMYFUNCTION("""COMPUTED_VALUE"""),"E")</f>
        <v>E</v>
      </c>
      <c r="G2624" t="str">
        <f>IFERROR(__xludf.DUMMYFUNCTION("""COMPUTED_VALUE"""),"AC")</f>
        <v>AC</v>
      </c>
      <c r="H2624">
        <f>IFERROR(__xludf.DUMMYFUNCTION("""COMPUTED_VALUE"""),249.99)</f>
        <v>249.99</v>
      </c>
      <c r="I2624">
        <f>IFERROR(__xludf.DUMMYFUNCTION("""COMPUTED_VALUE"""),249.99)</f>
        <v>249.99</v>
      </c>
      <c r="BD2624" s="2006"/>
      <c r="LL2624" s="2007"/>
      <c r="LM2624" s="2007"/>
      <c r="MX2624" s="2007"/>
      <c r="ND2624" s="2007"/>
    </row>
    <row r="2625">
      <c r="A2625">
        <f>IFERROR(__xludf.DUMMYFUNCTION("""COMPUTED_VALUE"""),1189248.0)</f>
        <v>1189248</v>
      </c>
      <c r="B2625">
        <f>IFERROR(__xludf.DUMMYFUNCTION("""COMPUTED_VALUE"""),2403030.0)</f>
        <v>2403030</v>
      </c>
      <c r="D2625" t="str">
        <f>IFERROR(__xludf.DUMMYFUNCTION("""COMPUTED_VALUE"""),"ZIMM EPSON carte RP offerte")</f>
        <v>ZIMM EPSON carte RP offerte</v>
      </c>
      <c r="E2625" t="str">
        <f>IFERROR(__xludf.DUMMYFUNCTION("""COMPUTED_VALUE"""),".")</f>
        <v>.</v>
      </c>
      <c r="F2625" t="str">
        <f>IFERROR(__xludf.DUMMYFUNCTION("""COMPUTED_VALUE"""),"H")</f>
        <v>H</v>
      </c>
      <c r="G2625" t="str">
        <f>IFERROR(__xludf.DUMMYFUNCTION("""COMPUTED_VALUE"""),"AC")</f>
        <v>AC</v>
      </c>
      <c r="H2625">
        <f>IFERROR(__xludf.DUMMYFUNCTION("""COMPUTED_VALUE"""),0.01)</f>
        <v>0.01</v>
      </c>
      <c r="I2625">
        <f>IFERROR(__xludf.DUMMYFUNCTION("""COMPUTED_VALUE"""),0.01)</f>
        <v>0.01</v>
      </c>
      <c r="BD2625" s="2006"/>
      <c r="LL2625" s="2007"/>
      <c r="LM2625" s="2007"/>
      <c r="MX2625" s="2007"/>
      <c r="ND2625" s="2007"/>
    </row>
    <row r="2626">
      <c r="A2626">
        <f>IFERROR(__xludf.DUMMYFUNCTION("""COMPUTED_VALUE"""),1189912.0)</f>
        <v>1189912</v>
      </c>
      <c r="B2626">
        <f>IFERROR(__xludf.DUMMYFUNCTION("""COMPUTED_VALUE"""),2502040.0)</f>
        <v>2502040</v>
      </c>
      <c r="C2626" t="str">
        <f>IFERROR(__xludf.DUMMYFUNCTION("""COMPUTED_VALUE"""),"Dock")</f>
        <v>Dock</v>
      </c>
      <c r="D2626" t="str">
        <f>IFERROR(__xludf.DUMMYFUNCTION("""COMPUTED_VALUE"""),"Thunderbolt 4")</f>
        <v>Thunderbolt 4</v>
      </c>
      <c r="E2626" t="str">
        <f>IFERROR(__xludf.DUMMYFUNCTION("""COMPUTED_VALUE"""),"MICROSOFT")</f>
        <v>MICROSOFT</v>
      </c>
      <c r="F2626" t="str">
        <f>IFERROR(__xludf.DUMMYFUNCTION("""COMPUTED_VALUE"""),"W")</f>
        <v>W</v>
      </c>
      <c r="G2626" t="str">
        <f>IFERROR(__xludf.DUMMYFUNCTION("""COMPUTED_VALUE"""),"AC")</f>
        <v>AC</v>
      </c>
      <c r="H2626">
        <f>IFERROR(__xludf.DUMMYFUNCTION("""COMPUTED_VALUE"""),365.99)</f>
        <v>365.99</v>
      </c>
      <c r="I2626">
        <f>IFERROR(__xludf.DUMMYFUNCTION("""COMPUTED_VALUE"""),282.96)</f>
        <v>282.96</v>
      </c>
      <c r="BD2626" s="2006"/>
      <c r="LL2626" s="2007"/>
      <c r="LM2626" s="2007"/>
      <c r="MX2626" s="2007"/>
      <c r="ND2626" s="2007"/>
    </row>
    <row r="2627">
      <c r="A2627">
        <f>IFERROR(__xludf.DUMMYFUNCTION("""COMPUTED_VALUE"""),1190129.0)</f>
        <v>1190129</v>
      </c>
      <c r="B2627">
        <f>IFERROR(__xludf.DUMMYFUNCTION("""COMPUTED_VALUE"""),2202010.0)</f>
        <v>2202010</v>
      </c>
      <c r="C2627" t="str">
        <f>IFERROR(__xludf.DUMMYFUNCTION("""COMPUTED_VALUE"""),"Multi Jet d'enc")</f>
        <v>Multi Jet d'enc</v>
      </c>
      <c r="D2627" t="str">
        <f>IFERROR(__xludf.DUMMYFUNCTION("""COMPUTED_VALUE"""),"MegaTank G3520")</f>
        <v>MegaTank G3520</v>
      </c>
      <c r="E2627" t="str">
        <f>IFERROR(__xludf.DUMMYFUNCTION("""COMPUTED_VALUE"""),"CANON")</f>
        <v>CANON</v>
      </c>
      <c r="F2627" t="str">
        <f>IFERROR(__xludf.DUMMYFUNCTION("""COMPUTED_VALUE"""),"B")</f>
        <v>B</v>
      </c>
      <c r="G2627" t="str">
        <f>IFERROR(__xludf.DUMMYFUNCTION("""COMPUTED_VALUE"""),"NN")</f>
        <v>NN</v>
      </c>
      <c r="H2627">
        <f>IFERROR(__xludf.DUMMYFUNCTION("""COMPUTED_VALUE"""),279.99)</f>
        <v>279.99</v>
      </c>
      <c r="I2627">
        <f>IFERROR(__xludf.DUMMYFUNCTION("""COMPUTED_VALUE"""),279.99)</f>
        <v>279.99</v>
      </c>
      <c r="BD2627" s="2006"/>
      <c r="LL2627" s="2007"/>
      <c r="LM2627" s="2007"/>
      <c r="MX2627" s="2007"/>
      <c r="ND2627" s="2007"/>
    </row>
    <row r="2628">
      <c r="A2628">
        <f>IFERROR(__xludf.DUMMYFUNCTION("""COMPUTED_VALUE"""),1190308.0)</f>
        <v>1190308</v>
      </c>
      <c r="B2628">
        <f>IFERROR(__xludf.DUMMYFUNCTION("""COMPUTED_VALUE"""),2502010.0)</f>
        <v>2502010</v>
      </c>
      <c r="C2628" t="str">
        <f>IFERROR(__xludf.DUMMYFUNCTION("""COMPUTED_VALUE"""),"Souris")</f>
        <v>Souris</v>
      </c>
      <c r="D2628" t="str">
        <f>IFERROR(__xludf.DUMMYFUNCTION("""COMPUTED_VALUE"""),"ergonomique ecoresponsable filaire")</f>
        <v>ergonomique ecoresponsable filaire</v>
      </c>
      <c r="E2628" t="str">
        <f>IFERROR(__xludf.DUMMYFUNCTION("""COMPUTED_VALUE"""),"TRUST")</f>
        <v>TRUST</v>
      </c>
      <c r="F2628" t="str">
        <f>IFERROR(__xludf.DUMMYFUNCTION("""COMPUTED_VALUE"""),"W")</f>
        <v>W</v>
      </c>
      <c r="G2628" t="str">
        <f>IFERROR(__xludf.DUMMYFUNCTION("""COMPUTED_VALUE"""),"AC")</f>
        <v>AC</v>
      </c>
      <c r="H2628">
        <f>IFERROR(__xludf.DUMMYFUNCTION("""COMPUTED_VALUE"""),29.99)</f>
        <v>29.99</v>
      </c>
      <c r="I2628">
        <f>IFERROR(__xludf.DUMMYFUNCTION("""COMPUTED_VALUE"""),24.98)</f>
        <v>24.98</v>
      </c>
      <c r="BD2628" s="2006"/>
      <c r="LL2628" s="2007"/>
      <c r="LM2628" s="2007"/>
      <c r="MX2628" s="2007"/>
      <c r="ND2628" s="2007"/>
    </row>
    <row r="2629">
      <c r="A2629">
        <f>IFERROR(__xludf.DUMMYFUNCTION("""COMPUTED_VALUE"""),1190309.0)</f>
        <v>1190309</v>
      </c>
      <c r="B2629">
        <f>IFERROR(__xludf.DUMMYFUNCTION("""COMPUTED_VALUE"""),2502010.0)</f>
        <v>2502010</v>
      </c>
      <c r="C2629" t="str">
        <f>IFERROR(__xludf.DUMMYFUNCTION("""COMPUTED_VALUE"""),"Souris")</f>
        <v>Souris</v>
      </c>
      <c r="D2629" t="str">
        <f>IFERROR(__xludf.DUMMYFUNCTION("""COMPUTED_VALUE"""),"Souris ergonomique sans fil rechargeable")</f>
        <v>Souris ergonomique sans fil rechargeable</v>
      </c>
      <c r="E2629" t="str">
        <f>IFERROR(__xludf.DUMMYFUNCTION("""COMPUTED_VALUE"""),"TRUST")</f>
        <v>TRUST</v>
      </c>
      <c r="F2629" t="str">
        <f>IFERROR(__xludf.DUMMYFUNCTION("""COMPUTED_VALUE"""),"W")</f>
        <v>W</v>
      </c>
      <c r="G2629" t="str">
        <f>IFERROR(__xludf.DUMMYFUNCTION("""COMPUTED_VALUE"""),"AC")</f>
        <v>AC</v>
      </c>
      <c r="H2629">
        <f>IFERROR(__xludf.DUMMYFUNCTION("""COMPUTED_VALUE"""),39.99)</f>
        <v>39.99</v>
      </c>
      <c r="I2629">
        <f>IFERROR(__xludf.DUMMYFUNCTION("""COMPUTED_VALUE"""),39.99)</f>
        <v>39.99</v>
      </c>
      <c r="BD2629" s="2006"/>
      <c r="LL2629" s="2007"/>
      <c r="LM2629" s="2007"/>
      <c r="MX2629" s="2007"/>
      <c r="ND2629" s="2007"/>
    </row>
    <row r="2630">
      <c r="A2630">
        <f>IFERROR(__xludf.DUMMYFUNCTION("""COMPUTED_VALUE"""),1190310.0)</f>
        <v>1190310</v>
      </c>
      <c r="B2630">
        <f>IFERROR(__xludf.DUMMYFUNCTION("""COMPUTED_VALUE"""),2201099.0)</f>
        <v>2201099</v>
      </c>
      <c r="C2630" t="str">
        <f>IFERROR(__xludf.DUMMYFUNCTION("""COMPUTED_VALUE"""),"Découpeuse")</f>
        <v>Découpeuse</v>
      </c>
      <c r="D2630" t="str">
        <f>IFERROR(__xludf.DUMMYFUNCTION("""COMPUTED_VALUE"""),"Pack Celebration Mariage Maker3+14 conso")</f>
        <v>Pack Celebration Mariage Maker3+14 conso</v>
      </c>
      <c r="E2630" t="str">
        <f>IFERROR(__xludf.DUMMYFUNCTION("""COMPUTED_VALUE"""),"CRICUT")</f>
        <v>CRICUT</v>
      </c>
      <c r="F2630" t="str">
        <f>IFERROR(__xludf.DUMMYFUNCTION("""COMPUTED_VALUE"""),"W")</f>
        <v>W</v>
      </c>
      <c r="G2630" t="str">
        <f>IFERROR(__xludf.DUMMYFUNCTION("""COMPUTED_VALUE"""),"AC")</f>
        <v>AC</v>
      </c>
      <c r="H2630">
        <f>IFERROR(__xludf.DUMMYFUNCTION("""COMPUTED_VALUE"""),699.99)</f>
        <v>699.99</v>
      </c>
      <c r="I2630">
        <f>IFERROR(__xludf.DUMMYFUNCTION("""COMPUTED_VALUE"""),699.99)</f>
        <v>699.99</v>
      </c>
      <c r="BD2630" s="2006"/>
      <c r="LL2630" s="2008"/>
      <c r="LM2630" s="2007"/>
      <c r="MX2630" s="2007"/>
      <c r="ND2630" s="2007"/>
    </row>
    <row r="2631">
      <c r="A2631">
        <f>IFERROR(__xludf.DUMMYFUNCTION("""COMPUTED_VALUE"""),1190380.0)</f>
        <v>1190380</v>
      </c>
      <c r="B2631">
        <f>IFERROR(__xludf.DUMMYFUNCTION("""COMPUTED_VALUE"""),2201099.0)</f>
        <v>2201099</v>
      </c>
      <c r="C2631" t="str">
        <f>IFERROR(__xludf.DUMMYFUNCTION("""COMPUTED_VALUE"""),"Découpeuse")</f>
        <v>Découpeuse</v>
      </c>
      <c r="D2631" t="str">
        <f>IFERROR(__xludf.DUMMYFUNCTION("""COMPUTED_VALUE"""),"Pack Maker 3 + 3 lames")</f>
        <v>Pack Maker 3 + 3 lames</v>
      </c>
      <c r="E2631" t="str">
        <f>IFERROR(__xludf.DUMMYFUNCTION("""COMPUTED_VALUE"""),"CRICUT")</f>
        <v>CRICUT</v>
      </c>
      <c r="F2631" t="str">
        <f>IFERROR(__xludf.DUMMYFUNCTION("""COMPUTED_VALUE"""),"D")</f>
        <v>D</v>
      </c>
      <c r="G2631" t="str">
        <f>IFERROR(__xludf.DUMMYFUNCTION("""COMPUTED_VALUE"""),"AC")</f>
        <v>AC</v>
      </c>
      <c r="H2631">
        <f>IFERROR(__xludf.DUMMYFUNCTION("""COMPUTED_VALUE"""),549.99)</f>
        <v>549.99</v>
      </c>
      <c r="I2631">
        <f>IFERROR(__xludf.DUMMYFUNCTION("""COMPUTED_VALUE"""),549.99)</f>
        <v>549.99</v>
      </c>
      <c r="BD2631" s="2006"/>
      <c r="LL2631" s="2007"/>
      <c r="LM2631" s="2007"/>
      <c r="MX2631" s="2007"/>
      <c r="ND2631" s="2007"/>
    </row>
    <row r="2632">
      <c r="A2632">
        <f>IFERROR(__xludf.DUMMYFUNCTION("""COMPUTED_VALUE"""),1190594.0)</f>
        <v>1190594</v>
      </c>
      <c r="B2632">
        <f>IFERROR(__xludf.DUMMYFUNCTION("""COMPUTED_VALUE"""),2503005.0)</f>
        <v>2503005</v>
      </c>
      <c r="C2632" t="str">
        <f>IFERROR(__xludf.DUMMYFUNCTION("""COMPUTED_VALUE"""),"Enceinte")</f>
        <v>Enceinte</v>
      </c>
      <c r="D2632" t="str">
        <f>IFERROR(__xludf.DUMMYFUNCTION("""COMPUTED_VALUE"""),"ARENA 3 - BLACK")</f>
        <v>ARENA 3 - BLACK</v>
      </c>
      <c r="E2632" t="str">
        <f>IFERROR(__xludf.DUMMYFUNCTION("""COMPUTED_VALUE"""),"STEELSERIES")</f>
        <v>STEELSERIES</v>
      </c>
      <c r="F2632" t="str">
        <f>IFERROR(__xludf.DUMMYFUNCTION("""COMPUTED_VALUE"""),"W")</f>
        <v>W</v>
      </c>
      <c r="G2632" t="str">
        <f>IFERROR(__xludf.DUMMYFUNCTION("""COMPUTED_VALUE"""),"AC")</f>
        <v>AC</v>
      </c>
      <c r="H2632">
        <f>IFERROR(__xludf.DUMMYFUNCTION("""COMPUTED_VALUE"""),149.99)</f>
        <v>149.99</v>
      </c>
      <c r="I2632">
        <f>IFERROR(__xludf.DUMMYFUNCTION("""COMPUTED_VALUE"""),118.75)</f>
        <v>118.75</v>
      </c>
      <c r="BD2632" s="2006"/>
      <c r="LL2632" s="2007"/>
      <c r="LM2632" s="2007"/>
      <c r="MX2632" s="2007"/>
      <c r="ND2632" s="2007"/>
    </row>
    <row r="2633">
      <c r="A2633">
        <f>IFERROR(__xludf.DUMMYFUNCTION("""COMPUTED_VALUE"""),1190595.0)</f>
        <v>1190595</v>
      </c>
      <c r="B2633">
        <f>IFERROR(__xludf.DUMMYFUNCTION("""COMPUTED_VALUE"""),2503005.0)</f>
        <v>2503005</v>
      </c>
      <c r="C2633" t="str">
        <f>IFERROR(__xludf.DUMMYFUNCTION("""COMPUTED_VALUE"""),"Enceinte")</f>
        <v>Enceinte</v>
      </c>
      <c r="D2633" t="str">
        <f>IFERROR(__xludf.DUMMYFUNCTION("""COMPUTED_VALUE"""),"ARENA 7 - BLACK")</f>
        <v>ARENA 7 - BLACK</v>
      </c>
      <c r="E2633" t="str">
        <f>IFERROR(__xludf.DUMMYFUNCTION("""COMPUTED_VALUE"""),"STEELSERIES")</f>
        <v>STEELSERIES</v>
      </c>
      <c r="F2633" t="str">
        <f>IFERROR(__xludf.DUMMYFUNCTION("""COMPUTED_VALUE"""),"W")</f>
        <v>W</v>
      </c>
      <c r="G2633" t="str">
        <f>IFERROR(__xludf.DUMMYFUNCTION("""COMPUTED_VALUE"""),"AC")</f>
        <v>AC</v>
      </c>
      <c r="H2633">
        <f>IFERROR(__xludf.DUMMYFUNCTION("""COMPUTED_VALUE"""),329.99)</f>
        <v>329.99</v>
      </c>
      <c r="I2633">
        <f>IFERROR(__xludf.DUMMYFUNCTION("""COMPUTED_VALUE"""),277.99)</f>
        <v>277.99</v>
      </c>
      <c r="BD2633" s="2006"/>
      <c r="LL2633" s="2007"/>
      <c r="LM2633" s="2007"/>
      <c r="MX2633" s="2007"/>
      <c r="ND2633" s="2007"/>
    </row>
    <row r="2634">
      <c r="A2634">
        <f>IFERROR(__xludf.DUMMYFUNCTION("""COMPUTED_VALUE"""),1190597.0)</f>
        <v>1190597</v>
      </c>
      <c r="B2634">
        <f>IFERROR(__xludf.DUMMYFUNCTION("""COMPUTED_VALUE"""),2503005.0)</f>
        <v>2503005</v>
      </c>
      <c r="C2634" t="str">
        <f>IFERROR(__xludf.DUMMYFUNCTION("""COMPUTED_VALUE"""),"Enceinte")</f>
        <v>Enceinte</v>
      </c>
      <c r="D2634" t="str">
        <f>IFERROR(__xludf.DUMMYFUNCTION("""COMPUTED_VALUE"""),"ARENA 9 - BLACK")</f>
        <v>ARENA 9 - BLACK</v>
      </c>
      <c r="E2634" t="str">
        <f>IFERROR(__xludf.DUMMYFUNCTION("""COMPUTED_VALUE"""),"STEELSERIES")</f>
        <v>STEELSERIES</v>
      </c>
      <c r="F2634" t="str">
        <f>IFERROR(__xludf.DUMMYFUNCTION("""COMPUTED_VALUE"""),"W")</f>
        <v>W</v>
      </c>
      <c r="G2634" t="str">
        <f>IFERROR(__xludf.DUMMYFUNCTION("""COMPUTED_VALUE"""),"AC")</f>
        <v>AC</v>
      </c>
      <c r="H2634">
        <f>IFERROR(__xludf.DUMMYFUNCTION("""COMPUTED_VALUE"""),599.0)</f>
        <v>599</v>
      </c>
      <c r="I2634">
        <f>IFERROR(__xludf.DUMMYFUNCTION("""COMPUTED_VALUE"""),529.99)</f>
        <v>529.99</v>
      </c>
      <c r="BD2634" s="2006"/>
      <c r="LL2634" s="2007"/>
      <c r="LM2634" s="2007"/>
      <c r="MX2634" s="2007"/>
      <c r="ND2634" s="2007"/>
    </row>
    <row r="2635">
      <c r="A2635">
        <f>IFERROR(__xludf.DUMMYFUNCTION("""COMPUTED_VALUE"""),1190633.0)</f>
        <v>1190633</v>
      </c>
      <c r="B2635">
        <f>IFERROR(__xludf.DUMMYFUNCTION("""COMPUTED_VALUE"""),2203005.0)</f>
        <v>2203005</v>
      </c>
      <c r="C2635" t="str">
        <f>IFERROR(__xludf.DUMMYFUNCTION("""COMPUTED_VALUE"""),"Scanner")</f>
        <v>Scanner</v>
      </c>
      <c r="D2635" t="str">
        <f>IFERROR(__xludf.DUMMYFUNCTION("""COMPUTED_VALUE"""),"Epson Perfection V39II")</f>
        <v>Epson Perfection V39II</v>
      </c>
      <c r="E2635" t="str">
        <f>IFERROR(__xludf.DUMMYFUNCTION("""COMPUTED_VALUE"""),"EPSON")</f>
        <v>EPSON</v>
      </c>
      <c r="F2635" t="str">
        <f>IFERROR(__xludf.DUMMYFUNCTION("""COMPUTED_VALUE"""),"W")</f>
        <v>W</v>
      </c>
      <c r="G2635" t="str">
        <f>IFERROR(__xludf.DUMMYFUNCTION("""COMPUTED_VALUE"""),"AC")</f>
        <v>AC</v>
      </c>
      <c r="H2635">
        <f>IFERROR(__xludf.DUMMYFUNCTION("""COMPUTED_VALUE"""),109.99)</f>
        <v>109.99</v>
      </c>
      <c r="I2635">
        <f>IFERROR(__xludf.DUMMYFUNCTION("""COMPUTED_VALUE"""),109.96)</f>
        <v>109.96</v>
      </c>
      <c r="BD2635" s="2006"/>
      <c r="LL2635" s="2007"/>
      <c r="LM2635" s="2007"/>
      <c r="MX2635" s="2007"/>
      <c r="ND2635" s="2007"/>
    </row>
    <row r="2636">
      <c r="A2636">
        <f>IFERROR(__xludf.DUMMYFUNCTION("""COMPUTED_VALUE"""),1190637.0)</f>
        <v>1190637</v>
      </c>
      <c r="B2636">
        <f>IFERROR(__xludf.DUMMYFUNCTION("""COMPUTED_VALUE"""),1103010.0)</f>
        <v>1103010</v>
      </c>
      <c r="C2636" t="str">
        <f>IFERROR(__xludf.DUMMYFUNCTION("""COMPUTED_VALUE"""),"Tél.")</f>
        <v>Tél.</v>
      </c>
      <c r="D2636" t="str">
        <f>IFERROR(__xludf.DUMMYFUNCTION("""COMPUTED_VALUE"""),"COMFORT 550 NOIR")</f>
        <v>COMFORT 550 NOIR</v>
      </c>
      <c r="E2636" t="str">
        <f>IFERROR(__xludf.DUMMYFUNCTION("""COMPUTED_VALUE"""),"GIGASET")</f>
        <v>GIGASET</v>
      </c>
      <c r="F2636" t="str">
        <f>IFERROR(__xludf.DUMMYFUNCTION("""COMPUTED_VALUE"""),"W")</f>
        <v>W</v>
      </c>
      <c r="G2636" t="str">
        <f>IFERROR(__xludf.DUMMYFUNCTION("""COMPUTED_VALUE"""),"AC")</f>
        <v>AC</v>
      </c>
      <c r="H2636">
        <f>IFERROR(__xludf.DUMMYFUNCTION("""COMPUTED_VALUE"""),65.09)</f>
        <v>65.09</v>
      </c>
      <c r="I2636">
        <f>IFERROR(__xludf.DUMMYFUNCTION("""COMPUTED_VALUE"""),60.99)</f>
        <v>60.99</v>
      </c>
      <c r="BD2636" s="2006"/>
      <c r="LL2636" s="2007"/>
      <c r="LM2636" s="2007"/>
      <c r="MX2636" s="2007"/>
      <c r="ND2636" s="2007"/>
    </row>
    <row r="2637">
      <c r="A2637">
        <f>IFERROR(__xludf.DUMMYFUNCTION("""COMPUTED_VALUE"""),1190638.0)</f>
        <v>1190638</v>
      </c>
      <c r="B2637">
        <f>IFERROR(__xludf.DUMMYFUNCTION("""COMPUTED_VALUE"""),1103010.0)</f>
        <v>1103010</v>
      </c>
      <c r="C2637" t="str">
        <f>IFERROR(__xludf.DUMMYFUNCTION("""COMPUTED_VALUE"""),"Pack")</f>
        <v>Pack</v>
      </c>
      <c r="D2637" t="str">
        <f>IFERROR(__xludf.DUMMYFUNCTION("""COMPUTED_VALUE"""),"COMFORT 550 DUO NOIR")</f>
        <v>COMFORT 550 DUO NOIR</v>
      </c>
      <c r="E2637" t="str">
        <f>IFERROR(__xludf.DUMMYFUNCTION("""COMPUTED_VALUE"""),"GIGASET")</f>
        <v>GIGASET</v>
      </c>
      <c r="F2637" t="str">
        <f>IFERROR(__xludf.DUMMYFUNCTION("""COMPUTED_VALUE"""),"W")</f>
        <v>W</v>
      </c>
      <c r="G2637" t="str">
        <f>IFERROR(__xludf.DUMMYFUNCTION("""COMPUTED_VALUE"""),"AC")</f>
        <v>AC</v>
      </c>
      <c r="H2637">
        <f>IFERROR(__xludf.DUMMYFUNCTION("""COMPUTED_VALUE"""),95.09)</f>
        <v>95.09</v>
      </c>
      <c r="I2637">
        <f>IFERROR(__xludf.DUMMYFUNCTION("""COMPUTED_VALUE"""),95.09)</f>
        <v>95.09</v>
      </c>
      <c r="BD2637" s="2006"/>
      <c r="LL2637" s="2007"/>
      <c r="LM2637" s="2007"/>
      <c r="MX2637" s="2007"/>
      <c r="ND2637" s="2007"/>
    </row>
    <row r="2638">
      <c r="A2638">
        <f>IFERROR(__xludf.DUMMYFUNCTION("""COMPUTED_VALUE"""),1190685.0)</f>
        <v>1190685</v>
      </c>
      <c r="B2638">
        <f>IFERROR(__xludf.DUMMYFUNCTION("""COMPUTED_VALUE"""),2403005.0)</f>
        <v>2403005</v>
      </c>
      <c r="C2638" t="str">
        <f>IFERROR(__xludf.DUMMYFUNCTION("""COMPUTED_VALUE"""),"Cartouche")</f>
        <v>Cartouche</v>
      </c>
      <c r="D2638" t="str">
        <f>IFERROR(__xludf.DUMMYFUNCTION("""COMPUTED_VALUE"""),"maintenance GX5050/GX6050/GX7050")</f>
        <v>maintenance GX5050/GX6050/GX7050</v>
      </c>
      <c r="E2638" t="str">
        <f>IFERROR(__xludf.DUMMYFUNCTION("""COMPUTED_VALUE"""),"CANON")</f>
        <v>CANON</v>
      </c>
      <c r="F2638" t="str">
        <f>IFERROR(__xludf.DUMMYFUNCTION("""COMPUTED_VALUE"""),"W")</f>
        <v>W</v>
      </c>
      <c r="G2638" t="str">
        <f>IFERROR(__xludf.DUMMYFUNCTION("""COMPUTED_VALUE"""),"AC")</f>
        <v>AC</v>
      </c>
      <c r="H2638">
        <f>IFERROR(__xludf.DUMMYFUNCTION("""COMPUTED_VALUE"""),20.49)</f>
        <v>20.49</v>
      </c>
      <c r="I2638">
        <f>IFERROR(__xludf.DUMMYFUNCTION("""COMPUTED_VALUE"""),19.99)</f>
        <v>19.99</v>
      </c>
      <c r="BD2638" s="2006"/>
      <c r="LL2638" s="2007"/>
      <c r="LM2638" s="2007"/>
      <c r="MX2638" s="2007"/>
      <c r="ND2638" s="2007"/>
    </row>
    <row r="2639">
      <c r="A2639">
        <f>IFERROR(__xludf.DUMMYFUNCTION("""COMPUTED_VALUE"""),1190686.0)</f>
        <v>1190686</v>
      </c>
      <c r="B2639">
        <f>IFERROR(__xludf.DUMMYFUNCTION("""COMPUTED_VALUE"""),2403005.0)</f>
        <v>2403005</v>
      </c>
      <c r="C2639" t="str">
        <f>IFERROR(__xludf.DUMMYFUNCTION("""COMPUTED_VALUE"""),"Cartouche")</f>
        <v>Cartouche</v>
      </c>
      <c r="D2639" t="str">
        <f>IFERROR(__xludf.DUMMYFUNCTION("""COMPUTED_VALUE"""),"maintenance G3520/G3560/G650")</f>
        <v>maintenance G3520/G3560/G650</v>
      </c>
      <c r="E2639" t="str">
        <f>IFERROR(__xludf.DUMMYFUNCTION("""COMPUTED_VALUE"""),"CANON")</f>
        <v>CANON</v>
      </c>
      <c r="F2639" t="str">
        <f>IFERROR(__xludf.DUMMYFUNCTION("""COMPUTED_VALUE"""),"W")</f>
        <v>W</v>
      </c>
      <c r="G2639" t="str">
        <f>IFERROR(__xludf.DUMMYFUNCTION("""COMPUTED_VALUE"""),"AC")</f>
        <v>AC</v>
      </c>
      <c r="H2639">
        <f>IFERROR(__xludf.DUMMYFUNCTION("""COMPUTED_VALUE"""),9.59)</f>
        <v>9.59</v>
      </c>
      <c r="I2639">
        <f>IFERROR(__xludf.DUMMYFUNCTION("""COMPUTED_VALUE"""),9.59)</f>
        <v>9.59</v>
      </c>
      <c r="BD2639" s="2006"/>
      <c r="LL2639" s="2007"/>
      <c r="LM2639" s="2007"/>
      <c r="MX2639" s="2008"/>
      <c r="ND2639" s="2007"/>
    </row>
    <row r="2640">
      <c r="A2640">
        <f>IFERROR(__xludf.DUMMYFUNCTION("""COMPUTED_VALUE"""),1190687.0)</f>
        <v>1190687</v>
      </c>
      <c r="B2640">
        <f>IFERROR(__xludf.DUMMYFUNCTION("""COMPUTED_VALUE"""),2403005.0)</f>
        <v>2403005</v>
      </c>
      <c r="C2640" t="str">
        <f>IFERROR(__xludf.DUMMYFUNCTION("""COMPUTED_VALUE"""),"Cartouche")</f>
        <v>Cartouche</v>
      </c>
      <c r="D2640" t="str">
        <f>IFERROR(__xludf.DUMMYFUNCTION("""COMPUTED_VALUE"""),"maintenance GX3050/4050")</f>
        <v>maintenance GX3050/4050</v>
      </c>
      <c r="E2640" t="str">
        <f>IFERROR(__xludf.DUMMYFUNCTION("""COMPUTED_VALUE"""),"CANON")</f>
        <v>CANON</v>
      </c>
      <c r="F2640" t="str">
        <f>IFERROR(__xludf.DUMMYFUNCTION("""COMPUTED_VALUE"""),"W")</f>
        <v>W</v>
      </c>
      <c r="G2640" t="str">
        <f>IFERROR(__xludf.DUMMYFUNCTION("""COMPUTED_VALUE"""),"AC")</f>
        <v>AC</v>
      </c>
      <c r="H2640">
        <f>IFERROR(__xludf.DUMMYFUNCTION("""COMPUTED_VALUE"""),20.49)</f>
        <v>20.49</v>
      </c>
      <c r="I2640">
        <f>IFERROR(__xludf.DUMMYFUNCTION("""COMPUTED_VALUE"""),19.99)</f>
        <v>19.99</v>
      </c>
      <c r="BD2640" s="2006"/>
      <c r="LL2640" s="2007"/>
      <c r="LM2640" s="2007"/>
      <c r="MX2640" s="2007"/>
      <c r="ND2640" s="2007"/>
    </row>
    <row r="2641">
      <c r="A2641">
        <f>IFERROR(__xludf.DUMMYFUNCTION("""COMPUTED_VALUE"""),1190688.0)</f>
        <v>1190688</v>
      </c>
      <c r="B2641">
        <f>IFERROR(__xludf.DUMMYFUNCTION("""COMPUTED_VALUE"""),2403005.0)</f>
        <v>2403005</v>
      </c>
      <c r="C2641" t="str">
        <f>IFERROR(__xludf.DUMMYFUNCTION("""COMPUTED_VALUE"""),"Cartouche")</f>
        <v>Cartouche</v>
      </c>
      <c r="D2641" t="str">
        <f>IFERROR(__xludf.DUMMYFUNCTION("""COMPUTED_VALUE"""),"maintenance G3570/G6570")</f>
        <v>maintenance G3570/G6570</v>
      </c>
      <c r="E2641" t="str">
        <f>IFERROR(__xludf.DUMMYFUNCTION("""COMPUTED_VALUE"""),"CANON")</f>
        <v>CANON</v>
      </c>
      <c r="F2641" t="str">
        <f>IFERROR(__xludf.DUMMYFUNCTION("""COMPUTED_VALUE"""),"W")</f>
        <v>W</v>
      </c>
      <c r="G2641" t="str">
        <f>IFERROR(__xludf.DUMMYFUNCTION("""COMPUTED_VALUE"""),"AC")</f>
        <v>AC</v>
      </c>
      <c r="H2641">
        <f>IFERROR(__xludf.DUMMYFUNCTION("""COMPUTED_VALUE"""),9.59)</f>
        <v>9.59</v>
      </c>
      <c r="I2641">
        <f>IFERROR(__xludf.DUMMYFUNCTION("""COMPUTED_VALUE"""),9.49)</f>
        <v>9.49</v>
      </c>
      <c r="BD2641" s="2006"/>
      <c r="LL2641" s="2007"/>
      <c r="LM2641" s="2007"/>
      <c r="MX2641" s="2007"/>
      <c r="ND2641" s="2007"/>
    </row>
    <row r="2642">
      <c r="A2642">
        <f>IFERROR(__xludf.DUMMYFUNCTION("""COMPUTED_VALUE"""),1190751.0)</f>
        <v>1190751</v>
      </c>
      <c r="B2642">
        <f>IFERROR(__xludf.DUMMYFUNCTION("""COMPUTED_VALUE"""),1103010.0)</f>
        <v>1103010</v>
      </c>
      <c r="C2642" t="str">
        <f>IFERROR(__xludf.DUMMYFUNCTION("""COMPUTED_VALUE"""),"Tél.")</f>
        <v>Tél.</v>
      </c>
      <c r="D2642" t="str">
        <f>IFERROR(__xludf.DUMMYFUNCTION("""COMPUTED_VALUE"""),"COMFORT 550 A NOIR")</f>
        <v>COMFORT 550 A NOIR</v>
      </c>
      <c r="E2642" t="str">
        <f>IFERROR(__xludf.DUMMYFUNCTION("""COMPUTED_VALUE"""),"GIGASET")</f>
        <v>GIGASET</v>
      </c>
      <c r="F2642" t="str">
        <f>IFERROR(__xludf.DUMMYFUNCTION("""COMPUTED_VALUE"""),"W")</f>
        <v>W</v>
      </c>
      <c r="G2642" t="str">
        <f>IFERROR(__xludf.DUMMYFUNCTION("""COMPUTED_VALUE"""),"AC")</f>
        <v>AC</v>
      </c>
      <c r="H2642">
        <f>IFERROR(__xludf.DUMMYFUNCTION("""COMPUTED_VALUE"""),80.09)</f>
        <v>80.09</v>
      </c>
      <c r="I2642">
        <f>IFERROR(__xludf.DUMMYFUNCTION("""COMPUTED_VALUE"""),79.99)</f>
        <v>79.99</v>
      </c>
      <c r="BD2642" s="2006"/>
      <c r="LL2642" s="2008"/>
      <c r="LM2642" s="2007"/>
      <c r="MX2642" s="2007"/>
      <c r="ND2642" s="2007"/>
    </row>
    <row r="2643">
      <c r="A2643">
        <f>IFERROR(__xludf.DUMMYFUNCTION("""COMPUTED_VALUE"""),1190752.0)</f>
        <v>1190752</v>
      </c>
      <c r="B2643">
        <f>IFERROR(__xludf.DUMMYFUNCTION("""COMPUTED_VALUE"""),1103010.0)</f>
        <v>1103010</v>
      </c>
      <c r="C2643" t="str">
        <f>IFERROR(__xludf.DUMMYFUNCTION("""COMPUTED_VALUE"""),"Tél.")</f>
        <v>Tél.</v>
      </c>
      <c r="D2643" t="str">
        <f>IFERROR(__xludf.DUMMYFUNCTION("""COMPUTED_VALUE"""),"COMFORT 550 A DUO NOIR")</f>
        <v>COMFORT 550 A DUO NOIR</v>
      </c>
      <c r="E2643" t="str">
        <f>IFERROR(__xludf.DUMMYFUNCTION("""COMPUTED_VALUE"""),"GIGASET")</f>
        <v>GIGASET</v>
      </c>
      <c r="F2643" t="str">
        <f>IFERROR(__xludf.DUMMYFUNCTION("""COMPUTED_VALUE"""),"W")</f>
        <v>W</v>
      </c>
      <c r="G2643" t="str">
        <f>IFERROR(__xludf.DUMMYFUNCTION("""COMPUTED_VALUE"""),"AC")</f>
        <v>AC</v>
      </c>
      <c r="H2643">
        <f>IFERROR(__xludf.DUMMYFUNCTION("""COMPUTED_VALUE"""),100.09)</f>
        <v>100.09</v>
      </c>
      <c r="I2643">
        <f>IFERROR(__xludf.DUMMYFUNCTION("""COMPUTED_VALUE"""),99.99)</f>
        <v>99.99</v>
      </c>
      <c r="BD2643" s="2006"/>
      <c r="LL2643" s="2007"/>
      <c r="LM2643" s="2007"/>
      <c r="MX2643" s="2007"/>
      <c r="ND2643" s="2007"/>
    </row>
    <row r="2644">
      <c r="A2644">
        <f>IFERROR(__xludf.DUMMYFUNCTION("""COMPUTED_VALUE"""),1190753.0)</f>
        <v>1190753</v>
      </c>
      <c r="B2644">
        <f>IFERROR(__xludf.DUMMYFUNCTION("""COMPUTED_VALUE"""),1103010.0)</f>
        <v>1103010</v>
      </c>
      <c r="C2644" t="str">
        <f>IFERROR(__xludf.DUMMYFUNCTION("""COMPUTED_VALUE"""),"Tél.")</f>
        <v>Tél.</v>
      </c>
      <c r="D2644" t="str">
        <f>IFERROR(__xludf.DUMMYFUNCTION("""COMPUTED_VALUE"""),"COMFORT 550 HX NOIR")</f>
        <v>COMFORT 550 HX NOIR</v>
      </c>
      <c r="E2644" t="str">
        <f>IFERROR(__xludf.DUMMYFUNCTION("""COMPUTED_VALUE"""),"GIGASET")</f>
        <v>GIGASET</v>
      </c>
      <c r="F2644" t="str">
        <f>IFERROR(__xludf.DUMMYFUNCTION("""COMPUTED_VALUE"""),"W")</f>
        <v>W</v>
      </c>
      <c r="G2644" t="str">
        <f>IFERROR(__xludf.DUMMYFUNCTION("""COMPUTED_VALUE"""),"AC")</f>
        <v>AC</v>
      </c>
      <c r="H2644">
        <f>IFERROR(__xludf.DUMMYFUNCTION("""COMPUTED_VALUE"""),65.09)</f>
        <v>65.09</v>
      </c>
      <c r="I2644">
        <f>IFERROR(__xludf.DUMMYFUNCTION("""COMPUTED_VALUE"""),65.09)</f>
        <v>65.09</v>
      </c>
      <c r="BD2644" s="2006"/>
      <c r="LL2644" s="2007"/>
      <c r="LM2644" s="2007"/>
      <c r="MX2644" s="2007"/>
      <c r="ND2644" s="2007"/>
    </row>
    <row r="2645">
      <c r="A2645">
        <f>IFERROR(__xludf.DUMMYFUNCTION("""COMPUTED_VALUE"""),1190912.0)</f>
        <v>1190912</v>
      </c>
      <c r="B2645">
        <f>IFERROR(__xludf.DUMMYFUNCTION("""COMPUTED_VALUE"""),2703040.0)</f>
        <v>2703040</v>
      </c>
      <c r="C2645" t="str">
        <f>IFERROR(__xludf.DUMMYFUNCTION("""COMPUTED_VALUE"""),"Etiqueteuse")</f>
        <v>Etiqueteuse</v>
      </c>
      <c r="D2645" t="str">
        <f>IFERROR(__xludf.DUMMYFUNCTION("""COMPUTED_VALUE"""),"Labelworks LW-C410")</f>
        <v>Labelworks LW-C410</v>
      </c>
      <c r="E2645" t="str">
        <f>IFERROR(__xludf.DUMMYFUNCTION("""COMPUTED_VALUE"""),"EPSON")</f>
        <v>EPSON</v>
      </c>
      <c r="F2645" t="str">
        <f>IFERROR(__xludf.DUMMYFUNCTION("""COMPUTED_VALUE"""),"W")</f>
        <v>W</v>
      </c>
      <c r="G2645" t="str">
        <f>IFERROR(__xludf.DUMMYFUNCTION("""COMPUTED_VALUE"""),"AC")</f>
        <v>AC</v>
      </c>
      <c r="H2645">
        <f>IFERROR(__xludf.DUMMYFUNCTION("""COMPUTED_VALUE"""),79.99)</f>
        <v>79.99</v>
      </c>
      <c r="I2645">
        <f>IFERROR(__xludf.DUMMYFUNCTION("""COMPUTED_VALUE"""),79.95)</f>
        <v>79.95</v>
      </c>
      <c r="BD2645" s="2006"/>
      <c r="LL2645" s="2007"/>
      <c r="LM2645" s="2007"/>
      <c r="MX2645" s="2007"/>
      <c r="ND2645" s="2007"/>
    </row>
    <row r="2646">
      <c r="A2646">
        <f>IFERROR(__xludf.DUMMYFUNCTION("""COMPUTED_VALUE"""),1190914.0)</f>
        <v>1190914</v>
      </c>
      <c r="B2646">
        <f>IFERROR(__xludf.DUMMYFUNCTION("""COMPUTED_VALUE"""),2703040.0)</f>
        <v>2703040</v>
      </c>
      <c r="C2646" t="str">
        <f>IFERROR(__xludf.DUMMYFUNCTION("""COMPUTED_VALUE"""),"Etiqueteuse")</f>
        <v>Etiqueteuse</v>
      </c>
      <c r="D2646" t="str">
        <f>IFERROR(__xludf.DUMMYFUNCTION("""COMPUTED_VALUE"""),"Labelworks LW-C610")</f>
        <v>Labelworks LW-C610</v>
      </c>
      <c r="E2646" t="str">
        <f>IFERROR(__xludf.DUMMYFUNCTION("""COMPUTED_VALUE"""),"EPSON")</f>
        <v>EPSON</v>
      </c>
      <c r="F2646" t="str">
        <f>IFERROR(__xludf.DUMMYFUNCTION("""COMPUTED_VALUE"""),"W")</f>
        <v>W</v>
      </c>
      <c r="G2646" t="str">
        <f>IFERROR(__xludf.DUMMYFUNCTION("""COMPUTED_VALUE"""),"AC")</f>
        <v>AC</v>
      </c>
      <c r="H2646">
        <f>IFERROR(__xludf.DUMMYFUNCTION("""COMPUTED_VALUE"""),139.99)</f>
        <v>139.99</v>
      </c>
      <c r="I2646">
        <f>IFERROR(__xludf.DUMMYFUNCTION("""COMPUTED_VALUE"""),139.95)</f>
        <v>139.95</v>
      </c>
      <c r="BD2646" s="2006"/>
      <c r="LL2646" s="2007"/>
      <c r="LM2646" s="2007"/>
      <c r="MX2646" s="2007"/>
      <c r="ND2646" s="2007"/>
    </row>
    <row r="2647">
      <c r="A2647">
        <f>IFERROR(__xludf.DUMMYFUNCTION("""COMPUTED_VALUE"""),1191092.0)</f>
        <v>1191092</v>
      </c>
      <c r="B2647">
        <f>IFERROR(__xludf.DUMMYFUNCTION("""COMPUTED_VALUE"""),1103010.0)</f>
        <v>1103010</v>
      </c>
      <c r="C2647" t="str">
        <f>IFERROR(__xludf.DUMMYFUNCTION("""COMPUTED_VALUE"""),"Pack")</f>
        <v>Pack</v>
      </c>
      <c r="D2647" t="str">
        <f>IFERROR(__xludf.DUMMYFUNCTION("""COMPUTED_VALUE"""),"A170 DUO Noir")</f>
        <v>A170 DUO Noir</v>
      </c>
      <c r="E2647" t="str">
        <f>IFERROR(__xludf.DUMMYFUNCTION("""COMPUTED_VALUE"""),"GIGASET")</f>
        <v>GIGASET</v>
      </c>
      <c r="F2647" t="str">
        <f>IFERROR(__xludf.DUMMYFUNCTION("""COMPUTED_VALUE"""),"W")</f>
        <v>W</v>
      </c>
      <c r="G2647" t="str">
        <f>IFERROR(__xludf.DUMMYFUNCTION("""COMPUTED_VALUE"""),"AC")</f>
        <v>AC</v>
      </c>
      <c r="H2647">
        <f>IFERROR(__xludf.DUMMYFUNCTION("""COMPUTED_VALUE"""),39.09)</f>
        <v>39.09</v>
      </c>
      <c r="I2647">
        <f>IFERROR(__xludf.DUMMYFUNCTION("""COMPUTED_VALUE"""),32.99)</f>
        <v>32.99</v>
      </c>
      <c r="BD2647" s="2006"/>
      <c r="LL2647" s="2007"/>
      <c r="LM2647" s="2007"/>
      <c r="MX2647" s="2007"/>
      <c r="ND2647" s="2007"/>
    </row>
    <row r="2648">
      <c r="A2648">
        <f>IFERROR(__xludf.DUMMYFUNCTION("""COMPUTED_VALUE"""),1191142.0)</f>
        <v>1191142</v>
      </c>
      <c r="B2648">
        <f>IFERROR(__xludf.DUMMYFUNCTION("""COMPUTED_VALUE"""),2209805.0)</f>
        <v>2209805</v>
      </c>
      <c r="C2648" t="str">
        <f>IFERROR(__xludf.DUMMYFUNCTION("""COMPUTED_VALUE"""),"Lot")</f>
        <v>Lot</v>
      </c>
      <c r="D2648" t="str">
        <f>IFERROR(__xludf.DUMMYFUNCTION("""COMPUTED_VALUE"""),"Envy Inspire 6030e + Carte Instant Ink")</f>
        <v>Envy Inspire 6030e + Carte Instant Ink</v>
      </c>
      <c r="E2648" t="str">
        <f>IFERROR(__xludf.DUMMYFUNCTION("""COMPUTED_VALUE"""),"HP")</f>
        <v>HP</v>
      </c>
      <c r="F2648" t="str">
        <f>IFERROR(__xludf.DUMMYFUNCTION("""COMPUTED_VALUE"""),"H")</f>
        <v>H</v>
      </c>
      <c r="G2648" t="str">
        <f>IFERROR(__xludf.DUMMYFUNCTION("""COMPUTED_VALUE"""),"NN")</f>
        <v>NN</v>
      </c>
      <c r="H2648">
        <f>IFERROR(__xludf.DUMMYFUNCTION("""COMPUTED_VALUE"""),104.09)</f>
        <v>104.09</v>
      </c>
      <c r="I2648">
        <f>IFERROR(__xludf.DUMMYFUNCTION("""COMPUTED_VALUE"""),104.09)</f>
        <v>104.09</v>
      </c>
      <c r="BD2648" s="2006"/>
      <c r="LL2648" s="2007"/>
      <c r="LM2648" s="2007"/>
      <c r="MX2648" s="2007"/>
      <c r="ND2648" s="2007"/>
    </row>
    <row r="2649">
      <c r="A2649">
        <f>IFERROR(__xludf.DUMMYFUNCTION("""COMPUTED_VALUE"""),1191184.0)</f>
        <v>1191184</v>
      </c>
      <c r="B2649">
        <f>IFERROR(__xludf.DUMMYFUNCTION("""COMPUTED_VALUE"""),2209805.0)</f>
        <v>2209805</v>
      </c>
      <c r="C2649" t="str">
        <f>IFERROR(__xludf.DUMMYFUNCTION("""COMPUTED_VALUE"""),"Lot")</f>
        <v>Lot</v>
      </c>
      <c r="D2649" t="str">
        <f>IFERROR(__xludf.DUMMYFUNCTION("""COMPUTED_VALUE"""),"TS 5151 + PG 540 Noir")</f>
        <v>TS 5151 + PG 540 Noir</v>
      </c>
      <c r="E2649" t="str">
        <f>IFERROR(__xludf.DUMMYFUNCTION("""COMPUTED_VALUE"""),"CANON")</f>
        <v>CANON</v>
      </c>
      <c r="F2649" t="str">
        <f>IFERROR(__xludf.DUMMYFUNCTION("""COMPUTED_VALUE"""),"H")</f>
        <v>H</v>
      </c>
      <c r="G2649" t="str">
        <f>IFERROR(__xludf.DUMMYFUNCTION("""COMPUTED_VALUE"""),"AC")</f>
        <v>AC</v>
      </c>
      <c r="H2649">
        <f>IFERROR(__xludf.DUMMYFUNCTION("""COMPUTED_VALUE"""),101.99)</f>
        <v>101.99</v>
      </c>
      <c r="I2649">
        <f>IFERROR(__xludf.DUMMYFUNCTION("""COMPUTED_VALUE"""),101.99)</f>
        <v>101.99</v>
      </c>
      <c r="BD2649" s="2006"/>
      <c r="LL2649" s="2007"/>
      <c r="LM2649" s="2007"/>
      <c r="MX2649" s="2007"/>
      <c r="ND2649" s="2007"/>
    </row>
    <row r="2650">
      <c r="A2650">
        <f>IFERROR(__xludf.DUMMYFUNCTION("""COMPUTED_VALUE"""),1191829.0)</f>
        <v>1191829</v>
      </c>
      <c r="B2650">
        <f>IFERROR(__xludf.DUMMYFUNCTION("""COMPUTED_VALUE"""),2502010.0)</f>
        <v>2502010</v>
      </c>
      <c r="C2650" t="str">
        <f>IFERROR(__xludf.DUMMYFUNCTION("""COMPUTED_VALUE"""),"Souris")</f>
        <v>Souris</v>
      </c>
      <c r="D2650" t="str">
        <f>IFERROR(__xludf.DUMMYFUNCTION("""COMPUTED_VALUE"""),"M240 Silent Graphite Bluetooth")</f>
        <v>M240 Silent Graphite Bluetooth</v>
      </c>
      <c r="E2650" t="str">
        <f>IFERROR(__xludf.DUMMYFUNCTION("""COMPUTED_VALUE"""),"LOGITECH")</f>
        <v>LOGITECH</v>
      </c>
      <c r="F2650" t="str">
        <f>IFERROR(__xludf.DUMMYFUNCTION("""COMPUTED_VALUE"""),"W")</f>
        <v>W</v>
      </c>
      <c r="G2650" t="str">
        <f>IFERROR(__xludf.DUMMYFUNCTION("""COMPUTED_VALUE"""),"AC")</f>
        <v>AC</v>
      </c>
      <c r="H2650">
        <f>IFERROR(__xludf.DUMMYFUNCTION("""COMPUTED_VALUE"""),27.99)</f>
        <v>27.99</v>
      </c>
      <c r="I2650">
        <f>IFERROR(__xludf.DUMMYFUNCTION("""COMPUTED_VALUE"""),27.95)</f>
        <v>27.95</v>
      </c>
      <c r="BD2650" s="2006"/>
      <c r="LL2650" s="2007"/>
      <c r="LM2650" s="2007"/>
      <c r="MX2650" s="2007"/>
      <c r="ND2650" s="2007"/>
    </row>
    <row r="2651">
      <c r="A2651">
        <f>IFERROR(__xludf.DUMMYFUNCTION("""COMPUTED_VALUE"""),1191915.0)</f>
        <v>1191915</v>
      </c>
      <c r="B2651">
        <f>IFERROR(__xludf.DUMMYFUNCTION("""COMPUTED_VALUE"""),2202005.0)</f>
        <v>2202005</v>
      </c>
      <c r="C2651" t="str">
        <f>IFERROR(__xludf.DUMMYFUNCTION("""COMPUTED_VALUE"""),"Multi Jet d'enc")</f>
        <v>Multi Jet d'enc</v>
      </c>
      <c r="D2651" t="str">
        <f>IFERROR(__xludf.DUMMYFUNCTION("""COMPUTED_VALUE"""),"Pixma TS 8351a")</f>
        <v>Pixma TS 8351a</v>
      </c>
      <c r="E2651" t="str">
        <f>IFERROR(__xludf.DUMMYFUNCTION("""COMPUTED_VALUE"""),"CANON")</f>
        <v>CANON</v>
      </c>
      <c r="F2651" t="str">
        <f>IFERROR(__xludf.DUMMYFUNCTION("""COMPUTED_VALUE"""),"D")</f>
        <v>D</v>
      </c>
      <c r="G2651" t="str">
        <f>IFERROR(__xludf.DUMMYFUNCTION("""COMPUTED_VALUE"""),"AC")</f>
        <v>AC</v>
      </c>
      <c r="H2651">
        <f>IFERROR(__xludf.DUMMYFUNCTION("""COMPUTED_VALUE"""),179.99)</f>
        <v>179.99</v>
      </c>
      <c r="I2651">
        <f>IFERROR(__xludf.DUMMYFUNCTION("""COMPUTED_VALUE"""),179.99)</f>
        <v>179.99</v>
      </c>
      <c r="BD2651" s="2006"/>
      <c r="LL2651" s="2008"/>
      <c r="LM2651" s="2007"/>
      <c r="MX2651" s="2008"/>
      <c r="ND2651" s="2007"/>
    </row>
    <row r="2652">
      <c r="A2652">
        <f>IFERROR(__xludf.DUMMYFUNCTION("""COMPUTED_VALUE"""),1191940.0)</f>
        <v>1191940</v>
      </c>
      <c r="B2652">
        <f>IFERROR(__xludf.DUMMYFUNCTION("""COMPUTED_VALUE"""),2403006.0)</f>
        <v>2403006</v>
      </c>
      <c r="C2652" t="str">
        <f>IFERROR(__xludf.DUMMYFUNCTION("""COMPUTED_VALUE"""),"Conso Plastif")</f>
        <v>Conso Plastif</v>
      </c>
      <c r="D2652" t="str">
        <f>IFERROR(__xludf.DUMMYFUNCTION("""COMPUTED_VALUE"""),"LK-4KBK noir et or 12mm sur 5m")</f>
        <v>LK-4KBK noir et or 12mm sur 5m</v>
      </c>
      <c r="E2652" t="str">
        <f>IFERROR(__xludf.DUMMYFUNCTION("""COMPUTED_VALUE"""),"EPSON")</f>
        <v>EPSON</v>
      </c>
      <c r="F2652" t="str">
        <f>IFERROR(__xludf.DUMMYFUNCTION("""COMPUTED_VALUE"""),"W")</f>
        <v>W</v>
      </c>
      <c r="G2652" t="str">
        <f>IFERROR(__xludf.DUMMYFUNCTION("""COMPUTED_VALUE"""),"AC")</f>
        <v>AC</v>
      </c>
      <c r="H2652">
        <f>IFERROR(__xludf.DUMMYFUNCTION("""COMPUTED_VALUE"""),11.99)</f>
        <v>11.99</v>
      </c>
      <c r="I2652">
        <f>IFERROR(__xludf.DUMMYFUNCTION("""COMPUTED_VALUE"""),11.99)</f>
        <v>11.99</v>
      </c>
      <c r="BD2652" s="2006"/>
      <c r="LL2652" s="2007"/>
      <c r="LM2652" s="2007"/>
      <c r="MX2652" s="2007"/>
      <c r="ND2652" s="2007"/>
    </row>
    <row r="2653">
      <c r="A2653">
        <f>IFERROR(__xludf.DUMMYFUNCTION("""COMPUTED_VALUE"""),1191951.0)</f>
        <v>1191951</v>
      </c>
      <c r="B2653">
        <f>IFERROR(__xludf.DUMMYFUNCTION("""COMPUTED_VALUE"""),2403006.0)</f>
        <v>2403006</v>
      </c>
      <c r="C2653" t="str">
        <f>IFERROR(__xludf.DUMMYFUNCTION("""COMPUTED_VALUE"""),"Conso Plastif")</f>
        <v>Conso Plastif</v>
      </c>
      <c r="D2653" t="str">
        <f>IFERROR(__xludf.DUMMYFUNCTION("""COMPUTED_VALUE"""),"LK-4RKK or et rouge 12mm sur 5m")</f>
        <v>LK-4RKK or et rouge 12mm sur 5m</v>
      </c>
      <c r="E2653" t="str">
        <f>IFERROR(__xludf.DUMMYFUNCTION("""COMPUTED_VALUE"""),"EPSON")</f>
        <v>EPSON</v>
      </c>
      <c r="F2653" t="str">
        <f>IFERROR(__xludf.DUMMYFUNCTION("""COMPUTED_VALUE"""),"W")</f>
        <v>W</v>
      </c>
      <c r="G2653" t="str">
        <f>IFERROR(__xludf.DUMMYFUNCTION("""COMPUTED_VALUE"""),"AC")</f>
        <v>AC</v>
      </c>
      <c r="H2653">
        <f>IFERROR(__xludf.DUMMYFUNCTION("""COMPUTED_VALUE"""),11.99)</f>
        <v>11.99</v>
      </c>
      <c r="I2653">
        <f>IFERROR(__xludf.DUMMYFUNCTION("""COMPUTED_VALUE"""),11.99)</f>
        <v>11.99</v>
      </c>
      <c r="BD2653" s="2006"/>
      <c r="LL2653" s="2007"/>
      <c r="LM2653" s="2007"/>
      <c r="MX2653" s="2007"/>
      <c r="ND2653" s="2007"/>
    </row>
    <row r="2654">
      <c r="A2654">
        <f>IFERROR(__xludf.DUMMYFUNCTION("""COMPUTED_VALUE"""),1191969.0)</f>
        <v>1191969</v>
      </c>
      <c r="B2654">
        <f>IFERROR(__xludf.DUMMYFUNCTION("""COMPUTED_VALUE"""),2403006.0)</f>
        <v>2403006</v>
      </c>
      <c r="C2654" t="str">
        <f>IFERROR(__xludf.DUMMYFUNCTION("""COMPUTED_VALUE"""),"Conso Plastif")</f>
        <v>Conso Plastif</v>
      </c>
      <c r="D2654" t="str">
        <f>IFERROR(__xludf.DUMMYFUNCTION("""COMPUTED_VALUE"""),"tapis de coupe 30x30")</f>
        <v>tapis de coupe 30x30</v>
      </c>
      <c r="E2654" t="str">
        <f>IFERROR(__xludf.DUMMYFUNCTION("""COMPUTED_VALUE"""),"CRICUT")</f>
        <v>CRICUT</v>
      </c>
      <c r="F2654" t="str">
        <f>IFERROR(__xludf.DUMMYFUNCTION("""COMPUTED_VALUE"""),"H")</f>
        <v>H</v>
      </c>
      <c r="G2654" t="str">
        <f>IFERROR(__xludf.DUMMYFUNCTION("""COMPUTED_VALUE"""),"AC")</f>
        <v>AC</v>
      </c>
      <c r="H2654">
        <f>IFERROR(__xludf.DUMMYFUNCTION("""COMPUTED_VALUE"""),9.99)</f>
        <v>9.99</v>
      </c>
      <c r="I2654">
        <f>IFERROR(__xludf.DUMMYFUNCTION("""COMPUTED_VALUE"""),7.68)</f>
        <v>7.68</v>
      </c>
      <c r="BD2654" s="2006"/>
      <c r="LL2654" s="2007"/>
      <c r="LM2654" s="2007"/>
      <c r="MX2654" s="2007"/>
      <c r="ND2654" s="2007"/>
    </row>
    <row r="2655">
      <c r="A2655">
        <f>IFERROR(__xludf.DUMMYFUNCTION("""COMPUTED_VALUE"""),1191970.0)</f>
        <v>1191970</v>
      </c>
      <c r="B2655">
        <f>IFERROR(__xludf.DUMMYFUNCTION("""COMPUTED_VALUE"""),2403006.0)</f>
        <v>2403006</v>
      </c>
      <c r="C2655" t="str">
        <f>IFERROR(__xludf.DUMMYFUNCTION("""COMPUTED_VALUE"""),"Conso Plastif")</f>
        <v>Conso Plastif</v>
      </c>
      <c r="D2655" t="str">
        <f>IFERROR(__xludf.DUMMYFUNCTION("""COMPUTED_VALUE"""),"Rouleau Vinyle or 30x91 cm")</f>
        <v>Rouleau Vinyle or 30x91 cm</v>
      </c>
      <c r="E2655" t="str">
        <f>IFERROR(__xludf.DUMMYFUNCTION("""COMPUTED_VALUE"""),"CRICUT")</f>
        <v>CRICUT</v>
      </c>
      <c r="F2655" t="str">
        <f>IFERROR(__xludf.DUMMYFUNCTION("""COMPUTED_VALUE"""),"H")</f>
        <v>H</v>
      </c>
      <c r="G2655" t="str">
        <f>IFERROR(__xludf.DUMMYFUNCTION("""COMPUTED_VALUE"""),"AC")</f>
        <v>AC</v>
      </c>
      <c r="H2655">
        <f>IFERROR(__xludf.DUMMYFUNCTION("""COMPUTED_VALUE"""),12.99)</f>
        <v>12.99</v>
      </c>
      <c r="I2655">
        <f>IFERROR(__xludf.DUMMYFUNCTION("""COMPUTED_VALUE"""),9.99)</f>
        <v>9.99</v>
      </c>
      <c r="BD2655" s="2006"/>
      <c r="LL2655" s="2007"/>
      <c r="LM2655" s="2007"/>
      <c r="MX2655" s="2007"/>
      <c r="ND2655" s="2007"/>
    </row>
    <row r="2656">
      <c r="A2656">
        <f>IFERROR(__xludf.DUMMYFUNCTION("""COMPUTED_VALUE"""),1191983.0)</f>
        <v>1191983</v>
      </c>
      <c r="B2656">
        <f>IFERROR(__xludf.DUMMYFUNCTION("""COMPUTED_VALUE"""),2403006.0)</f>
        <v>2403006</v>
      </c>
      <c r="C2656" t="str">
        <f>IFERROR(__xludf.DUMMYFUNCTION("""COMPUTED_VALUE"""),"Conso Plastif")</f>
        <v>Conso Plastif</v>
      </c>
      <c r="D2656" t="str">
        <f>IFERROR(__xludf.DUMMYFUNCTION("""COMPUTED_VALUE"""),"1 marqueurs metalliques")</f>
        <v>1 marqueurs metalliques</v>
      </c>
      <c r="E2656" t="str">
        <f>IFERROR(__xludf.DUMMYFUNCTION("""COMPUTED_VALUE"""),"CRICUT")</f>
        <v>CRICUT</v>
      </c>
      <c r="F2656" t="str">
        <f>IFERROR(__xludf.DUMMYFUNCTION("""COMPUTED_VALUE"""),"H")</f>
        <v>H</v>
      </c>
      <c r="G2656" t="str">
        <f>IFERROR(__xludf.DUMMYFUNCTION("""COMPUTED_VALUE"""),"AC")</f>
        <v>AC</v>
      </c>
      <c r="H2656">
        <f>IFERROR(__xludf.DUMMYFUNCTION("""COMPUTED_VALUE"""),10.99)</f>
        <v>10.99</v>
      </c>
      <c r="I2656">
        <f>IFERROR(__xludf.DUMMYFUNCTION("""COMPUTED_VALUE"""),8.45)</f>
        <v>8.45</v>
      </c>
      <c r="BD2656" s="2006"/>
      <c r="LL2656" s="2007"/>
      <c r="LM2656" s="2007"/>
      <c r="MX2656" s="2007"/>
      <c r="ND2656" s="2007"/>
    </row>
    <row r="2657">
      <c r="A2657">
        <f>IFERROR(__xludf.DUMMYFUNCTION("""COMPUTED_VALUE"""),1191984.0)</f>
        <v>1191984</v>
      </c>
      <c r="B2657">
        <f>IFERROR(__xludf.DUMMYFUNCTION("""COMPUTED_VALUE"""),2403006.0)</f>
        <v>2403006</v>
      </c>
      <c r="C2657" t="str">
        <f>IFERROR(__xludf.DUMMYFUNCTION("""COMPUTED_VALUE"""),"Conso Plastif")</f>
        <v>Conso Plastif</v>
      </c>
      <c r="D2657" t="str">
        <f>IFERROR(__xludf.DUMMYFUNCTION("""COMPUTED_VALUE"""),"Rouleau Vinyle or iron 30x91 cm")</f>
        <v>Rouleau Vinyle or iron 30x91 cm</v>
      </c>
      <c r="E2657" t="str">
        <f>IFERROR(__xludf.DUMMYFUNCTION("""COMPUTED_VALUE"""),"CRICUT")</f>
        <v>CRICUT</v>
      </c>
      <c r="F2657" t="str">
        <f>IFERROR(__xludf.DUMMYFUNCTION("""COMPUTED_VALUE"""),"H")</f>
        <v>H</v>
      </c>
      <c r="G2657" t="str">
        <f>IFERROR(__xludf.DUMMYFUNCTION("""COMPUTED_VALUE"""),"AC")</f>
        <v>AC</v>
      </c>
      <c r="H2657">
        <f>IFERROR(__xludf.DUMMYFUNCTION("""COMPUTED_VALUE"""),21.99)</f>
        <v>21.99</v>
      </c>
      <c r="I2657">
        <f>IFERROR(__xludf.DUMMYFUNCTION("""COMPUTED_VALUE"""),16.92)</f>
        <v>16.92</v>
      </c>
      <c r="BD2657" s="2006"/>
      <c r="LL2657" s="2007"/>
      <c r="LM2657" s="2007"/>
      <c r="MX2657" s="2007"/>
      <c r="ND2657" s="2007"/>
    </row>
    <row r="2658">
      <c r="A2658">
        <f>IFERROR(__xludf.DUMMYFUNCTION("""COMPUTED_VALUE"""),1191985.0)</f>
        <v>1191985</v>
      </c>
      <c r="B2658">
        <f>IFERROR(__xludf.DUMMYFUNCTION("""COMPUTED_VALUE"""),2403006.0)</f>
        <v>2403006</v>
      </c>
      <c r="C2658" t="str">
        <f>IFERROR(__xludf.DUMMYFUNCTION("""COMPUTED_VALUE"""),"Conso Plastif")</f>
        <v>Conso Plastif</v>
      </c>
      <c r="D2658" t="str">
        <f>IFERROR(__xludf.DUMMYFUNCTION("""COMPUTED_VALUE"""),"30 marqueurs point fine")</f>
        <v>30 marqueurs point fine</v>
      </c>
      <c r="E2658" t="str">
        <f>IFERROR(__xludf.DUMMYFUNCTION("""COMPUTED_VALUE"""),"CRICUT")</f>
        <v>CRICUT</v>
      </c>
      <c r="F2658" t="str">
        <f>IFERROR(__xludf.DUMMYFUNCTION("""COMPUTED_VALUE"""),"H")</f>
        <v>H</v>
      </c>
      <c r="G2658" t="str">
        <f>IFERROR(__xludf.DUMMYFUNCTION("""COMPUTED_VALUE"""),"AC")</f>
        <v>AC</v>
      </c>
      <c r="H2658">
        <f>IFERROR(__xludf.DUMMYFUNCTION("""COMPUTED_VALUE"""),40.49)</f>
        <v>40.49</v>
      </c>
      <c r="I2658">
        <f>IFERROR(__xludf.DUMMYFUNCTION("""COMPUTED_VALUE"""),31.15)</f>
        <v>31.15</v>
      </c>
      <c r="BD2658" s="2006"/>
      <c r="LL2658" s="2007"/>
      <c r="LM2658" s="2007"/>
      <c r="MX2658" s="2007"/>
      <c r="ND2658" s="2007"/>
    </row>
    <row r="2659">
      <c r="A2659">
        <f>IFERROR(__xludf.DUMMYFUNCTION("""COMPUTED_VALUE"""),1191986.0)</f>
        <v>1191986</v>
      </c>
      <c r="B2659">
        <f>IFERROR(__xludf.DUMMYFUNCTION("""COMPUTED_VALUE"""),2403006.0)</f>
        <v>2403006</v>
      </c>
      <c r="C2659" t="str">
        <f>IFERROR(__xludf.DUMMYFUNCTION("""COMPUTED_VALUE"""),"Conso Plastif")</f>
        <v>Conso Plastif</v>
      </c>
      <c r="D2659" t="str">
        <f>IFERROR(__xludf.DUMMYFUNCTION("""COMPUTED_VALUE"""),"3 tapis de coupe 30x30 cm")</f>
        <v>3 tapis de coupe 30x30 cm</v>
      </c>
      <c r="E2659" t="str">
        <f>IFERROR(__xludf.DUMMYFUNCTION("""COMPUTED_VALUE"""),"CRICUT")</f>
        <v>CRICUT</v>
      </c>
      <c r="F2659" t="str">
        <f>IFERROR(__xludf.DUMMYFUNCTION("""COMPUTED_VALUE"""),"H")</f>
        <v>H</v>
      </c>
      <c r="G2659" t="str">
        <f>IFERROR(__xludf.DUMMYFUNCTION("""COMPUTED_VALUE"""),"AC")</f>
        <v>AC</v>
      </c>
      <c r="H2659">
        <f>IFERROR(__xludf.DUMMYFUNCTION("""COMPUTED_VALUE"""),24.99)</f>
        <v>24.99</v>
      </c>
      <c r="I2659">
        <f>IFERROR(__xludf.DUMMYFUNCTION("""COMPUTED_VALUE"""),19.22)</f>
        <v>19.22</v>
      </c>
      <c r="BD2659" s="2006"/>
      <c r="LL2659" s="2007"/>
      <c r="LM2659" s="2007"/>
      <c r="MX2659" s="2007"/>
      <c r="ND2659" s="2007"/>
    </row>
    <row r="2660">
      <c r="A2660">
        <f>IFERROR(__xludf.DUMMYFUNCTION("""COMPUTED_VALUE"""),1191987.0)</f>
        <v>1191987</v>
      </c>
      <c r="B2660">
        <f>IFERROR(__xludf.DUMMYFUNCTION("""COMPUTED_VALUE"""),2403006.0)</f>
        <v>2403006</v>
      </c>
      <c r="C2660" t="str">
        <f>IFERROR(__xludf.DUMMYFUNCTION("""COMPUTED_VALUE"""),"Conso Plastif")</f>
        <v>Conso Plastif</v>
      </c>
      <c r="D2660" t="str">
        <f>IFERROR(__xludf.DUMMYFUNCTION("""COMPUTED_VALUE"""),"Ruban resistant a la chaleur 2cmx16m")</f>
        <v>Ruban resistant a la chaleur 2cmx16m</v>
      </c>
      <c r="E2660" t="str">
        <f>IFERROR(__xludf.DUMMYFUNCTION("""COMPUTED_VALUE"""),"CRICUT")</f>
        <v>CRICUT</v>
      </c>
      <c r="F2660" t="str">
        <f>IFERROR(__xludf.DUMMYFUNCTION("""COMPUTED_VALUE"""),"H")</f>
        <v>H</v>
      </c>
      <c r="G2660" t="str">
        <f>IFERROR(__xludf.DUMMYFUNCTION("""COMPUTED_VALUE"""),"AC")</f>
        <v>AC</v>
      </c>
      <c r="H2660">
        <f>IFERROR(__xludf.DUMMYFUNCTION("""COMPUTED_VALUE"""),8.49)</f>
        <v>8.49</v>
      </c>
      <c r="I2660">
        <f>IFERROR(__xludf.DUMMYFUNCTION("""COMPUTED_VALUE"""),6.53)</f>
        <v>6.53</v>
      </c>
      <c r="BD2660" s="2006"/>
      <c r="LL2660" s="2007"/>
      <c r="LM2660" s="2007"/>
      <c r="MX2660" s="2007"/>
      <c r="ND2660" s="2007"/>
    </row>
    <row r="2661">
      <c r="A2661">
        <f>IFERROR(__xludf.DUMMYFUNCTION("""COMPUTED_VALUE"""),1191988.0)</f>
        <v>1191988</v>
      </c>
      <c r="B2661">
        <f>IFERROR(__xludf.DUMMYFUNCTION("""COMPUTED_VALUE"""),2403006.0)</f>
        <v>2403006</v>
      </c>
      <c r="C2661" t="str">
        <f>IFERROR(__xludf.DUMMYFUNCTION("""COMPUTED_VALUE"""),"Conso Plastif")</f>
        <v>Conso Plastif</v>
      </c>
      <c r="D2661" t="str">
        <f>IFERROR(__xludf.DUMMYFUNCTION("""COMPUTED_VALUE"""),"Rouleau Vinyle rose 33x91 cm")</f>
        <v>Rouleau Vinyle rose 33x91 cm</v>
      </c>
      <c r="E2661" t="str">
        <f>IFERROR(__xludf.DUMMYFUNCTION("""COMPUTED_VALUE"""),"CRICUT")</f>
        <v>CRICUT</v>
      </c>
      <c r="F2661" t="str">
        <f>IFERROR(__xludf.DUMMYFUNCTION("""COMPUTED_VALUE"""),"H")</f>
        <v>H</v>
      </c>
      <c r="G2661" t="str">
        <f>IFERROR(__xludf.DUMMYFUNCTION("""COMPUTED_VALUE"""),"AC")</f>
        <v>AC</v>
      </c>
      <c r="H2661">
        <f>IFERROR(__xludf.DUMMYFUNCTION("""COMPUTED_VALUE"""),9.99)</f>
        <v>9.99</v>
      </c>
      <c r="I2661">
        <f>IFERROR(__xludf.DUMMYFUNCTION("""COMPUTED_VALUE"""),7.68)</f>
        <v>7.68</v>
      </c>
      <c r="BD2661" s="2006"/>
      <c r="LL2661" s="2008"/>
      <c r="LM2661" s="2007"/>
      <c r="MX2661" s="2008"/>
      <c r="ND2661" s="2008"/>
    </row>
    <row r="2662">
      <c r="A2662">
        <f>IFERROR(__xludf.DUMMYFUNCTION("""COMPUTED_VALUE"""),1191989.0)</f>
        <v>1191989</v>
      </c>
      <c r="B2662">
        <f>IFERROR(__xludf.DUMMYFUNCTION("""COMPUTED_VALUE"""),2403006.0)</f>
        <v>2403006</v>
      </c>
      <c r="C2662" t="str">
        <f>IFERROR(__xludf.DUMMYFUNCTION("""COMPUTED_VALUE"""),"Conso Plastif")</f>
        <v>Conso Plastif</v>
      </c>
      <c r="D2662" t="str">
        <f>IFERROR(__xludf.DUMMYFUNCTION("""COMPUTED_VALUE"""),"tapis adherent 30.5x11.4cm")</f>
        <v>tapis adherent 30.5x11.4cm</v>
      </c>
      <c r="E2662" t="str">
        <f>IFERROR(__xludf.DUMMYFUNCTION("""COMPUTED_VALUE"""),"CRICUT")</f>
        <v>CRICUT</v>
      </c>
      <c r="F2662" t="str">
        <f>IFERROR(__xludf.DUMMYFUNCTION("""COMPUTED_VALUE"""),"H")</f>
        <v>H</v>
      </c>
      <c r="G2662" t="str">
        <f>IFERROR(__xludf.DUMMYFUNCTION("""COMPUTED_VALUE"""),"AC")</f>
        <v>AC</v>
      </c>
      <c r="H2662">
        <f>IFERROR(__xludf.DUMMYFUNCTION("""COMPUTED_VALUE"""),12.99)</f>
        <v>12.99</v>
      </c>
      <c r="I2662">
        <f>IFERROR(__xludf.DUMMYFUNCTION("""COMPUTED_VALUE"""),9.99)</f>
        <v>9.99</v>
      </c>
      <c r="BD2662" s="2006"/>
      <c r="LL2662" s="2007"/>
      <c r="LM2662" s="2007"/>
      <c r="MX2662" s="2008"/>
      <c r="ND2662" s="2007"/>
    </row>
    <row r="2663">
      <c r="A2663">
        <f>IFERROR(__xludf.DUMMYFUNCTION("""COMPUTED_VALUE"""),1192065.0)</f>
        <v>1192065</v>
      </c>
      <c r="B2663">
        <f>IFERROR(__xludf.DUMMYFUNCTION("""COMPUTED_VALUE"""),2403006.0)</f>
        <v>2403006</v>
      </c>
      <c r="C2663" t="str">
        <f>IFERROR(__xludf.DUMMYFUNCTION("""COMPUTED_VALUE"""),"Conso Plastif")</f>
        <v>Conso Plastif</v>
      </c>
      <c r="D2663" t="str">
        <f>IFERROR(__xludf.DUMMYFUNCTION("""COMPUTED_VALUE"""),"Pointe de gravure + base QuickSwap")</f>
        <v>Pointe de gravure + base QuickSwap</v>
      </c>
      <c r="E2663" t="str">
        <f>IFERROR(__xludf.DUMMYFUNCTION("""COMPUTED_VALUE"""),"CRICUT")</f>
        <v>CRICUT</v>
      </c>
      <c r="F2663" t="str">
        <f>IFERROR(__xludf.DUMMYFUNCTION("""COMPUTED_VALUE"""),"H")</f>
        <v>H</v>
      </c>
      <c r="G2663" t="str">
        <f>IFERROR(__xludf.DUMMYFUNCTION("""COMPUTED_VALUE"""),"AC")</f>
        <v>AC</v>
      </c>
      <c r="H2663">
        <f>IFERROR(__xludf.DUMMYFUNCTION("""COMPUTED_VALUE"""),50.99)</f>
        <v>50.99</v>
      </c>
      <c r="I2663">
        <f>IFERROR(__xludf.DUMMYFUNCTION("""COMPUTED_VALUE"""),39.22)</f>
        <v>39.22</v>
      </c>
      <c r="BD2663" s="2006"/>
      <c r="LL2663" s="2007"/>
      <c r="LM2663" s="2007"/>
      <c r="MX2663" s="2007"/>
      <c r="ND2663" s="2007"/>
    </row>
    <row r="2664">
      <c r="A2664">
        <f>IFERROR(__xludf.DUMMYFUNCTION("""COMPUTED_VALUE"""),1192066.0)</f>
        <v>1192066</v>
      </c>
      <c r="B2664">
        <f>IFERROR(__xludf.DUMMYFUNCTION("""COMPUTED_VALUE"""),2403006.0)</f>
        <v>2403006</v>
      </c>
      <c r="C2664" t="str">
        <f>IFERROR(__xludf.DUMMYFUNCTION("""COMPUTED_VALUE"""),"Conso Plastif")</f>
        <v>Conso Plastif</v>
      </c>
      <c r="D2664" t="str">
        <f>IFERROR(__xludf.DUMMYFUNCTION("""COMPUTED_VALUE"""),"Tapis pour cartes 2x2")</f>
        <v>Tapis pour cartes 2x2</v>
      </c>
      <c r="E2664" t="str">
        <f>IFERROR(__xludf.DUMMYFUNCTION("""COMPUTED_VALUE"""),"CRICUT")</f>
        <v>CRICUT</v>
      </c>
      <c r="F2664" t="str">
        <f>IFERROR(__xludf.DUMMYFUNCTION("""COMPUTED_VALUE"""),"H")</f>
        <v>H</v>
      </c>
      <c r="G2664" t="str">
        <f>IFERROR(__xludf.DUMMYFUNCTION("""COMPUTED_VALUE"""),"NN")</f>
        <v>NN</v>
      </c>
      <c r="H2664">
        <f>IFERROR(__xludf.DUMMYFUNCTION("""COMPUTED_VALUE"""),19.99)</f>
        <v>19.99</v>
      </c>
      <c r="I2664">
        <f>IFERROR(__xludf.DUMMYFUNCTION("""COMPUTED_VALUE"""),15.38)</f>
        <v>15.38</v>
      </c>
      <c r="BD2664" s="2006"/>
      <c r="LL2664" s="2007"/>
      <c r="LM2664" s="2007"/>
      <c r="MX2664" s="2007"/>
      <c r="ND2664" s="2007"/>
    </row>
    <row r="2665">
      <c r="A2665">
        <f>IFERROR(__xludf.DUMMYFUNCTION("""COMPUTED_VALUE"""),1192067.0)</f>
        <v>1192067</v>
      </c>
      <c r="B2665">
        <f>IFERROR(__xludf.DUMMYFUNCTION("""COMPUTED_VALUE"""),2403006.0)</f>
        <v>2403006</v>
      </c>
      <c r="C2665" t="str">
        <f>IFERROR(__xludf.DUMMYFUNCTION("""COMPUTED_VALUE"""),"Conso Plastif")</f>
        <v>Conso Plastif</v>
      </c>
      <c r="D2665" t="str">
        <f>IFERROR(__xludf.DUMMYFUNCTION("""COMPUTED_VALUE"""),"Vinyle phosphorescent amovible 30.5x61")</f>
        <v>Vinyle phosphorescent amovible 30.5x61</v>
      </c>
      <c r="E2665" t="str">
        <f>IFERROR(__xludf.DUMMYFUNCTION("""COMPUTED_VALUE"""),"CRICUT")</f>
        <v>CRICUT</v>
      </c>
      <c r="F2665" t="str">
        <f>IFERROR(__xludf.DUMMYFUNCTION("""COMPUTED_VALUE"""),"H")</f>
        <v>H</v>
      </c>
      <c r="G2665" t="str">
        <f>IFERROR(__xludf.DUMMYFUNCTION("""COMPUTED_VALUE"""),"AC")</f>
        <v>AC</v>
      </c>
      <c r="H2665">
        <f>IFERROR(__xludf.DUMMYFUNCTION("""COMPUTED_VALUE"""),16.99)</f>
        <v>16.99</v>
      </c>
      <c r="I2665">
        <f>IFERROR(__xludf.DUMMYFUNCTION("""COMPUTED_VALUE"""),13.07)</f>
        <v>13.07</v>
      </c>
      <c r="BD2665" s="2006"/>
      <c r="LL2665" s="2007"/>
      <c r="LM2665" s="2007"/>
      <c r="MX2665" s="2007"/>
      <c r="ND2665" s="2007"/>
    </row>
    <row r="2666">
      <c r="A2666">
        <f>IFERROR(__xludf.DUMMYFUNCTION("""COMPUTED_VALUE"""),1192068.0)</f>
        <v>1192068</v>
      </c>
      <c r="B2666">
        <f>IFERROR(__xludf.DUMMYFUNCTION("""COMPUTED_VALUE"""),2403006.0)</f>
        <v>2403006</v>
      </c>
      <c r="C2666" t="str">
        <f>IFERROR(__xludf.DUMMYFUNCTION("""COMPUTED_VALUE"""),"Conso Plastif")</f>
        <v>Conso Plastif</v>
      </c>
      <c r="D2666" t="str">
        <f>IFERROR(__xludf.DUMMYFUNCTION("""COMPUTED_VALUE"""),"Thermocollant phosphorescent amovible")</f>
        <v>Thermocollant phosphorescent amovible</v>
      </c>
      <c r="E2666" t="str">
        <f>IFERROR(__xludf.DUMMYFUNCTION("""COMPUTED_VALUE"""),"CRICUT")</f>
        <v>CRICUT</v>
      </c>
      <c r="F2666" t="str">
        <f>IFERROR(__xludf.DUMMYFUNCTION("""COMPUTED_VALUE"""),"H")</f>
        <v>H</v>
      </c>
      <c r="G2666" t="str">
        <f>IFERROR(__xludf.DUMMYFUNCTION("""COMPUTED_VALUE"""),"AC")</f>
        <v>AC</v>
      </c>
      <c r="H2666">
        <f>IFERROR(__xludf.DUMMYFUNCTION("""COMPUTED_VALUE"""),16.99)</f>
        <v>16.99</v>
      </c>
      <c r="I2666">
        <f>IFERROR(__xludf.DUMMYFUNCTION("""COMPUTED_VALUE"""),13.07)</f>
        <v>13.07</v>
      </c>
      <c r="BD2666" s="2006"/>
      <c r="LL2666" s="2007"/>
      <c r="LM2666" s="2007"/>
      <c r="MX2666" s="2007"/>
      <c r="ND2666" s="2007"/>
    </row>
    <row r="2667">
      <c r="A2667">
        <f>IFERROR(__xludf.DUMMYFUNCTION("""COMPUTED_VALUE"""),1192069.0)</f>
        <v>1192069</v>
      </c>
      <c r="B2667">
        <f>IFERROR(__xludf.DUMMYFUNCTION("""COMPUTED_VALUE"""),2403006.0)</f>
        <v>2403006</v>
      </c>
      <c r="C2667" t="str">
        <f>IFERROR(__xludf.DUMMYFUNCTION("""COMPUTED_VALUE"""),"Conso Plastif")</f>
        <v>Conso Plastif</v>
      </c>
      <c r="D2667" t="str">
        <f>IFERROR(__xludf.DUMMYFUNCTION("""COMPUTED_VALUE"""),"Vinyle inscriptible 14x33 4 feuilles")</f>
        <v>Vinyle inscriptible 14x33 4 feuilles</v>
      </c>
      <c r="E2667" t="str">
        <f>IFERROR(__xludf.DUMMYFUNCTION("""COMPUTED_VALUE"""),"CRICUT")</f>
        <v>CRICUT</v>
      </c>
      <c r="F2667" t="str">
        <f>IFERROR(__xludf.DUMMYFUNCTION("""COMPUTED_VALUE"""),"H")</f>
        <v>H</v>
      </c>
      <c r="G2667" t="str">
        <f>IFERROR(__xludf.DUMMYFUNCTION("""COMPUTED_VALUE"""),"AC")</f>
        <v>AC</v>
      </c>
      <c r="H2667">
        <f>IFERROR(__xludf.DUMMYFUNCTION("""COMPUTED_VALUE"""),10.99)</f>
        <v>10.99</v>
      </c>
      <c r="I2667">
        <f>IFERROR(__xludf.DUMMYFUNCTION("""COMPUTED_VALUE"""),8.45)</f>
        <v>8.45</v>
      </c>
      <c r="BD2667" s="2006"/>
      <c r="LL2667" s="2007"/>
      <c r="LM2667" s="2007"/>
      <c r="MX2667" s="2007"/>
      <c r="ND2667" s="2007"/>
    </row>
    <row r="2668">
      <c r="A2668">
        <f>IFERROR(__xludf.DUMMYFUNCTION("""COMPUTED_VALUE"""),1192070.0)</f>
        <v>1192070</v>
      </c>
      <c r="B2668">
        <f>IFERROR(__xludf.DUMMYFUNCTION("""COMPUTED_VALUE"""),2403006.0)</f>
        <v>2403006</v>
      </c>
      <c r="C2668" t="str">
        <f>IFERROR(__xludf.DUMMYFUNCTION("""COMPUTED_VALUE"""),"Conso Plastif")</f>
        <v>Conso Plastif</v>
      </c>
      <c r="D2668" t="str">
        <f>IFERROR(__xludf.DUMMYFUNCTION("""COMPUTED_VALUE"""),"Papier autocollant dissoluble blanc")</f>
        <v>Papier autocollant dissoluble blanc</v>
      </c>
      <c r="E2668" t="str">
        <f>IFERROR(__xludf.DUMMYFUNCTION("""COMPUTED_VALUE"""),"CRICUT")</f>
        <v>CRICUT</v>
      </c>
      <c r="F2668" t="str">
        <f>IFERROR(__xludf.DUMMYFUNCTION("""COMPUTED_VALUE"""),"H")</f>
        <v>H</v>
      </c>
      <c r="G2668" t="str">
        <f>IFERROR(__xludf.DUMMYFUNCTION("""COMPUTED_VALUE"""),"AC")</f>
        <v>AC</v>
      </c>
      <c r="H2668">
        <f>IFERROR(__xludf.DUMMYFUNCTION("""COMPUTED_VALUE"""),15.99)</f>
        <v>15.99</v>
      </c>
      <c r="I2668">
        <f>IFERROR(__xludf.DUMMYFUNCTION("""COMPUTED_VALUE"""),12.3)</f>
        <v>12.3</v>
      </c>
      <c r="BD2668" s="2006"/>
      <c r="LL2668" s="2007"/>
      <c r="LM2668" s="2007"/>
      <c r="MX2668" s="2007"/>
      <c r="ND2668" s="2007"/>
    </row>
    <row r="2669">
      <c r="A2669">
        <f>IFERROR(__xludf.DUMMYFUNCTION("""COMPUTED_VALUE"""),1192111.0)</f>
        <v>1192111</v>
      </c>
      <c r="B2669">
        <f>IFERROR(__xludf.DUMMYFUNCTION("""COMPUTED_VALUE"""),2403006.0)</f>
        <v>2403006</v>
      </c>
      <c r="C2669" t="str">
        <f>IFERROR(__xludf.DUMMYFUNCTION("""COMPUTED_VALUE"""),"Conso Plastif")</f>
        <v>Conso Plastif</v>
      </c>
      <c r="D2669" t="str">
        <f>IFERROR(__xludf.DUMMYFUNCTION("""COMPUTED_VALUE"""),"Thermocollant reflechissant  Arc en ciel")</f>
        <v>Thermocollant reflechissant  Arc en ciel</v>
      </c>
      <c r="E2669" t="str">
        <f>IFERROR(__xludf.DUMMYFUNCTION("""COMPUTED_VALUE"""),"CRICUT")</f>
        <v>CRICUT</v>
      </c>
      <c r="F2669" t="str">
        <f>IFERROR(__xludf.DUMMYFUNCTION("""COMPUTED_VALUE"""),"H")</f>
        <v>H</v>
      </c>
      <c r="G2669" t="str">
        <f>IFERROR(__xludf.DUMMYFUNCTION("""COMPUTED_VALUE"""),"AC")</f>
        <v>AC</v>
      </c>
      <c r="H2669">
        <f>IFERROR(__xludf.DUMMYFUNCTION("""COMPUTED_VALUE"""),18.99)</f>
        <v>18.99</v>
      </c>
      <c r="I2669">
        <f>IFERROR(__xludf.DUMMYFUNCTION("""COMPUTED_VALUE"""),14.61)</f>
        <v>14.61</v>
      </c>
      <c r="BD2669" s="2006"/>
      <c r="LL2669" s="2007"/>
      <c r="LM2669" s="2007"/>
      <c r="MX2669" s="2007"/>
      <c r="ND2669" s="2007"/>
    </row>
    <row r="2670">
      <c r="A2670">
        <f>IFERROR(__xludf.DUMMYFUNCTION("""COMPUTED_VALUE"""),1192112.0)</f>
        <v>1192112</v>
      </c>
      <c r="B2670">
        <f>IFERROR(__xludf.DUMMYFUNCTION("""COMPUTED_VALUE"""),2403006.0)</f>
        <v>2403006</v>
      </c>
      <c r="C2670" t="str">
        <f>IFERROR(__xludf.DUMMYFUNCTION("""COMPUTED_VALUE"""),"Conso Plastif")</f>
        <v>Conso Plastif</v>
      </c>
      <c r="D2670" t="str">
        <f>IFERROR(__xludf.DUMMYFUNCTION("""COMPUTED_VALUE"""),"Thermocollant couleur activee par les UV")</f>
        <v>Thermocollant couleur activee par les UV</v>
      </c>
      <c r="E2670" t="str">
        <f>IFERROR(__xludf.DUMMYFUNCTION("""COMPUTED_VALUE"""),"CRICUT")</f>
        <v>CRICUT</v>
      </c>
      <c r="F2670" t="str">
        <f>IFERROR(__xludf.DUMMYFUNCTION("""COMPUTED_VALUE"""),"H")</f>
        <v>H</v>
      </c>
      <c r="G2670" t="str">
        <f>IFERROR(__xludf.DUMMYFUNCTION("""COMPUTED_VALUE"""),"AC")</f>
        <v>AC</v>
      </c>
      <c r="H2670">
        <f>IFERROR(__xludf.DUMMYFUNCTION("""COMPUTED_VALUE"""),18.99)</f>
        <v>18.99</v>
      </c>
      <c r="I2670">
        <f>IFERROR(__xludf.DUMMYFUNCTION("""COMPUTED_VALUE"""),14.61)</f>
        <v>14.61</v>
      </c>
      <c r="BD2670" s="2006"/>
      <c r="LL2670" s="2007"/>
      <c r="LM2670" s="2007"/>
      <c r="MX2670" s="2007"/>
      <c r="ND2670" s="2007"/>
    </row>
    <row r="2671">
      <c r="A2671">
        <f>IFERROR(__xludf.DUMMYFUNCTION("""COMPUTED_VALUE"""),1192113.0)</f>
        <v>1192113</v>
      </c>
      <c r="B2671">
        <f>IFERROR(__xludf.DUMMYFUNCTION("""COMPUTED_VALUE"""),2403006.0)</f>
        <v>2403006</v>
      </c>
      <c r="C2671" t="str">
        <f>IFERROR(__xludf.DUMMYFUNCTION("""COMPUTED_VALUE"""),"Conso Plastif")</f>
        <v>Conso Plastif</v>
      </c>
      <c r="D2671" t="str">
        <f>IFERROR(__xludf.DUMMYFUNCTION("""COMPUTED_VALUE"""),"Vinyle couleur activee par la chaleur")</f>
        <v>Vinyle couleur activee par la chaleur</v>
      </c>
      <c r="E2671" t="str">
        <f>IFERROR(__xludf.DUMMYFUNCTION("""COMPUTED_VALUE"""),"CRICUT")</f>
        <v>CRICUT</v>
      </c>
      <c r="F2671" t="str">
        <f>IFERROR(__xludf.DUMMYFUNCTION("""COMPUTED_VALUE"""),"H")</f>
        <v>H</v>
      </c>
      <c r="G2671" t="str">
        <f>IFERROR(__xludf.DUMMYFUNCTION("""COMPUTED_VALUE"""),"AC")</f>
        <v>AC</v>
      </c>
      <c r="H2671">
        <f>IFERROR(__xludf.DUMMYFUNCTION("""COMPUTED_VALUE"""),18.99)</f>
        <v>18.99</v>
      </c>
      <c r="I2671">
        <f>IFERROR(__xludf.DUMMYFUNCTION("""COMPUTED_VALUE"""),14.61)</f>
        <v>14.61</v>
      </c>
      <c r="BD2671" s="2006"/>
      <c r="LL2671" s="2007"/>
      <c r="LM2671" s="2007"/>
      <c r="MX2671" s="2007"/>
      <c r="ND2671" s="2007"/>
    </row>
    <row r="2672">
      <c r="A2672">
        <f>IFERROR(__xludf.DUMMYFUNCTION("""COMPUTED_VALUE"""),1192114.0)</f>
        <v>1192114</v>
      </c>
      <c r="B2672">
        <f>IFERROR(__xludf.DUMMYFUNCTION("""COMPUTED_VALUE"""),2403006.0)</f>
        <v>2403006</v>
      </c>
      <c r="C2672" t="str">
        <f>IFERROR(__xludf.DUMMYFUNCTION("""COMPUTED_VALUE"""),"Conso Plastif")</f>
        <v>Conso Plastif</v>
      </c>
      <c r="D2672" t="str">
        <f>IFERROR(__xludf.DUMMYFUNCTION("""COMPUTED_VALUE"""),"Vinyle couleur activee par le froid")</f>
        <v>Vinyle couleur activee par le froid</v>
      </c>
      <c r="E2672" t="str">
        <f>IFERROR(__xludf.DUMMYFUNCTION("""COMPUTED_VALUE"""),"CRICUT")</f>
        <v>CRICUT</v>
      </c>
      <c r="F2672" t="str">
        <f>IFERROR(__xludf.DUMMYFUNCTION("""COMPUTED_VALUE"""),"H")</f>
        <v>H</v>
      </c>
      <c r="G2672" t="str">
        <f>IFERROR(__xludf.DUMMYFUNCTION("""COMPUTED_VALUE"""),"AC")</f>
        <v>AC</v>
      </c>
      <c r="H2672">
        <f>IFERROR(__xludf.DUMMYFUNCTION("""COMPUTED_VALUE"""),18.99)</f>
        <v>18.99</v>
      </c>
      <c r="I2672">
        <f>IFERROR(__xludf.DUMMYFUNCTION("""COMPUTED_VALUE"""),14.61)</f>
        <v>14.61</v>
      </c>
      <c r="BD2672" s="2006"/>
      <c r="LL2672" s="2007"/>
      <c r="LM2672" s="2007"/>
      <c r="MX2672" s="2007"/>
      <c r="ND2672" s="2007"/>
    </row>
    <row r="2673">
      <c r="A2673">
        <f>IFERROR(__xludf.DUMMYFUNCTION("""COMPUTED_VALUE"""),1192236.0)</f>
        <v>1192236</v>
      </c>
      <c r="B2673">
        <f>IFERROR(__xludf.DUMMYFUNCTION("""COMPUTED_VALUE"""),2502015.0)</f>
        <v>2502015</v>
      </c>
      <c r="C2673" t="str">
        <f>IFERROR(__xludf.DUMMYFUNCTION("""COMPUTED_VALUE"""),"Clavier")</f>
        <v>Clavier</v>
      </c>
      <c r="D2673" t="str">
        <f>IFERROR(__xludf.DUMMYFUNCTION("""COMPUTED_VALUE"""),"MX Keys S  Silencieux Graphite")</f>
        <v>MX Keys S  Silencieux Graphite</v>
      </c>
      <c r="E2673" t="str">
        <f>IFERROR(__xludf.DUMMYFUNCTION("""COMPUTED_VALUE"""),"LOGITECH")</f>
        <v>LOGITECH</v>
      </c>
      <c r="F2673" t="str">
        <f>IFERROR(__xludf.DUMMYFUNCTION("""COMPUTED_VALUE"""),"A")</f>
        <v>A</v>
      </c>
      <c r="G2673" t="str">
        <f>IFERROR(__xludf.DUMMYFUNCTION("""COMPUTED_VALUE"""),"AC")</f>
        <v>AC</v>
      </c>
      <c r="H2673">
        <f>IFERROR(__xludf.DUMMYFUNCTION("""COMPUTED_VALUE"""),119.0)</f>
        <v>119</v>
      </c>
      <c r="I2673">
        <f>IFERROR(__xludf.DUMMYFUNCTION("""COMPUTED_VALUE"""),119.0)</f>
        <v>119</v>
      </c>
      <c r="BD2673" s="2006"/>
      <c r="LL2673" s="2007"/>
      <c r="LM2673" s="2007"/>
      <c r="MX2673" s="2007"/>
      <c r="ND2673" s="2007"/>
    </row>
    <row r="2674">
      <c r="A2674">
        <f>IFERROR(__xludf.DUMMYFUNCTION("""COMPUTED_VALUE"""),1192237.0)</f>
        <v>1192237</v>
      </c>
      <c r="B2674">
        <f>IFERROR(__xludf.DUMMYFUNCTION("""COMPUTED_VALUE"""),2502015.0)</f>
        <v>2502015</v>
      </c>
      <c r="C2674" t="str">
        <f>IFERROR(__xludf.DUMMYFUNCTION("""COMPUTED_VALUE"""),"Clavier")</f>
        <v>Clavier</v>
      </c>
      <c r="D2674" t="str">
        <f>IFERROR(__xludf.DUMMYFUNCTION("""COMPUTED_VALUE"""),"MX Keys S Silencieux Pale Grey")</f>
        <v>MX Keys S Silencieux Pale Grey</v>
      </c>
      <c r="E2674" t="str">
        <f>IFERROR(__xludf.DUMMYFUNCTION("""COMPUTED_VALUE"""),"LOGITECH")</f>
        <v>LOGITECH</v>
      </c>
      <c r="F2674" t="str">
        <f>IFERROR(__xludf.DUMMYFUNCTION("""COMPUTED_VALUE"""),"H")</f>
        <v>H</v>
      </c>
      <c r="G2674" t="str">
        <f>IFERROR(__xludf.DUMMYFUNCTION("""COMPUTED_VALUE"""),"AC")</f>
        <v>AC</v>
      </c>
      <c r="H2674">
        <f>IFERROR(__xludf.DUMMYFUNCTION("""COMPUTED_VALUE"""),119.0)</f>
        <v>119</v>
      </c>
      <c r="I2674">
        <f>IFERROR(__xludf.DUMMYFUNCTION("""COMPUTED_VALUE"""),119.0)</f>
        <v>119</v>
      </c>
      <c r="BD2674" s="2006"/>
      <c r="LL2674" s="2007"/>
      <c r="LM2674" s="2007"/>
      <c r="MX2674" s="2007"/>
      <c r="ND2674" s="2007"/>
    </row>
    <row r="2675">
      <c r="A2675">
        <f>IFERROR(__xludf.DUMMYFUNCTION("""COMPUTED_VALUE"""),1192238.0)</f>
        <v>1192238</v>
      </c>
      <c r="B2675">
        <f>IFERROR(__xludf.DUMMYFUNCTION("""COMPUTED_VALUE"""),2502015.0)</f>
        <v>2502015</v>
      </c>
      <c r="C2675" t="str">
        <f>IFERROR(__xludf.DUMMYFUNCTION("""COMPUTED_VALUE"""),"Clavier+Souris")</f>
        <v>Clavier+Souris</v>
      </c>
      <c r="D2675" t="str">
        <f>IFERROR(__xludf.DUMMYFUNCTION("""COMPUTED_VALUE"""),"MX keys S avec repose poignet")</f>
        <v>MX keys S avec repose poignet</v>
      </c>
      <c r="E2675" t="str">
        <f>IFERROR(__xludf.DUMMYFUNCTION("""COMPUTED_VALUE"""),"LOGITECH")</f>
        <v>LOGITECH</v>
      </c>
      <c r="F2675" t="str">
        <f>IFERROR(__xludf.DUMMYFUNCTION("""COMPUTED_VALUE"""),"C")</f>
        <v>C</v>
      </c>
      <c r="G2675" t="str">
        <f>IFERROR(__xludf.DUMMYFUNCTION("""COMPUTED_VALUE"""),"AC")</f>
        <v>AC</v>
      </c>
      <c r="H2675">
        <f>IFERROR(__xludf.DUMMYFUNCTION("""COMPUTED_VALUE"""),219.0)</f>
        <v>219</v>
      </c>
      <c r="I2675">
        <f>IFERROR(__xludf.DUMMYFUNCTION("""COMPUTED_VALUE"""),219.0)</f>
        <v>219</v>
      </c>
      <c r="BD2675" s="2006"/>
      <c r="LL2675" s="2007"/>
      <c r="LM2675" s="2007"/>
      <c r="MX2675" s="2007"/>
      <c r="ND2675" s="2007"/>
    </row>
    <row r="2676">
      <c r="A2676">
        <f>IFERROR(__xludf.DUMMYFUNCTION("""COMPUTED_VALUE"""),1192239.0)</f>
        <v>1192239</v>
      </c>
      <c r="B2676">
        <f>IFERROR(__xludf.DUMMYFUNCTION("""COMPUTED_VALUE"""),2502010.0)</f>
        <v>2502010</v>
      </c>
      <c r="C2676" t="str">
        <f>IFERROR(__xludf.DUMMYFUNCTION("""COMPUTED_VALUE"""),"Souris")</f>
        <v>Souris</v>
      </c>
      <c r="D2676" t="str">
        <f>IFERROR(__xludf.DUMMYFUNCTION("""COMPUTED_VALUE"""),"MX anywhere 3S Silencieuse Graphite")</f>
        <v>MX anywhere 3S Silencieuse Graphite</v>
      </c>
      <c r="E2676" t="str">
        <f>IFERROR(__xludf.DUMMYFUNCTION("""COMPUTED_VALUE"""),"LOGITECH")</f>
        <v>LOGITECH</v>
      </c>
      <c r="F2676" t="str">
        <f>IFERROR(__xludf.DUMMYFUNCTION("""COMPUTED_VALUE"""),"A")</f>
        <v>A</v>
      </c>
      <c r="G2676" t="str">
        <f>IFERROR(__xludf.DUMMYFUNCTION("""COMPUTED_VALUE"""),"AC")</f>
        <v>AC</v>
      </c>
      <c r="H2676">
        <f>IFERROR(__xludf.DUMMYFUNCTION("""COMPUTED_VALUE"""),99.99)</f>
        <v>99.99</v>
      </c>
      <c r="I2676">
        <f>IFERROR(__xludf.DUMMYFUNCTION("""COMPUTED_VALUE"""),99.99)</f>
        <v>99.99</v>
      </c>
      <c r="BD2676" s="2006"/>
      <c r="LL2676" s="2007"/>
      <c r="LM2676" s="2007"/>
      <c r="MX2676" s="2007"/>
      <c r="ND2676" s="2007"/>
    </row>
    <row r="2677">
      <c r="A2677">
        <f>IFERROR(__xludf.DUMMYFUNCTION("""COMPUTED_VALUE"""),1192240.0)</f>
        <v>1192240</v>
      </c>
      <c r="B2677">
        <f>IFERROR(__xludf.DUMMYFUNCTION("""COMPUTED_VALUE"""),2502010.0)</f>
        <v>2502010</v>
      </c>
      <c r="C2677" t="str">
        <f>IFERROR(__xludf.DUMMYFUNCTION("""COMPUTED_VALUE"""),"Souris")</f>
        <v>Souris</v>
      </c>
      <c r="D2677" t="str">
        <f>IFERROR(__xludf.DUMMYFUNCTION("""COMPUTED_VALUE"""),"MX anywhere 3S Silencieuse Pale Grey")</f>
        <v>MX anywhere 3S Silencieuse Pale Grey</v>
      </c>
      <c r="E2677" t="str">
        <f>IFERROR(__xludf.DUMMYFUNCTION("""COMPUTED_VALUE"""),"LOGITECH")</f>
        <v>LOGITECH</v>
      </c>
      <c r="F2677" t="str">
        <f>IFERROR(__xludf.DUMMYFUNCTION("""COMPUTED_VALUE"""),"A")</f>
        <v>A</v>
      </c>
      <c r="G2677" t="str">
        <f>IFERROR(__xludf.DUMMYFUNCTION("""COMPUTED_VALUE"""),"AC")</f>
        <v>AC</v>
      </c>
      <c r="H2677">
        <f>IFERROR(__xludf.DUMMYFUNCTION("""COMPUTED_VALUE"""),99.0)</f>
        <v>99</v>
      </c>
      <c r="I2677">
        <f>IFERROR(__xludf.DUMMYFUNCTION("""COMPUTED_VALUE"""),99.0)</f>
        <v>99</v>
      </c>
      <c r="BD2677" s="2006"/>
      <c r="LL2677" s="2007"/>
      <c r="LM2677" s="2007"/>
      <c r="MX2677" s="2007"/>
      <c r="ND2677" s="2007"/>
    </row>
    <row r="2678">
      <c r="A2678">
        <f>IFERROR(__xludf.DUMMYFUNCTION("""COMPUTED_VALUE"""),1192241.0)</f>
        <v>1192241</v>
      </c>
      <c r="B2678">
        <f>IFERROR(__xludf.DUMMYFUNCTION("""COMPUTED_VALUE"""),2502010.0)</f>
        <v>2502010</v>
      </c>
      <c r="C2678" t="str">
        <f>IFERROR(__xludf.DUMMYFUNCTION("""COMPUTED_VALUE"""),"Souris")</f>
        <v>Souris</v>
      </c>
      <c r="D2678" t="str">
        <f>IFERROR(__xludf.DUMMYFUNCTION("""COMPUTED_VALUE"""),"MX anywhere 3S Silencieuse Rose")</f>
        <v>MX anywhere 3S Silencieuse Rose</v>
      </c>
      <c r="E2678" t="str">
        <f>IFERROR(__xludf.DUMMYFUNCTION("""COMPUTED_VALUE"""),"LOGITECH")</f>
        <v>LOGITECH</v>
      </c>
      <c r="F2678" t="str">
        <f>IFERROR(__xludf.DUMMYFUNCTION("""COMPUTED_VALUE"""),"H")</f>
        <v>H</v>
      </c>
      <c r="G2678" t="str">
        <f>IFERROR(__xludf.DUMMYFUNCTION("""COMPUTED_VALUE"""),"NN")</f>
        <v>NN</v>
      </c>
      <c r="H2678">
        <f>IFERROR(__xludf.DUMMYFUNCTION("""COMPUTED_VALUE"""),99.0)</f>
        <v>99</v>
      </c>
      <c r="I2678">
        <f>IFERROR(__xludf.DUMMYFUNCTION("""COMPUTED_VALUE"""),99.0)</f>
        <v>99</v>
      </c>
      <c r="BD2678" s="2006"/>
      <c r="LL2678" s="2007"/>
      <c r="LM2678" s="2007"/>
      <c r="MX2678" s="2007"/>
      <c r="ND2678" s="2007"/>
    </row>
    <row r="2679">
      <c r="A2679">
        <f>IFERROR(__xludf.DUMMYFUNCTION("""COMPUTED_VALUE"""),1192463.0)</f>
        <v>1192463</v>
      </c>
      <c r="B2679">
        <f>IFERROR(__xludf.DUMMYFUNCTION("""COMPUTED_VALUE"""),2202010.0)</f>
        <v>2202010</v>
      </c>
      <c r="C2679" t="str">
        <f>IFERROR(__xludf.DUMMYFUNCTION("""COMPUTED_VALUE"""),"Multi Jet d'enc")</f>
        <v>Multi Jet d'enc</v>
      </c>
      <c r="D2679" t="str">
        <f>IFERROR(__xludf.DUMMYFUNCTION("""COMPUTED_VALUE"""),"EcoTank ET-5170")</f>
        <v>EcoTank ET-5170</v>
      </c>
      <c r="E2679" t="str">
        <f>IFERROR(__xludf.DUMMYFUNCTION("""COMPUTED_VALUE"""),"EPSON")</f>
        <v>EPSON</v>
      </c>
      <c r="F2679" t="str">
        <f>IFERROR(__xludf.DUMMYFUNCTION("""COMPUTED_VALUE"""),"C")</f>
        <v>C</v>
      </c>
      <c r="G2679" t="str">
        <f>IFERROR(__xludf.DUMMYFUNCTION("""COMPUTED_VALUE"""),"AC")</f>
        <v>AC</v>
      </c>
      <c r="H2679">
        <f>IFERROR(__xludf.DUMMYFUNCTION("""COMPUTED_VALUE"""),549.09)</f>
        <v>549.09</v>
      </c>
      <c r="I2679">
        <f>IFERROR(__xludf.DUMMYFUNCTION("""COMPUTED_VALUE"""),499.99)</f>
        <v>499.99</v>
      </c>
      <c r="BD2679" s="2006"/>
      <c r="LL2679" s="2007"/>
      <c r="LM2679" s="2007"/>
      <c r="MX2679" s="2007"/>
      <c r="ND2679" s="2007"/>
    </row>
    <row r="2680">
      <c r="A2680">
        <f>IFERROR(__xludf.DUMMYFUNCTION("""COMPUTED_VALUE"""),1192628.0)</f>
        <v>1192628</v>
      </c>
      <c r="B2680">
        <f>IFERROR(__xludf.DUMMYFUNCTION("""COMPUTED_VALUE"""),2502045.0)</f>
        <v>2502045</v>
      </c>
      <c r="C2680" t="str">
        <f>IFERROR(__xludf.DUMMYFUNCTION("""COMPUTED_VALUE"""),"Reconditionné")</f>
        <v>Reconditionné</v>
      </c>
      <c r="D2680" t="str">
        <f>IFERROR(__xludf.DUMMYFUNCTION("""COMPUTED_VALUE"""),"Magic Mouse")</f>
        <v>Magic Mouse</v>
      </c>
      <c r="E2680" t="str">
        <f>IFERROR(__xludf.DUMMYFUNCTION("""COMPUTED_VALUE"""),"APPLE")</f>
        <v>APPLE</v>
      </c>
      <c r="F2680" t="str">
        <f>IFERROR(__xludf.DUMMYFUNCTION("""COMPUTED_VALUE"""),"H")</f>
        <v>H</v>
      </c>
      <c r="G2680" t="str">
        <f>IFERROR(__xludf.DUMMYFUNCTION("""COMPUTED_VALUE"""),"AC")</f>
        <v>AC</v>
      </c>
      <c r="H2680">
        <f>IFERROR(__xludf.DUMMYFUNCTION("""COMPUTED_VALUE"""),49.9)</f>
        <v>49.9</v>
      </c>
      <c r="I2680">
        <f>IFERROR(__xludf.DUMMYFUNCTION("""COMPUTED_VALUE"""),49.9)</f>
        <v>49.9</v>
      </c>
      <c r="BD2680" s="2006"/>
      <c r="LM2680" s="2007"/>
      <c r="MX2680" s="2007"/>
      <c r="ND2680" s="2007"/>
    </row>
    <row r="2681">
      <c r="A2681">
        <f>IFERROR(__xludf.DUMMYFUNCTION("""COMPUTED_VALUE"""),1192629.0)</f>
        <v>1192629</v>
      </c>
      <c r="B2681">
        <f>IFERROR(__xludf.DUMMYFUNCTION("""COMPUTED_VALUE"""),2502045.0)</f>
        <v>2502045</v>
      </c>
      <c r="C2681" t="str">
        <f>IFERROR(__xludf.DUMMYFUNCTION("""COMPUTED_VALUE"""),"Reconditionné")</f>
        <v>Reconditionné</v>
      </c>
      <c r="D2681" t="str">
        <f>IFERROR(__xludf.DUMMYFUNCTION("""COMPUTED_VALUE"""),"Magic Mouse 2")</f>
        <v>Magic Mouse 2</v>
      </c>
      <c r="E2681" t="str">
        <f>IFERROR(__xludf.DUMMYFUNCTION("""COMPUTED_VALUE"""),"APPLE")</f>
        <v>APPLE</v>
      </c>
      <c r="F2681" t="str">
        <f>IFERROR(__xludf.DUMMYFUNCTION("""COMPUTED_VALUE"""),"H")</f>
        <v>H</v>
      </c>
      <c r="G2681" t="str">
        <f>IFERROR(__xludf.DUMMYFUNCTION("""COMPUTED_VALUE"""),"AC")</f>
        <v>AC</v>
      </c>
      <c r="H2681">
        <f>IFERROR(__xludf.DUMMYFUNCTION("""COMPUTED_VALUE"""),70.76)</f>
        <v>70.76</v>
      </c>
      <c r="I2681">
        <f>IFERROR(__xludf.DUMMYFUNCTION("""COMPUTED_VALUE"""),70.76)</f>
        <v>70.76</v>
      </c>
      <c r="BD2681" s="2006"/>
      <c r="LL2681" s="2007"/>
      <c r="LM2681" s="2007"/>
      <c r="MX2681" s="2007"/>
      <c r="ND2681" s="2007"/>
    </row>
    <row r="2682">
      <c r="A2682">
        <f>IFERROR(__xludf.DUMMYFUNCTION("""COMPUTED_VALUE"""),1192630.0)</f>
        <v>1192630</v>
      </c>
      <c r="B2682">
        <f>IFERROR(__xludf.DUMMYFUNCTION("""COMPUTED_VALUE"""),2502050.0)</f>
        <v>2502050</v>
      </c>
      <c r="C2682" t="str">
        <f>IFERROR(__xludf.DUMMYFUNCTION("""COMPUTED_VALUE"""),"Reconditionné")</f>
        <v>Reconditionné</v>
      </c>
      <c r="D2682" t="str">
        <f>IFERROR(__xludf.DUMMYFUNCTION("""COMPUTED_VALUE"""),"Magic Keyboard AZERTY")</f>
        <v>Magic Keyboard AZERTY</v>
      </c>
      <c r="E2682" t="str">
        <f>IFERROR(__xludf.DUMMYFUNCTION("""COMPUTED_VALUE"""),"APPLE")</f>
        <v>APPLE</v>
      </c>
      <c r="F2682" t="str">
        <f>IFERROR(__xludf.DUMMYFUNCTION("""COMPUTED_VALUE"""),"H")</f>
        <v>H</v>
      </c>
      <c r="G2682" t="str">
        <f>IFERROR(__xludf.DUMMYFUNCTION("""COMPUTED_VALUE"""),"AC")</f>
        <v>AC</v>
      </c>
      <c r="H2682">
        <f>IFERROR(__xludf.DUMMYFUNCTION("""COMPUTED_VALUE"""),89.9)</f>
        <v>89.9</v>
      </c>
      <c r="I2682">
        <f>IFERROR(__xludf.DUMMYFUNCTION("""COMPUTED_VALUE"""),89.9)</f>
        <v>89.9</v>
      </c>
      <c r="BD2682" s="2006"/>
      <c r="LL2682" s="2007"/>
      <c r="LM2682" s="2007"/>
      <c r="MX2682" s="2007"/>
      <c r="ND2682" s="2007"/>
    </row>
    <row r="2683">
      <c r="A2683">
        <f>IFERROR(__xludf.DUMMYFUNCTION("""COMPUTED_VALUE"""),1192641.0)</f>
        <v>1192641</v>
      </c>
      <c r="B2683">
        <f>IFERROR(__xludf.DUMMYFUNCTION("""COMPUTED_VALUE"""),2502050.0)</f>
        <v>2502050</v>
      </c>
      <c r="C2683" t="str">
        <f>IFERROR(__xludf.DUMMYFUNCTION("""COMPUTED_VALUE"""),"Reconditionné")</f>
        <v>Reconditionné</v>
      </c>
      <c r="D2683" t="str">
        <f>IFERROR(__xludf.DUMMYFUNCTION("""COMPUTED_VALUE"""),"Magic Keyboard avec pavé")</f>
        <v>Magic Keyboard avec pavé</v>
      </c>
      <c r="E2683" t="str">
        <f>IFERROR(__xludf.DUMMYFUNCTION("""COMPUTED_VALUE"""),"APPLE")</f>
        <v>APPLE</v>
      </c>
      <c r="F2683" t="str">
        <f>IFERROR(__xludf.DUMMYFUNCTION("""COMPUTED_VALUE"""),"W")</f>
        <v>W</v>
      </c>
      <c r="G2683" t="str">
        <f>IFERROR(__xludf.DUMMYFUNCTION("""COMPUTED_VALUE"""),"AC")</f>
        <v>AC</v>
      </c>
      <c r="H2683">
        <f>IFERROR(__xludf.DUMMYFUNCTION("""COMPUTED_VALUE"""),119.9)</f>
        <v>119.9</v>
      </c>
      <c r="I2683">
        <f>IFERROR(__xludf.DUMMYFUNCTION("""COMPUTED_VALUE"""),119.9)</f>
        <v>119.9</v>
      </c>
      <c r="BD2683" s="2006"/>
      <c r="LL2683" s="2007"/>
      <c r="LM2683" s="2007"/>
      <c r="MX2683" s="2007"/>
      <c r="ND2683" s="2007"/>
    </row>
    <row r="2684">
      <c r="A2684">
        <f>IFERROR(__xludf.DUMMYFUNCTION("""COMPUTED_VALUE"""),1192773.0)</f>
        <v>1192773</v>
      </c>
      <c r="B2684">
        <f>IFERROR(__xludf.DUMMYFUNCTION("""COMPUTED_VALUE"""),2403005.0)</f>
        <v>2403005</v>
      </c>
      <c r="C2684" t="str">
        <f>IFERROR(__xludf.DUMMYFUNCTION("""COMPUTED_VALUE"""),"Cartouche")</f>
        <v>Cartouche</v>
      </c>
      <c r="D2684" t="str">
        <f>IFERROR(__xludf.DUMMYFUNCTION("""COMPUTED_VALUE"""),"Ecotank bouteille 114 noire pigment")</f>
        <v>Ecotank bouteille 114 noire pigment</v>
      </c>
      <c r="E2684" t="str">
        <f>IFERROR(__xludf.DUMMYFUNCTION("""COMPUTED_VALUE"""),"EPSON")</f>
        <v>EPSON</v>
      </c>
      <c r="F2684" t="str">
        <f>IFERROR(__xludf.DUMMYFUNCTION("""COMPUTED_VALUE"""),"H")</f>
        <v>H</v>
      </c>
      <c r="G2684" t="str">
        <f>IFERROR(__xludf.DUMMYFUNCTION("""COMPUTED_VALUE"""),"AC")</f>
        <v>AC</v>
      </c>
      <c r="H2684">
        <f>IFERROR(__xludf.DUMMYFUNCTION("""COMPUTED_VALUE"""),17.99)</f>
        <v>17.99</v>
      </c>
      <c r="I2684">
        <f>IFERROR(__xludf.DUMMYFUNCTION("""COMPUTED_VALUE"""),17.99)</f>
        <v>17.99</v>
      </c>
      <c r="BD2684" s="2006"/>
      <c r="LL2684" s="2007"/>
      <c r="LM2684" s="2007"/>
      <c r="MX2684" s="2007"/>
      <c r="ND2684" s="2007"/>
    </row>
    <row r="2685">
      <c r="A2685">
        <f>IFERROR(__xludf.DUMMYFUNCTION("""COMPUTED_VALUE"""),1193048.0)</f>
        <v>1193048</v>
      </c>
      <c r="B2685">
        <f>IFERROR(__xludf.DUMMYFUNCTION("""COMPUTED_VALUE"""),2403005.0)</f>
        <v>2403005</v>
      </c>
      <c r="C2685" t="str">
        <f>IFERROR(__xludf.DUMMYFUNCTION("""COMPUTED_VALUE"""),"Cartouche")</f>
        <v>Cartouche</v>
      </c>
      <c r="D2685" t="str">
        <f>IFERROR(__xludf.DUMMYFUNCTION("""COMPUTED_VALUE"""),"PG-575 noir")</f>
        <v>PG-575 noir</v>
      </c>
      <c r="E2685" t="str">
        <f>IFERROR(__xludf.DUMMYFUNCTION("""COMPUTED_VALUE"""),"CANON")</f>
        <v>CANON</v>
      </c>
      <c r="F2685" t="str">
        <f>IFERROR(__xludf.DUMMYFUNCTION("""COMPUTED_VALUE"""),"A")</f>
        <v>A</v>
      </c>
      <c r="G2685" t="str">
        <f>IFERROR(__xludf.DUMMYFUNCTION("""COMPUTED_VALUE"""),"AC")</f>
        <v>AC</v>
      </c>
      <c r="H2685">
        <f>IFERROR(__xludf.DUMMYFUNCTION("""COMPUTED_VALUE"""),15.49)</f>
        <v>15.49</v>
      </c>
      <c r="I2685">
        <f>IFERROR(__xludf.DUMMYFUNCTION("""COMPUTED_VALUE"""),15.49)</f>
        <v>15.49</v>
      </c>
      <c r="BD2685" s="2006"/>
      <c r="LL2685" s="2007"/>
      <c r="LM2685" s="2007"/>
      <c r="MX2685" s="2007"/>
      <c r="ND2685" s="2007"/>
    </row>
    <row r="2686">
      <c r="A2686">
        <f>IFERROR(__xludf.DUMMYFUNCTION("""COMPUTED_VALUE"""),1193050.0)</f>
        <v>1193050</v>
      </c>
      <c r="B2686">
        <f>IFERROR(__xludf.DUMMYFUNCTION("""COMPUTED_VALUE"""),2403005.0)</f>
        <v>2403005</v>
      </c>
      <c r="C2686" t="str">
        <f>IFERROR(__xludf.DUMMYFUNCTION("""COMPUTED_VALUE"""),"Cartouche")</f>
        <v>Cartouche</v>
      </c>
      <c r="D2686" t="str">
        <f>IFERROR(__xludf.DUMMYFUNCTION("""COMPUTED_VALUE"""),"CL-576 couleur")</f>
        <v>CL-576 couleur</v>
      </c>
      <c r="E2686" t="str">
        <f>IFERROR(__xludf.DUMMYFUNCTION("""COMPUTED_VALUE"""),"CANON")</f>
        <v>CANON</v>
      </c>
      <c r="F2686" t="str">
        <f>IFERROR(__xludf.DUMMYFUNCTION("""COMPUTED_VALUE"""),"A")</f>
        <v>A</v>
      </c>
      <c r="G2686" t="str">
        <f>IFERROR(__xludf.DUMMYFUNCTION("""COMPUTED_VALUE"""),"AC")</f>
        <v>AC</v>
      </c>
      <c r="H2686">
        <f>IFERROR(__xludf.DUMMYFUNCTION("""COMPUTED_VALUE"""),15.49)</f>
        <v>15.49</v>
      </c>
      <c r="I2686">
        <f>IFERROR(__xludf.DUMMYFUNCTION("""COMPUTED_VALUE"""),15.49)</f>
        <v>15.49</v>
      </c>
      <c r="BD2686" s="2006"/>
      <c r="LL2686" s="2007"/>
      <c r="LM2686" s="2007"/>
      <c r="MX2686" s="2007"/>
      <c r="ND2686" s="2007"/>
    </row>
    <row r="2687">
      <c r="A2687">
        <f>IFERROR(__xludf.DUMMYFUNCTION("""COMPUTED_VALUE"""),1193072.0)</f>
        <v>1193072</v>
      </c>
      <c r="B2687">
        <f>IFERROR(__xludf.DUMMYFUNCTION("""COMPUTED_VALUE"""),2403005.0)</f>
        <v>2403005</v>
      </c>
      <c r="C2687" t="str">
        <f>IFERROR(__xludf.DUMMYFUNCTION("""COMPUTED_VALUE"""),"Cartouche")</f>
        <v>Cartouche</v>
      </c>
      <c r="D2687" t="str">
        <f>IFERROR(__xludf.DUMMYFUNCTION("""COMPUTED_VALUE"""),"PG-575 XL noir")</f>
        <v>PG-575 XL noir</v>
      </c>
      <c r="E2687" t="str">
        <f>IFERROR(__xludf.DUMMYFUNCTION("""COMPUTED_VALUE"""),"CANON")</f>
        <v>CANON</v>
      </c>
      <c r="F2687" t="str">
        <f>IFERROR(__xludf.DUMMYFUNCTION("""COMPUTED_VALUE"""),"A")</f>
        <v>A</v>
      </c>
      <c r="G2687" t="str">
        <f>IFERROR(__xludf.DUMMYFUNCTION("""COMPUTED_VALUE"""),"AC")</f>
        <v>AC</v>
      </c>
      <c r="H2687">
        <f>IFERROR(__xludf.DUMMYFUNCTION("""COMPUTED_VALUE"""),30.49)</f>
        <v>30.49</v>
      </c>
      <c r="I2687">
        <f>IFERROR(__xludf.DUMMYFUNCTION("""COMPUTED_VALUE"""),30.49)</f>
        <v>30.49</v>
      </c>
      <c r="BD2687" s="2006"/>
      <c r="LL2687" s="2007"/>
      <c r="LM2687" s="2007"/>
      <c r="MX2687" s="2007"/>
      <c r="ND2687" s="2007"/>
    </row>
    <row r="2688">
      <c r="A2688">
        <f>IFERROR(__xludf.DUMMYFUNCTION("""COMPUTED_VALUE"""),1193073.0)</f>
        <v>1193073</v>
      </c>
      <c r="B2688">
        <f>IFERROR(__xludf.DUMMYFUNCTION("""COMPUTED_VALUE"""),2403005.0)</f>
        <v>2403005</v>
      </c>
      <c r="C2688" t="str">
        <f>IFERROR(__xludf.DUMMYFUNCTION("""COMPUTED_VALUE"""),"Cartouche")</f>
        <v>Cartouche</v>
      </c>
      <c r="D2688" t="str">
        <f>IFERROR(__xludf.DUMMYFUNCTION("""COMPUTED_VALUE"""),"PG-576 XL couleur")</f>
        <v>PG-576 XL couleur</v>
      </c>
      <c r="E2688" t="str">
        <f>IFERROR(__xludf.DUMMYFUNCTION("""COMPUTED_VALUE"""),"CANON")</f>
        <v>CANON</v>
      </c>
      <c r="F2688" t="str">
        <f>IFERROR(__xludf.DUMMYFUNCTION("""COMPUTED_VALUE"""),"H")</f>
        <v>H</v>
      </c>
      <c r="G2688" t="str">
        <f>IFERROR(__xludf.DUMMYFUNCTION("""COMPUTED_VALUE"""),"AC")</f>
        <v>AC</v>
      </c>
      <c r="H2688">
        <f>IFERROR(__xludf.DUMMYFUNCTION("""COMPUTED_VALUE"""),30.49)</f>
        <v>30.49</v>
      </c>
      <c r="I2688">
        <f>IFERROR(__xludf.DUMMYFUNCTION("""COMPUTED_VALUE"""),30.49)</f>
        <v>30.49</v>
      </c>
      <c r="BD2688" s="2006"/>
      <c r="LL2688" s="2007"/>
      <c r="LM2688" s="2007"/>
      <c r="MX2688" s="2007"/>
      <c r="ND2688" s="2007"/>
    </row>
    <row r="2689">
      <c r="A2689">
        <f>IFERROR(__xludf.DUMMYFUNCTION("""COMPUTED_VALUE"""),1193118.0)</f>
        <v>1193118</v>
      </c>
      <c r="B2689">
        <f>IFERROR(__xludf.DUMMYFUNCTION("""COMPUTED_VALUE"""),1103010.0)</f>
        <v>1103010</v>
      </c>
      <c r="C2689" t="str">
        <f>IFERROR(__xludf.DUMMYFUNCTION("""COMPUTED_VALUE"""),"Tél.Rép.")</f>
        <v>Tél.Rép.</v>
      </c>
      <c r="D2689" t="str">
        <f>IFERROR(__xludf.DUMMYFUNCTION("""COMPUTED_VALUE"""),"F860 Voice Grey")</f>
        <v>F860 Voice Grey</v>
      </c>
      <c r="E2689" t="str">
        <f>IFERROR(__xludf.DUMMYFUNCTION("""COMPUTED_VALUE"""),"ALCATEL")</f>
        <v>ALCATEL</v>
      </c>
      <c r="F2689" t="str">
        <f>IFERROR(__xludf.DUMMYFUNCTION("""COMPUTED_VALUE"""),"W")</f>
        <v>W</v>
      </c>
      <c r="G2689" t="str">
        <f>IFERROR(__xludf.DUMMYFUNCTION("""COMPUTED_VALUE"""),"AC")</f>
        <v>AC</v>
      </c>
      <c r="H2689">
        <f>IFERROR(__xludf.DUMMYFUNCTION("""COMPUTED_VALUE"""),39.99)</f>
        <v>39.99</v>
      </c>
      <c r="I2689">
        <f>IFERROR(__xludf.DUMMYFUNCTION("""COMPUTED_VALUE"""),39.99)</f>
        <v>39.99</v>
      </c>
      <c r="BD2689" s="2006"/>
      <c r="LL2689" s="2007"/>
      <c r="LM2689" s="2007"/>
      <c r="MX2689" s="2007"/>
      <c r="ND2689" s="2007"/>
    </row>
    <row r="2690">
      <c r="A2690">
        <f>IFERROR(__xludf.DUMMYFUNCTION("""COMPUTED_VALUE"""),1193119.0)</f>
        <v>1193119</v>
      </c>
      <c r="B2690">
        <f>IFERROR(__xludf.DUMMYFUNCTION("""COMPUTED_VALUE"""),1103010.0)</f>
        <v>1103010</v>
      </c>
      <c r="C2690" t="str">
        <f>IFERROR(__xludf.DUMMYFUNCTION("""COMPUTED_VALUE"""),"Tél.Rép.")</f>
        <v>Tél.Rép.</v>
      </c>
      <c r="D2690" t="str">
        <f>IFERROR(__xludf.DUMMYFUNCTION("""COMPUTED_VALUE"""),"F860 Voice Noir")</f>
        <v>F860 Voice Noir</v>
      </c>
      <c r="E2690" t="str">
        <f>IFERROR(__xludf.DUMMYFUNCTION("""COMPUTED_VALUE"""),"ALCATEL")</f>
        <v>ALCATEL</v>
      </c>
      <c r="F2690" t="str">
        <f>IFERROR(__xludf.DUMMYFUNCTION("""COMPUTED_VALUE"""),"W")</f>
        <v>W</v>
      </c>
      <c r="G2690" t="str">
        <f>IFERROR(__xludf.DUMMYFUNCTION("""COMPUTED_VALUE"""),"AC")</f>
        <v>AC</v>
      </c>
      <c r="H2690">
        <f>IFERROR(__xludf.DUMMYFUNCTION("""COMPUTED_VALUE"""),39.99)</f>
        <v>39.99</v>
      </c>
      <c r="I2690">
        <f>IFERROR(__xludf.DUMMYFUNCTION("""COMPUTED_VALUE"""),39.99)</f>
        <v>39.99</v>
      </c>
      <c r="BD2690" s="2006"/>
      <c r="LL2690" s="2007"/>
      <c r="LM2690" s="2007"/>
      <c r="MX2690" s="2007"/>
      <c r="ND2690" s="2007"/>
    </row>
    <row r="2691">
      <c r="A2691">
        <f>IFERROR(__xludf.DUMMYFUNCTION("""COMPUTED_VALUE"""),1193120.0)</f>
        <v>1193120</v>
      </c>
      <c r="B2691">
        <f>IFERROR(__xludf.DUMMYFUNCTION("""COMPUTED_VALUE"""),1103010.0)</f>
        <v>1103010</v>
      </c>
      <c r="C2691" t="str">
        <f>IFERROR(__xludf.DUMMYFUNCTION("""COMPUTED_VALUE"""),"Tél.Rép.")</f>
        <v>Tél.Rép.</v>
      </c>
      <c r="D2691" t="str">
        <f>IFERROR(__xludf.DUMMYFUNCTION("""COMPUTED_VALUE"""),"F860 Voice duo grey")</f>
        <v>F860 Voice duo grey</v>
      </c>
      <c r="E2691" t="str">
        <f>IFERROR(__xludf.DUMMYFUNCTION("""COMPUTED_VALUE"""),"ALCATEL")</f>
        <v>ALCATEL</v>
      </c>
      <c r="F2691" t="str">
        <f>IFERROR(__xludf.DUMMYFUNCTION("""COMPUTED_VALUE"""),"W")</f>
        <v>W</v>
      </c>
      <c r="G2691" t="str">
        <f>IFERROR(__xludf.DUMMYFUNCTION("""COMPUTED_VALUE"""),"AC")</f>
        <v>AC</v>
      </c>
      <c r="H2691">
        <f>IFERROR(__xludf.DUMMYFUNCTION("""COMPUTED_VALUE"""),59.99)</f>
        <v>59.99</v>
      </c>
      <c r="I2691">
        <f>IFERROR(__xludf.DUMMYFUNCTION("""COMPUTED_VALUE"""),59.99)</f>
        <v>59.99</v>
      </c>
      <c r="BD2691" s="2006"/>
      <c r="LL2691" s="2007"/>
      <c r="LM2691" s="2007"/>
      <c r="MX2691" s="2007"/>
      <c r="ND2691" s="2007"/>
    </row>
    <row r="2692">
      <c r="A2692">
        <f>IFERROR(__xludf.DUMMYFUNCTION("""COMPUTED_VALUE"""),1193230.0)</f>
        <v>1193230</v>
      </c>
      <c r="B2692">
        <f>IFERROR(__xludf.DUMMYFUNCTION("""COMPUTED_VALUE"""),2502024.0)</f>
        <v>2502024</v>
      </c>
      <c r="C2692" t="str">
        <f>IFERROR(__xludf.DUMMYFUNCTION("""COMPUTED_VALUE"""),"Stylet")</f>
        <v>Stylet</v>
      </c>
      <c r="D2692" t="str">
        <f>IFERROR(__xludf.DUMMYFUNCTION("""COMPUTED_VALUE"""),"S Pen Noir")</f>
        <v>S Pen Noir</v>
      </c>
      <c r="E2692" t="str">
        <f>IFERROR(__xludf.DUMMYFUNCTION("""COMPUTED_VALUE"""),"SAMSUNG")</f>
        <v>SAMSUNG</v>
      </c>
      <c r="F2692" t="str">
        <f>IFERROR(__xludf.DUMMYFUNCTION("""COMPUTED_VALUE"""),"H")</f>
        <v>H</v>
      </c>
      <c r="G2692" t="str">
        <f>IFERROR(__xludf.DUMMYFUNCTION("""COMPUTED_VALUE"""),"AC")</f>
        <v>AC</v>
      </c>
      <c r="H2692">
        <f>IFERROR(__xludf.DUMMYFUNCTION("""COMPUTED_VALUE"""),64.9)</f>
        <v>64.9</v>
      </c>
      <c r="I2692">
        <f>IFERROR(__xludf.DUMMYFUNCTION("""COMPUTED_VALUE"""),64.9)</f>
        <v>64.9</v>
      </c>
      <c r="BD2692" s="2006"/>
      <c r="LL2692" s="2007"/>
      <c r="LM2692" s="2007"/>
      <c r="MX2692" s="2007"/>
      <c r="ND2692" s="2007"/>
    </row>
    <row r="2693">
      <c r="A2693">
        <f>IFERROR(__xludf.DUMMYFUNCTION("""COMPUTED_VALUE"""),1193231.0)</f>
        <v>1193231</v>
      </c>
      <c r="B2693">
        <f>IFERROR(__xludf.DUMMYFUNCTION("""COMPUTED_VALUE"""),2502024.0)</f>
        <v>2502024</v>
      </c>
      <c r="C2693" t="str">
        <f>IFERROR(__xludf.DUMMYFUNCTION("""COMPUTED_VALUE"""),"Stylet")</f>
        <v>Stylet</v>
      </c>
      <c r="D2693" t="str">
        <f>IFERROR(__xludf.DUMMYFUNCTION("""COMPUTED_VALUE"""),"S Pen beige")</f>
        <v>S Pen beige</v>
      </c>
      <c r="E2693" t="str">
        <f>IFERROR(__xludf.DUMMYFUNCTION("""COMPUTED_VALUE"""),"SAMSUNG")</f>
        <v>SAMSUNG</v>
      </c>
      <c r="F2693" t="str">
        <f>IFERROR(__xludf.DUMMYFUNCTION("""COMPUTED_VALUE"""),"H")</f>
        <v>H</v>
      </c>
      <c r="G2693" t="str">
        <f>IFERROR(__xludf.DUMMYFUNCTION("""COMPUTED_VALUE"""),"AC")</f>
        <v>AC</v>
      </c>
      <c r="H2693">
        <f>IFERROR(__xludf.DUMMYFUNCTION("""COMPUTED_VALUE"""),64.9)</f>
        <v>64.9</v>
      </c>
      <c r="I2693">
        <f>IFERROR(__xludf.DUMMYFUNCTION("""COMPUTED_VALUE"""),55.0)</f>
        <v>55</v>
      </c>
      <c r="BD2693" s="2006"/>
      <c r="LL2693" s="2007"/>
      <c r="LM2693" s="2007"/>
      <c r="MX2693" s="2007"/>
      <c r="ND2693" s="2007"/>
    </row>
    <row r="2694">
      <c r="A2694">
        <f>IFERROR(__xludf.DUMMYFUNCTION("""COMPUTED_VALUE"""),1193351.0)</f>
        <v>1193351</v>
      </c>
      <c r="B2694">
        <f>IFERROR(__xludf.DUMMYFUNCTION("""COMPUTED_VALUE"""),2502010.0)</f>
        <v>2502010</v>
      </c>
      <c r="C2694" t="str">
        <f>IFERROR(__xludf.DUMMYFUNCTION("""COMPUTED_VALUE"""),"Souris")</f>
        <v>Souris</v>
      </c>
      <c r="D2694" t="str">
        <f>IFERROR(__xludf.DUMMYFUNCTION("""COMPUTED_VALUE"""),"M185 Swift Grey EER2")</f>
        <v>M185 Swift Grey EER2</v>
      </c>
      <c r="E2694" t="str">
        <f>IFERROR(__xludf.DUMMYFUNCTION("""COMPUTED_VALUE"""),"LOGITECH")</f>
        <v>LOGITECH</v>
      </c>
      <c r="F2694" t="str">
        <f>IFERROR(__xludf.DUMMYFUNCTION("""COMPUTED_VALUE"""),"A")</f>
        <v>A</v>
      </c>
      <c r="G2694" t="str">
        <f>IFERROR(__xludf.DUMMYFUNCTION("""COMPUTED_VALUE"""),"FF")</f>
        <v>FF</v>
      </c>
      <c r="H2694">
        <f>IFERROR(__xludf.DUMMYFUNCTION("""COMPUTED_VALUE"""),14.99)</f>
        <v>14.99</v>
      </c>
      <c r="I2694">
        <f>IFERROR(__xludf.DUMMYFUNCTION("""COMPUTED_VALUE"""),14.99)</f>
        <v>14.99</v>
      </c>
      <c r="BD2694" s="2006"/>
      <c r="LL2694" s="2008"/>
      <c r="LM2694" s="2007"/>
      <c r="MX2694" s="2007"/>
      <c r="ND2694" s="2008"/>
    </row>
    <row r="2695">
      <c r="A2695">
        <f>IFERROR(__xludf.DUMMYFUNCTION("""COMPUTED_VALUE"""),1193522.0)</f>
        <v>1193522</v>
      </c>
      <c r="B2695">
        <f>IFERROR(__xludf.DUMMYFUNCTION("""COMPUTED_VALUE"""),2202010.0)</f>
        <v>2202010</v>
      </c>
      <c r="C2695" t="str">
        <f>IFERROR(__xludf.DUMMYFUNCTION("""COMPUTED_VALUE"""),"Multi Jet d'enc")</f>
        <v>Multi Jet d'enc</v>
      </c>
      <c r="D2695" t="str">
        <f>IFERROR(__xludf.DUMMYFUNCTION("""COMPUTED_VALUE"""),"EcoTank ET-2810")</f>
        <v>EcoTank ET-2810</v>
      </c>
      <c r="E2695" t="str">
        <f>IFERROR(__xludf.DUMMYFUNCTION("""COMPUTED_VALUE"""),"EPSON")</f>
        <v>EPSON</v>
      </c>
      <c r="F2695" t="str">
        <f>IFERROR(__xludf.DUMMYFUNCTION("""COMPUTED_VALUE"""),"H")</f>
        <v>H</v>
      </c>
      <c r="G2695" t="str">
        <f>IFERROR(__xludf.DUMMYFUNCTION("""COMPUTED_VALUE"""),"AC")</f>
        <v>AC</v>
      </c>
      <c r="H2695">
        <f>IFERROR(__xludf.DUMMYFUNCTION("""COMPUTED_VALUE"""),199.99)</f>
        <v>199.99</v>
      </c>
      <c r="I2695">
        <f>IFERROR(__xludf.DUMMYFUNCTION("""COMPUTED_VALUE"""),199.99)</f>
        <v>199.99</v>
      </c>
      <c r="BD2695" s="2006"/>
      <c r="LL2695" s="2008"/>
      <c r="LM2695" s="2007"/>
      <c r="MX2695" s="2007"/>
      <c r="ND2695" s="2008"/>
    </row>
    <row r="2696">
      <c r="A2696">
        <f>IFERROR(__xludf.DUMMYFUNCTION("""COMPUTED_VALUE"""),1193523.0)</f>
        <v>1193523</v>
      </c>
      <c r="B2696">
        <f>IFERROR(__xludf.DUMMYFUNCTION("""COMPUTED_VALUE"""),2202010.0)</f>
        <v>2202010</v>
      </c>
      <c r="C2696" t="str">
        <f>IFERROR(__xludf.DUMMYFUNCTION("""COMPUTED_VALUE"""),"Multi Jet d'enc")</f>
        <v>Multi Jet d'enc</v>
      </c>
      <c r="D2696" t="str">
        <f>IFERROR(__xludf.DUMMYFUNCTION("""COMPUTED_VALUE"""),"EcoTank ET-2821")</f>
        <v>EcoTank ET-2821</v>
      </c>
      <c r="E2696" t="str">
        <f>IFERROR(__xludf.DUMMYFUNCTION("""COMPUTED_VALUE"""),"EPSON")</f>
        <v>EPSON</v>
      </c>
      <c r="F2696" t="str">
        <f>IFERROR(__xludf.DUMMYFUNCTION("""COMPUTED_VALUE"""),"H")</f>
        <v>H</v>
      </c>
      <c r="G2696" t="str">
        <f>IFERROR(__xludf.DUMMYFUNCTION("""COMPUTED_VALUE"""),"AC")</f>
        <v>AC</v>
      </c>
      <c r="H2696">
        <f>IFERROR(__xludf.DUMMYFUNCTION("""COMPUTED_VALUE"""),229.99)</f>
        <v>229.99</v>
      </c>
      <c r="I2696">
        <f>IFERROR(__xludf.DUMMYFUNCTION("""COMPUTED_VALUE"""),229.99)</f>
        <v>229.99</v>
      </c>
      <c r="BD2696" s="2006"/>
      <c r="LL2696" s="2007"/>
      <c r="LM2696" s="2007"/>
      <c r="MX2696" s="2007"/>
      <c r="ND2696" s="2007"/>
    </row>
    <row r="2697">
      <c r="A2697">
        <f>IFERROR(__xludf.DUMMYFUNCTION("""COMPUTED_VALUE"""),1193524.0)</f>
        <v>1193524</v>
      </c>
      <c r="B2697">
        <f>IFERROR(__xludf.DUMMYFUNCTION("""COMPUTED_VALUE"""),2202010.0)</f>
        <v>2202010</v>
      </c>
      <c r="C2697" t="str">
        <f>IFERROR(__xludf.DUMMYFUNCTION("""COMPUTED_VALUE"""),"Multi Jet d'enc")</f>
        <v>Multi Jet d'enc</v>
      </c>
      <c r="D2697" t="str">
        <f>IFERROR(__xludf.DUMMYFUNCTION("""COMPUTED_VALUE"""),"EcoTank ET-2856")</f>
        <v>EcoTank ET-2856</v>
      </c>
      <c r="E2697" t="str">
        <f>IFERROR(__xludf.DUMMYFUNCTION("""COMPUTED_VALUE"""),"EPSON")</f>
        <v>EPSON</v>
      </c>
      <c r="F2697" t="str">
        <f>IFERROR(__xludf.DUMMYFUNCTION("""COMPUTED_VALUE"""),"H")</f>
        <v>H</v>
      </c>
      <c r="G2697" t="str">
        <f>IFERROR(__xludf.DUMMYFUNCTION("""COMPUTED_VALUE"""),"AC")</f>
        <v>AC</v>
      </c>
      <c r="H2697">
        <f>IFERROR(__xludf.DUMMYFUNCTION("""COMPUTED_VALUE"""),299.99)</f>
        <v>299.99</v>
      </c>
      <c r="I2697">
        <f>IFERROR(__xludf.DUMMYFUNCTION("""COMPUTED_VALUE"""),255.0)</f>
        <v>255</v>
      </c>
      <c r="BD2697" s="2006"/>
      <c r="LL2697" s="2007"/>
      <c r="LM2697" s="2007"/>
      <c r="MX2697" s="2007"/>
      <c r="ND2697" s="2007"/>
    </row>
    <row r="2698">
      <c r="A2698">
        <f>IFERROR(__xludf.DUMMYFUNCTION("""COMPUTED_VALUE"""),1193822.0)</f>
        <v>1193822</v>
      </c>
      <c r="B2698">
        <f>IFERROR(__xludf.DUMMYFUNCTION("""COMPUTED_VALUE"""),2202005.0)</f>
        <v>2202005</v>
      </c>
      <c r="C2698" t="str">
        <f>IFERROR(__xludf.DUMMYFUNCTION("""COMPUTED_VALUE"""),"Lot")</f>
        <v>Lot</v>
      </c>
      <c r="D2698" t="str">
        <f>IFERROR(__xludf.DUMMYFUNCTION("""COMPUTED_VALUE"""),"OJ Pro 7740 + Pack HP 953")</f>
        <v>OJ Pro 7740 + Pack HP 953</v>
      </c>
      <c r="E2698" t="str">
        <f>IFERROR(__xludf.DUMMYFUNCTION("""COMPUTED_VALUE"""),"HP")</f>
        <v>HP</v>
      </c>
      <c r="F2698" t="str">
        <f>IFERROR(__xludf.DUMMYFUNCTION("""COMPUTED_VALUE"""),"H")</f>
        <v>H</v>
      </c>
      <c r="G2698" t="str">
        <f>IFERROR(__xludf.DUMMYFUNCTION("""COMPUTED_VALUE"""),"AC")</f>
        <v>AC</v>
      </c>
      <c r="H2698">
        <f>IFERROR(__xludf.DUMMYFUNCTION("""COMPUTED_VALUE"""),472.3)</f>
        <v>472.3</v>
      </c>
      <c r="I2698">
        <f>IFERROR(__xludf.DUMMYFUNCTION("""COMPUTED_VALUE"""),472.3)</f>
        <v>472.3</v>
      </c>
      <c r="LL2698" s="2007"/>
      <c r="LM2698" s="2007"/>
    </row>
    <row r="2699">
      <c r="A2699">
        <f>IFERROR(__xludf.DUMMYFUNCTION("""COMPUTED_VALUE"""),1193874.0)</f>
        <v>1193874</v>
      </c>
      <c r="B2699">
        <f>IFERROR(__xludf.DUMMYFUNCTION("""COMPUTED_VALUE"""),2202005.0)</f>
        <v>2202005</v>
      </c>
      <c r="C2699" t="str">
        <f>IFERROR(__xludf.DUMMYFUNCTION("""COMPUTED_VALUE"""),"Lot")</f>
        <v>Lot</v>
      </c>
      <c r="D2699" t="str">
        <f>IFERROR(__xludf.DUMMYFUNCTION("""COMPUTED_VALUE"""),"MG 3650s + cartouche noir et couleur")</f>
        <v>MG 3650s + cartouche noir et couleur</v>
      </c>
      <c r="E2699" t="str">
        <f>IFERROR(__xludf.DUMMYFUNCTION("""COMPUTED_VALUE"""),"CANON")</f>
        <v>CANON</v>
      </c>
      <c r="F2699" t="str">
        <f>IFERROR(__xludf.DUMMYFUNCTION("""COMPUTED_VALUE"""),"H")</f>
        <v>H</v>
      </c>
      <c r="G2699" t="str">
        <f>IFERROR(__xludf.DUMMYFUNCTION("""COMPUTED_VALUE"""),"AC")</f>
        <v>AC</v>
      </c>
      <c r="H2699">
        <f>IFERROR(__xludf.DUMMYFUNCTION("""COMPUTED_VALUE"""),109.29)</f>
        <v>109.29</v>
      </c>
      <c r="I2699">
        <f>IFERROR(__xludf.DUMMYFUNCTION("""COMPUTED_VALUE"""),109.29)</f>
        <v>109.29</v>
      </c>
      <c r="BD2699" s="2006"/>
      <c r="LL2699" s="2007"/>
      <c r="LM2699" s="2007"/>
      <c r="MX2699" s="2007"/>
      <c r="ND2699" s="2007"/>
    </row>
    <row r="2700">
      <c r="A2700">
        <f>IFERROR(__xludf.DUMMYFUNCTION("""COMPUTED_VALUE"""),1193876.0)</f>
        <v>1193876</v>
      </c>
      <c r="B2700">
        <f>IFERROR(__xludf.DUMMYFUNCTION("""COMPUTED_VALUE"""),2202005.0)</f>
        <v>2202005</v>
      </c>
      <c r="C2700" t="str">
        <f>IFERROR(__xludf.DUMMYFUNCTION("""COMPUTED_VALUE"""),"Lot")</f>
        <v>Lot</v>
      </c>
      <c r="D2700" t="str">
        <f>IFERROR(__xludf.DUMMYFUNCTION("""COMPUTED_VALUE"""),"Workforce WF-7835DTFW + pack 405")</f>
        <v>Workforce WF-7835DTFW + pack 405</v>
      </c>
      <c r="E2700" t="str">
        <f>IFERROR(__xludf.DUMMYFUNCTION("""COMPUTED_VALUE"""),"EPSON")</f>
        <v>EPSON</v>
      </c>
      <c r="F2700" t="str">
        <f>IFERROR(__xludf.DUMMYFUNCTION("""COMPUTED_VALUE"""),"H")</f>
        <v>H</v>
      </c>
      <c r="G2700" t="str">
        <f>IFERROR(__xludf.DUMMYFUNCTION("""COMPUTED_VALUE"""),"AC")</f>
        <v>AC</v>
      </c>
      <c r="H2700">
        <f>IFERROR(__xludf.DUMMYFUNCTION("""COMPUTED_VALUE"""),323.08)</f>
        <v>323.08</v>
      </c>
      <c r="I2700">
        <f>IFERROR(__xludf.DUMMYFUNCTION("""COMPUTED_VALUE"""),323.08)</f>
        <v>323.08</v>
      </c>
      <c r="BD2700" s="2006"/>
      <c r="LL2700" s="2007"/>
      <c r="LM2700" s="2007"/>
      <c r="MX2700" s="2007"/>
      <c r="ND2700" s="2007"/>
    </row>
    <row r="2701">
      <c r="A2701">
        <f>IFERROR(__xludf.DUMMYFUNCTION("""COMPUTED_VALUE"""),1193877.0)</f>
        <v>1193877</v>
      </c>
      <c r="B2701">
        <f>IFERROR(__xludf.DUMMYFUNCTION("""COMPUTED_VALUE"""),2202005.0)</f>
        <v>2202005</v>
      </c>
      <c r="C2701" t="str">
        <f>IFERROR(__xludf.DUMMYFUNCTION("""COMPUTED_VALUE"""),"Lot")</f>
        <v>Lot</v>
      </c>
      <c r="D2701" t="str">
        <f>IFERROR(__xludf.DUMMYFUNCTION("""COMPUTED_VALUE"""),"TS 3551l + cartouche noire PG 575 XL")</f>
        <v>TS 3551l + cartouche noire PG 575 XL</v>
      </c>
      <c r="E2701" t="str">
        <f>IFERROR(__xludf.DUMMYFUNCTION("""COMPUTED_VALUE"""),"CANON")</f>
        <v>CANON</v>
      </c>
      <c r="F2701" t="str">
        <f>IFERROR(__xludf.DUMMYFUNCTION("""COMPUTED_VALUE"""),"H")</f>
        <v>H</v>
      </c>
      <c r="G2701" t="str">
        <f>IFERROR(__xludf.DUMMYFUNCTION("""COMPUTED_VALUE"""),"AC")</f>
        <v>AC</v>
      </c>
      <c r="H2701">
        <f>IFERROR(__xludf.DUMMYFUNCTION("""COMPUTED_VALUE"""),85.98)</f>
        <v>85.98</v>
      </c>
      <c r="I2701">
        <f>IFERROR(__xludf.DUMMYFUNCTION("""COMPUTED_VALUE"""),85.98)</f>
        <v>85.98</v>
      </c>
      <c r="BD2701" s="2006"/>
      <c r="LL2701" s="2007"/>
      <c r="LM2701" s="2007"/>
      <c r="MX2701" s="2007"/>
      <c r="ND2701" s="2007"/>
    </row>
    <row r="2702">
      <c r="A2702">
        <f>IFERROR(__xludf.DUMMYFUNCTION("""COMPUTED_VALUE"""),1193878.0)</f>
        <v>1193878</v>
      </c>
      <c r="B2702">
        <f>IFERROR(__xludf.DUMMYFUNCTION("""COMPUTED_VALUE"""),2202005.0)</f>
        <v>2202005</v>
      </c>
      <c r="C2702" t="str">
        <f>IFERROR(__xludf.DUMMYFUNCTION("""COMPUTED_VALUE"""),"Lot")</f>
        <v>Lot</v>
      </c>
      <c r="D2702" t="str">
        <f>IFERROR(__xludf.DUMMYFUNCTION("""COMPUTED_VALUE"""),"TS 3551i + cartouche noire PG 575")</f>
        <v>TS 3551i + cartouche noire PG 575</v>
      </c>
      <c r="E2702" t="str">
        <f>IFERROR(__xludf.DUMMYFUNCTION("""COMPUTED_VALUE"""),"CANON")</f>
        <v>CANON</v>
      </c>
      <c r="F2702" t="str">
        <f>IFERROR(__xludf.DUMMYFUNCTION("""COMPUTED_VALUE"""),"H")</f>
        <v>H</v>
      </c>
      <c r="G2702" t="str">
        <f>IFERROR(__xludf.DUMMYFUNCTION("""COMPUTED_VALUE"""),"AC")</f>
        <v>AC</v>
      </c>
      <c r="H2702">
        <f>IFERROR(__xludf.DUMMYFUNCTION("""COMPUTED_VALUE"""),71.73)</f>
        <v>71.73</v>
      </c>
      <c r="I2702">
        <f>IFERROR(__xludf.DUMMYFUNCTION("""COMPUTED_VALUE"""),71.73)</f>
        <v>71.73</v>
      </c>
      <c r="BD2702" s="2006"/>
      <c r="LL2702" s="2007"/>
      <c r="LM2702" s="2007"/>
      <c r="MX2702" s="2007"/>
      <c r="ND2702" s="2007"/>
    </row>
    <row r="2703">
      <c r="A2703">
        <f>IFERROR(__xludf.DUMMYFUNCTION("""COMPUTED_VALUE"""),1193879.0)</f>
        <v>1193879</v>
      </c>
      <c r="B2703">
        <f>IFERROR(__xludf.DUMMYFUNCTION("""COMPUTED_VALUE"""),2202010.0)</f>
        <v>2202010</v>
      </c>
      <c r="C2703" t="str">
        <f>IFERROR(__xludf.DUMMYFUNCTION("""COMPUTED_VALUE"""),"Lot")</f>
        <v>Lot</v>
      </c>
      <c r="D2703" t="str">
        <f>IFERROR(__xludf.DUMMYFUNCTION("""COMPUTED_VALUE"""),"ET 15000 + Bouteille 102 noir")</f>
        <v>ET 15000 + Bouteille 102 noir</v>
      </c>
      <c r="E2703" t="str">
        <f>IFERROR(__xludf.DUMMYFUNCTION("""COMPUTED_VALUE"""),"EPSON")</f>
        <v>EPSON</v>
      </c>
      <c r="F2703" t="str">
        <f>IFERROR(__xludf.DUMMYFUNCTION("""COMPUTED_VALUE"""),"H")</f>
        <v>H</v>
      </c>
      <c r="G2703" t="str">
        <f>IFERROR(__xludf.DUMMYFUNCTION("""COMPUTED_VALUE"""),"AC")</f>
        <v>AC</v>
      </c>
      <c r="H2703">
        <f>IFERROR(__xludf.DUMMYFUNCTION("""COMPUTED_VALUE"""),632.72)</f>
        <v>632.72</v>
      </c>
      <c r="I2703">
        <f>IFERROR(__xludf.DUMMYFUNCTION("""COMPUTED_VALUE"""),613.72)</f>
        <v>613.72</v>
      </c>
      <c r="BD2703" s="2006"/>
      <c r="LL2703" s="2007"/>
      <c r="LM2703" s="2007"/>
      <c r="MX2703" s="2007"/>
      <c r="ND2703" s="2007"/>
    </row>
    <row r="2704">
      <c r="A2704">
        <f>IFERROR(__xludf.DUMMYFUNCTION("""COMPUTED_VALUE"""),1193880.0)</f>
        <v>1193880</v>
      </c>
      <c r="B2704">
        <f>IFERROR(__xludf.DUMMYFUNCTION("""COMPUTED_VALUE"""),2202010.0)</f>
        <v>2202010</v>
      </c>
      <c r="C2704" t="str">
        <f>IFERROR(__xludf.DUMMYFUNCTION("""COMPUTED_VALUE"""),"Lot")</f>
        <v>Lot</v>
      </c>
      <c r="D2704" t="str">
        <f>IFERROR(__xludf.DUMMYFUNCTION("""COMPUTED_VALUE"""),"ET 15000 + Bouteille serie 102")</f>
        <v>ET 15000 + Bouteille serie 102</v>
      </c>
      <c r="E2704" t="str">
        <f>IFERROR(__xludf.DUMMYFUNCTION("""COMPUTED_VALUE"""),"EPSON")</f>
        <v>EPSON</v>
      </c>
      <c r="F2704" t="str">
        <f>IFERROR(__xludf.DUMMYFUNCTION("""COMPUTED_VALUE"""),"H")</f>
        <v>H</v>
      </c>
      <c r="G2704" t="str">
        <f>IFERROR(__xludf.DUMMYFUNCTION("""COMPUTED_VALUE"""),"AC")</f>
        <v>AC</v>
      </c>
      <c r="H2704">
        <f>IFERROR(__xludf.DUMMYFUNCTION("""COMPUTED_VALUE"""),661.22)</f>
        <v>661.22</v>
      </c>
      <c r="I2704">
        <f>IFERROR(__xludf.DUMMYFUNCTION("""COMPUTED_VALUE"""),642.22)</f>
        <v>642.22</v>
      </c>
      <c r="BD2704" s="2006"/>
      <c r="LL2704" s="2007"/>
      <c r="LM2704" s="2007"/>
      <c r="MX2704" s="2008"/>
      <c r="ND2704" s="2007"/>
    </row>
    <row r="2705">
      <c r="A2705">
        <f>IFERROR(__xludf.DUMMYFUNCTION("""COMPUTED_VALUE"""),1193901.0)</f>
        <v>1193901</v>
      </c>
      <c r="B2705">
        <f>IFERROR(__xludf.DUMMYFUNCTION("""COMPUTED_VALUE"""),2202005.0)</f>
        <v>2202005</v>
      </c>
      <c r="C2705" t="str">
        <f>IFERROR(__xludf.DUMMYFUNCTION("""COMPUTED_VALUE"""),"Lot")</f>
        <v>Lot</v>
      </c>
      <c r="D2705" t="str">
        <f>IFERROR(__xludf.DUMMYFUNCTION("""COMPUTED_VALUE"""),"TS 6351a+Pack cartouche noir et couleurs")</f>
        <v>TS 6351a+Pack cartouche noir et couleurs</v>
      </c>
      <c r="E2705" t="str">
        <f>IFERROR(__xludf.DUMMYFUNCTION("""COMPUTED_VALUE"""),"CANON")</f>
        <v>CANON</v>
      </c>
      <c r="F2705" t="str">
        <f>IFERROR(__xludf.DUMMYFUNCTION("""COMPUTED_VALUE"""),"H")</f>
        <v>H</v>
      </c>
      <c r="G2705" t="str">
        <f>IFERROR(__xludf.DUMMYFUNCTION("""COMPUTED_VALUE"""),"AC")</f>
        <v>AC</v>
      </c>
      <c r="H2705">
        <f>IFERROR(__xludf.DUMMYFUNCTION("""COMPUTED_VALUE"""),180.53)</f>
        <v>180.53</v>
      </c>
      <c r="I2705">
        <f>IFERROR(__xludf.DUMMYFUNCTION("""COMPUTED_VALUE"""),180.53)</f>
        <v>180.53</v>
      </c>
      <c r="BD2705" s="2006"/>
      <c r="LL2705" s="2007"/>
      <c r="LM2705" s="2007"/>
      <c r="MX2705" s="2007"/>
      <c r="ND2705" s="2007"/>
    </row>
    <row r="2706">
      <c r="A2706">
        <f>IFERROR(__xludf.DUMMYFUNCTION("""COMPUTED_VALUE"""),1193902.0)</f>
        <v>1193902</v>
      </c>
      <c r="B2706">
        <f>IFERROR(__xludf.DUMMYFUNCTION("""COMPUTED_VALUE"""),2202005.0)</f>
        <v>2202005</v>
      </c>
      <c r="C2706" t="str">
        <f>IFERROR(__xludf.DUMMYFUNCTION("""COMPUTED_VALUE"""),"Lot")</f>
        <v>Lot</v>
      </c>
      <c r="D2706" t="str">
        <f>IFERROR(__xludf.DUMMYFUNCTION("""COMPUTED_VALUE"""),"6030e + cartouche 305 noir")</f>
        <v>6030e + cartouche 305 noir</v>
      </c>
      <c r="E2706" t="str">
        <f>IFERROR(__xludf.DUMMYFUNCTION("""COMPUTED_VALUE"""),"HP")</f>
        <v>HP</v>
      </c>
      <c r="F2706" t="str">
        <f>IFERROR(__xludf.DUMMYFUNCTION("""COMPUTED_VALUE"""),"H")</f>
        <v>H</v>
      </c>
      <c r="G2706" t="str">
        <f>IFERROR(__xludf.DUMMYFUNCTION("""COMPUTED_VALUE"""),"NN")</f>
        <v>NN</v>
      </c>
      <c r="H2706">
        <f>IFERROR(__xludf.DUMMYFUNCTION("""COMPUTED_VALUE"""),110.23)</f>
        <v>110.23</v>
      </c>
      <c r="I2706">
        <f>IFERROR(__xludf.DUMMYFUNCTION("""COMPUTED_VALUE"""),110.23)</f>
        <v>110.23</v>
      </c>
      <c r="BD2706" s="2006"/>
      <c r="LL2706" s="2007"/>
      <c r="LM2706" s="2007"/>
      <c r="MX2706" s="2007"/>
      <c r="ND2706" s="2007"/>
    </row>
    <row r="2707">
      <c r="A2707">
        <f>IFERROR(__xludf.DUMMYFUNCTION("""COMPUTED_VALUE"""),1193903.0)</f>
        <v>1193903</v>
      </c>
      <c r="B2707">
        <f>IFERROR(__xludf.DUMMYFUNCTION("""COMPUTED_VALUE"""),2202005.0)</f>
        <v>2202005</v>
      </c>
      <c r="C2707" t="str">
        <f>IFERROR(__xludf.DUMMYFUNCTION("""COMPUTED_VALUE"""),"Lot")</f>
        <v>Lot</v>
      </c>
      <c r="D2707" t="str">
        <f>IFERROR(__xludf.DUMMYFUNCTION("""COMPUTED_VALUE"""),"7740 + cartouche 953 noir")</f>
        <v>7740 + cartouche 953 noir</v>
      </c>
      <c r="E2707" t="str">
        <f>IFERROR(__xludf.DUMMYFUNCTION("""COMPUTED_VALUE"""),"HP")</f>
        <v>HP</v>
      </c>
      <c r="F2707" t="str">
        <f>IFERROR(__xludf.DUMMYFUNCTION("""COMPUTED_VALUE"""),"H")</f>
        <v>H</v>
      </c>
      <c r="G2707" t="str">
        <f>IFERROR(__xludf.DUMMYFUNCTION("""COMPUTED_VALUE"""),"AC")</f>
        <v>AC</v>
      </c>
      <c r="H2707">
        <f>IFERROR(__xludf.DUMMYFUNCTION("""COMPUTED_VALUE"""),392.42)</f>
        <v>392.42</v>
      </c>
      <c r="I2707">
        <f>IFERROR(__xludf.DUMMYFUNCTION("""COMPUTED_VALUE"""),392.42)</f>
        <v>392.42</v>
      </c>
      <c r="LL2707" s="2007"/>
      <c r="LM2707" s="2007"/>
      <c r="MX2707" s="2007"/>
      <c r="ND2707" s="2007"/>
    </row>
    <row r="2708">
      <c r="A2708">
        <f>IFERROR(__xludf.DUMMYFUNCTION("""COMPUTED_VALUE"""),1193904.0)</f>
        <v>1193904</v>
      </c>
      <c r="B2708">
        <f>IFERROR(__xludf.DUMMYFUNCTION("""COMPUTED_VALUE"""),2202005.0)</f>
        <v>2202005</v>
      </c>
      <c r="C2708" t="str">
        <f>IFERROR(__xludf.DUMMYFUNCTION("""COMPUTED_VALUE"""),"Lot")</f>
        <v>Lot</v>
      </c>
      <c r="D2708" t="str">
        <f>IFERROR(__xludf.DUMMYFUNCTION("""COMPUTED_VALUE"""),"7740 + cartouche noir XL")</f>
        <v>7740 + cartouche noir XL</v>
      </c>
      <c r="E2708" t="str">
        <f>IFERROR(__xludf.DUMMYFUNCTION("""COMPUTED_VALUE"""),"HP")</f>
        <v>HP</v>
      </c>
      <c r="F2708" t="str">
        <f>IFERROR(__xludf.DUMMYFUNCTION("""COMPUTED_VALUE"""),"H")</f>
        <v>H</v>
      </c>
      <c r="G2708" t="str">
        <f>IFERROR(__xludf.DUMMYFUNCTION("""COMPUTED_VALUE"""),"AC")</f>
        <v>AC</v>
      </c>
      <c r="H2708">
        <f>IFERROR(__xludf.DUMMYFUNCTION("""COMPUTED_VALUE"""),412.37)</f>
        <v>412.37</v>
      </c>
      <c r="I2708">
        <f>IFERROR(__xludf.DUMMYFUNCTION("""COMPUTED_VALUE"""),412.37)</f>
        <v>412.37</v>
      </c>
      <c r="LL2708" s="2007"/>
      <c r="LM2708" s="2007"/>
      <c r="MX2708" s="2007"/>
      <c r="ND2708" s="2007"/>
    </row>
    <row r="2709">
      <c r="A2709">
        <f>IFERROR(__xludf.DUMMYFUNCTION("""COMPUTED_VALUE"""),1193905.0)</f>
        <v>1193905</v>
      </c>
      <c r="B2709">
        <f>IFERROR(__xludf.DUMMYFUNCTION("""COMPUTED_VALUE"""),2202005.0)</f>
        <v>2202005</v>
      </c>
      <c r="C2709" t="str">
        <f>IFERROR(__xludf.DUMMYFUNCTION("""COMPUTED_VALUE"""),"Lot")</f>
        <v>Lot</v>
      </c>
      <c r="D2709" t="str">
        <f>IFERROR(__xludf.DUMMYFUNCTION("""COMPUTED_VALUE"""),"2721e + cartouche noir")</f>
        <v>2721e + cartouche noir</v>
      </c>
      <c r="E2709" t="str">
        <f>IFERROR(__xludf.DUMMYFUNCTION("""COMPUTED_VALUE"""),"HP")</f>
        <v>HP</v>
      </c>
      <c r="F2709" t="str">
        <f>IFERROR(__xludf.DUMMYFUNCTION("""COMPUTED_VALUE"""),"H")</f>
        <v>H</v>
      </c>
      <c r="G2709" t="str">
        <f>IFERROR(__xludf.DUMMYFUNCTION("""COMPUTED_VALUE"""),"AC")</f>
        <v>AC</v>
      </c>
      <c r="H2709">
        <f>IFERROR(__xludf.DUMMYFUNCTION("""COMPUTED_VALUE"""),72.21)</f>
        <v>72.21</v>
      </c>
      <c r="I2709">
        <f>IFERROR(__xludf.DUMMYFUNCTION("""COMPUTED_VALUE"""),72.21)</f>
        <v>72.21</v>
      </c>
      <c r="LL2709" s="2007"/>
      <c r="LM2709" s="2007"/>
      <c r="MX2709" s="2007"/>
      <c r="ND2709" s="2007"/>
    </row>
    <row r="2710">
      <c r="A2710">
        <f>IFERROR(__xludf.DUMMYFUNCTION("""COMPUTED_VALUE"""),1193906.0)</f>
        <v>1193906</v>
      </c>
      <c r="B2710">
        <f>IFERROR(__xludf.DUMMYFUNCTION("""COMPUTED_VALUE"""),2202010.0)</f>
        <v>2202010</v>
      </c>
      <c r="C2710" t="str">
        <f>IFERROR(__xludf.DUMMYFUNCTION("""COMPUTED_VALUE"""),"Lot")</f>
        <v>Lot</v>
      </c>
      <c r="D2710" t="str">
        <f>IFERROR(__xludf.DUMMYFUNCTION("""COMPUTED_VALUE"""),"5106 + bouteille 32 noir XL")</f>
        <v>5106 + bouteille 32 noir XL</v>
      </c>
      <c r="E2710" t="str">
        <f>IFERROR(__xludf.DUMMYFUNCTION("""COMPUTED_VALUE"""),"HP")</f>
        <v>HP</v>
      </c>
      <c r="F2710" t="str">
        <f>IFERROR(__xludf.DUMMYFUNCTION("""COMPUTED_VALUE"""),"H")</f>
        <v>H</v>
      </c>
      <c r="G2710" t="str">
        <f>IFERROR(__xludf.DUMMYFUNCTION("""COMPUTED_VALUE"""),"AC")</f>
        <v>AC</v>
      </c>
      <c r="H2710">
        <f>IFERROR(__xludf.DUMMYFUNCTION("""COMPUTED_VALUE"""),251.78)</f>
        <v>251.78</v>
      </c>
      <c r="I2710">
        <f>IFERROR(__xludf.DUMMYFUNCTION("""COMPUTED_VALUE"""),251.78)</f>
        <v>251.78</v>
      </c>
      <c r="LL2710" s="2007"/>
      <c r="LM2710" s="2007"/>
      <c r="MX2710" s="2007"/>
      <c r="ND2710" s="2007"/>
    </row>
    <row r="2711">
      <c r="A2711">
        <f>IFERROR(__xludf.DUMMYFUNCTION("""COMPUTED_VALUE"""),1193907.0)</f>
        <v>1193907</v>
      </c>
      <c r="B2711">
        <f>IFERROR(__xludf.DUMMYFUNCTION("""COMPUTED_VALUE"""),2202005.0)</f>
        <v>2202005</v>
      </c>
      <c r="C2711" t="str">
        <f>IFERROR(__xludf.DUMMYFUNCTION("""COMPUTED_VALUE"""),"Lot")</f>
        <v>Lot</v>
      </c>
      <c r="D2711" t="str">
        <f>IFERROR(__xludf.DUMMYFUNCTION("""COMPUTED_VALUE"""),"XP2205+lot de cartouche noir et couleurs")</f>
        <v>XP2205+lot de cartouche noir et couleurs</v>
      </c>
      <c r="E2711" t="str">
        <f>IFERROR(__xludf.DUMMYFUNCTION("""COMPUTED_VALUE"""),"EPSON")</f>
        <v>EPSON</v>
      </c>
      <c r="F2711" t="str">
        <f>IFERROR(__xludf.DUMMYFUNCTION("""COMPUTED_VALUE"""),"H")</f>
        <v>H</v>
      </c>
      <c r="G2711" t="str">
        <f>IFERROR(__xludf.DUMMYFUNCTION("""COMPUTED_VALUE"""),"AC")</f>
        <v>AC</v>
      </c>
      <c r="H2711">
        <f>IFERROR(__xludf.DUMMYFUNCTION("""COMPUTED_VALUE"""),98.82)</f>
        <v>98.82</v>
      </c>
      <c r="I2711">
        <f>IFERROR(__xludf.DUMMYFUNCTION("""COMPUTED_VALUE"""),89.32)</f>
        <v>89.32</v>
      </c>
      <c r="LL2711" s="2007"/>
      <c r="LM2711" s="2007"/>
      <c r="MX2711" s="2007"/>
      <c r="ND2711" s="2007"/>
    </row>
    <row r="2712">
      <c r="A2712">
        <f>IFERROR(__xludf.DUMMYFUNCTION("""COMPUTED_VALUE"""),1193908.0)</f>
        <v>1193908</v>
      </c>
      <c r="B2712">
        <f>IFERROR(__xludf.DUMMYFUNCTION("""COMPUTED_VALUE"""),2202005.0)</f>
        <v>2202005</v>
      </c>
      <c r="C2712" t="str">
        <f>IFERROR(__xludf.DUMMYFUNCTION("""COMPUTED_VALUE"""),"Lot")</f>
        <v>Lot</v>
      </c>
      <c r="D2712" t="str">
        <f>IFERROR(__xludf.DUMMYFUNCTION("""COMPUTED_VALUE"""),"XP 4205 + cartouche noir et couleurs")</f>
        <v>XP 4205 + cartouche noir et couleurs</v>
      </c>
      <c r="E2712" t="str">
        <f>IFERROR(__xludf.DUMMYFUNCTION("""COMPUTED_VALUE"""),"EPSON")</f>
        <v>EPSON</v>
      </c>
      <c r="F2712" t="str">
        <f>IFERROR(__xludf.DUMMYFUNCTION("""COMPUTED_VALUE"""),"H")</f>
        <v>H</v>
      </c>
      <c r="G2712" t="str">
        <f>IFERROR(__xludf.DUMMYFUNCTION("""COMPUTED_VALUE"""),"AC")</f>
        <v>AC</v>
      </c>
      <c r="H2712">
        <f>IFERROR(__xludf.DUMMYFUNCTION("""COMPUTED_VALUE"""),136.82)</f>
        <v>136.82</v>
      </c>
      <c r="I2712">
        <f>IFERROR(__xludf.DUMMYFUNCTION("""COMPUTED_VALUE"""),136.82)</f>
        <v>136.82</v>
      </c>
      <c r="LL2712" s="2007"/>
      <c r="LM2712" s="2007"/>
      <c r="MX2712" s="2007"/>
      <c r="ND2712" s="2007"/>
    </row>
    <row r="2713">
      <c r="A2713">
        <f>IFERROR(__xludf.DUMMYFUNCTION("""COMPUTED_VALUE"""),1193909.0)</f>
        <v>1193909</v>
      </c>
      <c r="B2713">
        <f>IFERROR(__xludf.DUMMYFUNCTION("""COMPUTED_VALUE"""),2202005.0)</f>
        <v>2202005</v>
      </c>
      <c r="C2713" t="str">
        <f>IFERROR(__xludf.DUMMYFUNCTION("""COMPUTED_VALUE"""),"Lot")</f>
        <v>Lot</v>
      </c>
      <c r="D2713" t="str">
        <f>IFERROR(__xludf.DUMMYFUNCTION("""COMPUTED_VALUE"""),"WF 2950DWF + cartouche noir et couleurs")</f>
        <v>WF 2950DWF + cartouche noir et couleurs</v>
      </c>
      <c r="E2713" t="str">
        <f>IFERROR(__xludf.DUMMYFUNCTION("""COMPUTED_VALUE"""),"EPSON")</f>
        <v>EPSON</v>
      </c>
      <c r="F2713" t="str">
        <f>IFERROR(__xludf.DUMMYFUNCTION("""COMPUTED_VALUE"""),"H")</f>
        <v>H</v>
      </c>
      <c r="G2713" t="str">
        <f>IFERROR(__xludf.DUMMYFUNCTION("""COMPUTED_VALUE"""),"AC")</f>
        <v>AC</v>
      </c>
      <c r="H2713">
        <f>IFERROR(__xludf.DUMMYFUNCTION("""COMPUTED_VALUE"""),155.84)</f>
        <v>155.84</v>
      </c>
      <c r="I2713">
        <f>IFERROR(__xludf.DUMMYFUNCTION("""COMPUTED_VALUE"""),136.84)</f>
        <v>136.84</v>
      </c>
      <c r="BD2713" s="2006"/>
      <c r="LL2713" s="2008"/>
      <c r="LM2713" s="2007"/>
      <c r="MX2713" s="2007"/>
      <c r="ND2713" s="2007"/>
    </row>
    <row r="2714">
      <c r="A2714">
        <f>IFERROR(__xludf.DUMMYFUNCTION("""COMPUTED_VALUE"""),1193910.0)</f>
        <v>1193910</v>
      </c>
      <c r="B2714">
        <f>IFERROR(__xludf.DUMMYFUNCTION("""COMPUTED_VALUE"""),2202005.0)</f>
        <v>2202005</v>
      </c>
      <c r="C2714" t="str">
        <f>IFERROR(__xludf.DUMMYFUNCTION("""COMPUTED_VALUE"""),"Lot")</f>
        <v>Lot</v>
      </c>
      <c r="D2714" t="str">
        <f>IFERROR(__xludf.DUMMYFUNCTION("""COMPUTED_VALUE"""),"WF 2950DWF + 604 Noir")</f>
        <v>WF 2950DWF + 604 Noir</v>
      </c>
      <c r="E2714" t="str">
        <f>IFERROR(__xludf.DUMMYFUNCTION("""COMPUTED_VALUE"""),"EPSON")</f>
        <v>EPSON</v>
      </c>
      <c r="F2714" t="str">
        <f>IFERROR(__xludf.DUMMYFUNCTION("""COMPUTED_VALUE"""),"H")</f>
        <v>H</v>
      </c>
      <c r="G2714" t="str">
        <f>IFERROR(__xludf.DUMMYFUNCTION("""COMPUTED_VALUE"""),"AC")</f>
        <v>AC</v>
      </c>
      <c r="H2714">
        <f>IFERROR(__xludf.DUMMYFUNCTION("""COMPUTED_VALUE"""),130.18)</f>
        <v>130.18</v>
      </c>
      <c r="I2714">
        <f>IFERROR(__xludf.DUMMYFUNCTION("""COMPUTED_VALUE"""),111.18)</f>
        <v>111.18</v>
      </c>
      <c r="BD2714" s="2006"/>
      <c r="LL2714" s="2007"/>
      <c r="LM2714" s="2007"/>
      <c r="MX2714" s="2007"/>
      <c r="ND2714" s="2007"/>
    </row>
    <row r="2715">
      <c r="A2715">
        <f>IFERROR(__xludf.DUMMYFUNCTION("""COMPUTED_VALUE"""),1193911.0)</f>
        <v>1193911</v>
      </c>
      <c r="B2715">
        <f>IFERROR(__xludf.DUMMYFUNCTION("""COMPUTED_VALUE"""),2202010.0)</f>
        <v>2202010</v>
      </c>
      <c r="C2715" t="str">
        <f>IFERROR(__xludf.DUMMYFUNCTION("""COMPUTED_VALUE"""),"Lot")</f>
        <v>Lot</v>
      </c>
      <c r="D2715" t="str">
        <f>IFERROR(__xludf.DUMMYFUNCTION("""COMPUTED_VALUE"""),"ET 2850 + bouteille 102 noir")</f>
        <v>ET 2850 + bouteille 102 noir</v>
      </c>
      <c r="E2715" t="str">
        <f>IFERROR(__xludf.DUMMYFUNCTION("""COMPUTED_VALUE"""),"EPSON")</f>
        <v>EPSON</v>
      </c>
      <c r="F2715" t="str">
        <f>IFERROR(__xludf.DUMMYFUNCTION("""COMPUTED_VALUE"""),"H")</f>
        <v>H</v>
      </c>
      <c r="G2715" t="str">
        <f>IFERROR(__xludf.DUMMYFUNCTION("""COMPUTED_VALUE"""),"AC")</f>
        <v>AC</v>
      </c>
      <c r="H2715">
        <f>IFERROR(__xludf.DUMMYFUNCTION("""COMPUTED_VALUE"""),300.22)</f>
        <v>300.22</v>
      </c>
      <c r="I2715">
        <f>IFERROR(__xludf.DUMMYFUNCTION("""COMPUTED_VALUE"""),300.22)</f>
        <v>300.22</v>
      </c>
      <c r="LL2715" s="2007"/>
      <c r="LM2715" s="2007"/>
      <c r="MX2715" s="2007"/>
      <c r="ND2715" s="2007"/>
    </row>
    <row r="2716">
      <c r="A2716">
        <f>IFERROR(__xludf.DUMMYFUNCTION("""COMPUTED_VALUE"""),1193912.0)</f>
        <v>1193912</v>
      </c>
      <c r="B2716">
        <f>IFERROR(__xludf.DUMMYFUNCTION("""COMPUTED_VALUE"""),2202010.0)</f>
        <v>2202010</v>
      </c>
      <c r="C2716" t="str">
        <f>IFERROR(__xludf.DUMMYFUNCTION("""COMPUTED_VALUE"""),"Lot")</f>
        <v>Lot</v>
      </c>
      <c r="D2716" t="str">
        <f>IFERROR(__xludf.DUMMYFUNCTION("""COMPUTED_VALUE"""),"ET 2850 + cartouche noir et couleurs")</f>
        <v>ET 2850 + cartouche noir et couleurs</v>
      </c>
      <c r="E2716" t="str">
        <f>IFERROR(__xludf.DUMMYFUNCTION("""COMPUTED_VALUE"""),"EPSON")</f>
        <v>EPSON</v>
      </c>
      <c r="F2716" t="str">
        <f>IFERROR(__xludf.DUMMYFUNCTION("""COMPUTED_VALUE"""),"H")</f>
        <v>H</v>
      </c>
      <c r="G2716" t="str">
        <f>IFERROR(__xludf.DUMMYFUNCTION("""COMPUTED_VALUE"""),"AC")</f>
        <v>AC</v>
      </c>
      <c r="H2716">
        <f>IFERROR(__xludf.DUMMYFUNCTION("""COMPUTED_VALUE"""),328.72)</f>
        <v>328.72</v>
      </c>
      <c r="I2716">
        <f>IFERROR(__xludf.DUMMYFUNCTION("""COMPUTED_VALUE"""),328.72)</f>
        <v>328.72</v>
      </c>
      <c r="LL2716" s="2007"/>
      <c r="LM2716" s="2007"/>
      <c r="MX2716" s="2007"/>
      <c r="ND2716" s="2007"/>
    </row>
    <row r="2717">
      <c r="A2717">
        <f>IFERROR(__xludf.DUMMYFUNCTION("""COMPUTED_VALUE"""),1193913.0)</f>
        <v>1193913</v>
      </c>
      <c r="B2717">
        <f>IFERROR(__xludf.DUMMYFUNCTION("""COMPUTED_VALUE"""),2202005.0)</f>
        <v>2202005</v>
      </c>
      <c r="C2717" t="str">
        <f>IFERROR(__xludf.DUMMYFUNCTION("""COMPUTED_VALUE"""),"Lot")</f>
        <v>Lot</v>
      </c>
      <c r="D2717" t="str">
        <f>IFERROR(__xludf.DUMMYFUNCTION("""COMPUTED_VALUE"""),"7924e + cartouche noire")</f>
        <v>7924e + cartouche noire</v>
      </c>
      <c r="E2717" t="str">
        <f>IFERROR(__xludf.DUMMYFUNCTION("""COMPUTED_VALUE"""),"HP")</f>
        <v>HP</v>
      </c>
      <c r="F2717" t="str">
        <f>IFERROR(__xludf.DUMMYFUNCTION("""COMPUTED_VALUE"""),"H")</f>
        <v>H</v>
      </c>
      <c r="G2717" t="str">
        <f>IFERROR(__xludf.DUMMYFUNCTION("""COMPUTED_VALUE"""),"AC")</f>
        <v>AC</v>
      </c>
      <c r="H2717">
        <f>IFERROR(__xludf.DUMMYFUNCTION("""COMPUTED_VALUE"""),172.93)</f>
        <v>172.93</v>
      </c>
      <c r="I2717">
        <f>IFERROR(__xludf.DUMMYFUNCTION("""COMPUTED_VALUE"""),172.93)</f>
        <v>172.93</v>
      </c>
      <c r="LL2717" s="2007"/>
      <c r="LM2717" s="2007"/>
      <c r="MX2717" s="2007"/>
      <c r="ND2717" s="2007"/>
    </row>
    <row r="2718">
      <c r="A2718">
        <f>IFERROR(__xludf.DUMMYFUNCTION("""COMPUTED_VALUE"""),1193914.0)</f>
        <v>1193914</v>
      </c>
      <c r="B2718">
        <f>IFERROR(__xludf.DUMMYFUNCTION("""COMPUTED_VALUE"""),2202005.0)</f>
        <v>2202005</v>
      </c>
      <c r="C2718" t="str">
        <f>IFERROR(__xludf.DUMMYFUNCTION("""COMPUTED_VALUE"""),"Lot")</f>
        <v>Lot</v>
      </c>
      <c r="D2718" t="str">
        <f>IFERROR(__xludf.DUMMYFUNCTION("""COMPUTED_VALUE"""),"6432e + cartouche noire")</f>
        <v>6432e + cartouche noire</v>
      </c>
      <c r="E2718" t="str">
        <f>IFERROR(__xludf.DUMMYFUNCTION("""COMPUTED_VALUE"""),"HP")</f>
        <v>HP</v>
      </c>
      <c r="F2718" t="str">
        <f>IFERROR(__xludf.DUMMYFUNCTION("""COMPUTED_VALUE"""),"H")</f>
        <v>H</v>
      </c>
      <c r="G2718" t="str">
        <f>IFERROR(__xludf.DUMMYFUNCTION("""COMPUTED_VALUE"""),"AC")</f>
        <v>AC</v>
      </c>
      <c r="H2718">
        <f>IFERROR(__xludf.DUMMYFUNCTION("""COMPUTED_VALUE"""),129.23)</f>
        <v>129.23</v>
      </c>
      <c r="I2718">
        <f>IFERROR(__xludf.DUMMYFUNCTION("""COMPUTED_VALUE"""),129.23)</f>
        <v>129.23</v>
      </c>
      <c r="LL2718" s="2007"/>
      <c r="LM2718" s="2007"/>
      <c r="MX2718" s="2007"/>
      <c r="ND2718" s="2007"/>
    </row>
    <row r="2719">
      <c r="A2719">
        <f>IFERROR(__xludf.DUMMYFUNCTION("""COMPUTED_VALUE"""),1194045.0)</f>
        <v>1194045</v>
      </c>
      <c r="B2719">
        <f>IFERROR(__xludf.DUMMYFUNCTION("""COMPUTED_VALUE"""),2502010.0)</f>
        <v>2502010</v>
      </c>
      <c r="C2719" t="str">
        <f>IFERROR(__xludf.DUMMYFUNCTION("""COMPUTED_VALUE"""),"Lot")</f>
        <v>Lot</v>
      </c>
      <c r="D2719" t="str">
        <f>IFERROR(__xludf.DUMMYFUNCTION("""COMPUTED_VALUE"""),"Souris M330 + Sacoche Adeqwat 15-16")</f>
        <v>Souris M330 + Sacoche Adeqwat 15-16</v>
      </c>
      <c r="E2719" t="str">
        <f>IFERROR(__xludf.DUMMYFUNCTION("""COMPUTED_VALUE"""),"LOGITECH")</f>
        <v>LOGITECH</v>
      </c>
      <c r="F2719" t="str">
        <f>IFERROR(__xludf.DUMMYFUNCTION("""COMPUTED_VALUE"""),"H")</f>
        <v>H</v>
      </c>
      <c r="G2719" t="str">
        <f>IFERROR(__xludf.DUMMYFUNCTION("""COMPUTED_VALUE"""),"AC")</f>
        <v>AC</v>
      </c>
      <c r="H2719">
        <f>IFERROR(__xludf.DUMMYFUNCTION("""COMPUTED_VALUE"""),63.71)</f>
        <v>63.71</v>
      </c>
      <c r="I2719">
        <f>IFERROR(__xludf.DUMMYFUNCTION("""COMPUTED_VALUE"""),63.71)</f>
        <v>63.71</v>
      </c>
      <c r="LL2719" s="2007"/>
      <c r="LM2719" s="2007"/>
      <c r="MX2719" s="2007"/>
      <c r="ND2719" s="2007"/>
    </row>
    <row r="2720">
      <c r="A2720">
        <f>IFERROR(__xludf.DUMMYFUNCTION("""COMPUTED_VALUE"""),1194066.0)</f>
        <v>1194066</v>
      </c>
      <c r="B2720">
        <f>IFERROR(__xludf.DUMMYFUNCTION("""COMPUTED_VALUE"""),2202011.0)</f>
        <v>2202011</v>
      </c>
      <c r="C2720" t="str">
        <f>IFERROR(__xludf.DUMMYFUNCTION("""COMPUTED_VALUE"""),"Multi Laser")</f>
        <v>Multi Laser</v>
      </c>
      <c r="D2720" t="str">
        <f>IFERROR(__xludf.DUMMYFUNCTION("""COMPUTED_VALUE"""),"DCP-L8410CDW")</f>
        <v>DCP-L8410CDW</v>
      </c>
      <c r="E2720" t="str">
        <f>IFERROR(__xludf.DUMMYFUNCTION("""COMPUTED_VALUE"""),"BROTHER")</f>
        <v>BROTHER</v>
      </c>
      <c r="F2720" t="str">
        <f>IFERROR(__xludf.DUMMYFUNCTION("""COMPUTED_VALUE"""),"H")</f>
        <v>H</v>
      </c>
      <c r="G2720" t="str">
        <f>IFERROR(__xludf.DUMMYFUNCTION("""COMPUTED_VALUE"""),"AC")</f>
        <v>AC</v>
      </c>
      <c r="H2720">
        <f>IFERROR(__xludf.DUMMYFUNCTION("""COMPUTED_VALUE"""),489.0)</f>
        <v>489</v>
      </c>
      <c r="I2720">
        <f>IFERROR(__xludf.DUMMYFUNCTION("""COMPUTED_VALUE"""),489.0)</f>
        <v>489</v>
      </c>
      <c r="LL2720" s="2007"/>
      <c r="LM2720" s="2007"/>
      <c r="MX2720" s="2007"/>
      <c r="ND2720" s="2007"/>
    </row>
    <row r="2721">
      <c r="A2721">
        <f>IFERROR(__xludf.DUMMYFUNCTION("""COMPUTED_VALUE"""),1194067.0)</f>
        <v>1194067</v>
      </c>
      <c r="B2721">
        <f>IFERROR(__xludf.DUMMYFUNCTION("""COMPUTED_VALUE"""),2202011.0)</f>
        <v>2202011</v>
      </c>
      <c r="C2721" t="str">
        <f>IFERROR(__xludf.DUMMYFUNCTION("""COMPUTED_VALUE"""),"Multi Laser")</f>
        <v>Multi Laser</v>
      </c>
      <c r="D2721" t="str">
        <f>IFERROR(__xludf.DUMMYFUNCTION("""COMPUTED_VALUE"""),"MFC-L2750DW")</f>
        <v>MFC-L2750DW</v>
      </c>
      <c r="E2721" t="str">
        <f>IFERROR(__xludf.DUMMYFUNCTION("""COMPUTED_VALUE"""),"BROTHER")</f>
        <v>BROTHER</v>
      </c>
      <c r="F2721" t="str">
        <f>IFERROR(__xludf.DUMMYFUNCTION("""COMPUTED_VALUE"""),"H")</f>
        <v>H</v>
      </c>
      <c r="G2721" t="str">
        <f>IFERROR(__xludf.DUMMYFUNCTION("""COMPUTED_VALUE"""),"AC")</f>
        <v>AC</v>
      </c>
      <c r="H2721">
        <f>IFERROR(__xludf.DUMMYFUNCTION("""COMPUTED_VALUE"""),339.0)</f>
        <v>339</v>
      </c>
      <c r="I2721">
        <f>IFERROR(__xludf.DUMMYFUNCTION("""COMPUTED_VALUE"""),339.0)</f>
        <v>339</v>
      </c>
      <c r="LL2721" s="2007"/>
      <c r="LM2721" s="2007"/>
      <c r="MX2721" s="2007"/>
      <c r="ND2721" s="2007"/>
    </row>
    <row r="2722">
      <c r="A2722">
        <f>IFERROR(__xludf.DUMMYFUNCTION("""COMPUTED_VALUE"""),1194617.0)</f>
        <v>1194617</v>
      </c>
      <c r="B2722">
        <f>IFERROR(__xludf.DUMMYFUNCTION("""COMPUTED_VALUE"""),2202005.0)</f>
        <v>2202005</v>
      </c>
      <c r="C2722" t="str">
        <f>IFERROR(__xludf.DUMMYFUNCTION("""COMPUTED_VALUE"""),"Lot")</f>
        <v>Lot</v>
      </c>
      <c r="D2722" t="str">
        <f>IFERROR(__xludf.DUMMYFUNCTION("""COMPUTED_VALUE"""),"TS 5151 + cartouche noire PG-540")</f>
        <v>TS 5151 + cartouche noire PG-540</v>
      </c>
      <c r="E2722" t="str">
        <f>IFERROR(__xludf.DUMMYFUNCTION("""COMPUTED_VALUE"""),"CANON")</f>
        <v>CANON</v>
      </c>
      <c r="F2722" t="str">
        <f>IFERROR(__xludf.DUMMYFUNCTION("""COMPUTED_VALUE"""),"H")</f>
        <v>H</v>
      </c>
      <c r="G2722" t="str">
        <f>IFERROR(__xludf.DUMMYFUNCTION("""COMPUTED_VALUE"""),"AC")</f>
        <v>AC</v>
      </c>
      <c r="H2722">
        <f>IFERROR(__xludf.DUMMYFUNCTION("""COMPUTED_VALUE"""),79.08)</f>
        <v>79.08</v>
      </c>
      <c r="I2722">
        <f>IFERROR(__xludf.DUMMYFUNCTION("""COMPUTED_VALUE"""),59.08)</f>
        <v>59.08</v>
      </c>
      <c r="BD2722" s="2006"/>
      <c r="LL2722" s="2007"/>
      <c r="LM2722" s="2007"/>
      <c r="MX2722" s="2007"/>
      <c r="ND2722" s="2007"/>
    </row>
    <row r="2723">
      <c r="A2723">
        <f>IFERROR(__xludf.DUMMYFUNCTION("""COMPUTED_VALUE"""),1195004.0)</f>
        <v>1195004</v>
      </c>
      <c r="B2723">
        <f>IFERROR(__xludf.DUMMYFUNCTION("""COMPUTED_VALUE"""),2402005.0)</f>
        <v>2402005</v>
      </c>
      <c r="C2723" t="str">
        <f>IFERROR(__xludf.DUMMYFUNCTION("""COMPUTED_VALUE"""),"Papier")</f>
        <v>Papier</v>
      </c>
      <c r="D2723" t="str">
        <f>IFERROR(__xludf.DUMMYFUNCTION("""COMPUTED_VALUE"""),"Home et Office Ramet A4-500f-80g")</f>
        <v>Home et Office Ramet A4-500f-80g</v>
      </c>
      <c r="E2723" t="str">
        <f>IFERROR(__xludf.DUMMYFUNCTION("""COMPUTED_VALUE"""),"HP")</f>
        <v>HP</v>
      </c>
      <c r="F2723" t="str">
        <f>IFERROR(__xludf.DUMMYFUNCTION("""COMPUTED_VALUE"""),"A")</f>
        <v>A</v>
      </c>
      <c r="G2723" t="str">
        <f>IFERROR(__xludf.DUMMYFUNCTION("""COMPUTED_VALUE"""),"AC")</f>
        <v>AC</v>
      </c>
      <c r="H2723">
        <f>IFERROR(__xludf.DUMMYFUNCTION("""COMPUTED_VALUE"""),4.99)</f>
        <v>4.99</v>
      </c>
      <c r="I2723">
        <f>IFERROR(__xludf.DUMMYFUNCTION("""COMPUTED_VALUE"""),4.99)</f>
        <v>4.99</v>
      </c>
      <c r="BD2723" s="2006"/>
      <c r="LL2723" s="2007"/>
      <c r="LM2723" s="2007"/>
      <c r="MX2723" s="2007"/>
      <c r="ND2723" s="2007"/>
    </row>
    <row r="2724">
      <c r="A2724">
        <f>IFERROR(__xludf.DUMMYFUNCTION("""COMPUTED_VALUE"""),1195391.0)</f>
        <v>1195391</v>
      </c>
      <c r="B2724">
        <f>IFERROR(__xludf.DUMMYFUNCTION("""COMPUTED_VALUE"""),2503010.0)</f>
        <v>2503010</v>
      </c>
      <c r="C2724" t="str">
        <f>IFERROR(__xludf.DUMMYFUNCTION("""COMPUTED_VALUE"""),"Haut Parleur")</f>
        <v>Haut Parleur</v>
      </c>
      <c r="D2724" t="str">
        <f>IFERROR(__xludf.DUMMYFUNCTION("""COMPUTED_VALUE"""),"sans fil avec Sembly")</f>
        <v>sans fil avec Sembly</v>
      </c>
      <c r="E2724" t="str">
        <f>IFERROR(__xludf.DUMMYFUNCTION("""COMPUTED_VALUE"""),"PHILIPS")</f>
        <v>PHILIPS</v>
      </c>
      <c r="F2724" t="str">
        <f>IFERROR(__xludf.DUMMYFUNCTION("""COMPUTED_VALUE"""),"H")</f>
        <v>H</v>
      </c>
      <c r="G2724" t="str">
        <f>IFERROR(__xludf.DUMMYFUNCTION("""COMPUTED_VALUE"""),"AC")</f>
        <v>AC</v>
      </c>
      <c r="H2724">
        <f>IFERROR(__xludf.DUMMYFUNCTION("""COMPUTED_VALUE"""),349.99)</f>
        <v>349.99</v>
      </c>
      <c r="I2724">
        <f>IFERROR(__xludf.DUMMYFUNCTION("""COMPUTED_VALUE"""),349.99)</f>
        <v>349.99</v>
      </c>
      <c r="BD2724" s="2006"/>
      <c r="LL2724" s="2007"/>
      <c r="LM2724" s="2007"/>
      <c r="MX2724" s="2007"/>
      <c r="ND2724" s="2007"/>
    </row>
    <row r="2725">
      <c r="A2725">
        <f>IFERROR(__xludf.DUMMYFUNCTION("""COMPUTED_VALUE"""),1195392.0)</f>
        <v>1195392</v>
      </c>
      <c r="B2725">
        <f>IFERROR(__xludf.DUMMYFUNCTION("""COMPUTED_VALUE"""),2503010.0)</f>
        <v>2503010</v>
      </c>
      <c r="C2725" t="str">
        <f>IFERROR(__xludf.DUMMYFUNCTION("""COMPUTED_VALUE"""),"Haut Parleur")</f>
        <v>Haut Parleur</v>
      </c>
      <c r="D2725" t="str">
        <f>IFERROR(__xludf.DUMMYFUNCTION("""COMPUTED_VALUE"""),"portable avec Sembly")</f>
        <v>portable avec Sembly</v>
      </c>
      <c r="E2725" t="str">
        <f>IFERROR(__xludf.DUMMYFUNCTION("""COMPUTED_VALUE"""),"PHILIPS")</f>
        <v>PHILIPS</v>
      </c>
      <c r="F2725" t="str">
        <f>IFERROR(__xludf.DUMMYFUNCTION("""COMPUTED_VALUE"""),"H")</f>
        <v>H</v>
      </c>
      <c r="G2725" t="str">
        <f>IFERROR(__xludf.DUMMYFUNCTION("""COMPUTED_VALUE"""),"AC")</f>
        <v>AC</v>
      </c>
      <c r="H2725">
        <f>IFERROR(__xludf.DUMMYFUNCTION("""COMPUTED_VALUE"""),149.99)</f>
        <v>149.99</v>
      </c>
      <c r="I2725">
        <f>IFERROR(__xludf.DUMMYFUNCTION("""COMPUTED_VALUE"""),149.99)</f>
        <v>149.99</v>
      </c>
      <c r="BD2725" s="2006"/>
      <c r="LL2725" s="2007"/>
      <c r="LM2725" s="2007"/>
      <c r="MX2725" s="2007"/>
      <c r="ND2725" s="2007"/>
    </row>
    <row r="2726">
      <c r="A2726">
        <f>IFERROR(__xludf.DUMMYFUNCTION("""COMPUTED_VALUE"""),1195393.0)</f>
        <v>1195393</v>
      </c>
      <c r="B2726">
        <f>IFERROR(__xludf.DUMMYFUNCTION("""COMPUTED_VALUE"""),2503010.0)</f>
        <v>2503010</v>
      </c>
      <c r="C2726" t="str">
        <f>IFERROR(__xludf.DUMMYFUNCTION("""COMPUTED_VALUE"""),"Haut Parleur")</f>
        <v>Haut Parleur</v>
      </c>
      <c r="D2726" t="str">
        <f>IFERROR(__xludf.DUMMYFUNCTION("""COMPUTED_VALUE"""),"sans fil audio et video HD avec Sembly")</f>
        <v>sans fil audio et video HD avec Sembly</v>
      </c>
      <c r="E2726" t="str">
        <f>IFERROR(__xludf.DUMMYFUNCTION("""COMPUTED_VALUE"""),"PHILIPS")</f>
        <v>PHILIPS</v>
      </c>
      <c r="F2726" t="str">
        <f>IFERROR(__xludf.DUMMYFUNCTION("""COMPUTED_VALUE"""),"H")</f>
        <v>H</v>
      </c>
      <c r="G2726" t="str">
        <f>IFERROR(__xludf.DUMMYFUNCTION("""COMPUTED_VALUE"""),"AC")</f>
        <v>AC</v>
      </c>
      <c r="H2726">
        <f>IFERROR(__xludf.DUMMYFUNCTION("""COMPUTED_VALUE"""),448.99)</f>
        <v>448.99</v>
      </c>
      <c r="I2726">
        <f>IFERROR(__xludf.DUMMYFUNCTION("""COMPUTED_VALUE"""),448.99)</f>
        <v>448.99</v>
      </c>
      <c r="LL2726" s="2007"/>
      <c r="LM2726" s="2007"/>
      <c r="MX2726" s="2007"/>
      <c r="ND2726" s="2007"/>
    </row>
    <row r="2727">
      <c r="A2727">
        <f>IFERROR(__xludf.DUMMYFUNCTION("""COMPUTED_VALUE"""),1195545.0)</f>
        <v>1195545</v>
      </c>
      <c r="B2727">
        <f>IFERROR(__xludf.DUMMYFUNCTION("""COMPUTED_VALUE"""),2403005.0)</f>
        <v>2403005</v>
      </c>
      <c r="C2727" t="str">
        <f>IFERROR(__xludf.DUMMYFUNCTION("""COMPUTED_VALUE"""),"Cartouche")</f>
        <v>Cartouche</v>
      </c>
      <c r="D2727" t="str">
        <f>IFERROR(__xludf.DUMMYFUNCTION("""COMPUTED_VALUE"""),"PGI-570 PB + CLI-571 B/C/M/Y")</f>
        <v>PGI-570 PB + CLI-571 B/C/M/Y</v>
      </c>
      <c r="E2727" t="str">
        <f>IFERROR(__xludf.DUMMYFUNCTION("""COMPUTED_VALUE"""),"CANON")</f>
        <v>CANON</v>
      </c>
      <c r="F2727" t="str">
        <f>IFERROR(__xludf.DUMMYFUNCTION("""COMPUTED_VALUE"""),"D")</f>
        <v>D</v>
      </c>
      <c r="G2727" t="str">
        <f>IFERROR(__xludf.DUMMYFUNCTION("""COMPUTED_VALUE"""),"AC")</f>
        <v>AC</v>
      </c>
      <c r="H2727">
        <f>IFERROR(__xludf.DUMMYFUNCTION("""COMPUTED_VALUE"""),73.99)</f>
        <v>73.99</v>
      </c>
      <c r="I2727">
        <f>IFERROR(__xludf.DUMMYFUNCTION("""COMPUTED_VALUE"""),73.99)</f>
        <v>73.99</v>
      </c>
      <c r="LL2727" s="2007"/>
      <c r="LM2727" s="2007"/>
      <c r="MX2727" s="2007"/>
      <c r="ND2727" s="2007"/>
    </row>
    <row r="2728">
      <c r="A2728">
        <f>IFERROR(__xludf.DUMMYFUNCTION("""COMPUTED_VALUE"""),1195546.0)</f>
        <v>1195546</v>
      </c>
      <c r="B2728">
        <f>IFERROR(__xludf.DUMMYFUNCTION("""COMPUTED_VALUE"""),2403005.0)</f>
        <v>2403005</v>
      </c>
      <c r="C2728" t="str">
        <f>IFERROR(__xludf.DUMMYFUNCTION("""COMPUTED_VALUE"""),"Cartouche")</f>
        <v>Cartouche</v>
      </c>
      <c r="D2728" t="str">
        <f>IFERROR(__xludf.DUMMYFUNCTION("""COMPUTED_VALUE"""),"PG-540L noire")</f>
        <v>PG-540L noire</v>
      </c>
      <c r="E2728" t="str">
        <f>IFERROR(__xludf.DUMMYFUNCTION("""COMPUTED_VALUE"""),"CANON")</f>
        <v>CANON</v>
      </c>
      <c r="F2728" t="str">
        <f>IFERROR(__xludf.DUMMYFUNCTION("""COMPUTED_VALUE"""),"B")</f>
        <v>B</v>
      </c>
      <c r="G2728" t="str">
        <f>IFERROR(__xludf.DUMMYFUNCTION("""COMPUTED_VALUE"""),"AC")</f>
        <v>AC</v>
      </c>
      <c r="H2728">
        <f>IFERROR(__xludf.DUMMYFUNCTION("""COMPUTED_VALUE"""),26.49)</f>
        <v>26.49</v>
      </c>
      <c r="I2728">
        <f>IFERROR(__xludf.DUMMYFUNCTION("""COMPUTED_VALUE"""),26.49)</f>
        <v>26.49</v>
      </c>
      <c r="LL2728" s="2007"/>
      <c r="LM2728" s="2007"/>
      <c r="MX2728" s="2007"/>
      <c r="ND2728" s="2007"/>
    </row>
    <row r="2729">
      <c r="A2729">
        <f>IFERROR(__xludf.DUMMYFUNCTION("""COMPUTED_VALUE"""),1195547.0)</f>
        <v>1195547</v>
      </c>
      <c r="B2729">
        <f>IFERROR(__xludf.DUMMYFUNCTION("""COMPUTED_VALUE"""),2403005.0)</f>
        <v>2403005</v>
      </c>
      <c r="C2729" t="str">
        <f>IFERROR(__xludf.DUMMYFUNCTION("""COMPUTED_VALUE"""),"Cartouche")</f>
        <v>Cartouche</v>
      </c>
      <c r="D2729" t="str">
        <f>IFERROR(__xludf.DUMMYFUNCTION("""COMPUTED_VALUE"""),"PGI-580 XL")</f>
        <v>PGI-580 XL</v>
      </c>
      <c r="E2729" t="str">
        <f>IFERROR(__xludf.DUMMYFUNCTION("""COMPUTED_VALUE"""),"CANON")</f>
        <v>CANON</v>
      </c>
      <c r="F2729" t="str">
        <f>IFERROR(__xludf.DUMMYFUNCTION("""COMPUTED_VALUE"""),"C")</f>
        <v>C</v>
      </c>
      <c r="G2729" t="str">
        <f>IFERROR(__xludf.DUMMYFUNCTION("""COMPUTED_VALUE"""),"AC")</f>
        <v>AC</v>
      </c>
      <c r="H2729">
        <f>IFERROR(__xludf.DUMMYFUNCTION("""COMPUTED_VALUE"""),20.49)</f>
        <v>20.49</v>
      </c>
      <c r="I2729">
        <f>IFERROR(__xludf.DUMMYFUNCTION("""COMPUTED_VALUE"""),20.49)</f>
        <v>20.49</v>
      </c>
      <c r="BD2729" s="2006"/>
      <c r="LL2729" s="2007"/>
      <c r="LM2729" s="2007"/>
      <c r="MX2729" s="2007"/>
      <c r="ND2729" s="2007"/>
    </row>
    <row r="2730">
      <c r="A2730">
        <f>IFERROR(__xludf.DUMMYFUNCTION("""COMPUTED_VALUE"""),1195548.0)</f>
        <v>1195548</v>
      </c>
      <c r="B2730">
        <f>IFERROR(__xludf.DUMMYFUNCTION("""COMPUTED_VALUE"""),2403005.0)</f>
        <v>2403005</v>
      </c>
      <c r="C2730" t="str">
        <f>IFERROR(__xludf.DUMMYFUNCTION("""COMPUTED_VALUE"""),"Cartouche")</f>
        <v>Cartouche</v>
      </c>
      <c r="D2730" t="str">
        <f>IFERROR(__xludf.DUMMYFUNCTION("""COMPUTED_VALUE"""),"GI-53 noire")</f>
        <v>GI-53 noire</v>
      </c>
      <c r="E2730" t="str">
        <f>IFERROR(__xludf.DUMMYFUNCTION("""COMPUTED_VALUE"""),"CANON")</f>
        <v>CANON</v>
      </c>
      <c r="F2730" t="str">
        <f>IFERROR(__xludf.DUMMYFUNCTION("""COMPUTED_VALUE"""),"E")</f>
        <v>E</v>
      </c>
      <c r="G2730" t="str">
        <f>IFERROR(__xludf.DUMMYFUNCTION("""COMPUTED_VALUE"""),"AC")</f>
        <v>AC</v>
      </c>
      <c r="H2730">
        <f>IFERROR(__xludf.DUMMYFUNCTION("""COMPUTED_VALUE"""),15.49)</f>
        <v>15.49</v>
      </c>
      <c r="I2730">
        <f>IFERROR(__xludf.DUMMYFUNCTION("""COMPUTED_VALUE"""),15.49)</f>
        <v>15.49</v>
      </c>
      <c r="BD2730" s="2006"/>
      <c r="LL2730" s="2007"/>
      <c r="LM2730" s="2007"/>
      <c r="MX2730" s="2007"/>
      <c r="ND2730" s="2007"/>
    </row>
    <row r="2731">
      <c r="A2731">
        <f>IFERROR(__xludf.DUMMYFUNCTION("""COMPUTED_VALUE"""),1195578.0)</f>
        <v>1195578</v>
      </c>
      <c r="B2731">
        <f>IFERROR(__xludf.DUMMYFUNCTION("""COMPUTED_VALUE"""),2403005.0)</f>
        <v>2403005</v>
      </c>
      <c r="C2731" t="str">
        <f>IFERROR(__xludf.DUMMYFUNCTION("""COMPUTED_VALUE"""),"Cartouche")</f>
        <v>Cartouche</v>
      </c>
      <c r="D2731" t="str">
        <f>IFERROR(__xludf.DUMMYFUNCTION("""COMPUTED_VALUE"""),"GI-53 cyan")</f>
        <v>GI-53 cyan</v>
      </c>
      <c r="E2731" t="str">
        <f>IFERROR(__xludf.DUMMYFUNCTION("""COMPUTED_VALUE"""),"CANON")</f>
        <v>CANON</v>
      </c>
      <c r="F2731" t="str">
        <f>IFERROR(__xludf.DUMMYFUNCTION("""COMPUTED_VALUE"""),"E")</f>
        <v>E</v>
      </c>
      <c r="G2731" t="str">
        <f>IFERROR(__xludf.DUMMYFUNCTION("""COMPUTED_VALUE"""),"AC")</f>
        <v>AC</v>
      </c>
      <c r="H2731">
        <f>IFERROR(__xludf.DUMMYFUNCTION("""COMPUTED_VALUE"""),15.49)</f>
        <v>15.49</v>
      </c>
      <c r="I2731">
        <f>IFERROR(__xludf.DUMMYFUNCTION("""COMPUTED_VALUE"""),15.49)</f>
        <v>15.49</v>
      </c>
      <c r="BD2731" s="2006"/>
      <c r="LL2731" s="2007"/>
      <c r="LM2731" s="2007"/>
      <c r="MX2731" s="2007"/>
      <c r="ND2731" s="2007"/>
    </row>
    <row r="2732">
      <c r="A2732">
        <f>IFERROR(__xludf.DUMMYFUNCTION("""COMPUTED_VALUE"""),1195580.0)</f>
        <v>1195580</v>
      </c>
      <c r="B2732">
        <f>IFERROR(__xludf.DUMMYFUNCTION("""COMPUTED_VALUE"""),2403005.0)</f>
        <v>2403005</v>
      </c>
      <c r="C2732" t="str">
        <f>IFERROR(__xludf.DUMMYFUNCTION("""COMPUTED_VALUE"""),"Cartouche")</f>
        <v>Cartouche</v>
      </c>
      <c r="D2732" t="str">
        <f>IFERROR(__xludf.DUMMYFUNCTION("""COMPUTED_VALUE"""),"GI-53 gris")</f>
        <v>GI-53 gris</v>
      </c>
      <c r="E2732" t="str">
        <f>IFERROR(__xludf.DUMMYFUNCTION("""COMPUTED_VALUE"""),"CANON")</f>
        <v>CANON</v>
      </c>
      <c r="F2732" t="str">
        <f>IFERROR(__xludf.DUMMYFUNCTION("""COMPUTED_VALUE"""),"E")</f>
        <v>E</v>
      </c>
      <c r="G2732" t="str">
        <f>IFERROR(__xludf.DUMMYFUNCTION("""COMPUTED_VALUE"""),"AC")</f>
        <v>AC</v>
      </c>
      <c r="H2732">
        <f>IFERROR(__xludf.DUMMYFUNCTION("""COMPUTED_VALUE"""),15.49)</f>
        <v>15.49</v>
      </c>
      <c r="I2732">
        <f>IFERROR(__xludf.DUMMYFUNCTION("""COMPUTED_VALUE"""),15.49)</f>
        <v>15.49</v>
      </c>
      <c r="BD2732" s="2006"/>
      <c r="LL2732" s="2007"/>
      <c r="LM2732" s="2007"/>
      <c r="MX2732" s="2007"/>
      <c r="ND2732" s="2007"/>
    </row>
    <row r="2733">
      <c r="A2733">
        <f>IFERROR(__xludf.DUMMYFUNCTION("""COMPUTED_VALUE"""),1195592.0)</f>
        <v>1195592</v>
      </c>
      <c r="B2733">
        <f>IFERROR(__xludf.DUMMYFUNCTION("""COMPUTED_VALUE"""),2403005.0)</f>
        <v>2403005</v>
      </c>
      <c r="C2733" t="str">
        <f>IFERROR(__xludf.DUMMYFUNCTION("""COMPUTED_VALUE"""),"Cartouche")</f>
        <v>Cartouche</v>
      </c>
      <c r="D2733" t="str">
        <f>IFERROR(__xludf.DUMMYFUNCTION("""COMPUTED_VALUE"""),"GI-53 magenta")</f>
        <v>GI-53 magenta</v>
      </c>
      <c r="E2733" t="str">
        <f>IFERROR(__xludf.DUMMYFUNCTION("""COMPUTED_VALUE"""),"CANON")</f>
        <v>CANON</v>
      </c>
      <c r="F2733" t="str">
        <f>IFERROR(__xludf.DUMMYFUNCTION("""COMPUTED_VALUE"""),"E")</f>
        <v>E</v>
      </c>
      <c r="G2733" t="str">
        <f>IFERROR(__xludf.DUMMYFUNCTION("""COMPUTED_VALUE"""),"AC")</f>
        <v>AC</v>
      </c>
      <c r="H2733">
        <f>IFERROR(__xludf.DUMMYFUNCTION("""COMPUTED_VALUE"""),15.49)</f>
        <v>15.49</v>
      </c>
      <c r="I2733">
        <f>IFERROR(__xludf.DUMMYFUNCTION("""COMPUTED_VALUE"""),15.49)</f>
        <v>15.49</v>
      </c>
      <c r="BD2733" s="2006"/>
      <c r="LL2733" s="2007"/>
      <c r="LM2733" s="2007"/>
      <c r="MX2733" s="2007"/>
      <c r="ND2733" s="2007"/>
    </row>
    <row r="2734">
      <c r="A2734">
        <f>IFERROR(__xludf.DUMMYFUNCTION("""COMPUTED_VALUE"""),1195593.0)</f>
        <v>1195593</v>
      </c>
      <c r="B2734">
        <f>IFERROR(__xludf.DUMMYFUNCTION("""COMPUTED_VALUE"""),2403005.0)</f>
        <v>2403005</v>
      </c>
      <c r="C2734" t="str">
        <f>IFERROR(__xludf.DUMMYFUNCTION("""COMPUTED_VALUE"""),"Cartouche")</f>
        <v>Cartouche</v>
      </c>
      <c r="D2734" t="str">
        <f>IFERROR(__xludf.DUMMYFUNCTION("""COMPUTED_VALUE"""),"GI-53 rouge")</f>
        <v>GI-53 rouge</v>
      </c>
      <c r="E2734" t="str">
        <f>IFERROR(__xludf.DUMMYFUNCTION("""COMPUTED_VALUE"""),"CANON")</f>
        <v>CANON</v>
      </c>
      <c r="F2734" t="str">
        <f>IFERROR(__xludf.DUMMYFUNCTION("""COMPUTED_VALUE"""),"E")</f>
        <v>E</v>
      </c>
      <c r="G2734" t="str">
        <f>IFERROR(__xludf.DUMMYFUNCTION("""COMPUTED_VALUE"""),"AC")</f>
        <v>AC</v>
      </c>
      <c r="H2734">
        <f>IFERROR(__xludf.DUMMYFUNCTION("""COMPUTED_VALUE"""),15.49)</f>
        <v>15.49</v>
      </c>
      <c r="I2734">
        <f>IFERROR(__xludf.DUMMYFUNCTION("""COMPUTED_VALUE"""),15.49)</f>
        <v>15.49</v>
      </c>
      <c r="BD2734" s="2006"/>
      <c r="LL2734" s="2007"/>
      <c r="LM2734" s="2007"/>
      <c r="MX2734" s="2007"/>
      <c r="ND2734" s="2007"/>
    </row>
    <row r="2735">
      <c r="A2735">
        <f>IFERROR(__xludf.DUMMYFUNCTION("""COMPUTED_VALUE"""),1195594.0)</f>
        <v>1195594</v>
      </c>
      <c r="B2735">
        <f>IFERROR(__xludf.DUMMYFUNCTION("""COMPUTED_VALUE"""),2403005.0)</f>
        <v>2403005</v>
      </c>
      <c r="C2735" t="str">
        <f>IFERROR(__xludf.DUMMYFUNCTION("""COMPUTED_VALUE"""),"Cartouche")</f>
        <v>Cartouche</v>
      </c>
      <c r="D2735" t="str">
        <f>IFERROR(__xludf.DUMMYFUNCTION("""COMPUTED_VALUE"""),"GI-53 jaune")</f>
        <v>GI-53 jaune</v>
      </c>
      <c r="E2735" t="str">
        <f>IFERROR(__xludf.DUMMYFUNCTION("""COMPUTED_VALUE"""),"CANON")</f>
        <v>CANON</v>
      </c>
      <c r="F2735" t="str">
        <f>IFERROR(__xludf.DUMMYFUNCTION("""COMPUTED_VALUE"""),"E")</f>
        <v>E</v>
      </c>
      <c r="G2735" t="str">
        <f>IFERROR(__xludf.DUMMYFUNCTION("""COMPUTED_VALUE"""),"AC")</f>
        <v>AC</v>
      </c>
      <c r="H2735">
        <f>IFERROR(__xludf.DUMMYFUNCTION("""COMPUTED_VALUE"""),15.49)</f>
        <v>15.49</v>
      </c>
      <c r="I2735">
        <f>IFERROR(__xludf.DUMMYFUNCTION("""COMPUTED_VALUE"""),15.49)</f>
        <v>15.49</v>
      </c>
      <c r="BD2735" s="2006"/>
      <c r="LL2735" s="2007"/>
      <c r="LM2735" s="2007"/>
      <c r="MX2735" s="2007"/>
      <c r="ND2735" s="2007"/>
    </row>
    <row r="2736">
      <c r="A2736">
        <f>IFERROR(__xludf.DUMMYFUNCTION("""COMPUTED_VALUE"""),1195595.0)</f>
        <v>1195595</v>
      </c>
      <c r="B2736">
        <f>IFERROR(__xludf.DUMMYFUNCTION("""COMPUTED_VALUE"""),2403005.0)</f>
        <v>2403005</v>
      </c>
      <c r="C2736" t="str">
        <f>IFERROR(__xludf.DUMMYFUNCTION("""COMPUTED_VALUE"""),"Cartouche")</f>
        <v>Cartouche</v>
      </c>
      <c r="D2736" t="str">
        <f>IFERROR(__xludf.DUMMYFUNCTION("""COMPUTED_VALUE"""),"CLI-65 noire")</f>
        <v>CLI-65 noire</v>
      </c>
      <c r="E2736" t="str">
        <f>IFERROR(__xludf.DUMMYFUNCTION("""COMPUTED_VALUE"""),"CANON")</f>
        <v>CANON</v>
      </c>
      <c r="F2736" t="str">
        <f>IFERROR(__xludf.DUMMYFUNCTION("""COMPUTED_VALUE"""),"W")</f>
        <v>W</v>
      </c>
      <c r="G2736" t="str">
        <f>IFERROR(__xludf.DUMMYFUNCTION("""COMPUTED_VALUE"""),"AC")</f>
        <v>AC</v>
      </c>
      <c r="H2736">
        <f>IFERROR(__xludf.DUMMYFUNCTION("""COMPUTED_VALUE"""),20.49)</f>
        <v>20.49</v>
      </c>
      <c r="I2736">
        <f>IFERROR(__xludf.DUMMYFUNCTION("""COMPUTED_VALUE"""),20.49)</f>
        <v>20.49</v>
      </c>
      <c r="BD2736" s="2006"/>
      <c r="LL2736" s="2007"/>
      <c r="LM2736" s="2007"/>
      <c r="MX2736" s="2007"/>
      <c r="ND2736" s="2007"/>
    </row>
    <row r="2737">
      <c r="A2737">
        <f>IFERROR(__xludf.DUMMYFUNCTION("""COMPUTED_VALUE"""),1195596.0)</f>
        <v>1195596</v>
      </c>
      <c r="B2737">
        <f>IFERROR(__xludf.DUMMYFUNCTION("""COMPUTED_VALUE"""),2403005.0)</f>
        <v>2403005</v>
      </c>
      <c r="C2737" t="str">
        <f>IFERROR(__xludf.DUMMYFUNCTION("""COMPUTED_VALUE"""),"Cartouche")</f>
        <v>Cartouche</v>
      </c>
      <c r="D2737" t="str">
        <f>IFERROR(__xludf.DUMMYFUNCTION("""COMPUTED_VALUE"""),"CLI-65 bleu")</f>
        <v>CLI-65 bleu</v>
      </c>
      <c r="E2737" t="str">
        <f>IFERROR(__xludf.DUMMYFUNCTION("""COMPUTED_VALUE"""),"CANON")</f>
        <v>CANON</v>
      </c>
      <c r="F2737" t="str">
        <f>IFERROR(__xludf.DUMMYFUNCTION("""COMPUTED_VALUE"""),"W")</f>
        <v>W</v>
      </c>
      <c r="G2737" t="str">
        <f>IFERROR(__xludf.DUMMYFUNCTION("""COMPUTED_VALUE"""),"AC")</f>
        <v>AC</v>
      </c>
      <c r="H2737">
        <f>IFERROR(__xludf.DUMMYFUNCTION("""COMPUTED_VALUE"""),20.49)</f>
        <v>20.49</v>
      </c>
      <c r="I2737">
        <f>IFERROR(__xludf.DUMMYFUNCTION("""COMPUTED_VALUE"""),20.49)</f>
        <v>20.49</v>
      </c>
      <c r="BD2737" s="2006"/>
      <c r="LL2737" s="2007"/>
      <c r="LM2737" s="2007"/>
      <c r="MX2737" s="2007"/>
      <c r="ND2737" s="2007"/>
    </row>
    <row r="2738">
      <c r="A2738">
        <f>IFERROR(__xludf.DUMMYFUNCTION("""COMPUTED_VALUE"""),1195597.0)</f>
        <v>1195597</v>
      </c>
      <c r="B2738">
        <f>IFERROR(__xludf.DUMMYFUNCTION("""COMPUTED_VALUE"""),2403005.0)</f>
        <v>2403005</v>
      </c>
      <c r="C2738" t="str">
        <f>IFERROR(__xludf.DUMMYFUNCTION("""COMPUTED_VALUE"""),"Cartouche")</f>
        <v>Cartouche</v>
      </c>
      <c r="D2738" t="str">
        <f>IFERROR(__xludf.DUMMYFUNCTION("""COMPUTED_VALUE"""),"CLI-65 gris")</f>
        <v>CLI-65 gris</v>
      </c>
      <c r="E2738" t="str">
        <f>IFERROR(__xludf.DUMMYFUNCTION("""COMPUTED_VALUE"""),"CANON")</f>
        <v>CANON</v>
      </c>
      <c r="F2738" t="str">
        <f>IFERROR(__xludf.DUMMYFUNCTION("""COMPUTED_VALUE"""),"W")</f>
        <v>W</v>
      </c>
      <c r="G2738" t="str">
        <f>IFERROR(__xludf.DUMMYFUNCTION("""COMPUTED_VALUE"""),"AC")</f>
        <v>AC</v>
      </c>
      <c r="H2738">
        <f>IFERROR(__xludf.DUMMYFUNCTION("""COMPUTED_VALUE"""),20.49)</f>
        <v>20.49</v>
      </c>
      <c r="I2738">
        <f>IFERROR(__xludf.DUMMYFUNCTION("""COMPUTED_VALUE"""),20.49)</f>
        <v>20.49</v>
      </c>
      <c r="BD2738" s="2006"/>
      <c r="LL2738" s="2007"/>
      <c r="LM2738" s="2007"/>
      <c r="MX2738" s="2007"/>
      <c r="ND2738" s="2007"/>
    </row>
    <row r="2739">
      <c r="A2739">
        <f>IFERROR(__xludf.DUMMYFUNCTION("""COMPUTED_VALUE"""),1195598.0)</f>
        <v>1195598</v>
      </c>
      <c r="B2739">
        <f>IFERROR(__xludf.DUMMYFUNCTION("""COMPUTED_VALUE"""),2403005.0)</f>
        <v>2403005</v>
      </c>
      <c r="C2739" t="str">
        <f>IFERROR(__xludf.DUMMYFUNCTION("""COMPUTED_VALUE"""),"Cartouche")</f>
        <v>Cartouche</v>
      </c>
      <c r="D2739" t="str">
        <f>IFERROR(__xludf.DUMMYFUNCTION("""COMPUTED_VALUE"""),"CLI-65 gris clair")</f>
        <v>CLI-65 gris clair</v>
      </c>
      <c r="E2739" t="str">
        <f>IFERROR(__xludf.DUMMYFUNCTION("""COMPUTED_VALUE"""),"CANON")</f>
        <v>CANON</v>
      </c>
      <c r="F2739" t="str">
        <f>IFERROR(__xludf.DUMMYFUNCTION("""COMPUTED_VALUE"""),"W")</f>
        <v>W</v>
      </c>
      <c r="G2739" t="str">
        <f>IFERROR(__xludf.DUMMYFUNCTION("""COMPUTED_VALUE"""),"AC")</f>
        <v>AC</v>
      </c>
      <c r="H2739">
        <f>IFERROR(__xludf.DUMMYFUNCTION("""COMPUTED_VALUE"""),20.49)</f>
        <v>20.49</v>
      </c>
      <c r="I2739">
        <f>IFERROR(__xludf.DUMMYFUNCTION("""COMPUTED_VALUE"""),20.49)</f>
        <v>20.49</v>
      </c>
      <c r="BD2739" s="2006"/>
      <c r="LL2739" s="2007"/>
      <c r="LM2739" s="2007"/>
      <c r="MX2739" s="2007"/>
      <c r="ND2739" s="2007"/>
    </row>
    <row r="2740">
      <c r="A2740">
        <f>IFERROR(__xludf.DUMMYFUNCTION("""COMPUTED_VALUE"""),1195599.0)</f>
        <v>1195599</v>
      </c>
      <c r="B2740">
        <f>IFERROR(__xludf.DUMMYFUNCTION("""COMPUTED_VALUE"""),2403005.0)</f>
        <v>2403005</v>
      </c>
      <c r="C2740" t="str">
        <f>IFERROR(__xludf.DUMMYFUNCTION("""COMPUTED_VALUE"""),"Cartouche")</f>
        <v>Cartouche</v>
      </c>
      <c r="D2740" t="str">
        <f>IFERROR(__xludf.DUMMYFUNCTION("""COMPUTED_VALUE"""),"CLI-65 magenta")</f>
        <v>CLI-65 magenta</v>
      </c>
      <c r="E2740" t="str">
        <f>IFERROR(__xludf.DUMMYFUNCTION("""COMPUTED_VALUE"""),"CANON")</f>
        <v>CANON</v>
      </c>
      <c r="F2740" t="str">
        <f>IFERROR(__xludf.DUMMYFUNCTION("""COMPUTED_VALUE"""),"W")</f>
        <v>W</v>
      </c>
      <c r="G2740" t="str">
        <f>IFERROR(__xludf.DUMMYFUNCTION("""COMPUTED_VALUE"""),"AC")</f>
        <v>AC</v>
      </c>
      <c r="H2740">
        <f>IFERROR(__xludf.DUMMYFUNCTION("""COMPUTED_VALUE"""),20.49)</f>
        <v>20.49</v>
      </c>
      <c r="I2740">
        <f>IFERROR(__xludf.DUMMYFUNCTION("""COMPUTED_VALUE"""),20.49)</f>
        <v>20.49</v>
      </c>
      <c r="LL2740" s="2007"/>
      <c r="LM2740" s="2007"/>
    </row>
    <row r="2741">
      <c r="A2741">
        <f>IFERROR(__xludf.DUMMYFUNCTION("""COMPUTED_VALUE"""),1195600.0)</f>
        <v>1195600</v>
      </c>
      <c r="B2741">
        <f>IFERROR(__xludf.DUMMYFUNCTION("""COMPUTED_VALUE"""),2403005.0)</f>
        <v>2403005</v>
      </c>
      <c r="C2741" t="str">
        <f>IFERROR(__xludf.DUMMYFUNCTION("""COMPUTED_VALUE"""),"Cartouche")</f>
        <v>Cartouche</v>
      </c>
      <c r="D2741" t="str">
        <f>IFERROR(__xludf.DUMMYFUNCTION("""COMPUTED_VALUE"""),"CLI-65 bleu photo")</f>
        <v>CLI-65 bleu photo</v>
      </c>
      <c r="E2741" t="str">
        <f>IFERROR(__xludf.DUMMYFUNCTION("""COMPUTED_VALUE"""),"CANON")</f>
        <v>CANON</v>
      </c>
      <c r="F2741" t="str">
        <f>IFERROR(__xludf.DUMMYFUNCTION("""COMPUTED_VALUE"""),"W")</f>
        <v>W</v>
      </c>
      <c r="G2741" t="str">
        <f>IFERROR(__xludf.DUMMYFUNCTION("""COMPUTED_VALUE"""),"AC")</f>
        <v>AC</v>
      </c>
      <c r="H2741">
        <f>IFERROR(__xludf.DUMMYFUNCTION("""COMPUTED_VALUE"""),20.49)</f>
        <v>20.49</v>
      </c>
      <c r="I2741">
        <f>IFERROR(__xludf.DUMMYFUNCTION("""COMPUTED_VALUE"""),20.49)</f>
        <v>20.49</v>
      </c>
      <c r="LL2741" s="2007"/>
      <c r="LM2741" s="2007"/>
    </row>
    <row r="2742">
      <c r="A2742">
        <f>IFERROR(__xludf.DUMMYFUNCTION("""COMPUTED_VALUE"""),1195601.0)</f>
        <v>1195601</v>
      </c>
      <c r="B2742">
        <f>IFERROR(__xludf.DUMMYFUNCTION("""COMPUTED_VALUE"""),2403005.0)</f>
        <v>2403005</v>
      </c>
      <c r="C2742" t="str">
        <f>IFERROR(__xludf.DUMMYFUNCTION("""COMPUTED_VALUE"""),"Cartouche")</f>
        <v>Cartouche</v>
      </c>
      <c r="D2742" t="str">
        <f>IFERROR(__xludf.DUMMYFUNCTION("""COMPUTED_VALUE"""),"CLI-65 magenta photo")</f>
        <v>CLI-65 magenta photo</v>
      </c>
      <c r="E2742" t="str">
        <f>IFERROR(__xludf.DUMMYFUNCTION("""COMPUTED_VALUE"""),"CANON")</f>
        <v>CANON</v>
      </c>
      <c r="F2742" t="str">
        <f>IFERROR(__xludf.DUMMYFUNCTION("""COMPUTED_VALUE"""),"W")</f>
        <v>W</v>
      </c>
      <c r="G2742" t="str">
        <f>IFERROR(__xludf.DUMMYFUNCTION("""COMPUTED_VALUE"""),"AC")</f>
        <v>AC</v>
      </c>
      <c r="H2742">
        <f>IFERROR(__xludf.DUMMYFUNCTION("""COMPUTED_VALUE"""),20.49)</f>
        <v>20.49</v>
      </c>
      <c r="I2742">
        <f>IFERROR(__xludf.DUMMYFUNCTION("""COMPUTED_VALUE"""),20.49)</f>
        <v>20.49</v>
      </c>
      <c r="BD2742" s="2006"/>
      <c r="LL2742" s="2007"/>
      <c r="LM2742" s="2007"/>
      <c r="MX2742" s="2007"/>
      <c r="ND2742" s="2007"/>
    </row>
    <row r="2743">
      <c r="A2743">
        <f>IFERROR(__xludf.DUMMYFUNCTION("""COMPUTED_VALUE"""),1195602.0)</f>
        <v>1195602</v>
      </c>
      <c r="B2743">
        <f>IFERROR(__xludf.DUMMYFUNCTION("""COMPUTED_VALUE"""),2403005.0)</f>
        <v>2403005</v>
      </c>
      <c r="C2743" t="str">
        <f>IFERROR(__xludf.DUMMYFUNCTION("""COMPUTED_VALUE"""),"Cartouche")</f>
        <v>Cartouche</v>
      </c>
      <c r="D2743" t="str">
        <f>IFERROR(__xludf.DUMMYFUNCTION("""COMPUTED_VALUE"""),"CLI-65 jaune")</f>
        <v>CLI-65 jaune</v>
      </c>
      <c r="E2743" t="str">
        <f>IFERROR(__xludf.DUMMYFUNCTION("""COMPUTED_VALUE"""),"CANON")</f>
        <v>CANON</v>
      </c>
      <c r="F2743" t="str">
        <f>IFERROR(__xludf.DUMMYFUNCTION("""COMPUTED_VALUE"""),"W")</f>
        <v>W</v>
      </c>
      <c r="G2743" t="str">
        <f>IFERROR(__xludf.DUMMYFUNCTION("""COMPUTED_VALUE"""),"AC")</f>
        <v>AC</v>
      </c>
      <c r="H2743">
        <f>IFERROR(__xludf.DUMMYFUNCTION("""COMPUTED_VALUE"""),20.49)</f>
        <v>20.49</v>
      </c>
      <c r="I2743">
        <f>IFERROR(__xludf.DUMMYFUNCTION("""COMPUTED_VALUE"""),20.49)</f>
        <v>20.49</v>
      </c>
      <c r="BD2743" s="2006"/>
      <c r="LL2743" s="2007"/>
      <c r="LM2743" s="2007"/>
      <c r="MX2743" s="2007"/>
      <c r="ND2743" s="2008"/>
    </row>
    <row r="2744">
      <c r="A2744">
        <f>IFERROR(__xludf.DUMMYFUNCTION("""COMPUTED_VALUE"""),1195698.0)</f>
        <v>1195698</v>
      </c>
      <c r="B2744">
        <f>IFERROR(__xludf.DUMMYFUNCTION("""COMPUTED_VALUE"""),2502010.0)</f>
        <v>2502010</v>
      </c>
      <c r="C2744" t="str">
        <f>IFERROR(__xludf.DUMMYFUNCTION("""COMPUTED_VALUE"""),"Souris")</f>
        <v>Souris</v>
      </c>
      <c r="D2744" t="str">
        <f>IFERROR(__xludf.DUMMYFUNCTION("""COMPUTED_VALUE"""),"Pebble 2 M350s Graphite")</f>
        <v>Pebble 2 M350s Graphite</v>
      </c>
      <c r="E2744" t="str">
        <f>IFERROR(__xludf.DUMMYFUNCTION("""COMPUTED_VALUE"""),"LOGITECH")</f>
        <v>LOGITECH</v>
      </c>
      <c r="F2744" t="str">
        <f>IFERROR(__xludf.DUMMYFUNCTION("""COMPUTED_VALUE"""),"C")</f>
        <v>C</v>
      </c>
      <c r="G2744" t="str">
        <f>IFERROR(__xludf.DUMMYFUNCTION("""COMPUTED_VALUE"""),"AC")</f>
        <v>AC</v>
      </c>
      <c r="H2744">
        <f>IFERROR(__xludf.DUMMYFUNCTION("""COMPUTED_VALUE"""),29.99)</f>
        <v>29.99</v>
      </c>
      <c r="I2744">
        <f>IFERROR(__xludf.DUMMYFUNCTION("""COMPUTED_VALUE"""),29.99)</f>
        <v>29.99</v>
      </c>
      <c r="LL2744" s="2007"/>
      <c r="LM2744" s="2007"/>
      <c r="MX2744" s="2007"/>
      <c r="ND2744" s="2007"/>
    </row>
    <row r="2745">
      <c r="A2745">
        <f>IFERROR(__xludf.DUMMYFUNCTION("""COMPUTED_VALUE"""),1195699.0)</f>
        <v>1195699</v>
      </c>
      <c r="B2745">
        <f>IFERROR(__xludf.DUMMYFUNCTION("""COMPUTED_VALUE"""),2502010.0)</f>
        <v>2502010</v>
      </c>
      <c r="C2745" t="str">
        <f>IFERROR(__xludf.DUMMYFUNCTION("""COMPUTED_VALUE"""),"Souris")</f>
        <v>Souris</v>
      </c>
      <c r="D2745" t="str">
        <f>IFERROR(__xludf.DUMMYFUNCTION("""COMPUTED_VALUE"""),"Pebble 2 MS350s Blanc cassé")</f>
        <v>Pebble 2 MS350s Blanc cassé</v>
      </c>
      <c r="E2745" t="str">
        <f>IFERROR(__xludf.DUMMYFUNCTION("""COMPUTED_VALUE"""),"LOGITECH")</f>
        <v>LOGITECH</v>
      </c>
      <c r="F2745" t="str">
        <f>IFERROR(__xludf.DUMMYFUNCTION("""COMPUTED_VALUE"""),"B")</f>
        <v>B</v>
      </c>
      <c r="G2745" t="str">
        <f>IFERROR(__xludf.DUMMYFUNCTION("""COMPUTED_VALUE"""),"AC")</f>
        <v>AC</v>
      </c>
      <c r="H2745">
        <f>IFERROR(__xludf.DUMMYFUNCTION("""COMPUTED_VALUE"""),29.99)</f>
        <v>29.99</v>
      </c>
      <c r="I2745">
        <f>IFERROR(__xludf.DUMMYFUNCTION("""COMPUTED_VALUE"""),29.99)</f>
        <v>29.99</v>
      </c>
      <c r="LL2745" s="2007"/>
      <c r="LM2745" s="2007"/>
      <c r="MX2745" s="2007"/>
      <c r="ND2745" s="2007"/>
    </row>
    <row r="2746">
      <c r="A2746">
        <f>IFERROR(__xludf.DUMMYFUNCTION("""COMPUTED_VALUE"""),1195700.0)</f>
        <v>1195700</v>
      </c>
      <c r="B2746">
        <f>IFERROR(__xludf.DUMMYFUNCTION("""COMPUTED_VALUE"""),2502010.0)</f>
        <v>2502010</v>
      </c>
      <c r="C2746" t="str">
        <f>IFERROR(__xludf.DUMMYFUNCTION("""COMPUTED_VALUE"""),"Souris")</f>
        <v>Souris</v>
      </c>
      <c r="D2746" t="str">
        <f>IFERROR(__xludf.DUMMYFUNCTION("""COMPUTED_VALUE"""),"Pebble 2 MS350s Rose")</f>
        <v>Pebble 2 MS350s Rose</v>
      </c>
      <c r="E2746" t="str">
        <f>IFERROR(__xludf.DUMMYFUNCTION("""COMPUTED_VALUE"""),"LOGITECH")</f>
        <v>LOGITECH</v>
      </c>
      <c r="F2746" t="str">
        <f>IFERROR(__xludf.DUMMYFUNCTION("""COMPUTED_VALUE"""),"D")</f>
        <v>D</v>
      </c>
      <c r="G2746" t="str">
        <f>IFERROR(__xludf.DUMMYFUNCTION("""COMPUTED_VALUE"""),"AC")</f>
        <v>AC</v>
      </c>
      <c r="H2746">
        <f>IFERROR(__xludf.DUMMYFUNCTION("""COMPUTED_VALUE"""),29.99)</f>
        <v>29.99</v>
      </c>
      <c r="I2746">
        <f>IFERROR(__xludf.DUMMYFUNCTION("""COMPUTED_VALUE"""),29.99)</f>
        <v>29.99</v>
      </c>
      <c r="LL2746" s="2007"/>
      <c r="LM2746" s="2007"/>
      <c r="MX2746" s="2007"/>
      <c r="ND2746" s="2007"/>
    </row>
    <row r="2747">
      <c r="A2747">
        <f>IFERROR(__xludf.DUMMYFUNCTION("""COMPUTED_VALUE"""),1195711.0)</f>
        <v>1195711</v>
      </c>
      <c r="B2747">
        <f>IFERROR(__xludf.DUMMYFUNCTION("""COMPUTED_VALUE"""),2502015.0)</f>
        <v>2502015</v>
      </c>
      <c r="C2747" t="str">
        <f>IFERROR(__xludf.DUMMYFUNCTION("""COMPUTED_VALUE"""),"Clavier")</f>
        <v>Clavier</v>
      </c>
      <c r="D2747" t="str">
        <f>IFERROR(__xludf.DUMMYFUNCTION("""COMPUTED_VALUE"""),"Pebble 2 K380s Graphite")</f>
        <v>Pebble 2 K380s Graphite</v>
      </c>
      <c r="E2747" t="str">
        <f>IFERROR(__xludf.DUMMYFUNCTION("""COMPUTED_VALUE"""),"LOGITECH")</f>
        <v>LOGITECH</v>
      </c>
      <c r="F2747" t="str">
        <f>IFERROR(__xludf.DUMMYFUNCTION("""COMPUTED_VALUE"""),"D")</f>
        <v>D</v>
      </c>
      <c r="G2747" t="str">
        <f>IFERROR(__xludf.DUMMYFUNCTION("""COMPUTED_VALUE"""),"AC")</f>
        <v>AC</v>
      </c>
      <c r="H2747">
        <f>IFERROR(__xludf.DUMMYFUNCTION("""COMPUTED_VALUE"""),54.99)</f>
        <v>54.99</v>
      </c>
      <c r="I2747">
        <f>IFERROR(__xludf.DUMMYFUNCTION("""COMPUTED_VALUE"""),49.99)</f>
        <v>49.99</v>
      </c>
      <c r="LL2747" s="2007"/>
      <c r="LM2747" s="2007"/>
      <c r="MX2747" s="2007"/>
      <c r="ND2747" s="2007"/>
    </row>
    <row r="2748">
      <c r="A2748">
        <f>IFERROR(__xludf.DUMMYFUNCTION("""COMPUTED_VALUE"""),1195712.0)</f>
        <v>1195712</v>
      </c>
      <c r="B2748">
        <f>IFERROR(__xludf.DUMMYFUNCTION("""COMPUTED_VALUE"""),2502015.0)</f>
        <v>2502015</v>
      </c>
      <c r="C2748" t="str">
        <f>IFERROR(__xludf.DUMMYFUNCTION("""COMPUTED_VALUE"""),"Clavier")</f>
        <v>Clavier</v>
      </c>
      <c r="D2748" t="str">
        <f>IFERROR(__xludf.DUMMYFUNCTION("""COMPUTED_VALUE"""),"Pebble 2 K380s Blanc cassé")</f>
        <v>Pebble 2 K380s Blanc cassé</v>
      </c>
      <c r="E2748" t="str">
        <f>IFERROR(__xludf.DUMMYFUNCTION("""COMPUTED_VALUE"""),"LOGITECH")</f>
        <v>LOGITECH</v>
      </c>
      <c r="F2748" t="str">
        <f>IFERROR(__xludf.DUMMYFUNCTION("""COMPUTED_VALUE"""),"W")</f>
        <v>W</v>
      </c>
      <c r="G2748" t="str">
        <f>IFERROR(__xludf.DUMMYFUNCTION("""COMPUTED_VALUE"""),"AC")</f>
        <v>AC</v>
      </c>
      <c r="H2748">
        <f>IFERROR(__xludf.DUMMYFUNCTION("""COMPUTED_VALUE"""),54.99)</f>
        <v>54.99</v>
      </c>
      <c r="I2748">
        <f>IFERROR(__xludf.DUMMYFUNCTION("""COMPUTED_VALUE"""),52.75)</f>
        <v>52.75</v>
      </c>
      <c r="BD2748" s="2006"/>
      <c r="LL2748" s="2008"/>
      <c r="LM2748" s="2007"/>
      <c r="MX2748" s="2007"/>
      <c r="NB2748" s="2009"/>
      <c r="ND2748" s="2007"/>
    </row>
    <row r="2749">
      <c r="A2749">
        <f>IFERROR(__xludf.DUMMYFUNCTION("""COMPUTED_VALUE"""),1195713.0)</f>
        <v>1195713</v>
      </c>
      <c r="B2749">
        <f>IFERROR(__xludf.DUMMYFUNCTION("""COMPUTED_VALUE"""),2502015.0)</f>
        <v>2502015</v>
      </c>
      <c r="C2749" t="str">
        <f>IFERROR(__xludf.DUMMYFUNCTION("""COMPUTED_VALUE"""),"Clavier")</f>
        <v>Clavier</v>
      </c>
      <c r="D2749" t="str">
        <f>IFERROR(__xludf.DUMMYFUNCTION("""COMPUTED_VALUE"""),"Pebble 2 K380s Rose")</f>
        <v>Pebble 2 K380s Rose</v>
      </c>
      <c r="E2749" t="str">
        <f>IFERROR(__xludf.DUMMYFUNCTION("""COMPUTED_VALUE"""),"LOGITECH")</f>
        <v>LOGITECH</v>
      </c>
      <c r="F2749" t="str">
        <f>IFERROR(__xludf.DUMMYFUNCTION("""COMPUTED_VALUE"""),"W")</f>
        <v>W</v>
      </c>
      <c r="G2749" t="str">
        <f>IFERROR(__xludf.DUMMYFUNCTION("""COMPUTED_VALUE"""),"AC")</f>
        <v>AC</v>
      </c>
      <c r="H2749">
        <f>IFERROR(__xludf.DUMMYFUNCTION("""COMPUTED_VALUE"""),54.99)</f>
        <v>54.99</v>
      </c>
      <c r="I2749">
        <f>IFERROR(__xludf.DUMMYFUNCTION("""COMPUTED_VALUE"""),54.95)</f>
        <v>54.95</v>
      </c>
      <c r="BD2749" s="2006"/>
      <c r="LL2749" s="2007"/>
      <c r="LM2749" s="2007"/>
      <c r="MX2749" s="2007"/>
      <c r="ND2749" s="2007"/>
    </row>
    <row r="2750">
      <c r="A2750">
        <f>IFERROR(__xludf.DUMMYFUNCTION("""COMPUTED_VALUE"""),1195714.0)</f>
        <v>1195714</v>
      </c>
      <c r="B2750">
        <f>IFERROR(__xludf.DUMMYFUNCTION("""COMPUTED_VALUE"""),2502015.0)</f>
        <v>2502015</v>
      </c>
      <c r="C2750" t="str">
        <f>IFERROR(__xludf.DUMMYFUNCTION("""COMPUTED_VALUE"""),"Clavier+Souris")</f>
        <v>Clavier+Souris</v>
      </c>
      <c r="D2750" t="str">
        <f>IFERROR(__xludf.DUMMYFUNCTION("""COMPUTED_VALUE"""),"Pebble 2 K380s + M350s Blanc cassé")</f>
        <v>Pebble 2 K380s + M350s Blanc cassé</v>
      </c>
      <c r="E2750" t="str">
        <f>IFERROR(__xludf.DUMMYFUNCTION("""COMPUTED_VALUE"""),"LOGITECH")</f>
        <v>LOGITECH</v>
      </c>
      <c r="F2750" t="str">
        <f>IFERROR(__xludf.DUMMYFUNCTION("""COMPUTED_VALUE"""),"C")</f>
        <v>C</v>
      </c>
      <c r="G2750" t="str">
        <f>IFERROR(__xludf.DUMMYFUNCTION("""COMPUTED_VALUE"""),"AC")</f>
        <v>AC</v>
      </c>
      <c r="H2750">
        <f>IFERROR(__xludf.DUMMYFUNCTION("""COMPUTED_VALUE"""),74.99)</f>
        <v>74.99</v>
      </c>
      <c r="I2750">
        <f>IFERROR(__xludf.DUMMYFUNCTION("""COMPUTED_VALUE"""),74.99)</f>
        <v>74.99</v>
      </c>
      <c r="BD2750" s="2006"/>
      <c r="LL2750" s="2007"/>
      <c r="LM2750" s="2007"/>
      <c r="MX2750" s="2007"/>
      <c r="ND2750" s="2007"/>
    </row>
    <row r="2751">
      <c r="A2751">
        <f>IFERROR(__xludf.DUMMYFUNCTION("""COMPUTED_VALUE"""),1195715.0)</f>
        <v>1195715</v>
      </c>
      <c r="B2751">
        <f>IFERROR(__xludf.DUMMYFUNCTION("""COMPUTED_VALUE"""),2502015.0)</f>
        <v>2502015</v>
      </c>
      <c r="C2751" t="str">
        <f>IFERROR(__xludf.DUMMYFUNCTION("""COMPUTED_VALUE"""),"Clavier+Souris")</f>
        <v>Clavier+Souris</v>
      </c>
      <c r="D2751" t="str">
        <f>IFERROR(__xludf.DUMMYFUNCTION("""COMPUTED_VALUE"""),"Pebble 2 pour Mac M350s+K380s Graphite")</f>
        <v>Pebble 2 pour Mac M350s+K380s Graphite</v>
      </c>
      <c r="E2751" t="str">
        <f>IFERROR(__xludf.DUMMYFUNCTION("""COMPUTED_VALUE"""),"LOGITECH")</f>
        <v>LOGITECH</v>
      </c>
      <c r="F2751" t="str">
        <f>IFERROR(__xludf.DUMMYFUNCTION("""COMPUTED_VALUE"""),"H")</f>
        <v>H</v>
      </c>
      <c r="G2751" t="str">
        <f>IFERROR(__xludf.DUMMYFUNCTION("""COMPUTED_VALUE"""),"AC")</f>
        <v>AC</v>
      </c>
      <c r="H2751">
        <f>IFERROR(__xludf.DUMMYFUNCTION("""COMPUTED_VALUE"""),74.99)</f>
        <v>74.99</v>
      </c>
      <c r="I2751">
        <f>IFERROR(__xludf.DUMMYFUNCTION("""COMPUTED_VALUE"""),74.99)</f>
        <v>74.99</v>
      </c>
      <c r="BD2751" s="2006"/>
      <c r="LL2751" s="2007"/>
      <c r="LM2751" s="2007"/>
      <c r="MX2751" s="2007"/>
      <c r="ND2751" s="2007"/>
    </row>
    <row r="2752">
      <c r="A2752">
        <f>IFERROR(__xludf.DUMMYFUNCTION("""COMPUTED_VALUE"""),1195716.0)</f>
        <v>1195716</v>
      </c>
      <c r="B2752">
        <f>IFERROR(__xludf.DUMMYFUNCTION("""COMPUTED_VALUE"""),2502020.0)</f>
        <v>2502020</v>
      </c>
      <c r="C2752" t="str">
        <f>IFERROR(__xludf.DUMMYFUNCTION("""COMPUTED_VALUE"""),"Webcam")</f>
        <v>Webcam</v>
      </c>
      <c r="D2752" t="str">
        <f>IFERROR(__xludf.DUMMYFUNCTION("""COMPUTED_VALUE"""),"Brio 100 Full HD Noir")</f>
        <v>Brio 100 Full HD Noir</v>
      </c>
      <c r="E2752" t="str">
        <f>IFERROR(__xludf.DUMMYFUNCTION("""COMPUTED_VALUE"""),"LOGITECH")</f>
        <v>LOGITECH</v>
      </c>
      <c r="F2752" t="str">
        <f>IFERROR(__xludf.DUMMYFUNCTION("""COMPUTED_VALUE"""),"B")</f>
        <v>B</v>
      </c>
      <c r="G2752" t="str">
        <f>IFERROR(__xludf.DUMMYFUNCTION("""COMPUTED_VALUE"""),"AC")</f>
        <v>AC</v>
      </c>
      <c r="H2752">
        <f>IFERROR(__xludf.DUMMYFUNCTION("""COMPUTED_VALUE"""),49.99)</f>
        <v>49.99</v>
      </c>
      <c r="I2752">
        <f>IFERROR(__xludf.DUMMYFUNCTION("""COMPUTED_VALUE"""),49.99)</f>
        <v>49.99</v>
      </c>
      <c r="BD2752" s="2006"/>
      <c r="LL2752" s="2008"/>
      <c r="LM2752" s="2007"/>
      <c r="MX2752" s="2007"/>
      <c r="ND2752" s="2007"/>
    </row>
    <row r="2753">
      <c r="A2753">
        <f>IFERROR(__xludf.DUMMYFUNCTION("""COMPUTED_VALUE"""),1195717.0)</f>
        <v>1195717</v>
      </c>
      <c r="B2753">
        <f>IFERROR(__xludf.DUMMYFUNCTION("""COMPUTED_VALUE"""),2502020.0)</f>
        <v>2502020</v>
      </c>
      <c r="C2753" t="str">
        <f>IFERROR(__xludf.DUMMYFUNCTION("""COMPUTED_VALUE"""),"Webcam")</f>
        <v>Webcam</v>
      </c>
      <c r="D2753" t="str">
        <f>IFERROR(__xludf.DUMMYFUNCTION("""COMPUTED_VALUE"""),"Brio 100 Full HD Blanc cassé")</f>
        <v>Brio 100 Full HD Blanc cassé</v>
      </c>
      <c r="E2753" t="str">
        <f>IFERROR(__xludf.DUMMYFUNCTION("""COMPUTED_VALUE"""),"LOGITECH")</f>
        <v>LOGITECH</v>
      </c>
      <c r="F2753" t="str">
        <f>IFERROR(__xludf.DUMMYFUNCTION("""COMPUTED_VALUE"""),"H")</f>
        <v>H</v>
      </c>
      <c r="G2753" t="str">
        <f>IFERROR(__xludf.DUMMYFUNCTION("""COMPUTED_VALUE"""),"AC")</f>
        <v>AC</v>
      </c>
      <c r="H2753">
        <f>IFERROR(__xludf.DUMMYFUNCTION("""COMPUTED_VALUE"""),49.99)</f>
        <v>49.99</v>
      </c>
      <c r="I2753">
        <f>IFERROR(__xludf.DUMMYFUNCTION("""COMPUTED_VALUE"""),49.99)</f>
        <v>49.99</v>
      </c>
      <c r="BD2753" s="2006"/>
      <c r="LL2753" s="2007"/>
      <c r="LM2753" s="2007"/>
      <c r="MX2753" s="2007"/>
      <c r="ND2753" s="2007"/>
    </row>
    <row r="2754">
      <c r="A2754">
        <f>IFERROR(__xludf.DUMMYFUNCTION("""COMPUTED_VALUE"""),1195718.0)</f>
        <v>1195718</v>
      </c>
      <c r="B2754">
        <f>IFERROR(__xludf.DUMMYFUNCTION("""COMPUTED_VALUE"""),2502020.0)</f>
        <v>2502020</v>
      </c>
      <c r="C2754" t="str">
        <f>IFERROR(__xludf.DUMMYFUNCTION("""COMPUTED_VALUE"""),"Webcam")</f>
        <v>Webcam</v>
      </c>
      <c r="D2754" t="str">
        <f>IFERROR(__xludf.DUMMYFUNCTION("""COMPUTED_VALUE"""),"Brio 100 Full HD Rose")</f>
        <v>Brio 100 Full HD Rose</v>
      </c>
      <c r="E2754" t="str">
        <f>IFERROR(__xludf.DUMMYFUNCTION("""COMPUTED_VALUE"""),"LOGITECH")</f>
        <v>LOGITECH</v>
      </c>
      <c r="F2754" t="str">
        <f>IFERROR(__xludf.DUMMYFUNCTION("""COMPUTED_VALUE"""),"H")</f>
        <v>H</v>
      </c>
      <c r="G2754" t="str">
        <f>IFERROR(__xludf.DUMMYFUNCTION("""COMPUTED_VALUE"""),"AC")</f>
        <v>AC</v>
      </c>
      <c r="H2754">
        <f>IFERROR(__xludf.DUMMYFUNCTION("""COMPUTED_VALUE"""),49.99)</f>
        <v>49.99</v>
      </c>
      <c r="I2754">
        <f>IFERROR(__xludf.DUMMYFUNCTION("""COMPUTED_VALUE"""),49.99)</f>
        <v>49.99</v>
      </c>
      <c r="LL2754" s="2007"/>
      <c r="LM2754" s="2007"/>
      <c r="MX2754" s="2007"/>
      <c r="ND2754" s="2007"/>
    </row>
    <row r="2755">
      <c r="A2755">
        <f>IFERROR(__xludf.DUMMYFUNCTION("""COMPUTED_VALUE"""),1195767.0)</f>
        <v>1195767</v>
      </c>
      <c r="B2755">
        <f>IFERROR(__xludf.DUMMYFUNCTION("""COMPUTED_VALUE"""),2502010.0)</f>
        <v>2502010</v>
      </c>
      <c r="D2755" t="str">
        <f>IFERROR(__xludf.DUMMYFUNCTION("""COMPUTED_VALUE"""),"reprise Logitech gaming 40 euros")</f>
        <v>reprise Logitech gaming 40 euros</v>
      </c>
      <c r="E2755" t="str">
        <f>IFERROR(__xludf.DUMMYFUNCTION("""COMPUTED_VALUE"""),".")</f>
        <v>.</v>
      </c>
      <c r="F2755" t="str">
        <f>IFERROR(__xludf.DUMMYFUNCTION("""COMPUTED_VALUE"""),"H")</f>
        <v>H</v>
      </c>
      <c r="G2755" t="str">
        <f>IFERROR(__xludf.DUMMYFUNCTION("""COMPUTED_VALUE"""),"AC")</f>
        <v>AC</v>
      </c>
      <c r="H2755">
        <f>IFERROR(__xludf.DUMMYFUNCTION("""COMPUTED_VALUE"""),0.01)</f>
        <v>0.01</v>
      </c>
      <c r="I2755">
        <f>IFERROR(__xludf.DUMMYFUNCTION("""COMPUTED_VALUE"""),0.01)</f>
        <v>0.01</v>
      </c>
      <c r="LL2755" s="2007"/>
      <c r="LM2755" s="2007"/>
      <c r="MX2755" s="2007"/>
      <c r="ND2755" s="2007"/>
    </row>
    <row r="2756">
      <c r="A2756">
        <f>IFERROR(__xludf.DUMMYFUNCTION("""COMPUTED_VALUE"""),1195769.0)</f>
        <v>1195769</v>
      </c>
      <c r="B2756">
        <f>IFERROR(__xludf.DUMMYFUNCTION("""COMPUTED_VALUE"""),2202010.0)</f>
        <v>2202010</v>
      </c>
      <c r="D2756" t="str">
        <f>IFERROR(__xludf.DUMMYFUNCTION("""COMPUTED_VALUE"""),"Reprise Epson Ecotank 10 euros")</f>
        <v>Reprise Epson Ecotank 10 euros</v>
      </c>
      <c r="E2756" t="str">
        <f>IFERROR(__xludf.DUMMYFUNCTION("""COMPUTED_VALUE"""),".")</f>
        <v>.</v>
      </c>
      <c r="F2756" t="str">
        <f>IFERROR(__xludf.DUMMYFUNCTION("""COMPUTED_VALUE"""),"H")</f>
        <v>H</v>
      </c>
      <c r="G2756" t="str">
        <f>IFERROR(__xludf.DUMMYFUNCTION("""COMPUTED_VALUE"""),"AC")</f>
        <v>AC</v>
      </c>
      <c r="H2756">
        <f>IFERROR(__xludf.DUMMYFUNCTION("""COMPUTED_VALUE"""),0.01)</f>
        <v>0.01</v>
      </c>
      <c r="I2756">
        <f>IFERROR(__xludf.DUMMYFUNCTION("""COMPUTED_VALUE"""),0.01)</f>
        <v>0.01</v>
      </c>
      <c r="LL2756" s="2007"/>
      <c r="LM2756" s="2007"/>
      <c r="MX2756" s="2007"/>
      <c r="ND2756" s="2007"/>
    </row>
    <row r="2757">
      <c r="A2757">
        <f>IFERROR(__xludf.DUMMYFUNCTION("""COMPUTED_VALUE"""),1195846.0)</f>
        <v>1195846</v>
      </c>
      <c r="B2757">
        <f>IFERROR(__xludf.DUMMYFUNCTION("""COMPUTED_VALUE"""),2705020.0)</f>
        <v>2705020</v>
      </c>
      <c r="C2757" t="str">
        <f>IFERROR(__xludf.DUMMYFUNCTION("""COMPUTED_VALUE"""),"Ecran")</f>
        <v>Ecran</v>
      </c>
      <c r="D2757" t="str">
        <f>IFERROR(__xludf.DUMMYFUNCTION("""COMPUTED_VALUE"""),"Support  MT49 MONITOR ARM")</f>
        <v>Support  MT49 MONITOR ARM</v>
      </c>
      <c r="E2757" t="str">
        <f>IFERROR(__xludf.DUMMYFUNCTION("""COMPUTED_VALUE"""),"OPLITE")</f>
        <v>OPLITE</v>
      </c>
      <c r="F2757" t="str">
        <f>IFERROR(__xludf.DUMMYFUNCTION("""COMPUTED_VALUE"""),"C")</f>
        <v>C</v>
      </c>
      <c r="G2757" t="str">
        <f>IFERROR(__xludf.DUMMYFUNCTION("""COMPUTED_VALUE"""),"AC")</f>
        <v>AC</v>
      </c>
      <c r="H2757">
        <f>IFERROR(__xludf.DUMMYFUNCTION("""COMPUTED_VALUE"""),149.99)</f>
        <v>149.99</v>
      </c>
      <c r="I2757">
        <f>IFERROR(__xludf.DUMMYFUNCTION("""COMPUTED_VALUE"""),149.99)</f>
        <v>149.99</v>
      </c>
      <c r="LL2757" s="2007"/>
      <c r="LM2757" s="2007"/>
      <c r="MX2757" s="2007"/>
      <c r="ND2757" s="2007"/>
    </row>
    <row r="2758">
      <c r="A2758">
        <f>IFERROR(__xludf.DUMMYFUNCTION("""COMPUTED_VALUE"""),1195847.0)</f>
        <v>1195847</v>
      </c>
      <c r="B2758">
        <f>IFERROR(__xludf.DUMMYFUNCTION("""COMPUTED_VALUE"""),2705020.0)</f>
        <v>2705020</v>
      </c>
      <c r="C2758" t="str">
        <f>IFERROR(__xludf.DUMMYFUNCTION("""COMPUTED_VALUE"""),"Ecran")</f>
        <v>Ecran</v>
      </c>
      <c r="D2758" t="str">
        <f>IFERROR(__xludf.DUMMYFUNCTION("""COMPUTED_VALUE"""),"Support MT20 MONITOR ARM")</f>
        <v>Support MT20 MONITOR ARM</v>
      </c>
      <c r="E2758" t="str">
        <f>IFERROR(__xludf.DUMMYFUNCTION("""COMPUTED_VALUE"""),"OPLITE")</f>
        <v>OPLITE</v>
      </c>
      <c r="F2758" t="str">
        <f>IFERROR(__xludf.DUMMYFUNCTION("""COMPUTED_VALUE"""),"H")</f>
        <v>H</v>
      </c>
      <c r="G2758" t="str">
        <f>IFERROR(__xludf.DUMMYFUNCTION("""COMPUTED_VALUE"""),"AC")</f>
        <v>AC</v>
      </c>
      <c r="H2758">
        <f>IFERROR(__xludf.DUMMYFUNCTION("""COMPUTED_VALUE"""),199.99)</f>
        <v>199.99</v>
      </c>
      <c r="I2758">
        <f>IFERROR(__xludf.DUMMYFUNCTION("""COMPUTED_VALUE"""),199.99)</f>
        <v>199.99</v>
      </c>
      <c r="LL2758" s="2007"/>
      <c r="LM2758" s="2007"/>
      <c r="MX2758" s="2007"/>
      <c r="ND2758" s="2007"/>
    </row>
    <row r="2759">
      <c r="A2759">
        <f>IFERROR(__xludf.DUMMYFUNCTION("""COMPUTED_VALUE"""),1195848.0)</f>
        <v>1195848</v>
      </c>
      <c r="B2759">
        <f>IFERROR(__xludf.DUMMYFUNCTION("""COMPUTED_VALUE"""),2705020.0)</f>
        <v>2705020</v>
      </c>
      <c r="C2759" t="str">
        <f>IFERROR(__xludf.DUMMYFUNCTION("""COMPUTED_VALUE"""),"Ecran")</f>
        <v>Ecran</v>
      </c>
      <c r="D2759" t="str">
        <f>IFERROR(__xludf.DUMMYFUNCTION("""COMPUTED_VALUE"""),"Support MT15 MONITOR ARM")</f>
        <v>Support MT15 MONITOR ARM</v>
      </c>
      <c r="E2759" t="str">
        <f>IFERROR(__xludf.DUMMYFUNCTION("""COMPUTED_VALUE"""),"OPLITE")</f>
        <v>OPLITE</v>
      </c>
      <c r="F2759" t="str">
        <f>IFERROR(__xludf.DUMMYFUNCTION("""COMPUTED_VALUE"""),"H")</f>
        <v>H</v>
      </c>
      <c r="G2759" t="str">
        <f>IFERROR(__xludf.DUMMYFUNCTION("""COMPUTED_VALUE"""),"NN")</f>
        <v>NN</v>
      </c>
      <c r="H2759">
        <f>IFERROR(__xludf.DUMMYFUNCTION("""COMPUTED_VALUE"""),149.99)</f>
        <v>149.99</v>
      </c>
      <c r="I2759">
        <f>IFERROR(__xludf.DUMMYFUNCTION("""COMPUTED_VALUE"""),149.99)</f>
        <v>149.99</v>
      </c>
      <c r="BD2759" s="2006"/>
      <c r="LL2759" s="2007"/>
      <c r="LM2759" s="2007"/>
      <c r="MX2759" s="2007"/>
      <c r="ND2759" s="2007"/>
    </row>
    <row r="2760">
      <c r="A2760">
        <f>IFERROR(__xludf.DUMMYFUNCTION("""COMPUTED_VALUE"""),1195849.0)</f>
        <v>1195849</v>
      </c>
      <c r="B2760">
        <f>IFERROR(__xludf.DUMMYFUNCTION("""COMPUTED_VALUE"""),2705020.0)</f>
        <v>2705020</v>
      </c>
      <c r="C2760" t="str">
        <f>IFERROR(__xludf.DUMMYFUNCTION("""COMPUTED_VALUE"""),"Ecran")</f>
        <v>Ecran</v>
      </c>
      <c r="D2760" t="str">
        <f>IFERROR(__xludf.DUMMYFUNCTION("""COMPUTED_VALUE"""),"Support MT10 MONITOR ARM")</f>
        <v>Support MT10 MONITOR ARM</v>
      </c>
      <c r="E2760" t="str">
        <f>IFERROR(__xludf.DUMMYFUNCTION("""COMPUTED_VALUE"""),"OPLITE")</f>
        <v>OPLITE</v>
      </c>
      <c r="F2760" t="str">
        <f>IFERROR(__xludf.DUMMYFUNCTION("""COMPUTED_VALUE"""),"E")</f>
        <v>E</v>
      </c>
      <c r="G2760" t="str">
        <f>IFERROR(__xludf.DUMMYFUNCTION("""COMPUTED_VALUE"""),"AC")</f>
        <v>AC</v>
      </c>
      <c r="H2760">
        <f>IFERROR(__xludf.DUMMYFUNCTION("""COMPUTED_VALUE"""),69.99)</f>
        <v>69.99</v>
      </c>
      <c r="I2760">
        <f>IFERROR(__xludf.DUMMYFUNCTION("""COMPUTED_VALUE"""),69.99)</f>
        <v>69.99</v>
      </c>
      <c r="BD2760" s="2006"/>
      <c r="LL2760" s="2008"/>
      <c r="LM2760" s="2007"/>
      <c r="MX2760" s="2007"/>
      <c r="ND2760" s="2007"/>
    </row>
    <row r="2761">
      <c r="A2761">
        <f>IFERROR(__xludf.DUMMYFUNCTION("""COMPUTED_VALUE"""),1195850.0)</f>
        <v>1195850</v>
      </c>
      <c r="B2761">
        <f>IFERROR(__xludf.DUMMYFUNCTION("""COMPUTED_VALUE"""),2705020.0)</f>
        <v>2705020</v>
      </c>
      <c r="C2761" t="str">
        <f>IFERROR(__xludf.DUMMYFUNCTION("""COMPUTED_VALUE"""),"Ecran")</f>
        <v>Ecran</v>
      </c>
      <c r="D2761" t="str">
        <f>IFERROR(__xludf.DUMMYFUNCTION("""COMPUTED_VALUE"""),"Support micro PREMIUM MICROPHONE ARM")</f>
        <v>Support micro PREMIUM MICROPHONE ARM</v>
      </c>
      <c r="E2761" t="str">
        <f>IFERROR(__xludf.DUMMYFUNCTION("""COMPUTED_VALUE"""),"OPLITE")</f>
        <v>OPLITE</v>
      </c>
      <c r="F2761" t="str">
        <f>IFERROR(__xludf.DUMMYFUNCTION("""COMPUTED_VALUE"""),"H")</f>
        <v>H</v>
      </c>
      <c r="G2761" t="str">
        <f>IFERROR(__xludf.DUMMYFUNCTION("""COMPUTED_VALUE"""),"AC")</f>
        <v>AC</v>
      </c>
      <c r="H2761">
        <f>IFERROR(__xludf.DUMMYFUNCTION("""COMPUTED_VALUE"""),79.99)</f>
        <v>79.99</v>
      </c>
      <c r="I2761">
        <f>IFERROR(__xludf.DUMMYFUNCTION("""COMPUTED_VALUE"""),77.76)</f>
        <v>77.76</v>
      </c>
      <c r="BD2761" s="2006"/>
      <c r="LL2761" s="2007"/>
      <c r="LM2761" s="2007"/>
      <c r="MX2761" s="2007"/>
      <c r="ND2761" s="2007"/>
    </row>
    <row r="2762">
      <c r="A2762">
        <f>IFERROR(__xludf.DUMMYFUNCTION("""COMPUTED_VALUE"""),1195900.0)</f>
        <v>1195900</v>
      </c>
      <c r="B2762">
        <f>IFERROR(__xludf.DUMMYFUNCTION("""COMPUTED_VALUE"""),2202005.0)</f>
        <v>2202005</v>
      </c>
      <c r="D2762" t="str">
        <f>IFERROR(__xludf.DUMMYFUNCTION("""COMPUTED_VALUE"""),"UNIQUEMENT bordeau HP 4122e")</f>
        <v>UNIQUEMENT bordeau HP 4122e</v>
      </c>
      <c r="E2762" t="str">
        <f>IFERROR(__xludf.DUMMYFUNCTION("""COMPUTED_VALUE"""),".")</f>
        <v>.</v>
      </c>
      <c r="F2762" t="str">
        <f>IFERROR(__xludf.DUMMYFUNCTION("""COMPUTED_VALUE"""),"H")</f>
        <v>H</v>
      </c>
      <c r="G2762" t="str">
        <f>IFERROR(__xludf.DUMMYFUNCTION("""COMPUTED_VALUE"""),"AC")</f>
        <v>AC</v>
      </c>
      <c r="H2762">
        <f>IFERROR(__xludf.DUMMYFUNCTION("""COMPUTED_VALUE"""),0.01)</f>
        <v>0.01</v>
      </c>
      <c r="I2762">
        <f>IFERROR(__xludf.DUMMYFUNCTION("""COMPUTED_VALUE"""),0.01)</f>
        <v>0.01</v>
      </c>
      <c r="BD2762" s="2006"/>
      <c r="LL2762" s="2007"/>
      <c r="LM2762" s="2007"/>
      <c r="MX2762" s="2007"/>
      <c r="ND2762" s="2007"/>
    </row>
    <row r="2763">
      <c r="A2763">
        <f>IFERROR(__xludf.DUMMYFUNCTION("""COMPUTED_VALUE"""),1195990.0)</f>
        <v>1195990</v>
      </c>
      <c r="B2763">
        <f>IFERROR(__xludf.DUMMYFUNCTION("""COMPUTED_VALUE"""),2202005.0)</f>
        <v>2202005</v>
      </c>
      <c r="C2763" t="str">
        <f>IFERROR(__xludf.DUMMYFUNCTION("""COMPUTED_VALUE"""),"Multi Jet d'enc")</f>
        <v>Multi Jet d'enc</v>
      </c>
      <c r="D2763" t="str">
        <f>IFERROR(__xludf.DUMMYFUNCTION("""COMPUTED_VALUE"""),"Deskjet 2821e éligible Instant Ink")</f>
        <v>Deskjet 2821e éligible Instant Ink</v>
      </c>
      <c r="E2763" t="str">
        <f>IFERROR(__xludf.DUMMYFUNCTION("""COMPUTED_VALUE"""),"HP")</f>
        <v>HP</v>
      </c>
      <c r="F2763" t="str">
        <f>IFERROR(__xludf.DUMMYFUNCTION("""COMPUTED_VALUE"""),"A")</f>
        <v>A</v>
      </c>
      <c r="G2763" t="str">
        <f>IFERROR(__xludf.DUMMYFUNCTION("""COMPUTED_VALUE"""),"AC")</f>
        <v>AC</v>
      </c>
      <c r="H2763">
        <f>IFERROR(__xludf.DUMMYFUNCTION("""COMPUTED_VALUE"""),59.99)</f>
        <v>59.99</v>
      </c>
      <c r="I2763">
        <f>IFERROR(__xludf.DUMMYFUNCTION("""COMPUTED_VALUE"""),59.99)</f>
        <v>59.99</v>
      </c>
      <c r="BD2763" s="2006"/>
      <c r="LL2763" s="2007"/>
      <c r="LM2763" s="2007"/>
      <c r="MX2763" s="2007"/>
      <c r="ND2763" s="2007"/>
    </row>
    <row r="2764">
      <c r="A2764">
        <f>IFERROR(__xludf.DUMMYFUNCTION("""COMPUTED_VALUE"""),1196031.0)</f>
        <v>1196031</v>
      </c>
      <c r="B2764">
        <f>IFERROR(__xludf.DUMMYFUNCTION("""COMPUTED_VALUE"""),2202005.0)</f>
        <v>2202005</v>
      </c>
      <c r="C2764" t="str">
        <f>IFERROR(__xludf.DUMMYFUNCTION("""COMPUTED_VALUE"""),"Multi Jet d'enc")</f>
        <v>Multi Jet d'enc</v>
      </c>
      <c r="D2764" t="str">
        <f>IFERROR(__xludf.DUMMYFUNCTION("""COMPUTED_VALUE"""),"DeskJet 4222e éligible Instant Ink")</f>
        <v>DeskJet 4222e éligible Instant Ink</v>
      </c>
      <c r="E2764" t="str">
        <f>IFERROR(__xludf.DUMMYFUNCTION("""COMPUTED_VALUE"""),"HP")</f>
        <v>HP</v>
      </c>
      <c r="F2764" t="str">
        <f>IFERROR(__xludf.DUMMYFUNCTION("""COMPUTED_VALUE"""),"C")</f>
        <v>C</v>
      </c>
      <c r="G2764" t="str">
        <f>IFERROR(__xludf.DUMMYFUNCTION("""COMPUTED_VALUE"""),"AC")</f>
        <v>AC</v>
      </c>
      <c r="H2764">
        <f>IFERROR(__xludf.DUMMYFUNCTION("""COMPUTED_VALUE"""),79.9)</f>
        <v>79.9</v>
      </c>
      <c r="I2764">
        <f>IFERROR(__xludf.DUMMYFUNCTION("""COMPUTED_VALUE"""),79.9)</f>
        <v>79.9</v>
      </c>
      <c r="LL2764" s="2007"/>
      <c r="LM2764" s="2007"/>
      <c r="MX2764" s="2007"/>
      <c r="ND2764" s="2007"/>
    </row>
    <row r="2765">
      <c r="A2765">
        <f>IFERROR(__xludf.DUMMYFUNCTION("""COMPUTED_VALUE"""),1196035.0)</f>
        <v>1196035</v>
      </c>
      <c r="B2765">
        <f>IFERROR(__xludf.DUMMYFUNCTION("""COMPUTED_VALUE"""),2201099.0)</f>
        <v>2201099</v>
      </c>
      <c r="C2765" t="str">
        <f>IFERROR(__xludf.DUMMYFUNCTION("""COMPUTED_VALUE"""),"Impr thermique")</f>
        <v>Impr thermique</v>
      </c>
      <c r="D2765" t="str">
        <f>IFERROR(__xludf.DUMMYFUNCTION("""COMPUTED_VALUE"""),"SureColor SC-F100")</f>
        <v>SureColor SC-F100</v>
      </c>
      <c r="E2765" t="str">
        <f>IFERROR(__xludf.DUMMYFUNCTION("""COMPUTED_VALUE"""),"EPSON")</f>
        <v>EPSON</v>
      </c>
      <c r="F2765" t="str">
        <f>IFERROR(__xludf.DUMMYFUNCTION("""COMPUTED_VALUE"""),"H")</f>
        <v>H</v>
      </c>
      <c r="G2765" t="str">
        <f>IFERROR(__xludf.DUMMYFUNCTION("""COMPUTED_VALUE"""),"AC")</f>
        <v>AC</v>
      </c>
      <c r="H2765">
        <f>IFERROR(__xludf.DUMMYFUNCTION("""COMPUTED_VALUE"""),509.99)</f>
        <v>509.99</v>
      </c>
      <c r="I2765">
        <f>IFERROR(__xludf.DUMMYFUNCTION("""COMPUTED_VALUE"""),499.99)</f>
        <v>499.99</v>
      </c>
      <c r="LL2765" s="2007"/>
      <c r="LM2765" s="2007"/>
      <c r="MX2765" s="2007"/>
      <c r="ND2765" s="2007"/>
    </row>
    <row r="2766">
      <c r="A2766">
        <f>IFERROR(__xludf.DUMMYFUNCTION("""COMPUTED_VALUE"""),1196489.0)</f>
        <v>1196489</v>
      </c>
      <c r="B2766">
        <f>IFERROR(__xludf.DUMMYFUNCTION("""COMPUTED_VALUE"""),2502040.0)</f>
        <v>2502040</v>
      </c>
      <c r="C2766" t="str">
        <f>IFERROR(__xludf.DUMMYFUNCTION("""COMPUTED_VALUE"""),"Alim")</f>
        <v>Alim</v>
      </c>
      <c r="D2766" t="str">
        <f>IFERROR(__xludf.DUMMYFUNCTION("""COMPUTED_VALUE"""),"Orting")</f>
        <v>Orting</v>
      </c>
      <c r="E2766" t="str">
        <f>IFERROR(__xludf.DUMMYFUNCTION("""COMPUTED_VALUE"""),"MICROSOFT")</f>
        <v>MICROSOFT</v>
      </c>
      <c r="F2766" t="str">
        <f>IFERROR(__xludf.DUMMYFUNCTION("""COMPUTED_VALUE"""),"A")</f>
        <v>A</v>
      </c>
      <c r="G2766" t="str">
        <f>IFERROR(__xludf.DUMMYFUNCTION("""COMPUTED_VALUE"""),"AC")</f>
        <v>AC</v>
      </c>
      <c r="H2766">
        <f>IFERROR(__xludf.DUMMYFUNCTION("""COMPUTED_VALUE"""),89.99)</f>
        <v>89.99</v>
      </c>
      <c r="I2766">
        <f>IFERROR(__xludf.DUMMYFUNCTION("""COMPUTED_VALUE"""),89.99)</f>
        <v>89.99</v>
      </c>
      <c r="LL2766" s="2007"/>
      <c r="LM2766" s="2007"/>
      <c r="MX2766" s="2007"/>
      <c r="ND2766" s="2007"/>
    </row>
    <row r="2767">
      <c r="A2767">
        <f>IFERROR(__xludf.DUMMYFUNCTION("""COMPUTED_VALUE"""),1196555.0)</f>
        <v>1196555</v>
      </c>
      <c r="B2767">
        <f>IFERROR(__xludf.DUMMYFUNCTION("""COMPUTED_VALUE"""),2502015.0)</f>
        <v>2502015</v>
      </c>
      <c r="C2767" t="str">
        <f>IFERROR(__xludf.DUMMYFUNCTION("""COMPUTED_VALUE"""),"Lot")</f>
        <v>Lot</v>
      </c>
      <c r="D2767" t="str">
        <f>IFERROR(__xludf.DUMMYFUNCTION("""COMPUTED_VALUE"""),"Clavier + Souris + Casque G Pro X")</f>
        <v>Clavier + Souris + Casque G Pro X</v>
      </c>
      <c r="E2767" t="str">
        <f>IFERROR(__xludf.DUMMYFUNCTION("""COMPUTED_VALUE"""),"LOGITECH")</f>
        <v>LOGITECH</v>
      </c>
      <c r="F2767" t="str">
        <f>IFERROR(__xludf.DUMMYFUNCTION("""COMPUTED_VALUE"""),"H")</f>
        <v>H</v>
      </c>
      <c r="G2767" t="str">
        <f>IFERROR(__xludf.DUMMYFUNCTION("""COMPUTED_VALUE"""),"AC")</f>
        <v>AC</v>
      </c>
      <c r="H2767">
        <f>IFERROR(__xludf.DUMMYFUNCTION("""COMPUTED_VALUE"""),653.25)</f>
        <v>653.25</v>
      </c>
      <c r="I2767">
        <f>IFERROR(__xludf.DUMMYFUNCTION("""COMPUTED_VALUE"""),618.37)</f>
        <v>618.37</v>
      </c>
      <c r="LL2767" s="2007"/>
      <c r="LM2767" s="2007"/>
      <c r="MX2767" s="2007"/>
      <c r="ND2767" s="2007"/>
    </row>
    <row r="2768">
      <c r="A2768">
        <f>IFERROR(__xludf.DUMMYFUNCTION("""COMPUTED_VALUE"""),1196574.0)</f>
        <v>1196574</v>
      </c>
      <c r="B2768">
        <f>IFERROR(__xludf.DUMMYFUNCTION("""COMPUTED_VALUE"""),2502012.0)</f>
        <v>2502012</v>
      </c>
      <c r="C2768" t="str">
        <f>IFERROR(__xludf.DUMMYFUNCTION("""COMPUTED_VALUE"""),"Tablette Graph")</f>
        <v>Tablette Graph</v>
      </c>
      <c r="D2768" t="str">
        <f>IFERROR(__xludf.DUMMYFUNCTION("""COMPUTED_VALUE"""),"Wacom One 12 pen display")</f>
        <v>Wacom One 12 pen display</v>
      </c>
      <c r="E2768" t="str">
        <f>IFERROR(__xludf.DUMMYFUNCTION("""COMPUTED_VALUE"""),"WACOM")</f>
        <v>WACOM</v>
      </c>
      <c r="F2768" t="str">
        <f>IFERROR(__xludf.DUMMYFUNCTION("""COMPUTED_VALUE"""),"H")</f>
        <v>H</v>
      </c>
      <c r="G2768" t="str">
        <f>IFERROR(__xludf.DUMMYFUNCTION("""COMPUTED_VALUE"""),"AC")</f>
        <v>AC</v>
      </c>
      <c r="H2768">
        <f>IFERROR(__xludf.DUMMYFUNCTION("""COMPUTED_VALUE"""),429.99)</f>
        <v>429.99</v>
      </c>
      <c r="I2768">
        <f>IFERROR(__xludf.DUMMYFUNCTION("""COMPUTED_VALUE"""),429.99)</f>
        <v>429.99</v>
      </c>
      <c r="LL2768" s="2007"/>
      <c r="LM2768" s="2007"/>
      <c r="MX2768" s="2007"/>
      <c r="ND2768" s="2007"/>
    </row>
    <row r="2769">
      <c r="A2769">
        <f>IFERROR(__xludf.DUMMYFUNCTION("""COMPUTED_VALUE"""),1196575.0)</f>
        <v>1196575</v>
      </c>
      <c r="B2769">
        <f>IFERROR(__xludf.DUMMYFUNCTION("""COMPUTED_VALUE"""),2502012.0)</f>
        <v>2502012</v>
      </c>
      <c r="C2769" t="str">
        <f>IFERROR(__xludf.DUMMYFUNCTION("""COMPUTED_VALUE"""),"Tablette Graph")</f>
        <v>Tablette Graph</v>
      </c>
      <c r="D2769" t="str">
        <f>IFERROR(__xludf.DUMMYFUNCTION("""COMPUTED_VALUE"""),"One pen tablet small - S")</f>
        <v>One pen tablet small - S</v>
      </c>
      <c r="E2769" t="str">
        <f>IFERROR(__xludf.DUMMYFUNCTION("""COMPUTED_VALUE"""),"WACOM")</f>
        <v>WACOM</v>
      </c>
      <c r="F2769" t="str">
        <f>IFERROR(__xludf.DUMMYFUNCTION("""COMPUTED_VALUE"""),"H")</f>
        <v>H</v>
      </c>
      <c r="G2769" t="str">
        <f>IFERROR(__xludf.DUMMYFUNCTION("""COMPUTED_VALUE"""),"AC")</f>
        <v>AC</v>
      </c>
      <c r="H2769">
        <f>IFERROR(__xludf.DUMMYFUNCTION("""COMPUTED_VALUE"""),119.99)</f>
        <v>119.99</v>
      </c>
      <c r="I2769">
        <f>IFERROR(__xludf.DUMMYFUNCTION("""COMPUTED_VALUE"""),119.99)</f>
        <v>119.99</v>
      </c>
      <c r="LL2769" s="2007"/>
      <c r="LM2769" s="2007"/>
      <c r="MX2769" s="2007"/>
      <c r="ND2769" s="2007"/>
    </row>
    <row r="2770">
      <c r="A2770">
        <f>IFERROR(__xludf.DUMMYFUNCTION("""COMPUTED_VALUE"""),1196576.0)</f>
        <v>1196576</v>
      </c>
      <c r="B2770">
        <f>IFERROR(__xludf.DUMMYFUNCTION("""COMPUTED_VALUE"""),2502012.0)</f>
        <v>2502012</v>
      </c>
      <c r="C2770" t="str">
        <f>IFERROR(__xludf.DUMMYFUNCTION("""COMPUTED_VALUE"""),"Tablette Graph")</f>
        <v>Tablette Graph</v>
      </c>
      <c r="D2770" t="str">
        <f>IFERROR(__xludf.DUMMYFUNCTION("""COMPUTED_VALUE"""),"One pen tablet medium - M")</f>
        <v>One pen tablet medium - M</v>
      </c>
      <c r="E2770" t="str">
        <f>IFERROR(__xludf.DUMMYFUNCTION("""COMPUTED_VALUE"""),"WACOM")</f>
        <v>WACOM</v>
      </c>
      <c r="F2770" t="str">
        <f>IFERROR(__xludf.DUMMYFUNCTION("""COMPUTED_VALUE"""),"H")</f>
        <v>H</v>
      </c>
      <c r="G2770" t="str">
        <f>IFERROR(__xludf.DUMMYFUNCTION("""COMPUTED_VALUE"""),"AC")</f>
        <v>AC</v>
      </c>
      <c r="H2770">
        <f>IFERROR(__xludf.DUMMYFUNCTION("""COMPUTED_VALUE"""),169.99)</f>
        <v>169.99</v>
      </c>
      <c r="I2770">
        <f>IFERROR(__xludf.DUMMYFUNCTION("""COMPUTED_VALUE"""),169.99)</f>
        <v>169.99</v>
      </c>
      <c r="BD2770" s="2006"/>
      <c r="LL2770" s="2007"/>
      <c r="LM2770" s="2007"/>
      <c r="MX2770" s="2007"/>
      <c r="ND2770" s="2007"/>
    </row>
    <row r="2771">
      <c r="A2771">
        <f>IFERROR(__xludf.DUMMYFUNCTION("""COMPUTED_VALUE"""),1196595.0)</f>
        <v>1196595</v>
      </c>
      <c r="B2771">
        <f>IFERROR(__xludf.DUMMYFUNCTION("""COMPUTED_VALUE"""),2502012.0)</f>
        <v>2502012</v>
      </c>
      <c r="C2771" t="str">
        <f>IFERROR(__xludf.DUMMYFUNCTION("""COMPUTED_VALUE"""),"Tablette Graph")</f>
        <v>Tablette Graph</v>
      </c>
      <c r="D2771" t="str">
        <f>IFERROR(__xludf.DUMMYFUNCTION("""COMPUTED_VALUE"""),"Wacom One 13 touch pen display")</f>
        <v>Wacom One 13 touch pen display</v>
      </c>
      <c r="E2771" t="str">
        <f>IFERROR(__xludf.DUMMYFUNCTION("""COMPUTED_VALUE"""),"WACOM")</f>
        <v>WACOM</v>
      </c>
      <c r="F2771" t="str">
        <f>IFERROR(__xludf.DUMMYFUNCTION("""COMPUTED_VALUE"""),"H")</f>
        <v>H</v>
      </c>
      <c r="G2771" t="str">
        <f>IFERROR(__xludf.DUMMYFUNCTION("""COMPUTED_VALUE"""),"AC")</f>
        <v>AC</v>
      </c>
      <c r="H2771">
        <f>IFERROR(__xludf.DUMMYFUNCTION("""COMPUTED_VALUE"""),649.99)</f>
        <v>649.99</v>
      </c>
      <c r="I2771">
        <f>IFERROR(__xludf.DUMMYFUNCTION("""COMPUTED_VALUE"""),649.99)</f>
        <v>649.99</v>
      </c>
      <c r="BD2771" s="2006"/>
      <c r="LL2771" s="2007"/>
      <c r="LM2771" s="2007"/>
      <c r="MX2771" s="2007"/>
      <c r="ND2771" s="2007"/>
    </row>
    <row r="2772">
      <c r="A2772">
        <f>IFERROR(__xludf.DUMMYFUNCTION("""COMPUTED_VALUE"""),1197624.0)</f>
        <v>1197624</v>
      </c>
      <c r="B2772">
        <f>IFERROR(__xludf.DUMMYFUNCTION("""COMPUTED_VALUE"""),2502015.0)</f>
        <v>2502015</v>
      </c>
      <c r="C2772" t="str">
        <f>IFERROR(__xludf.DUMMYFUNCTION("""COMPUTED_VALUE"""),"Clavier")</f>
        <v>Clavier</v>
      </c>
      <c r="D2772" t="str">
        <f>IFERROR(__xludf.DUMMYFUNCTION("""COMPUTED_VALUE"""),"Wave Keys ergonomique +  repose poignets")</f>
        <v>Wave Keys ergonomique +  repose poignets</v>
      </c>
      <c r="E2772" t="str">
        <f>IFERROR(__xludf.DUMMYFUNCTION("""COMPUTED_VALUE"""),"LOGITECH")</f>
        <v>LOGITECH</v>
      </c>
      <c r="F2772" t="str">
        <f>IFERROR(__xludf.DUMMYFUNCTION("""COMPUTED_VALUE"""),"H")</f>
        <v>H</v>
      </c>
      <c r="G2772" t="str">
        <f>IFERROR(__xludf.DUMMYFUNCTION("""COMPUTED_VALUE"""),"AC")</f>
        <v>AC</v>
      </c>
      <c r="H2772">
        <f>IFERROR(__xludf.DUMMYFUNCTION("""COMPUTED_VALUE"""),79.99)</f>
        <v>79.99</v>
      </c>
      <c r="I2772">
        <f>IFERROR(__xludf.DUMMYFUNCTION("""COMPUTED_VALUE"""),79.99)</f>
        <v>79.99</v>
      </c>
      <c r="BD2772" s="2006"/>
      <c r="LL2772" s="2007"/>
      <c r="LM2772" s="2007"/>
      <c r="MX2772" s="2007"/>
      <c r="ND2772" s="2007"/>
    </row>
    <row r="2773">
      <c r="A2773">
        <f>IFERROR(__xludf.DUMMYFUNCTION("""COMPUTED_VALUE"""),1197790.0)</f>
        <v>1197790</v>
      </c>
      <c r="B2773">
        <f>IFERROR(__xludf.DUMMYFUNCTION("""COMPUTED_VALUE"""),2502040.0)</f>
        <v>2502040</v>
      </c>
      <c r="C2773" t="str">
        <f>IFERROR(__xludf.DUMMYFUNCTION("""COMPUTED_VALUE"""),"HUB")</f>
        <v>HUB</v>
      </c>
      <c r="D2773" t="str">
        <f>IFERROR(__xludf.DUMMYFUNCTION("""COMPUTED_VALUE"""),"USB-C Travel")</f>
        <v>USB-C Travel</v>
      </c>
      <c r="E2773" t="str">
        <f>IFERROR(__xludf.DUMMYFUNCTION("""COMPUTED_VALUE"""),"MICROSOFT")</f>
        <v>MICROSOFT</v>
      </c>
      <c r="F2773" t="str">
        <f>IFERROR(__xludf.DUMMYFUNCTION("""COMPUTED_VALUE"""),"H")</f>
        <v>H</v>
      </c>
      <c r="G2773" t="str">
        <f>IFERROR(__xludf.DUMMYFUNCTION("""COMPUTED_VALUE"""),"AC")</f>
        <v>AC</v>
      </c>
      <c r="H2773">
        <f>IFERROR(__xludf.DUMMYFUNCTION("""COMPUTED_VALUE"""),109.99)</f>
        <v>109.99</v>
      </c>
      <c r="I2773">
        <f>IFERROR(__xludf.DUMMYFUNCTION("""COMPUTED_VALUE"""),109.99)</f>
        <v>109.99</v>
      </c>
      <c r="BD2773" s="2006"/>
      <c r="LL2773" s="2007"/>
      <c r="LM2773" s="2007"/>
      <c r="MX2773" s="2007"/>
      <c r="ND2773" s="2007"/>
    </row>
    <row r="2774">
      <c r="A2774">
        <f>IFERROR(__xludf.DUMMYFUNCTION("""COMPUTED_VALUE"""),1197861.0)</f>
        <v>1197861</v>
      </c>
      <c r="B2774">
        <f>IFERROR(__xludf.DUMMYFUNCTION("""COMPUTED_VALUE"""),2502010.0)</f>
        <v>2502010</v>
      </c>
      <c r="C2774" t="str">
        <f>IFERROR(__xludf.DUMMYFUNCTION("""COMPUTED_VALUE"""),"Souris")</f>
        <v>Souris</v>
      </c>
      <c r="D2774" t="str">
        <f>IFERROR(__xludf.DUMMYFUNCTION("""COMPUTED_VALUE"""),"Surface Arc noire")</f>
        <v>Surface Arc noire</v>
      </c>
      <c r="E2774" t="str">
        <f>IFERROR(__xludf.DUMMYFUNCTION("""COMPUTED_VALUE"""),"MICROSOFT")</f>
        <v>MICROSOFT</v>
      </c>
      <c r="F2774" t="str">
        <f>IFERROR(__xludf.DUMMYFUNCTION("""COMPUTED_VALUE"""),"H")</f>
        <v>H</v>
      </c>
      <c r="G2774" t="str">
        <f>IFERROR(__xludf.DUMMYFUNCTION("""COMPUTED_VALUE"""),"AC")</f>
        <v>AC</v>
      </c>
      <c r="H2774">
        <f>IFERROR(__xludf.DUMMYFUNCTION("""COMPUTED_VALUE"""),89.99)</f>
        <v>89.99</v>
      </c>
      <c r="I2774">
        <f>IFERROR(__xludf.DUMMYFUNCTION("""COMPUTED_VALUE"""),89.99)</f>
        <v>89.99</v>
      </c>
      <c r="BD2774" s="2006"/>
      <c r="LL2774" s="2007"/>
      <c r="LM2774" s="2007"/>
      <c r="MX2774" s="2007"/>
      <c r="ND2774" s="2007"/>
    </row>
    <row r="2775">
      <c r="A2775">
        <f>IFERROR(__xludf.DUMMYFUNCTION("""COMPUTED_VALUE"""),1198262.0)</f>
        <v>1198262</v>
      </c>
      <c r="B2775">
        <f>IFERROR(__xludf.DUMMYFUNCTION("""COMPUTED_VALUE"""),2502024.0)</f>
        <v>2502024</v>
      </c>
      <c r="C2775" t="str">
        <f>IFERROR(__xludf.DUMMYFUNCTION("""COMPUTED_VALUE"""),"Stylet")</f>
        <v>Stylet</v>
      </c>
      <c r="D2775" t="str">
        <f>IFERROR(__xludf.DUMMYFUNCTION("""COMPUTED_VALUE"""),"Pencil USB-C")</f>
        <v>Pencil USB-C</v>
      </c>
      <c r="E2775" t="str">
        <f>IFERROR(__xludf.DUMMYFUNCTION("""COMPUTED_VALUE"""),"APPLE")</f>
        <v>APPLE</v>
      </c>
      <c r="F2775" t="str">
        <f>IFERROR(__xludf.DUMMYFUNCTION("""COMPUTED_VALUE"""),"A")</f>
        <v>A</v>
      </c>
      <c r="G2775" t="str">
        <f>IFERROR(__xludf.DUMMYFUNCTION("""COMPUTED_VALUE"""),"AC")</f>
        <v>AC</v>
      </c>
      <c r="H2775">
        <f>IFERROR(__xludf.DUMMYFUNCTION("""COMPUTED_VALUE"""),95.0)</f>
        <v>95</v>
      </c>
      <c r="I2775">
        <f>IFERROR(__xludf.DUMMYFUNCTION("""COMPUTED_VALUE"""),95.0)</f>
        <v>95</v>
      </c>
      <c r="BD2775" s="2006"/>
      <c r="LL2775" s="2007"/>
      <c r="LM2775" s="2007"/>
      <c r="MX2775" s="2007"/>
      <c r="ND2775" s="2007"/>
    </row>
    <row r="2776">
      <c r="A2776">
        <f>IFERROR(__xludf.DUMMYFUNCTION("""COMPUTED_VALUE"""),1198516.0)</f>
        <v>1198516</v>
      </c>
      <c r="B2776">
        <f>IFERROR(__xludf.DUMMYFUNCTION("""COMPUTED_VALUE"""),2502024.0)</f>
        <v>2502024</v>
      </c>
      <c r="C2776" t="str">
        <f>IFERROR(__xludf.DUMMYFUNCTION("""COMPUTED_VALUE"""),"Stylet")</f>
        <v>Stylet</v>
      </c>
      <c r="D2776" t="str">
        <f>IFERROR(__xludf.DUMMYFUNCTION("""COMPUTED_VALUE"""),"S Pen Tab S9 FE Family Gris")</f>
        <v>S Pen Tab S9 FE Family Gris</v>
      </c>
      <c r="E2776" t="str">
        <f>IFERROR(__xludf.DUMMYFUNCTION("""COMPUTED_VALUE"""),"SAMSUNG")</f>
        <v>SAMSUNG</v>
      </c>
      <c r="F2776" t="str">
        <f>IFERROR(__xludf.DUMMYFUNCTION("""COMPUTED_VALUE"""),"H")</f>
        <v>H</v>
      </c>
      <c r="G2776" t="str">
        <f>IFERROR(__xludf.DUMMYFUNCTION("""COMPUTED_VALUE"""),"AC")</f>
        <v>AC</v>
      </c>
      <c r="H2776">
        <f>IFERROR(__xludf.DUMMYFUNCTION("""COMPUTED_VALUE"""),54.92)</f>
        <v>54.92</v>
      </c>
      <c r="I2776">
        <f>IFERROR(__xludf.DUMMYFUNCTION("""COMPUTED_VALUE"""),54.92)</f>
        <v>54.92</v>
      </c>
      <c r="BD2776" s="2006"/>
      <c r="LL2776" s="2007"/>
      <c r="LM2776" s="2007"/>
      <c r="MX2776" s="2007"/>
      <c r="ND2776" s="2007"/>
    </row>
    <row r="2777">
      <c r="A2777">
        <f>IFERROR(__xludf.DUMMYFUNCTION("""COMPUTED_VALUE"""),1198517.0)</f>
        <v>1198517</v>
      </c>
      <c r="B2777">
        <f>IFERROR(__xludf.DUMMYFUNCTION("""COMPUTED_VALUE"""),2502024.0)</f>
        <v>2502024</v>
      </c>
      <c r="C2777" t="str">
        <f>IFERROR(__xludf.DUMMYFUNCTION("""COMPUTED_VALUE"""),"Stylet")</f>
        <v>Stylet</v>
      </c>
      <c r="D2777" t="str">
        <f>IFERROR(__xludf.DUMMYFUNCTION("""COMPUTED_VALUE"""),"S Pen Tab S9 FE Family Beige")</f>
        <v>S Pen Tab S9 FE Family Beige</v>
      </c>
      <c r="E2777" t="str">
        <f>IFERROR(__xludf.DUMMYFUNCTION("""COMPUTED_VALUE"""),"SAMSUNG")</f>
        <v>SAMSUNG</v>
      </c>
      <c r="F2777" t="str">
        <f>IFERROR(__xludf.DUMMYFUNCTION("""COMPUTED_VALUE"""),"H")</f>
        <v>H</v>
      </c>
      <c r="G2777" t="str">
        <f>IFERROR(__xludf.DUMMYFUNCTION("""COMPUTED_VALUE"""),"AC")</f>
        <v>AC</v>
      </c>
      <c r="H2777">
        <f>IFERROR(__xludf.DUMMYFUNCTION("""COMPUTED_VALUE"""),54.9)</f>
        <v>54.9</v>
      </c>
      <c r="I2777">
        <f>IFERROR(__xludf.DUMMYFUNCTION("""COMPUTED_VALUE"""),54.9)</f>
        <v>54.9</v>
      </c>
      <c r="BD2777" s="2006"/>
      <c r="LL2777" s="2007"/>
      <c r="LM2777" s="2007"/>
      <c r="MX2777" s="2007"/>
      <c r="ND2777" s="2007"/>
    </row>
    <row r="2778">
      <c r="A2778">
        <f>IFERROR(__xludf.DUMMYFUNCTION("""COMPUTED_VALUE"""),1198645.0)</f>
        <v>1198645</v>
      </c>
      <c r="B2778">
        <f>IFERROR(__xludf.DUMMYFUNCTION("""COMPUTED_VALUE"""),2201020.0)</f>
        <v>2201020</v>
      </c>
      <c r="C2778" t="str">
        <f>IFERROR(__xludf.DUMMYFUNCTION("""COMPUTED_VALUE"""),"Mono Laser")</f>
        <v>Mono Laser</v>
      </c>
      <c r="D2778" t="str">
        <f>IFERROR(__xludf.DUMMYFUNCTION("""COMPUTED_VALUE"""),"HL-L3215CW")</f>
        <v>HL-L3215CW</v>
      </c>
      <c r="E2778" t="str">
        <f>IFERROR(__xludf.DUMMYFUNCTION("""COMPUTED_VALUE"""),"BROTHER")</f>
        <v>BROTHER</v>
      </c>
      <c r="F2778" t="str">
        <f>IFERROR(__xludf.DUMMYFUNCTION("""COMPUTED_VALUE"""),"H")</f>
        <v>H</v>
      </c>
      <c r="G2778" t="str">
        <f>IFERROR(__xludf.DUMMYFUNCTION("""COMPUTED_VALUE"""),"AC")</f>
        <v>AC</v>
      </c>
      <c r="H2778">
        <f>IFERROR(__xludf.DUMMYFUNCTION("""COMPUTED_VALUE"""),299.99)</f>
        <v>299.99</v>
      </c>
      <c r="I2778">
        <f>IFERROR(__xludf.DUMMYFUNCTION("""COMPUTED_VALUE"""),299.99)</f>
        <v>299.99</v>
      </c>
      <c r="BD2778" s="2006"/>
      <c r="LL2778" s="2007"/>
      <c r="LM2778" s="2007"/>
      <c r="MX2778" s="2007"/>
      <c r="ND2778" s="2008"/>
    </row>
    <row r="2779">
      <c r="A2779">
        <f>IFERROR(__xludf.DUMMYFUNCTION("""COMPUTED_VALUE"""),1198646.0)</f>
        <v>1198646</v>
      </c>
      <c r="B2779">
        <f>IFERROR(__xludf.DUMMYFUNCTION("""COMPUTED_VALUE"""),2202008.0)</f>
        <v>2202008</v>
      </c>
      <c r="C2779" t="str">
        <f>IFERROR(__xludf.DUMMYFUNCTION("""COMPUTED_VALUE"""),"Multi Laser")</f>
        <v>Multi Laser</v>
      </c>
      <c r="D2779" t="str">
        <f>IFERROR(__xludf.DUMMYFUNCTION("""COMPUTED_VALUE"""),"DCP-L2627DWE")</f>
        <v>DCP-L2627DWE</v>
      </c>
      <c r="E2779" t="str">
        <f>IFERROR(__xludf.DUMMYFUNCTION("""COMPUTED_VALUE"""),"BROTHER")</f>
        <v>BROTHER</v>
      </c>
      <c r="F2779" t="str">
        <f>IFERROR(__xludf.DUMMYFUNCTION("""COMPUTED_VALUE"""),"H")</f>
        <v>H</v>
      </c>
      <c r="G2779" t="str">
        <f>IFERROR(__xludf.DUMMYFUNCTION("""COMPUTED_VALUE"""),"AC")</f>
        <v>AC</v>
      </c>
      <c r="H2779">
        <f>IFERROR(__xludf.DUMMYFUNCTION("""COMPUTED_VALUE"""),239.0)</f>
        <v>239</v>
      </c>
      <c r="I2779">
        <f>IFERROR(__xludf.DUMMYFUNCTION("""COMPUTED_VALUE"""),239.0)</f>
        <v>239</v>
      </c>
      <c r="BD2779" s="2006"/>
      <c r="LL2779" s="2007"/>
      <c r="LM2779" s="2007"/>
      <c r="MX2779" s="2007"/>
      <c r="ND2779" s="2007"/>
    </row>
    <row r="2780">
      <c r="A2780">
        <f>IFERROR(__xludf.DUMMYFUNCTION("""COMPUTED_VALUE"""),1198647.0)</f>
        <v>1198647</v>
      </c>
      <c r="B2780">
        <f>IFERROR(__xludf.DUMMYFUNCTION("""COMPUTED_VALUE"""),2201020.0)</f>
        <v>2201020</v>
      </c>
      <c r="C2780" t="str">
        <f>IFERROR(__xludf.DUMMYFUNCTION("""COMPUTED_VALUE"""),"Mono Laser")</f>
        <v>Mono Laser</v>
      </c>
      <c r="D2780" t="str">
        <f>IFERROR(__xludf.DUMMYFUNCTION("""COMPUTED_VALUE"""),"HL-L3240CDW")</f>
        <v>HL-L3240CDW</v>
      </c>
      <c r="E2780" t="str">
        <f>IFERROR(__xludf.DUMMYFUNCTION("""COMPUTED_VALUE"""),"BROTHER")</f>
        <v>BROTHER</v>
      </c>
      <c r="F2780" t="str">
        <f>IFERROR(__xludf.DUMMYFUNCTION("""COMPUTED_VALUE"""),"H")</f>
        <v>H</v>
      </c>
      <c r="G2780" t="str">
        <f>IFERROR(__xludf.DUMMYFUNCTION("""COMPUTED_VALUE"""),"AC")</f>
        <v>AC</v>
      </c>
      <c r="H2780">
        <f>IFERROR(__xludf.DUMMYFUNCTION("""COMPUTED_VALUE"""),324.0)</f>
        <v>324</v>
      </c>
      <c r="I2780">
        <f>IFERROR(__xludf.DUMMYFUNCTION("""COMPUTED_VALUE"""),294.99)</f>
        <v>294.99</v>
      </c>
      <c r="BD2780" s="2006"/>
      <c r="LL2780" s="2007"/>
      <c r="LM2780" s="2007"/>
      <c r="MX2780" s="2007"/>
      <c r="ND2780" s="2007"/>
    </row>
    <row r="2781">
      <c r="A2781">
        <f>IFERROR(__xludf.DUMMYFUNCTION("""COMPUTED_VALUE"""),1198648.0)</f>
        <v>1198648</v>
      </c>
      <c r="B2781">
        <f>IFERROR(__xludf.DUMMYFUNCTION("""COMPUTED_VALUE"""),2201020.0)</f>
        <v>2201020</v>
      </c>
      <c r="C2781" t="str">
        <f>IFERROR(__xludf.DUMMYFUNCTION("""COMPUTED_VALUE"""),"Mono Laser")</f>
        <v>Mono Laser</v>
      </c>
      <c r="D2781" t="str">
        <f>IFERROR(__xludf.DUMMYFUNCTION("""COMPUTED_VALUE"""),"HL-L8230CDW")</f>
        <v>HL-L8230CDW</v>
      </c>
      <c r="E2781" t="str">
        <f>IFERROR(__xludf.DUMMYFUNCTION("""COMPUTED_VALUE"""),"BROTHER")</f>
        <v>BROTHER</v>
      </c>
      <c r="F2781" t="str">
        <f>IFERROR(__xludf.DUMMYFUNCTION("""COMPUTED_VALUE"""),"H")</f>
        <v>H</v>
      </c>
      <c r="G2781" t="str">
        <f>IFERROR(__xludf.DUMMYFUNCTION("""COMPUTED_VALUE"""),"AC")</f>
        <v>AC</v>
      </c>
      <c r="H2781">
        <f>IFERROR(__xludf.DUMMYFUNCTION("""COMPUTED_VALUE"""),369.0)</f>
        <v>369</v>
      </c>
      <c r="I2781">
        <f>IFERROR(__xludf.DUMMYFUNCTION("""COMPUTED_VALUE"""),369.0)</f>
        <v>369</v>
      </c>
      <c r="BD2781" s="2006"/>
      <c r="LL2781" s="2007"/>
      <c r="LM2781" s="2007"/>
      <c r="MX2781" s="2008"/>
      <c r="ND2781" s="2007"/>
    </row>
    <row r="2782">
      <c r="A2782">
        <f>IFERROR(__xludf.DUMMYFUNCTION("""COMPUTED_VALUE"""),1198649.0)</f>
        <v>1198649</v>
      </c>
      <c r="B2782">
        <f>IFERROR(__xludf.DUMMYFUNCTION("""COMPUTED_VALUE"""),2201020.0)</f>
        <v>2201020</v>
      </c>
      <c r="C2782" t="str">
        <f>IFERROR(__xludf.DUMMYFUNCTION("""COMPUTED_VALUE"""),"Mono Laser")</f>
        <v>Mono Laser</v>
      </c>
      <c r="D2782" t="str">
        <f>IFERROR(__xludf.DUMMYFUNCTION("""COMPUTED_VALUE"""),"HL-L8240CDW")</f>
        <v>HL-L8240CDW</v>
      </c>
      <c r="E2782" t="str">
        <f>IFERROR(__xludf.DUMMYFUNCTION("""COMPUTED_VALUE"""),"BROTHER")</f>
        <v>BROTHER</v>
      </c>
      <c r="F2782" t="str">
        <f>IFERROR(__xludf.DUMMYFUNCTION("""COMPUTED_VALUE"""),"H")</f>
        <v>H</v>
      </c>
      <c r="G2782" t="str">
        <f>IFERROR(__xludf.DUMMYFUNCTION("""COMPUTED_VALUE"""),"AC")</f>
        <v>AC</v>
      </c>
      <c r="H2782">
        <f>IFERROR(__xludf.DUMMYFUNCTION("""COMPUTED_VALUE"""),399.99)</f>
        <v>399.99</v>
      </c>
      <c r="I2782">
        <f>IFERROR(__xludf.DUMMYFUNCTION("""COMPUTED_VALUE"""),369.99)</f>
        <v>369.99</v>
      </c>
      <c r="BD2782" s="2006"/>
      <c r="LL2782" s="2007"/>
      <c r="LM2782" s="2007"/>
      <c r="MX2782" s="2008"/>
      <c r="ND2782" s="2007"/>
    </row>
    <row r="2783">
      <c r="A2783">
        <f>IFERROR(__xludf.DUMMYFUNCTION("""COMPUTED_VALUE"""),1198650.0)</f>
        <v>1198650</v>
      </c>
      <c r="B2783">
        <f>IFERROR(__xludf.DUMMYFUNCTION("""COMPUTED_VALUE"""),2202008.0)</f>
        <v>2202008</v>
      </c>
      <c r="C2783" t="str">
        <f>IFERROR(__xludf.DUMMYFUNCTION("""COMPUTED_VALUE"""),"Multi Laser")</f>
        <v>Multi Laser</v>
      </c>
      <c r="D2783" t="str">
        <f>IFERROR(__xludf.DUMMYFUNCTION("""COMPUTED_VALUE"""),"DCP-L3555CDW")</f>
        <v>DCP-L3555CDW</v>
      </c>
      <c r="E2783" t="str">
        <f>IFERROR(__xludf.DUMMYFUNCTION("""COMPUTED_VALUE"""),"BROTHER")</f>
        <v>BROTHER</v>
      </c>
      <c r="F2783" t="str">
        <f>IFERROR(__xludf.DUMMYFUNCTION("""COMPUTED_VALUE"""),"W")</f>
        <v>W</v>
      </c>
      <c r="G2783" t="str">
        <f>IFERROR(__xludf.DUMMYFUNCTION("""COMPUTED_VALUE"""),"AC")</f>
        <v>AC</v>
      </c>
      <c r="H2783">
        <f>IFERROR(__xludf.DUMMYFUNCTION("""COMPUTED_VALUE"""),449.0)</f>
        <v>449</v>
      </c>
      <c r="I2783">
        <f>IFERROR(__xludf.DUMMYFUNCTION("""COMPUTED_VALUE"""),449.0)</f>
        <v>449</v>
      </c>
      <c r="BD2783" s="2006"/>
      <c r="LL2783" s="2007"/>
      <c r="LM2783" s="2007"/>
      <c r="MX2783" s="2007"/>
      <c r="ND2783" s="2007"/>
    </row>
    <row r="2784">
      <c r="A2784">
        <f>IFERROR(__xludf.DUMMYFUNCTION("""COMPUTED_VALUE"""),1198657.0)</f>
        <v>1198657</v>
      </c>
      <c r="B2784">
        <f>IFERROR(__xludf.DUMMYFUNCTION("""COMPUTED_VALUE"""),2201020.0)</f>
        <v>2201020</v>
      </c>
      <c r="C2784" t="str">
        <f>IFERROR(__xludf.DUMMYFUNCTION("""COMPUTED_VALUE"""),"Mono Laser")</f>
        <v>Mono Laser</v>
      </c>
      <c r="D2784" t="str">
        <f>IFERROR(__xludf.DUMMYFUNCTION("""COMPUTED_VALUE"""),"HL-L2445DW")</f>
        <v>HL-L2445DW</v>
      </c>
      <c r="E2784" t="str">
        <f>IFERROR(__xludf.DUMMYFUNCTION("""COMPUTED_VALUE"""),"BROTHER")</f>
        <v>BROTHER</v>
      </c>
      <c r="F2784" t="str">
        <f>IFERROR(__xludf.DUMMYFUNCTION("""COMPUTED_VALUE"""),"C")</f>
        <v>C</v>
      </c>
      <c r="G2784" t="str">
        <f>IFERROR(__xludf.DUMMYFUNCTION("""COMPUTED_VALUE"""),"AC")</f>
        <v>AC</v>
      </c>
      <c r="H2784">
        <f>IFERROR(__xludf.DUMMYFUNCTION("""COMPUTED_VALUE"""),179.0)</f>
        <v>179</v>
      </c>
      <c r="I2784">
        <f>IFERROR(__xludf.DUMMYFUNCTION("""COMPUTED_VALUE"""),179.0)</f>
        <v>179</v>
      </c>
      <c r="BD2784" s="2006"/>
      <c r="LL2784" s="2007"/>
      <c r="LM2784" s="2007"/>
      <c r="MX2784" s="2007"/>
      <c r="ND2784" s="2007"/>
    </row>
    <row r="2785">
      <c r="A2785">
        <f>IFERROR(__xludf.DUMMYFUNCTION("""COMPUTED_VALUE"""),1198658.0)</f>
        <v>1198658</v>
      </c>
      <c r="B2785">
        <f>IFERROR(__xludf.DUMMYFUNCTION("""COMPUTED_VALUE"""),2202008.0)</f>
        <v>2202008</v>
      </c>
      <c r="C2785" t="str">
        <f>IFERROR(__xludf.DUMMYFUNCTION("""COMPUTED_VALUE"""),"Multi Laser")</f>
        <v>Multi Laser</v>
      </c>
      <c r="D2785" t="str">
        <f>IFERROR(__xludf.DUMMYFUNCTION("""COMPUTED_VALUE"""),"DCP-L2620DW")</f>
        <v>DCP-L2620DW</v>
      </c>
      <c r="E2785" t="str">
        <f>IFERROR(__xludf.DUMMYFUNCTION("""COMPUTED_VALUE"""),"BROTHER")</f>
        <v>BROTHER</v>
      </c>
      <c r="F2785" t="str">
        <f>IFERROR(__xludf.DUMMYFUNCTION("""COMPUTED_VALUE"""),"H")</f>
        <v>H</v>
      </c>
      <c r="G2785" t="str">
        <f>IFERROR(__xludf.DUMMYFUNCTION("""COMPUTED_VALUE"""),"AC")</f>
        <v>AC</v>
      </c>
      <c r="H2785">
        <f>IFERROR(__xludf.DUMMYFUNCTION("""COMPUTED_VALUE"""),219.0)</f>
        <v>219</v>
      </c>
      <c r="I2785">
        <f>IFERROR(__xludf.DUMMYFUNCTION("""COMPUTED_VALUE"""),219.0)</f>
        <v>219</v>
      </c>
      <c r="BD2785" s="2006"/>
      <c r="LL2785" s="2007"/>
      <c r="LM2785" s="2007"/>
      <c r="MX2785" s="2007"/>
      <c r="ND2785" s="2007"/>
    </row>
    <row r="2786">
      <c r="A2786">
        <f>IFERROR(__xludf.DUMMYFUNCTION("""COMPUTED_VALUE"""),1198659.0)</f>
        <v>1198659</v>
      </c>
      <c r="B2786">
        <f>IFERROR(__xludf.DUMMYFUNCTION("""COMPUTED_VALUE"""),2202008.0)</f>
        <v>2202008</v>
      </c>
      <c r="C2786" t="str">
        <f>IFERROR(__xludf.DUMMYFUNCTION("""COMPUTED_VALUE"""),"Multi Laser")</f>
        <v>Multi Laser</v>
      </c>
      <c r="D2786" t="str">
        <f>IFERROR(__xludf.DUMMYFUNCTION("""COMPUTED_VALUE"""),"MFC-L2860DWE")</f>
        <v>MFC-L2860DWE</v>
      </c>
      <c r="E2786" t="str">
        <f>IFERROR(__xludf.DUMMYFUNCTION("""COMPUTED_VALUE"""),"BROTHER")</f>
        <v>BROTHER</v>
      </c>
      <c r="F2786" t="str">
        <f>IFERROR(__xludf.DUMMYFUNCTION("""COMPUTED_VALUE"""),"W")</f>
        <v>W</v>
      </c>
      <c r="G2786" t="str">
        <f>IFERROR(__xludf.DUMMYFUNCTION("""COMPUTED_VALUE"""),"AC")</f>
        <v>AC</v>
      </c>
      <c r="H2786">
        <f>IFERROR(__xludf.DUMMYFUNCTION("""COMPUTED_VALUE"""),324.0)</f>
        <v>324</v>
      </c>
      <c r="I2786">
        <f>IFERROR(__xludf.DUMMYFUNCTION("""COMPUTED_VALUE"""),269.99)</f>
        <v>269.99</v>
      </c>
      <c r="BD2786" s="2006"/>
      <c r="LL2786" s="2007"/>
      <c r="LM2786" s="2007"/>
      <c r="MX2786" s="2007"/>
      <c r="ND2786" s="2007"/>
    </row>
    <row r="2787">
      <c r="A2787">
        <f>IFERROR(__xludf.DUMMYFUNCTION("""COMPUTED_VALUE"""),1198691.0)</f>
        <v>1198691</v>
      </c>
      <c r="B2787">
        <f>IFERROR(__xludf.DUMMYFUNCTION("""COMPUTED_VALUE"""),2202008.0)</f>
        <v>2202008</v>
      </c>
      <c r="C2787" t="str">
        <f>IFERROR(__xludf.DUMMYFUNCTION("""COMPUTED_VALUE"""),"Multi Laser")</f>
        <v>Multi Laser</v>
      </c>
      <c r="D2787" t="str">
        <f>IFERROR(__xludf.DUMMYFUNCTION("""COMPUTED_VALUE"""),"MFC-L3760CDW")</f>
        <v>MFC-L3760CDW</v>
      </c>
      <c r="E2787" t="str">
        <f>IFERROR(__xludf.DUMMYFUNCTION("""COMPUTED_VALUE"""),"BROTHER")</f>
        <v>BROTHER</v>
      </c>
      <c r="F2787" t="str">
        <f>IFERROR(__xludf.DUMMYFUNCTION("""COMPUTED_VALUE"""),"W")</f>
        <v>W</v>
      </c>
      <c r="G2787" t="str">
        <f>IFERROR(__xludf.DUMMYFUNCTION("""COMPUTED_VALUE"""),"AC")</f>
        <v>AC</v>
      </c>
      <c r="H2787">
        <f>IFERROR(__xludf.DUMMYFUNCTION("""COMPUTED_VALUE"""),499.0)</f>
        <v>499</v>
      </c>
      <c r="I2787">
        <f>IFERROR(__xludf.DUMMYFUNCTION("""COMPUTED_VALUE"""),400.98)</f>
        <v>400.98</v>
      </c>
      <c r="BD2787" s="2006"/>
      <c r="LL2787" s="2007"/>
      <c r="LM2787" s="2007"/>
      <c r="MX2787" s="2007"/>
      <c r="ND2787" s="2007"/>
    </row>
    <row r="2788">
      <c r="A2788">
        <f>IFERROR(__xludf.DUMMYFUNCTION("""COMPUTED_VALUE"""),1198692.0)</f>
        <v>1198692</v>
      </c>
      <c r="B2788">
        <f>IFERROR(__xludf.DUMMYFUNCTION("""COMPUTED_VALUE"""),2202008.0)</f>
        <v>2202008</v>
      </c>
      <c r="C2788" t="str">
        <f>IFERROR(__xludf.DUMMYFUNCTION("""COMPUTED_VALUE"""),"Multi Laser")</f>
        <v>Multi Laser</v>
      </c>
      <c r="D2788" t="str">
        <f>IFERROR(__xludf.DUMMYFUNCTION("""COMPUTED_VALUE"""),"MFC-L8340CDW")</f>
        <v>MFC-L8340CDW</v>
      </c>
      <c r="E2788" t="str">
        <f>IFERROR(__xludf.DUMMYFUNCTION("""COMPUTED_VALUE"""),"BROTHER")</f>
        <v>BROTHER</v>
      </c>
      <c r="F2788" t="str">
        <f>IFERROR(__xludf.DUMMYFUNCTION("""COMPUTED_VALUE"""),"H")</f>
        <v>H</v>
      </c>
      <c r="G2788" t="str">
        <f>IFERROR(__xludf.DUMMYFUNCTION("""COMPUTED_VALUE"""),"AC")</f>
        <v>AC</v>
      </c>
      <c r="H2788">
        <f>IFERROR(__xludf.DUMMYFUNCTION("""COMPUTED_VALUE"""),579.0)</f>
        <v>579</v>
      </c>
      <c r="I2788">
        <f>IFERROR(__xludf.DUMMYFUNCTION("""COMPUTED_VALUE"""),489.99)</f>
        <v>489.99</v>
      </c>
      <c r="BD2788" s="2006"/>
      <c r="LL2788" s="2007"/>
      <c r="LM2788" s="2007"/>
      <c r="MX2788" s="2007"/>
      <c r="ND2788" s="2007"/>
    </row>
    <row r="2789">
      <c r="A2789">
        <f>IFERROR(__xludf.DUMMYFUNCTION("""COMPUTED_VALUE"""),1198693.0)</f>
        <v>1198693</v>
      </c>
      <c r="B2789">
        <f>IFERROR(__xludf.DUMMYFUNCTION("""COMPUTED_VALUE"""),2202008.0)</f>
        <v>2202008</v>
      </c>
      <c r="C2789" t="str">
        <f>IFERROR(__xludf.DUMMYFUNCTION("""COMPUTED_VALUE"""),"Multi Laser")</f>
        <v>Multi Laser</v>
      </c>
      <c r="D2789" t="str">
        <f>IFERROR(__xludf.DUMMYFUNCTION("""COMPUTED_VALUE"""),"MFC-L8390CDW")</f>
        <v>MFC-L8390CDW</v>
      </c>
      <c r="E2789" t="str">
        <f>IFERROR(__xludf.DUMMYFUNCTION("""COMPUTED_VALUE"""),"BROTHER")</f>
        <v>BROTHER</v>
      </c>
      <c r="F2789" t="str">
        <f>IFERROR(__xludf.DUMMYFUNCTION("""COMPUTED_VALUE"""),"C")</f>
        <v>C</v>
      </c>
      <c r="G2789" t="str">
        <f>IFERROR(__xludf.DUMMYFUNCTION("""COMPUTED_VALUE"""),"AC")</f>
        <v>AC</v>
      </c>
      <c r="H2789">
        <f>IFERROR(__xludf.DUMMYFUNCTION("""COMPUTED_VALUE"""),649.0)</f>
        <v>649</v>
      </c>
      <c r="I2789">
        <f>IFERROR(__xludf.DUMMYFUNCTION("""COMPUTED_VALUE"""),649.0)</f>
        <v>649</v>
      </c>
      <c r="BD2789" s="2006"/>
      <c r="LL2789" s="2007"/>
      <c r="LM2789" s="2007"/>
      <c r="MX2789" s="2007"/>
      <c r="ND2789" s="2007"/>
    </row>
    <row r="2790">
      <c r="A2790">
        <f>IFERROR(__xludf.DUMMYFUNCTION("""COMPUTED_VALUE"""),1198729.0)</f>
        <v>1198729</v>
      </c>
      <c r="B2790">
        <f>IFERROR(__xludf.DUMMYFUNCTION("""COMPUTED_VALUE"""),2403006.0)</f>
        <v>2403006</v>
      </c>
      <c r="C2790" t="str">
        <f>IFERROR(__xludf.DUMMYFUNCTION("""COMPUTED_VALUE"""),"Pack")</f>
        <v>Pack</v>
      </c>
      <c r="D2790" t="str">
        <f>IFERROR(__xludf.DUMMYFUNCTION("""COMPUTED_VALUE"""),"consommable Maker")</f>
        <v>consommable Maker</v>
      </c>
      <c r="E2790" t="str">
        <f>IFERROR(__xludf.DUMMYFUNCTION("""COMPUTED_VALUE"""),"CRICUT")</f>
        <v>CRICUT</v>
      </c>
      <c r="F2790" t="str">
        <f>IFERROR(__xludf.DUMMYFUNCTION("""COMPUTED_VALUE"""),"H")</f>
        <v>H</v>
      </c>
      <c r="G2790" t="str">
        <f>IFERROR(__xludf.DUMMYFUNCTION("""COMPUTED_VALUE"""),"AC")</f>
        <v>AC</v>
      </c>
      <c r="H2790">
        <f>IFERROR(__xludf.DUMMYFUNCTION("""COMPUTED_VALUE"""),124.99)</f>
        <v>124.99</v>
      </c>
      <c r="I2790">
        <f>IFERROR(__xludf.DUMMYFUNCTION("""COMPUTED_VALUE"""),124.99)</f>
        <v>124.99</v>
      </c>
      <c r="BD2790" s="2006"/>
      <c r="LL2790" s="2007"/>
      <c r="LM2790" s="2007"/>
      <c r="MX2790" s="2007"/>
      <c r="ND2790" s="2007"/>
    </row>
    <row r="2791">
      <c r="A2791">
        <f>IFERROR(__xludf.DUMMYFUNCTION("""COMPUTED_VALUE"""),1198730.0)</f>
        <v>1198730</v>
      </c>
      <c r="B2791">
        <f>IFERROR(__xludf.DUMMYFUNCTION("""COMPUTED_VALUE"""),2403006.0)</f>
        <v>2403006</v>
      </c>
      <c r="C2791" t="str">
        <f>IFERROR(__xludf.DUMMYFUNCTION("""COMPUTED_VALUE"""),"Pack")</f>
        <v>Pack</v>
      </c>
      <c r="D2791" t="str">
        <f>IFERROR(__xludf.DUMMYFUNCTION("""COMPUTED_VALUE"""),"consommable Joy")</f>
        <v>consommable Joy</v>
      </c>
      <c r="E2791" t="str">
        <f>IFERROR(__xludf.DUMMYFUNCTION("""COMPUTED_VALUE"""),"CRICUT")</f>
        <v>CRICUT</v>
      </c>
      <c r="F2791" t="str">
        <f>IFERROR(__xludf.DUMMYFUNCTION("""COMPUTED_VALUE"""),"H")</f>
        <v>H</v>
      </c>
      <c r="G2791" t="str">
        <f>IFERROR(__xludf.DUMMYFUNCTION("""COMPUTED_VALUE"""),"AC")</f>
        <v>AC</v>
      </c>
      <c r="H2791">
        <f>IFERROR(__xludf.DUMMYFUNCTION("""COMPUTED_VALUE"""),124.99)</f>
        <v>124.99</v>
      </c>
      <c r="I2791">
        <f>IFERROR(__xludf.DUMMYFUNCTION("""COMPUTED_VALUE"""),124.99)</f>
        <v>124.99</v>
      </c>
      <c r="BD2791" s="2006"/>
      <c r="LL2791" s="2007"/>
      <c r="LM2791" s="2007"/>
      <c r="MX2791" s="2007"/>
      <c r="ND2791" s="2007"/>
    </row>
    <row r="2792">
      <c r="A2792">
        <f>IFERROR(__xludf.DUMMYFUNCTION("""COMPUTED_VALUE"""),1198764.0)</f>
        <v>1198764</v>
      </c>
      <c r="B2792">
        <f>IFERROR(__xludf.DUMMYFUNCTION("""COMPUTED_VALUE"""),2502012.0)</f>
        <v>2502012</v>
      </c>
      <c r="C2792" t="str">
        <f>IFERROR(__xludf.DUMMYFUNCTION("""COMPUTED_VALUE"""),"Tablette Graph")</f>
        <v>Tablette Graph</v>
      </c>
      <c r="D2792" t="str">
        <f>IFERROR(__xludf.DUMMYFUNCTION("""COMPUTED_VALUE"""),"Cintiq Pro 17")</f>
        <v>Cintiq Pro 17</v>
      </c>
      <c r="E2792" t="str">
        <f>IFERROR(__xludf.DUMMYFUNCTION("""COMPUTED_VALUE"""),"WACOM")</f>
        <v>WACOM</v>
      </c>
      <c r="F2792" t="str">
        <f>IFERROR(__xludf.DUMMYFUNCTION("""COMPUTED_VALUE"""),"H")</f>
        <v>H</v>
      </c>
      <c r="G2792" t="str">
        <f>IFERROR(__xludf.DUMMYFUNCTION("""COMPUTED_VALUE"""),"AC")</f>
        <v>AC</v>
      </c>
      <c r="H2792">
        <f>IFERROR(__xludf.DUMMYFUNCTION("""COMPUTED_VALUE"""),2699.99)</f>
        <v>2699.99</v>
      </c>
      <c r="I2792">
        <f>IFERROR(__xludf.DUMMYFUNCTION("""COMPUTED_VALUE"""),2699.99)</f>
        <v>2699.99</v>
      </c>
      <c r="BD2792" s="2006"/>
      <c r="LL2792" s="2007"/>
      <c r="LM2792" s="2007"/>
      <c r="MX2792" s="2007"/>
      <c r="ND2792" s="2007"/>
    </row>
    <row r="2793">
      <c r="A2793">
        <f>IFERROR(__xludf.DUMMYFUNCTION("""COMPUTED_VALUE"""),1198765.0)</f>
        <v>1198765</v>
      </c>
      <c r="B2793">
        <f>IFERROR(__xludf.DUMMYFUNCTION("""COMPUTED_VALUE"""),2502012.0)</f>
        <v>2502012</v>
      </c>
      <c r="C2793" t="str">
        <f>IFERROR(__xludf.DUMMYFUNCTION("""COMPUTED_VALUE"""),"Tablette Graph")</f>
        <v>Tablette Graph</v>
      </c>
      <c r="D2793" t="str">
        <f>IFERROR(__xludf.DUMMYFUNCTION("""COMPUTED_VALUE"""),"Cintiq Pro 22 with Stand")</f>
        <v>Cintiq Pro 22 with Stand</v>
      </c>
      <c r="E2793" t="str">
        <f>IFERROR(__xludf.DUMMYFUNCTION("""COMPUTED_VALUE"""),"WACOM")</f>
        <v>WACOM</v>
      </c>
      <c r="F2793" t="str">
        <f>IFERROR(__xludf.DUMMYFUNCTION("""COMPUTED_VALUE"""),"H")</f>
        <v>H</v>
      </c>
      <c r="G2793" t="str">
        <f>IFERROR(__xludf.DUMMYFUNCTION("""COMPUTED_VALUE"""),"AC")</f>
        <v>AC</v>
      </c>
      <c r="H2793">
        <f>IFERROR(__xludf.DUMMYFUNCTION("""COMPUTED_VALUE"""),3849.99)</f>
        <v>3849.99</v>
      </c>
      <c r="I2793">
        <f>IFERROR(__xludf.DUMMYFUNCTION("""COMPUTED_VALUE"""),3849.99)</f>
        <v>3849.99</v>
      </c>
      <c r="BD2793" s="2006"/>
      <c r="LL2793" s="2007"/>
      <c r="LM2793" s="2007"/>
      <c r="MX2793" s="2007"/>
      <c r="ND2793" s="2007"/>
    </row>
    <row r="2794">
      <c r="A2794">
        <f>IFERROR(__xludf.DUMMYFUNCTION("""COMPUTED_VALUE"""),1198998.0)</f>
        <v>1198998</v>
      </c>
      <c r="B2794">
        <f>IFERROR(__xludf.DUMMYFUNCTION("""COMPUTED_VALUE"""),2502024.0)</f>
        <v>2502024</v>
      </c>
      <c r="C2794" t="str">
        <f>IFERROR(__xludf.DUMMYFUNCTION("""COMPUTED_VALUE"""),"Stylet")</f>
        <v>Stylet</v>
      </c>
      <c r="D2794" t="str">
        <f>IFERROR(__xludf.DUMMYFUNCTION("""COMPUTED_VALUE"""),"DEMO Pencil USB-C")</f>
        <v>DEMO Pencil USB-C</v>
      </c>
      <c r="E2794" t="str">
        <f>IFERROR(__xludf.DUMMYFUNCTION("""COMPUTED_VALUE"""),"APPLE")</f>
        <v>APPLE</v>
      </c>
      <c r="F2794" t="str">
        <f>IFERROR(__xludf.DUMMYFUNCTION("""COMPUTED_VALUE"""),"H")</f>
        <v>H</v>
      </c>
      <c r="G2794" t="str">
        <f>IFERROR(__xludf.DUMMYFUNCTION("""COMPUTED_VALUE"""),"AC")</f>
        <v>AC</v>
      </c>
      <c r="H2794">
        <f>IFERROR(__xludf.DUMMYFUNCTION("""COMPUTED_VALUE"""),95.0)</f>
        <v>95</v>
      </c>
      <c r="I2794">
        <f>IFERROR(__xludf.DUMMYFUNCTION("""COMPUTED_VALUE"""),95.0)</f>
        <v>95</v>
      </c>
      <c r="BD2794" s="2006"/>
      <c r="LL2794" s="2007"/>
      <c r="LM2794" s="2007"/>
      <c r="MX2794" s="2007"/>
      <c r="ND2794" s="2007"/>
    </row>
    <row r="2795">
      <c r="A2795">
        <f>IFERROR(__xludf.DUMMYFUNCTION("""COMPUTED_VALUE"""),1199086.0)</f>
        <v>1199086</v>
      </c>
      <c r="B2795">
        <f>IFERROR(__xludf.DUMMYFUNCTION("""COMPUTED_VALUE"""),2203010.0)</f>
        <v>2203010</v>
      </c>
      <c r="C2795" t="str">
        <f>IFERROR(__xludf.DUMMYFUNCTION("""COMPUTED_VALUE"""),"Scanner")</f>
        <v>Scanner</v>
      </c>
      <c r="D2795" t="str">
        <f>IFERROR(__xludf.DUMMYFUNCTION("""COMPUTED_VALUE"""),"Scan Anywhere 6 Wifi Simplex")</f>
        <v>Scan Anywhere 6 Wifi Simplex</v>
      </c>
      <c r="E2795" t="str">
        <f>IFERROR(__xludf.DUMMYFUNCTION("""COMPUTED_VALUE"""),"IRIS")</f>
        <v>IRIS</v>
      </c>
      <c r="F2795" t="str">
        <f>IFERROR(__xludf.DUMMYFUNCTION("""COMPUTED_VALUE"""),"H")</f>
        <v>H</v>
      </c>
      <c r="G2795" t="str">
        <f>IFERROR(__xludf.DUMMYFUNCTION("""COMPUTED_VALUE"""),"AC")</f>
        <v>AC</v>
      </c>
      <c r="H2795">
        <f>IFERROR(__xludf.DUMMYFUNCTION("""COMPUTED_VALUE"""),189.0)</f>
        <v>189</v>
      </c>
      <c r="I2795">
        <f>IFERROR(__xludf.DUMMYFUNCTION("""COMPUTED_VALUE"""),189.0)</f>
        <v>189</v>
      </c>
      <c r="BD2795" s="2006"/>
      <c r="LL2795" s="2007"/>
      <c r="LM2795" s="2007"/>
      <c r="MX2795" s="2007"/>
      <c r="ND2795" s="2007"/>
    </row>
    <row r="2796">
      <c r="A2796">
        <f>IFERROR(__xludf.DUMMYFUNCTION("""COMPUTED_VALUE"""),1199087.0)</f>
        <v>1199087</v>
      </c>
      <c r="B2796">
        <f>IFERROR(__xludf.DUMMYFUNCTION("""COMPUTED_VALUE"""),2203010.0)</f>
        <v>2203010</v>
      </c>
      <c r="C2796" t="str">
        <f>IFERROR(__xludf.DUMMYFUNCTION("""COMPUTED_VALUE"""),"Scanner")</f>
        <v>Scanner</v>
      </c>
      <c r="D2796" t="str">
        <f>IFERROR(__xludf.DUMMYFUNCTION("""COMPUTED_VALUE"""),"Scan Anywhere 6 Wifi Duplex")</f>
        <v>Scan Anywhere 6 Wifi Duplex</v>
      </c>
      <c r="E2796" t="str">
        <f>IFERROR(__xludf.DUMMYFUNCTION("""COMPUTED_VALUE"""),"IRIS")</f>
        <v>IRIS</v>
      </c>
      <c r="F2796" t="str">
        <f>IFERROR(__xludf.DUMMYFUNCTION("""COMPUTED_VALUE"""),"H")</f>
        <v>H</v>
      </c>
      <c r="G2796" t="str">
        <f>IFERROR(__xludf.DUMMYFUNCTION("""COMPUTED_VALUE"""),"AC")</f>
        <v>AC</v>
      </c>
      <c r="H2796">
        <f>IFERROR(__xludf.DUMMYFUNCTION("""COMPUTED_VALUE"""),229.0)</f>
        <v>229</v>
      </c>
      <c r="I2796">
        <f>IFERROR(__xludf.DUMMYFUNCTION("""COMPUTED_VALUE"""),229.0)</f>
        <v>229</v>
      </c>
      <c r="BD2796" s="2006"/>
      <c r="LL2796" s="2008"/>
      <c r="LM2796" s="2007"/>
      <c r="MX2796" s="2007"/>
      <c r="ND2796" s="2007"/>
    </row>
    <row r="2797">
      <c r="A2797">
        <f>IFERROR(__xludf.DUMMYFUNCTION("""COMPUTED_VALUE"""),1199215.0)</f>
        <v>1199215</v>
      </c>
      <c r="B2797">
        <f>IFERROR(__xludf.DUMMYFUNCTION("""COMPUTED_VALUE"""),2502015.0)</f>
        <v>2502015</v>
      </c>
      <c r="C2797" t="str">
        <f>IFERROR(__xludf.DUMMYFUNCTION("""COMPUTED_VALUE"""),"Lot")</f>
        <v>Lot</v>
      </c>
      <c r="D2797" t="str">
        <f>IFERROR(__xludf.DUMMYFUNCTION("""COMPUTED_VALUE"""),"Clavier K650 + souris M650")</f>
        <v>Clavier K650 + souris M650</v>
      </c>
      <c r="E2797" t="str">
        <f>IFERROR(__xludf.DUMMYFUNCTION("""COMPUTED_VALUE"""),"LOGITECH")</f>
        <v>LOGITECH</v>
      </c>
      <c r="F2797" t="str">
        <f>IFERROR(__xludf.DUMMYFUNCTION("""COMPUTED_VALUE"""),"H")</f>
        <v>H</v>
      </c>
      <c r="G2797" t="str">
        <f>IFERROR(__xludf.DUMMYFUNCTION("""COMPUTED_VALUE"""),"AC")</f>
        <v>AC</v>
      </c>
      <c r="H2797">
        <f>IFERROR(__xludf.DUMMYFUNCTION("""COMPUTED_VALUE"""),104.98)</f>
        <v>104.98</v>
      </c>
      <c r="I2797">
        <f>IFERROR(__xludf.DUMMYFUNCTION("""COMPUTED_VALUE"""),104.98)</f>
        <v>104.98</v>
      </c>
      <c r="BD2797" s="2006"/>
      <c r="LL2797" s="2007"/>
      <c r="LM2797" s="2007"/>
      <c r="MX2797" s="2007"/>
      <c r="ND2797" s="2007"/>
    </row>
    <row r="2798">
      <c r="A2798">
        <f>IFERROR(__xludf.DUMMYFUNCTION("""COMPUTED_VALUE"""),1199636.0)</f>
        <v>1199636</v>
      </c>
      <c r="B2798">
        <f>IFERROR(__xludf.DUMMYFUNCTION("""COMPUTED_VALUE"""),2202010.0)</f>
        <v>2202010</v>
      </c>
      <c r="D2798" t="str">
        <f>IFERROR(__xludf.DUMMYFUNCTION("""COMPUTED_VALUE"""),"Reprise HP 15 euros")</f>
        <v>Reprise HP 15 euros</v>
      </c>
      <c r="E2798" t="str">
        <f>IFERROR(__xludf.DUMMYFUNCTION("""COMPUTED_VALUE"""),".")</f>
        <v>.</v>
      </c>
      <c r="F2798" t="str">
        <f>IFERROR(__xludf.DUMMYFUNCTION("""COMPUTED_VALUE"""),"H")</f>
        <v>H</v>
      </c>
      <c r="G2798" t="str">
        <f>IFERROR(__xludf.DUMMYFUNCTION("""COMPUTED_VALUE"""),"AC")</f>
        <v>AC</v>
      </c>
      <c r="H2798">
        <f>IFERROR(__xludf.DUMMYFUNCTION("""COMPUTED_VALUE"""),0.01)</f>
        <v>0.01</v>
      </c>
      <c r="I2798">
        <f>IFERROR(__xludf.DUMMYFUNCTION("""COMPUTED_VALUE"""),0.01)</f>
        <v>0.01</v>
      </c>
      <c r="BD2798" s="2006"/>
      <c r="LL2798" s="2007"/>
      <c r="LM2798" s="2007"/>
      <c r="MX2798" s="2007"/>
      <c r="ND2798" s="2007"/>
    </row>
    <row r="2799">
      <c r="A2799">
        <f>IFERROR(__xludf.DUMMYFUNCTION("""COMPUTED_VALUE"""),1199637.0)</f>
        <v>1199637</v>
      </c>
      <c r="B2799">
        <f>IFERROR(__xludf.DUMMYFUNCTION("""COMPUTED_VALUE"""),2202010.0)</f>
        <v>2202010</v>
      </c>
      <c r="D2799" t="str">
        <f>IFERROR(__xludf.DUMMYFUNCTION("""COMPUTED_VALUE"""),"Reprise HP 20 euros")</f>
        <v>Reprise HP 20 euros</v>
      </c>
      <c r="E2799" t="str">
        <f>IFERROR(__xludf.DUMMYFUNCTION("""COMPUTED_VALUE"""),".")</f>
        <v>.</v>
      </c>
      <c r="F2799" t="str">
        <f>IFERROR(__xludf.DUMMYFUNCTION("""COMPUTED_VALUE"""),"H")</f>
        <v>H</v>
      </c>
      <c r="G2799" t="str">
        <f>IFERROR(__xludf.DUMMYFUNCTION("""COMPUTED_VALUE"""),"AC")</f>
        <v>AC</v>
      </c>
      <c r="H2799">
        <f>IFERROR(__xludf.DUMMYFUNCTION("""COMPUTED_VALUE"""),0.01)</f>
        <v>0.01</v>
      </c>
      <c r="I2799">
        <f>IFERROR(__xludf.DUMMYFUNCTION("""COMPUTED_VALUE"""),0.01)</f>
        <v>0.01</v>
      </c>
      <c r="BD2799" s="2006"/>
      <c r="LL2799" s="2007"/>
      <c r="LM2799" s="2007"/>
      <c r="MX2799" s="2007"/>
      <c r="ND2799" s="2007"/>
    </row>
    <row r="2800">
      <c r="A2800">
        <f>IFERROR(__xludf.DUMMYFUNCTION("""COMPUTED_VALUE"""),1199800.0)</f>
        <v>1199800</v>
      </c>
      <c r="B2800">
        <f>IFERROR(__xludf.DUMMYFUNCTION("""COMPUTED_VALUE"""),2502510.0)</f>
        <v>2502510</v>
      </c>
      <c r="C2800" t="str">
        <f>IFERROR(__xludf.DUMMYFUNCTION("""COMPUTED_VALUE"""),"Support")</f>
        <v>Support</v>
      </c>
      <c r="D2800" t="str">
        <f>IFERROR(__xludf.DUMMYFUNCTION("""COMPUTED_VALUE"""),"K B CADMIUM")</f>
        <v>K B CADMIUM</v>
      </c>
      <c r="E2800" t="str">
        <f>IFERROR(__xludf.DUMMYFUNCTION("""COMPUTED_VALUE"""),"THE G-LAB")</f>
        <v>THE G-LAB</v>
      </c>
      <c r="F2800" t="str">
        <f>IFERROR(__xludf.DUMMYFUNCTION("""COMPUTED_VALUE"""),"H")</f>
        <v>H</v>
      </c>
      <c r="G2800" t="str">
        <f>IFERROR(__xludf.DUMMYFUNCTION("""COMPUTED_VALUE"""),"AC")</f>
        <v>AC</v>
      </c>
      <c r="H2800">
        <f>IFERROR(__xludf.DUMMYFUNCTION("""COMPUTED_VALUE"""),49.99)</f>
        <v>49.99</v>
      </c>
      <c r="I2800">
        <f>IFERROR(__xludf.DUMMYFUNCTION("""COMPUTED_VALUE"""),49.99)</f>
        <v>49.99</v>
      </c>
      <c r="BD2800" s="2006"/>
      <c r="LL2800" s="2007"/>
      <c r="LM2800" s="2007"/>
      <c r="MX2800" s="2007"/>
      <c r="ND2800" s="2007"/>
    </row>
    <row r="2801">
      <c r="A2801">
        <f>IFERROR(__xludf.DUMMYFUNCTION("""COMPUTED_VALUE"""),1199857.0)</f>
        <v>1199857</v>
      </c>
      <c r="B2801">
        <f>IFERROR(__xludf.DUMMYFUNCTION("""COMPUTED_VALUE"""),2201020.0)</f>
        <v>2201020</v>
      </c>
      <c r="C2801" t="str">
        <f>IFERROR(__xludf.DUMMYFUNCTION("""COMPUTED_VALUE"""),"Mono Laser")</f>
        <v>Mono Laser</v>
      </c>
      <c r="D2801" t="str">
        <f>IFERROR(__xludf.DUMMYFUNCTION("""COMPUTED_VALUE"""),"LaserJet M110w")</f>
        <v>LaserJet M110w</v>
      </c>
      <c r="E2801" t="str">
        <f>IFERROR(__xludf.DUMMYFUNCTION("""COMPUTED_VALUE"""),"HP")</f>
        <v>HP</v>
      </c>
      <c r="F2801" t="str">
        <f>IFERROR(__xludf.DUMMYFUNCTION("""COMPUTED_VALUE"""),"C")</f>
        <v>C</v>
      </c>
      <c r="G2801" t="str">
        <f>IFERROR(__xludf.DUMMYFUNCTION("""COMPUTED_VALUE"""),"AC")</f>
        <v>AC</v>
      </c>
      <c r="H2801">
        <f>IFERROR(__xludf.DUMMYFUNCTION("""COMPUTED_VALUE"""),119.99)</f>
        <v>119.99</v>
      </c>
      <c r="I2801">
        <f>IFERROR(__xludf.DUMMYFUNCTION("""COMPUTED_VALUE"""),119.99)</f>
        <v>119.99</v>
      </c>
      <c r="BD2801" s="2006"/>
      <c r="LL2801" s="2007"/>
      <c r="LM2801" s="2007"/>
      <c r="MX2801" s="2007"/>
      <c r="ND2801" s="2007"/>
    </row>
    <row r="2802">
      <c r="A2802">
        <f>IFERROR(__xludf.DUMMYFUNCTION("""COMPUTED_VALUE"""),1199858.0)</f>
        <v>1199858</v>
      </c>
      <c r="B2802">
        <f>IFERROR(__xludf.DUMMYFUNCTION("""COMPUTED_VALUE"""),2202008.0)</f>
        <v>2202008</v>
      </c>
      <c r="C2802" t="str">
        <f>IFERROR(__xludf.DUMMYFUNCTION("""COMPUTED_VALUE"""),"Multi Laser")</f>
        <v>Multi Laser</v>
      </c>
      <c r="D2802" t="str">
        <f>IFERROR(__xludf.DUMMYFUNCTION("""COMPUTED_VALUE"""),"LaserJet M140w")</f>
        <v>LaserJet M140w</v>
      </c>
      <c r="E2802" t="str">
        <f>IFERROR(__xludf.DUMMYFUNCTION("""COMPUTED_VALUE"""),"HP")</f>
        <v>HP</v>
      </c>
      <c r="F2802" t="str">
        <f>IFERROR(__xludf.DUMMYFUNCTION("""COMPUTED_VALUE"""),"D")</f>
        <v>D</v>
      </c>
      <c r="G2802" t="str">
        <f>IFERROR(__xludf.DUMMYFUNCTION("""COMPUTED_VALUE"""),"AC")</f>
        <v>AC</v>
      </c>
      <c r="H2802">
        <f>IFERROR(__xludf.DUMMYFUNCTION("""COMPUTED_VALUE"""),159.99)</f>
        <v>159.99</v>
      </c>
      <c r="I2802">
        <f>IFERROR(__xludf.DUMMYFUNCTION("""COMPUTED_VALUE"""),159.99)</f>
        <v>159.99</v>
      </c>
      <c r="BD2802" s="2006"/>
      <c r="LL2802" s="2008"/>
      <c r="LM2802" s="2007"/>
      <c r="MX2802" s="2007"/>
      <c r="ND2802" s="2007"/>
    </row>
    <row r="2803">
      <c r="A2803">
        <f>IFERROR(__xludf.DUMMYFUNCTION("""COMPUTED_VALUE"""),1199859.0)</f>
        <v>1199859</v>
      </c>
      <c r="B2803">
        <f>IFERROR(__xludf.DUMMYFUNCTION("""COMPUTED_VALUE"""),2201020.0)</f>
        <v>2201020</v>
      </c>
      <c r="C2803" t="str">
        <f>IFERROR(__xludf.DUMMYFUNCTION("""COMPUTED_VALUE"""),"Mono Laser")</f>
        <v>Mono Laser</v>
      </c>
      <c r="D2803" t="str">
        <f>IFERROR(__xludf.DUMMYFUNCTION("""COMPUTED_VALUE"""),"Laser M209 dw")</f>
        <v>Laser M209 dw</v>
      </c>
      <c r="E2803" t="str">
        <f>IFERROR(__xludf.DUMMYFUNCTION("""COMPUTED_VALUE"""),"HP")</f>
        <v>HP</v>
      </c>
      <c r="F2803" t="str">
        <f>IFERROR(__xludf.DUMMYFUNCTION("""COMPUTED_VALUE"""),"D")</f>
        <v>D</v>
      </c>
      <c r="G2803" t="str">
        <f>IFERROR(__xludf.DUMMYFUNCTION("""COMPUTED_VALUE"""),"AC")</f>
        <v>AC</v>
      </c>
      <c r="H2803">
        <f>IFERROR(__xludf.DUMMYFUNCTION("""COMPUTED_VALUE"""),159.99)</f>
        <v>159.99</v>
      </c>
      <c r="I2803">
        <f>IFERROR(__xludf.DUMMYFUNCTION("""COMPUTED_VALUE"""),159.99)</f>
        <v>159.99</v>
      </c>
      <c r="BD2803" s="2006"/>
      <c r="LL2803" s="2007"/>
      <c r="LM2803" s="2007"/>
      <c r="MX2803" s="2007"/>
      <c r="ND2803" s="2007"/>
    </row>
    <row r="2804">
      <c r="A2804">
        <f>IFERROR(__xludf.DUMMYFUNCTION("""COMPUTED_VALUE"""),1199974.0)</f>
        <v>1199974</v>
      </c>
      <c r="B2804">
        <f>IFERROR(__xludf.DUMMYFUNCTION("""COMPUTED_VALUE"""),2202005.0)</f>
        <v>2202005</v>
      </c>
      <c r="C2804" t="str">
        <f>IFERROR(__xludf.DUMMYFUNCTION("""COMPUTED_VALUE"""),"Multi Jet d'enc")</f>
        <v>Multi Jet d'enc</v>
      </c>
      <c r="D2804" t="str">
        <f>IFERROR(__xludf.DUMMYFUNCTION("""COMPUTED_VALUE"""),"OfficeJet Pro 8025e")</f>
        <v>OfficeJet Pro 8025e</v>
      </c>
      <c r="E2804" t="str">
        <f>IFERROR(__xludf.DUMMYFUNCTION("""COMPUTED_VALUE"""),"HP")</f>
        <v>HP</v>
      </c>
      <c r="F2804" t="str">
        <f>IFERROR(__xludf.DUMMYFUNCTION("""COMPUTED_VALUE"""),"B")</f>
        <v>B</v>
      </c>
      <c r="G2804" t="str">
        <f>IFERROR(__xludf.DUMMYFUNCTION("""COMPUTED_VALUE"""),"AC")</f>
        <v>AC</v>
      </c>
      <c r="H2804">
        <f>IFERROR(__xludf.DUMMYFUNCTION("""COMPUTED_VALUE"""),219.99)</f>
        <v>219.99</v>
      </c>
      <c r="I2804">
        <f>IFERROR(__xludf.DUMMYFUNCTION("""COMPUTED_VALUE"""),219.99)</f>
        <v>219.99</v>
      </c>
      <c r="BD2804" s="2006"/>
      <c r="LL2804" s="2007"/>
      <c r="LM2804" s="2007"/>
      <c r="MX2804" s="2007"/>
      <c r="ND2804" s="2007"/>
    </row>
    <row r="2805">
      <c r="A2805">
        <f>IFERROR(__xludf.DUMMYFUNCTION("""COMPUTED_VALUE"""),1200191.0)</f>
        <v>1200191</v>
      </c>
      <c r="B2805">
        <f>IFERROR(__xludf.DUMMYFUNCTION("""COMPUTED_VALUE"""),2403010.0)</f>
        <v>2403010</v>
      </c>
      <c r="C2805" t="str">
        <f>IFERROR(__xludf.DUMMYFUNCTION("""COMPUTED_VALUE"""),"Toner")</f>
        <v>Toner</v>
      </c>
      <c r="D2805" t="str">
        <f>IFERROR(__xludf.DUMMYFUNCTION("""COMPUTED_VALUE"""),"139A Black Original")</f>
        <v>139A Black Original</v>
      </c>
      <c r="E2805" t="str">
        <f>IFERROR(__xludf.DUMMYFUNCTION("""COMPUTED_VALUE"""),"HP")</f>
        <v>HP</v>
      </c>
      <c r="F2805" t="str">
        <f>IFERROR(__xludf.DUMMYFUNCTION("""COMPUTED_VALUE"""),"H")</f>
        <v>H</v>
      </c>
      <c r="G2805" t="str">
        <f>IFERROR(__xludf.DUMMYFUNCTION("""COMPUTED_VALUE"""),"AC")</f>
        <v>AC</v>
      </c>
      <c r="H2805">
        <f>IFERROR(__xludf.DUMMYFUNCTION("""COMPUTED_VALUE"""),78.9)</f>
        <v>78.9</v>
      </c>
      <c r="I2805">
        <f>IFERROR(__xludf.DUMMYFUNCTION("""COMPUTED_VALUE"""),78.9)</f>
        <v>78.9</v>
      </c>
      <c r="BD2805" s="2006"/>
      <c r="LL2805" s="2007"/>
      <c r="LM2805" s="2007"/>
      <c r="MX2805" s="2007"/>
      <c r="ND2805" s="2007"/>
    </row>
    <row r="2806">
      <c r="A2806">
        <f>IFERROR(__xludf.DUMMYFUNCTION("""COMPUTED_VALUE"""),1200192.0)</f>
        <v>1200192</v>
      </c>
      <c r="B2806">
        <f>IFERROR(__xludf.DUMMYFUNCTION("""COMPUTED_VALUE"""),2403010.0)</f>
        <v>2403010</v>
      </c>
      <c r="C2806" t="str">
        <f>IFERROR(__xludf.DUMMYFUNCTION("""COMPUTED_VALUE"""),"Toner")</f>
        <v>Toner</v>
      </c>
      <c r="D2806" t="str">
        <f>IFERROR(__xludf.DUMMYFUNCTION("""COMPUTED_VALUE"""),"216A Black")</f>
        <v>216A Black</v>
      </c>
      <c r="E2806" t="str">
        <f>IFERROR(__xludf.DUMMYFUNCTION("""COMPUTED_VALUE"""),"HP")</f>
        <v>HP</v>
      </c>
      <c r="F2806" t="str">
        <f>IFERROR(__xludf.DUMMYFUNCTION("""COMPUTED_VALUE"""),"H")</f>
        <v>H</v>
      </c>
      <c r="G2806" t="str">
        <f>IFERROR(__xludf.DUMMYFUNCTION("""COMPUTED_VALUE"""),"AC")</f>
        <v>AC</v>
      </c>
      <c r="H2806">
        <f>IFERROR(__xludf.DUMMYFUNCTION("""COMPUTED_VALUE"""),65.9)</f>
        <v>65.9</v>
      </c>
      <c r="I2806">
        <f>IFERROR(__xludf.DUMMYFUNCTION("""COMPUTED_VALUE"""),65.9)</f>
        <v>65.9</v>
      </c>
      <c r="BD2806" s="2006"/>
      <c r="LL2806" s="2007"/>
      <c r="LM2806" s="2007"/>
      <c r="MX2806" s="2007"/>
      <c r="ND2806" s="2007"/>
    </row>
    <row r="2807">
      <c r="A2807">
        <f>IFERROR(__xludf.DUMMYFUNCTION("""COMPUTED_VALUE"""),1200193.0)</f>
        <v>1200193</v>
      </c>
      <c r="B2807">
        <f>IFERROR(__xludf.DUMMYFUNCTION("""COMPUTED_VALUE"""),2403010.0)</f>
        <v>2403010</v>
      </c>
      <c r="C2807" t="str">
        <f>IFERROR(__xludf.DUMMYFUNCTION("""COMPUTED_VALUE"""),"Toner")</f>
        <v>Toner</v>
      </c>
      <c r="D2807" t="str">
        <f>IFERROR(__xludf.DUMMYFUNCTION("""COMPUTED_VALUE"""),"216A Cyan")</f>
        <v>216A Cyan</v>
      </c>
      <c r="E2807" t="str">
        <f>IFERROR(__xludf.DUMMYFUNCTION("""COMPUTED_VALUE"""),"HP")</f>
        <v>HP</v>
      </c>
      <c r="F2807" t="str">
        <f>IFERROR(__xludf.DUMMYFUNCTION("""COMPUTED_VALUE"""),"H")</f>
        <v>H</v>
      </c>
      <c r="G2807" t="str">
        <f>IFERROR(__xludf.DUMMYFUNCTION("""COMPUTED_VALUE"""),"AC")</f>
        <v>AC</v>
      </c>
      <c r="H2807">
        <f>IFERROR(__xludf.DUMMYFUNCTION("""COMPUTED_VALUE"""),90.0)</f>
        <v>90</v>
      </c>
      <c r="I2807">
        <f>IFERROR(__xludf.DUMMYFUNCTION("""COMPUTED_VALUE"""),90.0)</f>
        <v>90</v>
      </c>
      <c r="BD2807" s="2006"/>
      <c r="LL2807" s="2007"/>
      <c r="LM2807" s="2007"/>
      <c r="MX2807" s="2007"/>
      <c r="ND2807" s="2007"/>
    </row>
    <row r="2808">
      <c r="A2808">
        <f>IFERROR(__xludf.DUMMYFUNCTION("""COMPUTED_VALUE"""),1200194.0)</f>
        <v>1200194</v>
      </c>
      <c r="B2808">
        <f>IFERROR(__xludf.DUMMYFUNCTION("""COMPUTED_VALUE"""),2403010.0)</f>
        <v>2403010</v>
      </c>
      <c r="C2808" t="str">
        <f>IFERROR(__xludf.DUMMYFUNCTION("""COMPUTED_VALUE"""),"Toner")</f>
        <v>Toner</v>
      </c>
      <c r="D2808" t="str">
        <f>IFERROR(__xludf.DUMMYFUNCTION("""COMPUTED_VALUE"""),"216A Yellow")</f>
        <v>216A Yellow</v>
      </c>
      <c r="E2808" t="str">
        <f>IFERROR(__xludf.DUMMYFUNCTION("""COMPUTED_VALUE"""),"HP")</f>
        <v>HP</v>
      </c>
      <c r="F2808" t="str">
        <f>IFERROR(__xludf.DUMMYFUNCTION("""COMPUTED_VALUE"""),"H")</f>
        <v>H</v>
      </c>
      <c r="G2808" t="str">
        <f>IFERROR(__xludf.DUMMYFUNCTION("""COMPUTED_VALUE"""),"AC")</f>
        <v>AC</v>
      </c>
      <c r="H2808">
        <f>IFERROR(__xludf.DUMMYFUNCTION("""COMPUTED_VALUE"""),70.9)</f>
        <v>70.9</v>
      </c>
      <c r="I2808">
        <f>IFERROR(__xludf.DUMMYFUNCTION("""COMPUTED_VALUE"""),70.9)</f>
        <v>70.9</v>
      </c>
      <c r="BD2808" s="2006"/>
      <c r="LL2808" s="2007"/>
      <c r="LM2808" s="2007"/>
      <c r="MX2808" s="2007"/>
      <c r="ND2808" s="2007"/>
    </row>
    <row r="2809">
      <c r="A2809">
        <f>IFERROR(__xludf.DUMMYFUNCTION("""COMPUTED_VALUE"""),1200195.0)</f>
        <v>1200195</v>
      </c>
      <c r="B2809">
        <f>IFERROR(__xludf.DUMMYFUNCTION("""COMPUTED_VALUE"""),2403010.0)</f>
        <v>2403010</v>
      </c>
      <c r="C2809" t="str">
        <f>IFERROR(__xludf.DUMMYFUNCTION("""COMPUTED_VALUE"""),"Toner")</f>
        <v>Toner</v>
      </c>
      <c r="D2809" t="str">
        <f>IFERROR(__xludf.DUMMYFUNCTION("""COMPUTED_VALUE"""),"216A Magenta")</f>
        <v>216A Magenta</v>
      </c>
      <c r="E2809" t="str">
        <f>IFERROR(__xludf.DUMMYFUNCTION("""COMPUTED_VALUE"""),"HP")</f>
        <v>HP</v>
      </c>
      <c r="F2809" t="str">
        <f>IFERROR(__xludf.DUMMYFUNCTION("""COMPUTED_VALUE"""),"H")</f>
        <v>H</v>
      </c>
      <c r="G2809" t="str">
        <f>IFERROR(__xludf.DUMMYFUNCTION("""COMPUTED_VALUE"""),"AC")</f>
        <v>AC</v>
      </c>
      <c r="H2809">
        <f>IFERROR(__xludf.DUMMYFUNCTION("""COMPUTED_VALUE"""),70.9)</f>
        <v>70.9</v>
      </c>
      <c r="I2809">
        <f>IFERROR(__xludf.DUMMYFUNCTION("""COMPUTED_VALUE"""),70.9)</f>
        <v>70.9</v>
      </c>
      <c r="BD2809" s="2006"/>
      <c r="LL2809" s="2007"/>
      <c r="LM2809" s="2007"/>
      <c r="MX2809" s="2007"/>
      <c r="ND2809" s="2007"/>
    </row>
    <row r="2810">
      <c r="A2810">
        <f>IFERROR(__xludf.DUMMYFUNCTION("""COMPUTED_VALUE"""),8000000.0)</f>
        <v>8000000</v>
      </c>
      <c r="B2810">
        <f>IFERROR(__xludf.DUMMYFUNCTION("""COMPUTED_VALUE"""),2402005.0)</f>
        <v>2402005</v>
      </c>
      <c r="C2810" t="str">
        <f>IFERROR(__xludf.DUMMYFUNCTION("""COMPUTED_VALUE"""),"Papier")</f>
        <v>Papier</v>
      </c>
      <c r="D2810" t="str">
        <f>IFERROR(__xludf.DUMMYFUNCTION("""COMPUTED_VALUE"""),"2500 feuilles / 5 Ramettes 75g")</f>
        <v>2500 feuilles / 5 Ramettes 75g</v>
      </c>
      <c r="E2810" t="str">
        <f>IFERROR(__xludf.DUMMYFUNCTION("""COMPUTED_VALUE"""),"ESSENTIELB")</f>
        <v>ESSENTIELB</v>
      </c>
      <c r="F2810" t="str">
        <f>IFERROR(__xludf.DUMMYFUNCTION("""COMPUTED_VALUE"""),"B")</f>
        <v>B</v>
      </c>
      <c r="G2810" t="str">
        <f>IFERROR(__xludf.DUMMYFUNCTION("""COMPUTED_VALUE"""),"AC")</f>
        <v>AC</v>
      </c>
      <c r="H2810">
        <f>IFERROR(__xludf.DUMMYFUNCTION("""COMPUTED_VALUE"""),32.41)</f>
        <v>32.41</v>
      </c>
      <c r="I2810">
        <f>IFERROR(__xludf.DUMMYFUNCTION("""COMPUTED_VALUE"""),24.06)</f>
        <v>24.06</v>
      </c>
      <c r="BD2810" s="2006"/>
      <c r="LL2810" s="2007"/>
      <c r="LM2810" s="2007"/>
      <c r="MX2810" s="2007"/>
      <c r="ND2810" s="2007"/>
    </row>
    <row r="2811">
      <c r="A2811">
        <f>IFERROR(__xludf.DUMMYFUNCTION("""COMPUTED_VALUE"""),8000001.0)</f>
        <v>8000001</v>
      </c>
      <c r="B2811">
        <f>IFERROR(__xludf.DUMMYFUNCTION("""COMPUTED_VALUE"""),2402005.0)</f>
        <v>2402005</v>
      </c>
      <c r="C2811" t="str">
        <f>IFERROR(__xludf.DUMMYFUNCTION("""COMPUTED_VALUE"""),"Papier")</f>
        <v>Papier</v>
      </c>
      <c r="D2811" t="str">
        <f>IFERROR(__xludf.DUMMYFUNCTION("""COMPUTED_VALUE"""),"2500 feuilles / 5 Ramettes 90g")</f>
        <v>2500 feuilles / 5 Ramettes 90g</v>
      </c>
      <c r="E2811" t="str">
        <f>IFERROR(__xludf.DUMMYFUNCTION("""COMPUTED_VALUE"""),"ESSENTIELB")</f>
        <v>ESSENTIELB</v>
      </c>
      <c r="F2811" t="str">
        <f>IFERROR(__xludf.DUMMYFUNCTION("""COMPUTED_VALUE"""),"B")</f>
        <v>B</v>
      </c>
      <c r="G2811" t="str">
        <f>IFERROR(__xludf.DUMMYFUNCTION("""COMPUTED_VALUE"""),"AC")</f>
        <v>AC</v>
      </c>
      <c r="H2811">
        <f>IFERROR(__xludf.DUMMYFUNCTION("""COMPUTED_VALUE"""),43.45)</f>
        <v>43.45</v>
      </c>
      <c r="I2811">
        <f>IFERROR(__xludf.DUMMYFUNCTION("""COMPUTED_VALUE"""),30.95)</f>
        <v>30.95</v>
      </c>
      <c r="BD2811" s="2006"/>
      <c r="LL2811" s="2007"/>
      <c r="LM2811" s="2007"/>
      <c r="MX2811" s="2007"/>
      <c r="ND2811" s="2007"/>
    </row>
    <row r="2812">
      <c r="A2812">
        <f>IFERROR(__xludf.DUMMYFUNCTION("""COMPUTED_VALUE"""),8001383.0)</f>
        <v>8001383</v>
      </c>
      <c r="B2812">
        <f>IFERROR(__xludf.DUMMYFUNCTION("""COMPUTED_VALUE"""),1108005.0)</f>
        <v>1108005</v>
      </c>
      <c r="C2812" t="str">
        <f>IFERROR(__xludf.DUMMYFUNCTION("""COMPUTED_VALUE"""),"Talkie")</f>
        <v>Talkie</v>
      </c>
      <c r="D2812" t="str">
        <f>IFERROR(__xludf.DUMMYFUNCTION("""COMPUTED_VALUE"""),"TALK &amp; WALK Rouge")</f>
        <v>TALK &amp; WALK Rouge</v>
      </c>
      <c r="E2812" t="str">
        <f>IFERROR(__xludf.DUMMYFUNCTION("""COMPUTED_VALUE"""),"ESSENTIELB")</f>
        <v>ESSENTIELB</v>
      </c>
      <c r="F2812" t="str">
        <f>IFERROR(__xludf.DUMMYFUNCTION("""COMPUTED_VALUE"""),"A")</f>
        <v>A</v>
      </c>
      <c r="G2812" t="str">
        <f>IFERROR(__xludf.DUMMYFUNCTION("""COMPUTED_VALUE"""),"FR")</f>
        <v>FR</v>
      </c>
      <c r="H2812">
        <f>IFERROR(__xludf.DUMMYFUNCTION("""COMPUTED_VALUE"""),34.99)</f>
        <v>34.99</v>
      </c>
      <c r="I2812">
        <f>IFERROR(__xludf.DUMMYFUNCTION("""COMPUTED_VALUE"""),34.99)</f>
        <v>34.99</v>
      </c>
      <c r="BD2812" s="2006"/>
      <c r="LL2812" s="2007"/>
      <c r="LM2812" s="2007"/>
      <c r="MX2812" s="2007"/>
      <c r="ND2812" s="2007"/>
    </row>
    <row r="2813">
      <c r="A2813">
        <f>IFERROR(__xludf.DUMMYFUNCTION("""COMPUTED_VALUE"""),8001385.0)</f>
        <v>8001385</v>
      </c>
      <c r="B2813">
        <f>IFERROR(__xludf.DUMMYFUNCTION("""COMPUTED_VALUE"""),1108005.0)</f>
        <v>1108005</v>
      </c>
      <c r="C2813" t="str">
        <f>IFERROR(__xludf.DUMMYFUNCTION("""COMPUTED_VALUE"""),"Talkie")</f>
        <v>Talkie</v>
      </c>
      <c r="D2813" t="str">
        <f>IFERROR(__xludf.DUMMYFUNCTION("""COMPUTED_VALUE"""),"TALK &amp; WALK Bleu")</f>
        <v>TALK &amp; WALK Bleu</v>
      </c>
      <c r="E2813" t="str">
        <f>IFERROR(__xludf.DUMMYFUNCTION("""COMPUTED_VALUE"""),"ESSENTIELB")</f>
        <v>ESSENTIELB</v>
      </c>
      <c r="F2813" t="str">
        <f>IFERROR(__xludf.DUMMYFUNCTION("""COMPUTED_VALUE"""),"A")</f>
        <v>A</v>
      </c>
      <c r="G2813" t="str">
        <f>IFERROR(__xludf.DUMMYFUNCTION("""COMPUTED_VALUE"""),"NN")</f>
        <v>NN</v>
      </c>
      <c r="H2813">
        <f>IFERROR(__xludf.DUMMYFUNCTION("""COMPUTED_VALUE"""),19.99)</f>
        <v>19.99</v>
      </c>
      <c r="I2813">
        <f>IFERROR(__xludf.DUMMYFUNCTION("""COMPUTED_VALUE"""),19.99)</f>
        <v>19.99</v>
      </c>
      <c r="BD2813" s="2006"/>
      <c r="LL2813" s="2007"/>
      <c r="LM2813" s="2007"/>
      <c r="MX2813" s="2007"/>
      <c r="ND2813" s="2007"/>
    </row>
    <row r="2814">
      <c r="A2814">
        <f>IFERROR(__xludf.DUMMYFUNCTION("""COMPUTED_VALUE"""),8001496.0)</f>
        <v>8001496</v>
      </c>
      <c r="B2814">
        <f>IFERROR(__xludf.DUMMYFUNCTION("""COMPUTED_VALUE"""),1103005.0)</f>
        <v>1103005</v>
      </c>
      <c r="C2814" t="str">
        <f>IFERROR(__xludf.DUMMYFUNCTION("""COMPUTED_VALUE"""),"Tél.Rép.")</f>
        <v>Tél.Rép.</v>
      </c>
      <c r="D2814" t="str">
        <f>IFERROR(__xludf.DUMMYFUNCTION("""COMPUTED_VALUE"""),"Comeback Solo Gris")</f>
        <v>Comeback Solo Gris</v>
      </c>
      <c r="E2814" t="str">
        <f>IFERROR(__xludf.DUMMYFUNCTION("""COMPUTED_VALUE"""),"ESSENTIELB")</f>
        <v>ESSENTIELB</v>
      </c>
      <c r="F2814" t="str">
        <f>IFERROR(__xludf.DUMMYFUNCTION("""COMPUTED_VALUE"""),"A")</f>
        <v>A</v>
      </c>
      <c r="G2814" t="str">
        <f>IFERROR(__xludf.DUMMYFUNCTION("""COMPUTED_VALUE"""),"AC")</f>
        <v>AC</v>
      </c>
      <c r="H2814">
        <f>IFERROR(__xludf.DUMMYFUNCTION("""COMPUTED_VALUE"""),54.99)</f>
        <v>54.99</v>
      </c>
      <c r="I2814">
        <f>IFERROR(__xludf.DUMMYFUNCTION("""COMPUTED_VALUE"""),54.99)</f>
        <v>54.99</v>
      </c>
      <c r="LM2814" s="2007"/>
    </row>
    <row r="2815">
      <c r="A2815">
        <f>IFERROR(__xludf.DUMMYFUNCTION("""COMPUTED_VALUE"""),8001595.0)</f>
        <v>8001595</v>
      </c>
      <c r="B2815">
        <f>IFERROR(__xludf.DUMMYFUNCTION("""COMPUTED_VALUE"""),2403005.0)</f>
        <v>2403005</v>
      </c>
      <c r="C2815" t="str">
        <f>IFERROR(__xludf.DUMMYFUNCTION("""COMPUTED_VALUE"""),"Cartouche")</f>
        <v>Cartouche</v>
      </c>
      <c r="D2815" t="str">
        <f>IFERROR(__xludf.DUMMYFUNCTION("""COMPUTED_VALUE"""),"C550 XL Noire Série Coccinelle")</f>
        <v>C550 XL Noire Série Coccinelle</v>
      </c>
      <c r="E2815" t="str">
        <f>IFERROR(__xludf.DUMMYFUNCTION("""COMPUTED_VALUE"""),"ESSENTIELB")</f>
        <v>ESSENTIELB</v>
      </c>
      <c r="F2815" t="str">
        <f>IFERROR(__xludf.DUMMYFUNCTION("""COMPUTED_VALUE"""),"B")</f>
        <v>B</v>
      </c>
      <c r="G2815" t="str">
        <f>IFERROR(__xludf.DUMMYFUNCTION("""COMPUTED_VALUE"""),"NN")</f>
        <v>NN</v>
      </c>
      <c r="H2815">
        <f>IFERROR(__xludf.DUMMYFUNCTION("""COMPUTED_VALUE"""),12.99)</f>
        <v>12.99</v>
      </c>
      <c r="I2815">
        <f>IFERROR(__xludf.DUMMYFUNCTION("""COMPUTED_VALUE"""),12.99)</f>
        <v>12.99</v>
      </c>
      <c r="BD2815" s="2006"/>
      <c r="LL2815" s="2007"/>
      <c r="LM2815" s="2007"/>
      <c r="MX2815" s="2007"/>
      <c r="ND2815" s="2007"/>
    </row>
    <row r="2816">
      <c r="A2816">
        <f>IFERROR(__xludf.DUMMYFUNCTION("""COMPUTED_VALUE"""),8001596.0)</f>
        <v>8001596</v>
      </c>
      <c r="B2816">
        <f>IFERROR(__xludf.DUMMYFUNCTION("""COMPUTED_VALUE"""),2403005.0)</f>
        <v>2403005</v>
      </c>
      <c r="C2816" t="str">
        <f>IFERROR(__xludf.DUMMYFUNCTION("""COMPUTED_VALUE"""),"Cartouche")</f>
        <v>Cartouche</v>
      </c>
      <c r="D2816" t="str">
        <f>IFERROR(__xludf.DUMMYFUNCTION("""COMPUTED_VALUE"""),"C551 XL Noire Photo - Série Coccinelle")</f>
        <v>C551 XL Noire Photo - Série Coccinelle</v>
      </c>
      <c r="E2816" t="str">
        <f>IFERROR(__xludf.DUMMYFUNCTION("""COMPUTED_VALUE"""),"ESSENTIELB")</f>
        <v>ESSENTIELB</v>
      </c>
      <c r="F2816" t="str">
        <f>IFERROR(__xludf.DUMMYFUNCTION("""COMPUTED_VALUE"""),"B")</f>
        <v>B</v>
      </c>
      <c r="G2816" t="str">
        <f>IFERROR(__xludf.DUMMYFUNCTION("""COMPUTED_VALUE"""),"NN")</f>
        <v>NN</v>
      </c>
      <c r="H2816">
        <f>IFERROR(__xludf.DUMMYFUNCTION("""COMPUTED_VALUE"""),8.99)</f>
        <v>8.99</v>
      </c>
      <c r="I2816">
        <f>IFERROR(__xludf.DUMMYFUNCTION("""COMPUTED_VALUE"""),8.99)</f>
        <v>8.99</v>
      </c>
      <c r="BD2816" s="2006"/>
      <c r="LL2816" s="2007"/>
      <c r="LM2816" s="2007"/>
      <c r="MX2816" s="2007"/>
      <c r="ND2816" s="2007"/>
    </row>
    <row r="2817">
      <c r="A2817">
        <f>IFERROR(__xludf.DUMMYFUNCTION("""COMPUTED_VALUE"""),8001597.0)</f>
        <v>8001597</v>
      </c>
      <c r="B2817">
        <f>IFERROR(__xludf.DUMMYFUNCTION("""COMPUTED_VALUE"""),2403005.0)</f>
        <v>2403005</v>
      </c>
      <c r="C2817" t="str">
        <f>IFERROR(__xludf.DUMMYFUNCTION("""COMPUTED_VALUE"""),"Cartouche")</f>
        <v>Cartouche</v>
      </c>
      <c r="D2817" t="str">
        <f>IFERROR(__xludf.DUMMYFUNCTION("""COMPUTED_VALUE"""),"C551 XL 3couleurs - Série Coccinelle")</f>
        <v>C551 XL 3couleurs - Série Coccinelle</v>
      </c>
      <c r="E2817" t="str">
        <f>IFERROR(__xludf.DUMMYFUNCTION("""COMPUTED_VALUE"""),"ESSENTIELB")</f>
        <v>ESSENTIELB</v>
      </c>
      <c r="F2817" t="str">
        <f>IFERROR(__xludf.DUMMYFUNCTION("""COMPUTED_VALUE"""),"B")</f>
        <v>B</v>
      </c>
      <c r="G2817" t="str">
        <f>IFERROR(__xludf.DUMMYFUNCTION("""COMPUTED_VALUE"""),"NN")</f>
        <v>NN</v>
      </c>
      <c r="H2817">
        <f>IFERROR(__xludf.DUMMYFUNCTION("""COMPUTED_VALUE"""),24.99)</f>
        <v>24.99</v>
      </c>
      <c r="I2817">
        <f>IFERROR(__xludf.DUMMYFUNCTION("""COMPUTED_VALUE"""),24.99)</f>
        <v>24.99</v>
      </c>
      <c r="BD2817" s="2006"/>
      <c r="LL2817" s="2007"/>
      <c r="LM2817" s="2007"/>
      <c r="MX2817" s="2007"/>
      <c r="ND2817" s="2007"/>
    </row>
    <row r="2818">
      <c r="A2818">
        <f>IFERROR(__xludf.DUMMYFUNCTION("""COMPUTED_VALUE"""),8001598.0)</f>
        <v>8001598</v>
      </c>
      <c r="B2818">
        <f>IFERROR(__xludf.DUMMYFUNCTION("""COMPUTED_VALUE"""),2403005.0)</f>
        <v>2403005</v>
      </c>
      <c r="C2818" t="str">
        <f>IFERROR(__xludf.DUMMYFUNCTION("""COMPUTED_VALUE"""),"Cartouche")</f>
        <v>Cartouche</v>
      </c>
      <c r="D2818" t="str">
        <f>IFERROR(__xludf.DUMMYFUNCTION("""COMPUTED_VALUE"""),"E16 XL Noire - Série Boule de Noel")</f>
        <v>E16 XL Noire - Série Boule de Noel</v>
      </c>
      <c r="E2818" t="str">
        <f>IFERROR(__xludf.DUMMYFUNCTION("""COMPUTED_VALUE"""),"ESSENTIELB")</f>
        <v>ESSENTIELB</v>
      </c>
      <c r="F2818" t="str">
        <f>IFERROR(__xludf.DUMMYFUNCTION("""COMPUTED_VALUE"""),"A")</f>
        <v>A</v>
      </c>
      <c r="G2818" t="str">
        <f>IFERROR(__xludf.DUMMYFUNCTION("""COMPUTED_VALUE"""),"NN")</f>
        <v>NN</v>
      </c>
      <c r="H2818">
        <f>IFERROR(__xludf.DUMMYFUNCTION("""COMPUTED_VALUE"""),8.99)</f>
        <v>8.99</v>
      </c>
      <c r="I2818">
        <f>IFERROR(__xludf.DUMMYFUNCTION("""COMPUTED_VALUE"""),8.99)</f>
        <v>8.99</v>
      </c>
      <c r="BD2818" s="2006"/>
      <c r="LL2818" s="2007"/>
      <c r="LM2818" s="2007"/>
      <c r="MX2818" s="2007"/>
      <c r="ND2818" s="2007"/>
    </row>
    <row r="2819">
      <c r="A2819">
        <f>IFERROR(__xludf.DUMMYFUNCTION("""COMPUTED_VALUE"""),8001599.0)</f>
        <v>8001599</v>
      </c>
      <c r="B2819">
        <f>IFERROR(__xludf.DUMMYFUNCTION("""COMPUTED_VALUE"""),2403005.0)</f>
        <v>2403005</v>
      </c>
      <c r="C2819" t="str">
        <f>IFERROR(__xludf.DUMMYFUNCTION("""COMPUTED_VALUE"""),"Cartouche")</f>
        <v>Cartouche</v>
      </c>
      <c r="D2819" t="str">
        <f>IFERROR(__xludf.DUMMYFUNCTION("""COMPUTED_VALUE"""),"E16 XL 3couleurs- Série Boule de Noel")</f>
        <v>E16 XL 3couleurs- Série Boule de Noel</v>
      </c>
      <c r="E2819" t="str">
        <f>IFERROR(__xludf.DUMMYFUNCTION("""COMPUTED_VALUE"""),"ESSENTIELB")</f>
        <v>ESSENTIELB</v>
      </c>
      <c r="F2819" t="str">
        <f>IFERROR(__xludf.DUMMYFUNCTION("""COMPUTED_VALUE"""),"H")</f>
        <v>H</v>
      </c>
      <c r="G2819" t="str">
        <f>IFERROR(__xludf.DUMMYFUNCTION("""COMPUTED_VALUE"""),"FR")</f>
        <v>FR</v>
      </c>
      <c r="H2819">
        <f>IFERROR(__xludf.DUMMYFUNCTION("""COMPUTED_VALUE"""),29.99)</f>
        <v>29.99</v>
      </c>
      <c r="I2819">
        <f>IFERROR(__xludf.DUMMYFUNCTION("""COMPUTED_VALUE"""),29.99)</f>
        <v>29.99</v>
      </c>
      <c r="BD2819" s="2006"/>
      <c r="LL2819" s="2007"/>
      <c r="LM2819" s="2007"/>
      <c r="MX2819" s="2007"/>
      <c r="ND2819" s="2007"/>
    </row>
    <row r="2820">
      <c r="A2820">
        <f>IFERROR(__xludf.DUMMYFUNCTION("""COMPUTED_VALUE"""),8002703.0)</f>
        <v>8002703</v>
      </c>
      <c r="B2820">
        <f>IFERROR(__xludf.DUMMYFUNCTION("""COMPUTED_VALUE"""),1103010.0)</f>
        <v>1103010</v>
      </c>
      <c r="C2820" t="str">
        <f>IFERROR(__xludf.DUMMYFUNCTION("""COMPUTED_VALUE"""),"Tél.")</f>
        <v>Tél.</v>
      </c>
      <c r="D2820" t="str">
        <f>IFERROR(__xludf.DUMMYFUNCTION("""COMPUTED_VALUE"""),"Solo 10.1")</f>
        <v>Solo 10.1</v>
      </c>
      <c r="E2820" t="str">
        <f>IFERROR(__xludf.DUMMYFUNCTION("""COMPUTED_VALUE"""),"LISTO")</f>
        <v>LISTO</v>
      </c>
      <c r="F2820" t="str">
        <f>IFERROR(__xludf.DUMMYFUNCTION("""COMPUTED_VALUE"""),"B")</f>
        <v>B</v>
      </c>
      <c r="G2820" t="str">
        <f>IFERROR(__xludf.DUMMYFUNCTION("""COMPUTED_VALUE"""),"AC")</f>
        <v>AC</v>
      </c>
      <c r="H2820">
        <f>IFERROR(__xludf.DUMMYFUNCTION("""COMPUTED_VALUE"""),24.99)</f>
        <v>24.99</v>
      </c>
      <c r="I2820">
        <f>IFERROR(__xludf.DUMMYFUNCTION("""COMPUTED_VALUE"""),24.99)</f>
        <v>24.99</v>
      </c>
      <c r="BD2820" s="2006"/>
      <c r="LL2820" s="2007"/>
      <c r="LM2820" s="2007"/>
      <c r="MX2820" s="2007"/>
      <c r="ND2820" s="2007"/>
    </row>
    <row r="2821">
      <c r="A2821">
        <f>IFERROR(__xludf.DUMMYFUNCTION("""COMPUTED_VALUE"""),8002704.0)</f>
        <v>8002704</v>
      </c>
      <c r="B2821">
        <f>IFERROR(__xludf.DUMMYFUNCTION("""COMPUTED_VALUE"""),1103010.0)</f>
        <v>1103010</v>
      </c>
      <c r="C2821" t="str">
        <f>IFERROR(__xludf.DUMMYFUNCTION("""COMPUTED_VALUE"""),"Tél.Rép.")</f>
        <v>Tél.Rép.</v>
      </c>
      <c r="D2821" t="str">
        <f>IFERROR(__xludf.DUMMYFUNCTION("""COMPUTED_VALUE"""),"Solo 15.1")</f>
        <v>Solo 15.1</v>
      </c>
      <c r="E2821" t="str">
        <f>IFERROR(__xludf.DUMMYFUNCTION("""COMPUTED_VALUE"""),"LISTO")</f>
        <v>LISTO</v>
      </c>
      <c r="F2821" t="str">
        <f>IFERROR(__xludf.DUMMYFUNCTION("""COMPUTED_VALUE"""),"B")</f>
        <v>B</v>
      </c>
      <c r="G2821" t="str">
        <f>IFERROR(__xludf.DUMMYFUNCTION("""COMPUTED_VALUE"""),"AC")</f>
        <v>AC</v>
      </c>
      <c r="H2821">
        <f>IFERROR(__xludf.DUMMYFUNCTION("""COMPUTED_VALUE"""),29.99)</f>
        <v>29.99</v>
      </c>
      <c r="I2821">
        <f>IFERROR(__xludf.DUMMYFUNCTION("""COMPUTED_VALUE"""),29.99)</f>
        <v>29.99</v>
      </c>
      <c r="BD2821" s="2006"/>
      <c r="LL2821" s="2007"/>
      <c r="LM2821" s="2007"/>
      <c r="MX2821" s="2007"/>
      <c r="ND2821" s="2007"/>
    </row>
    <row r="2822">
      <c r="A2822">
        <f>IFERROR(__xludf.DUMMYFUNCTION("""COMPUTED_VALUE"""),8002705.0)</f>
        <v>8002705</v>
      </c>
      <c r="B2822">
        <f>IFERROR(__xludf.DUMMYFUNCTION("""COMPUTED_VALUE"""),2703025.0)</f>
        <v>2703025</v>
      </c>
      <c r="C2822" t="str">
        <f>IFERROR(__xludf.DUMMYFUNCTION("""COMPUTED_VALUE"""),"DESTRUCTEUR")</f>
        <v>DESTRUCTEUR</v>
      </c>
      <c r="D2822" t="str">
        <f>IFERROR(__xludf.DUMMYFUNCTION("""COMPUTED_VALUE"""),"DEST-341")</f>
        <v>DEST-341</v>
      </c>
      <c r="E2822" t="str">
        <f>IFERROR(__xludf.DUMMYFUNCTION("""COMPUTED_VALUE"""),"LISTO")</f>
        <v>LISTO</v>
      </c>
      <c r="F2822" t="str">
        <f>IFERROR(__xludf.DUMMYFUNCTION("""COMPUTED_VALUE"""),"A")</f>
        <v>A</v>
      </c>
      <c r="G2822" t="str">
        <f>IFERROR(__xludf.DUMMYFUNCTION("""COMPUTED_VALUE"""),"NN")</f>
        <v>NN</v>
      </c>
      <c r="H2822">
        <f>IFERROR(__xludf.DUMMYFUNCTION("""COMPUTED_VALUE"""),24.99)</f>
        <v>24.99</v>
      </c>
      <c r="I2822">
        <f>IFERROR(__xludf.DUMMYFUNCTION("""COMPUTED_VALUE"""),24.99)</f>
        <v>24.99</v>
      </c>
      <c r="BD2822" s="2006"/>
      <c r="LL2822" s="2007"/>
      <c r="LM2822" s="2007"/>
      <c r="MX2822" s="2007"/>
      <c r="ND2822" s="2007"/>
    </row>
    <row r="2823">
      <c r="A2823">
        <f>IFERROR(__xludf.DUMMYFUNCTION("""COMPUTED_VALUE"""),8002707.0)</f>
        <v>8002707</v>
      </c>
      <c r="B2823">
        <f>IFERROR(__xludf.DUMMYFUNCTION("""COMPUTED_VALUE"""),2703025.0)</f>
        <v>2703025</v>
      </c>
      <c r="C2823" t="str">
        <f>IFERROR(__xludf.DUMMYFUNCTION("""COMPUTED_VALUE"""),"DESTRUCTEUR")</f>
        <v>DESTRUCTEUR</v>
      </c>
      <c r="D2823" t="str">
        <f>IFERROR(__xludf.DUMMYFUNCTION("""COMPUTED_VALUE"""),"C601")</f>
        <v>C601</v>
      </c>
      <c r="E2823" t="str">
        <f>IFERROR(__xludf.DUMMYFUNCTION("""COMPUTED_VALUE"""),"ESSENTIELB")</f>
        <v>ESSENTIELB</v>
      </c>
      <c r="F2823" t="str">
        <f>IFERROR(__xludf.DUMMYFUNCTION("""COMPUTED_VALUE"""),"A")</f>
        <v>A</v>
      </c>
      <c r="G2823" t="str">
        <f>IFERROR(__xludf.DUMMYFUNCTION("""COMPUTED_VALUE"""),"NN")</f>
        <v>NN</v>
      </c>
      <c r="H2823">
        <f>IFERROR(__xludf.DUMMYFUNCTION("""COMPUTED_VALUE"""),49.99)</f>
        <v>49.99</v>
      </c>
      <c r="I2823">
        <f>IFERROR(__xludf.DUMMYFUNCTION("""COMPUTED_VALUE"""),49.99)</f>
        <v>49.99</v>
      </c>
      <c r="BD2823" s="2006"/>
      <c r="LL2823" s="2007"/>
      <c r="LM2823" s="2007"/>
      <c r="MX2823" s="2007"/>
      <c r="ND2823" s="2007"/>
    </row>
    <row r="2824">
      <c r="A2824">
        <f>IFERROR(__xludf.DUMMYFUNCTION("""COMPUTED_VALUE"""),8002750.0)</f>
        <v>8002750</v>
      </c>
      <c r="B2824">
        <f>IFERROR(__xludf.DUMMYFUNCTION("""COMPUTED_VALUE"""),2502015.0)</f>
        <v>2502015</v>
      </c>
      <c r="C2824" t="str">
        <f>IFERROR(__xludf.DUMMYFUNCTION("""COMPUTED_VALUE"""),"Clavier")</f>
        <v>Clavier</v>
      </c>
      <c r="D2824" t="str">
        <f>IFERROR(__xludf.DUMMYFUNCTION("""COMPUTED_VALUE"""),"Sweet Touch sans fil")</f>
        <v>Sweet Touch sans fil</v>
      </c>
      <c r="E2824" t="str">
        <f>IFERROR(__xludf.DUMMYFUNCTION("""COMPUTED_VALUE"""),"ESSENTIELB")</f>
        <v>ESSENTIELB</v>
      </c>
      <c r="F2824" t="str">
        <f>IFERROR(__xludf.DUMMYFUNCTION("""COMPUTED_VALUE"""),"A")</f>
        <v>A</v>
      </c>
      <c r="G2824" t="str">
        <f>IFERROR(__xludf.DUMMYFUNCTION("""COMPUTED_VALUE"""),"NN")</f>
        <v>NN</v>
      </c>
      <c r="H2824">
        <f>IFERROR(__xludf.DUMMYFUNCTION("""COMPUTED_VALUE"""),14.99)</f>
        <v>14.99</v>
      </c>
      <c r="I2824">
        <f>IFERROR(__xludf.DUMMYFUNCTION("""COMPUTED_VALUE"""),14.99)</f>
        <v>14.99</v>
      </c>
      <c r="BD2824" s="2006"/>
      <c r="LL2824" s="2007"/>
      <c r="LM2824" s="2007"/>
      <c r="MX2824" s="2007"/>
      <c r="ND2824" s="2007"/>
    </row>
    <row r="2825">
      <c r="A2825">
        <f>IFERROR(__xludf.DUMMYFUNCTION("""COMPUTED_VALUE"""),8002945.0)</f>
        <v>8002945</v>
      </c>
      <c r="B2825">
        <f>IFERROR(__xludf.DUMMYFUNCTION("""COMPUTED_VALUE"""),2502010.0)</f>
        <v>2502010</v>
      </c>
      <c r="C2825" t="str">
        <f>IFERROR(__xludf.DUMMYFUNCTION("""COMPUTED_VALUE"""),"Souris")</f>
        <v>Souris</v>
      </c>
      <c r="D2825" t="str">
        <f>IFERROR(__xludf.DUMMYFUNCTION("""COMPUTED_VALUE"""),"GALET SILVER")</f>
        <v>GALET SILVER</v>
      </c>
      <c r="E2825" t="str">
        <f>IFERROR(__xludf.DUMMYFUNCTION("""COMPUTED_VALUE"""),"ESSENTIELB")</f>
        <v>ESSENTIELB</v>
      </c>
      <c r="F2825" t="str">
        <f>IFERROR(__xludf.DUMMYFUNCTION("""COMPUTED_VALUE"""),"A")</f>
        <v>A</v>
      </c>
      <c r="G2825" t="str">
        <f>IFERROR(__xludf.DUMMYFUNCTION("""COMPUTED_VALUE"""),"NN")</f>
        <v>NN</v>
      </c>
      <c r="H2825">
        <f>IFERROR(__xludf.DUMMYFUNCTION("""COMPUTED_VALUE"""),17.99)</f>
        <v>17.99</v>
      </c>
      <c r="I2825">
        <f>IFERROR(__xludf.DUMMYFUNCTION("""COMPUTED_VALUE"""),17.99)</f>
        <v>17.99</v>
      </c>
      <c r="BD2825" s="2006"/>
      <c r="LL2825" s="2007"/>
      <c r="LM2825" s="2007"/>
      <c r="MX2825" s="2007"/>
      <c r="ND2825" s="2007"/>
    </row>
    <row r="2826">
      <c r="A2826">
        <f>IFERROR(__xludf.DUMMYFUNCTION("""COMPUTED_VALUE"""),8002948.0)</f>
        <v>8002948</v>
      </c>
      <c r="B2826">
        <f>IFERROR(__xludf.DUMMYFUNCTION("""COMPUTED_VALUE"""),2502010.0)</f>
        <v>2502010</v>
      </c>
      <c r="C2826" t="str">
        <f>IFERROR(__xludf.DUMMYFUNCTION("""COMPUTED_VALUE"""),"Souris")</f>
        <v>Souris</v>
      </c>
      <c r="D2826" t="str">
        <f>IFERROR(__xludf.DUMMYFUNCTION("""COMPUTED_VALUE"""),"Sans fil SSF-948")</f>
        <v>Sans fil SSF-948</v>
      </c>
      <c r="E2826" t="str">
        <f>IFERROR(__xludf.DUMMYFUNCTION("""COMPUTED_VALUE"""),"LISTO")</f>
        <v>LISTO</v>
      </c>
      <c r="F2826" t="str">
        <f>IFERROR(__xludf.DUMMYFUNCTION("""COMPUTED_VALUE"""),"C")</f>
        <v>C</v>
      </c>
      <c r="G2826" t="str">
        <f>IFERROR(__xludf.DUMMYFUNCTION("""COMPUTED_VALUE"""),"FF")</f>
        <v>FF</v>
      </c>
      <c r="H2826">
        <f>IFERROR(__xludf.DUMMYFUNCTION("""COMPUTED_VALUE"""),9.99)</f>
        <v>9.99</v>
      </c>
      <c r="I2826">
        <f>IFERROR(__xludf.DUMMYFUNCTION("""COMPUTED_VALUE"""),9.99)</f>
        <v>9.99</v>
      </c>
      <c r="BD2826" s="2006"/>
      <c r="LL2826" s="2007"/>
      <c r="LM2826" s="2007"/>
      <c r="MX2826" s="2008"/>
      <c r="ND2826" s="2007"/>
    </row>
    <row r="2827">
      <c r="A2827">
        <f>IFERROR(__xludf.DUMMYFUNCTION("""COMPUTED_VALUE"""),8002966.0)</f>
        <v>8002966</v>
      </c>
      <c r="B2827">
        <f>IFERROR(__xludf.DUMMYFUNCTION("""COMPUTED_VALUE"""),2502010.0)</f>
        <v>2502010</v>
      </c>
      <c r="C2827" t="str">
        <f>IFERROR(__xludf.DUMMYFUNCTION("""COMPUTED_VALUE"""),"Souris")</f>
        <v>Souris</v>
      </c>
      <c r="D2827" t="str">
        <f>IFERROR(__xludf.DUMMYFUNCTION("""COMPUTED_VALUE"""),"rechargeable ready")</f>
        <v>rechargeable ready</v>
      </c>
      <c r="E2827" t="str">
        <f>IFERROR(__xludf.DUMMYFUNCTION("""COMPUTED_VALUE"""),"ESSENTIELB")</f>
        <v>ESSENTIELB</v>
      </c>
      <c r="F2827" t="str">
        <f>IFERROR(__xludf.DUMMYFUNCTION("""COMPUTED_VALUE"""),"A")</f>
        <v>A</v>
      </c>
      <c r="G2827" t="str">
        <f>IFERROR(__xludf.DUMMYFUNCTION("""COMPUTED_VALUE"""),"NN")</f>
        <v>NN</v>
      </c>
      <c r="H2827">
        <f>IFERROR(__xludf.DUMMYFUNCTION("""COMPUTED_VALUE"""),8.99)</f>
        <v>8.99</v>
      </c>
      <c r="I2827">
        <f>IFERROR(__xludf.DUMMYFUNCTION("""COMPUTED_VALUE"""),8.99)</f>
        <v>8.99</v>
      </c>
      <c r="BD2827" s="2006"/>
      <c r="LL2827" s="2008"/>
      <c r="LM2827" s="2007"/>
      <c r="MX2827" s="2007"/>
      <c r="ND2827" s="2007"/>
    </row>
    <row r="2828">
      <c r="A2828">
        <f>IFERROR(__xludf.DUMMYFUNCTION("""COMPUTED_VALUE"""),8003004.0)</f>
        <v>8003004</v>
      </c>
      <c r="B2828">
        <f>IFERROR(__xludf.DUMMYFUNCTION("""COMPUTED_VALUE"""),2403010.0)</f>
        <v>2403010</v>
      </c>
      <c r="C2828" t="str">
        <f>IFERROR(__xludf.DUMMYFUNCTION("""COMPUTED_VALUE"""),"Toner")</f>
        <v>Toner</v>
      </c>
      <c r="D2828" t="str">
        <f>IFERROR(__xludf.DUMMYFUNCTION("""COMPUTED_VALUE"""),"Toner EssentielB B1050")</f>
        <v>Toner EssentielB B1050</v>
      </c>
      <c r="E2828" t="str">
        <f>IFERROR(__xludf.DUMMYFUNCTION("""COMPUTED_VALUE"""),"ESSENTIELB")</f>
        <v>ESSENTIELB</v>
      </c>
      <c r="F2828" t="str">
        <f>IFERROR(__xludf.DUMMYFUNCTION("""COMPUTED_VALUE"""),"C")</f>
        <v>C</v>
      </c>
      <c r="G2828" t="str">
        <f>IFERROR(__xludf.DUMMYFUNCTION("""COMPUTED_VALUE"""),"NN")</f>
        <v>NN</v>
      </c>
      <c r="H2828">
        <f>IFERROR(__xludf.DUMMYFUNCTION("""COMPUTED_VALUE"""),34.99)</f>
        <v>34.99</v>
      </c>
      <c r="I2828">
        <f>IFERROR(__xludf.DUMMYFUNCTION("""COMPUTED_VALUE"""),34.99)</f>
        <v>34.99</v>
      </c>
      <c r="BD2828" s="2006"/>
      <c r="LL2828" s="2007"/>
      <c r="LM2828" s="2007"/>
      <c r="MX2828" s="2007"/>
      <c r="ND2828" s="2007"/>
    </row>
    <row r="2829">
      <c r="A2829">
        <f>IFERROR(__xludf.DUMMYFUNCTION("""COMPUTED_VALUE"""),8003005.0)</f>
        <v>8003005</v>
      </c>
      <c r="B2829">
        <f>IFERROR(__xludf.DUMMYFUNCTION("""COMPUTED_VALUE"""),2403010.0)</f>
        <v>2403010</v>
      </c>
      <c r="C2829" t="str">
        <f>IFERROR(__xludf.DUMMYFUNCTION("""COMPUTED_VALUE"""),"Toner")</f>
        <v>Toner</v>
      </c>
      <c r="D2829" t="str">
        <f>IFERROR(__xludf.DUMMYFUNCTION("""COMPUTED_VALUE"""),"Toner EssentielB S111")</f>
        <v>Toner EssentielB S111</v>
      </c>
      <c r="E2829" t="str">
        <f>IFERROR(__xludf.DUMMYFUNCTION("""COMPUTED_VALUE"""),"ESSENTIELB")</f>
        <v>ESSENTIELB</v>
      </c>
      <c r="F2829" t="str">
        <f>IFERROR(__xludf.DUMMYFUNCTION("""COMPUTED_VALUE"""),"C")</f>
        <v>C</v>
      </c>
      <c r="G2829" t="str">
        <f>IFERROR(__xludf.DUMMYFUNCTION("""COMPUTED_VALUE"""),"NN")</f>
        <v>NN</v>
      </c>
      <c r="H2829">
        <f>IFERROR(__xludf.DUMMYFUNCTION("""COMPUTED_VALUE"""),44.99)</f>
        <v>44.99</v>
      </c>
      <c r="I2829">
        <f>IFERROR(__xludf.DUMMYFUNCTION("""COMPUTED_VALUE"""),44.99)</f>
        <v>44.99</v>
      </c>
      <c r="BD2829" s="2006"/>
      <c r="LL2829" s="2007"/>
      <c r="LM2829" s="2007"/>
      <c r="MX2829" s="2007"/>
      <c r="ND2829" s="2007"/>
    </row>
    <row r="2830">
      <c r="A2830">
        <f>IFERROR(__xludf.DUMMYFUNCTION("""COMPUTED_VALUE"""),8003081.0)</f>
        <v>8003081</v>
      </c>
      <c r="B2830">
        <f>IFERROR(__xludf.DUMMYFUNCTION("""COMPUTED_VALUE"""),2401015.0)</f>
        <v>2401015</v>
      </c>
      <c r="C2830" t="str">
        <f>IFERROR(__xludf.DUMMYFUNCTION("""COMPUTED_VALUE"""),"DVD-R")</f>
        <v>DVD-R</v>
      </c>
      <c r="D2830" t="str">
        <f>IFERROR(__xludf.DUMMYFUNCTION("""COMPUTED_VALUE"""),"10 DVD-RW 4x Spindle")</f>
        <v>10 DVD-RW 4x Spindle</v>
      </c>
      <c r="E2830" t="str">
        <f>IFERROR(__xludf.DUMMYFUNCTION("""COMPUTED_VALUE"""),"ESSENTIELB")</f>
        <v>ESSENTIELB</v>
      </c>
      <c r="F2830" t="str">
        <f>IFERROR(__xludf.DUMMYFUNCTION("""COMPUTED_VALUE"""),"A")</f>
        <v>A</v>
      </c>
      <c r="G2830" t="str">
        <f>IFERROR(__xludf.DUMMYFUNCTION("""COMPUTED_VALUE"""),"NN")</f>
        <v>NN</v>
      </c>
      <c r="H2830">
        <f>IFERROR(__xludf.DUMMYFUNCTION("""COMPUTED_VALUE"""),14.99)</f>
        <v>14.99</v>
      </c>
      <c r="I2830">
        <f>IFERROR(__xludf.DUMMYFUNCTION("""COMPUTED_VALUE"""),14.99)</f>
        <v>14.99</v>
      </c>
      <c r="BD2830" s="2006"/>
      <c r="LL2830" s="2007"/>
      <c r="LM2830" s="2007"/>
      <c r="MX2830" s="2007"/>
      <c r="ND2830" s="2007"/>
    </row>
    <row r="2831">
      <c r="A2831">
        <f>IFERROR(__xludf.DUMMYFUNCTION("""COMPUTED_VALUE"""),8003092.0)</f>
        <v>8003092</v>
      </c>
      <c r="B2831">
        <f>IFERROR(__xludf.DUMMYFUNCTION("""COMPUTED_VALUE"""),2401015.0)</f>
        <v>2401015</v>
      </c>
      <c r="C2831" t="str">
        <f>IFERROR(__xludf.DUMMYFUNCTION("""COMPUTED_VALUE"""),"DVD-R")</f>
        <v>DVD-R</v>
      </c>
      <c r="D2831" t="str">
        <f>IFERROR(__xludf.DUMMYFUNCTION("""COMPUTED_VALUE"""),"10 DVD+RW 16x Spindle")</f>
        <v>10 DVD+RW 16x Spindle</v>
      </c>
      <c r="E2831" t="str">
        <f>IFERROR(__xludf.DUMMYFUNCTION("""COMPUTED_VALUE"""),"ESSENTIELB")</f>
        <v>ESSENTIELB</v>
      </c>
      <c r="F2831" t="str">
        <f>IFERROR(__xludf.DUMMYFUNCTION("""COMPUTED_VALUE"""),"A")</f>
        <v>A</v>
      </c>
      <c r="G2831" t="str">
        <f>IFERROR(__xludf.DUMMYFUNCTION("""COMPUTED_VALUE"""),"NN")</f>
        <v>NN</v>
      </c>
      <c r="H2831">
        <f>IFERROR(__xludf.DUMMYFUNCTION("""COMPUTED_VALUE"""),14.99)</f>
        <v>14.99</v>
      </c>
      <c r="I2831">
        <f>IFERROR(__xludf.DUMMYFUNCTION("""COMPUTED_VALUE"""),14.99)</f>
        <v>14.99</v>
      </c>
      <c r="BD2831" s="2006"/>
      <c r="LL2831" s="2007"/>
      <c r="LM2831" s="2007"/>
      <c r="MX2831" s="2007"/>
      <c r="ND2831" s="2007"/>
    </row>
    <row r="2832">
      <c r="A2832">
        <f>IFERROR(__xludf.DUMMYFUNCTION("""COMPUTED_VALUE"""),8003118.0)</f>
        <v>8003118</v>
      </c>
      <c r="B2832">
        <f>IFERROR(__xludf.DUMMYFUNCTION("""COMPUTED_VALUE"""),2503005.0)</f>
        <v>2503005</v>
      </c>
      <c r="C2832" t="str">
        <f>IFERROR(__xludf.DUMMYFUNCTION("""COMPUTED_VALUE"""),"Enceinte")</f>
        <v>Enceinte</v>
      </c>
      <c r="D2832" t="str">
        <f>IFERROR(__xludf.DUMMYFUNCTION("""COMPUTED_VALUE"""),"KALE BT")</f>
        <v>KALE BT</v>
      </c>
      <c r="E2832" t="str">
        <f>IFERROR(__xludf.DUMMYFUNCTION("""COMPUTED_VALUE"""),"ESSENTIELB")</f>
        <v>ESSENTIELB</v>
      </c>
      <c r="F2832" t="str">
        <f>IFERROR(__xludf.DUMMYFUNCTION("""COMPUTED_VALUE"""),"A")</f>
        <v>A</v>
      </c>
      <c r="G2832" t="str">
        <f>IFERROR(__xludf.DUMMYFUNCTION("""COMPUTED_VALUE"""),"NN")</f>
        <v>NN</v>
      </c>
      <c r="H2832">
        <f>IFERROR(__xludf.DUMMYFUNCTION("""COMPUTED_VALUE"""),27.99)</f>
        <v>27.99</v>
      </c>
      <c r="I2832">
        <f>IFERROR(__xludf.DUMMYFUNCTION("""COMPUTED_VALUE"""),27.99)</f>
        <v>27.99</v>
      </c>
      <c r="BD2832" s="2006"/>
      <c r="LL2832" s="2008"/>
      <c r="LM2832" s="2007"/>
      <c r="MX2832" s="2008"/>
      <c r="ND2832" s="2007"/>
    </row>
    <row r="2833">
      <c r="A2833">
        <f>IFERROR(__xludf.DUMMYFUNCTION("""COMPUTED_VALUE"""),8003132.0)</f>
        <v>8003132</v>
      </c>
      <c r="B2833">
        <f>IFERROR(__xludf.DUMMYFUNCTION("""COMPUTED_VALUE"""),1103005.0)</f>
        <v>1103005</v>
      </c>
      <c r="C2833" t="str">
        <f>IFERROR(__xludf.DUMMYFUNCTION("""COMPUTED_VALUE"""),"Tél.Rép.")</f>
        <v>Tél.Rép.</v>
      </c>
      <c r="D2833" t="str">
        <f>IFERROR(__xludf.DUMMYFUNCTION("""COMPUTED_VALUE"""),"Comeback Solo Rouge")</f>
        <v>Comeback Solo Rouge</v>
      </c>
      <c r="E2833" t="str">
        <f>IFERROR(__xludf.DUMMYFUNCTION("""COMPUTED_VALUE"""),"ESSENTIELB")</f>
        <v>ESSENTIELB</v>
      </c>
      <c r="F2833" t="str">
        <f>IFERROR(__xludf.DUMMYFUNCTION("""COMPUTED_VALUE"""),"C")</f>
        <v>C</v>
      </c>
      <c r="G2833" t="str">
        <f>IFERROR(__xludf.DUMMYFUNCTION("""COMPUTED_VALUE"""),"AC")</f>
        <v>AC</v>
      </c>
      <c r="H2833">
        <f>IFERROR(__xludf.DUMMYFUNCTION("""COMPUTED_VALUE"""),54.99)</f>
        <v>54.99</v>
      </c>
      <c r="I2833">
        <f>IFERROR(__xludf.DUMMYFUNCTION("""COMPUTED_VALUE"""),54.99)</f>
        <v>54.99</v>
      </c>
      <c r="LL2833" s="2007"/>
      <c r="LM2833" s="2007"/>
    </row>
    <row r="2834">
      <c r="A2834">
        <f>IFERROR(__xludf.DUMMYFUNCTION("""COMPUTED_VALUE"""),8003225.0)</f>
        <v>8003225</v>
      </c>
      <c r="B2834">
        <f>IFERROR(__xludf.DUMMYFUNCTION("""COMPUTED_VALUE"""),2403005.0)</f>
        <v>2403005</v>
      </c>
      <c r="C2834" t="str">
        <f>IFERROR(__xludf.DUMMYFUNCTION("""COMPUTED_VALUE"""),"Cartouche")</f>
        <v>Cartouche</v>
      </c>
      <c r="D2834" t="str">
        <f>IFERROR(__xludf.DUMMYFUNCTION("""COMPUTED_VALUE"""),"C570XL Noir Série piment")</f>
        <v>C570XL Noir Série piment</v>
      </c>
      <c r="E2834" t="str">
        <f>IFERROR(__xludf.DUMMYFUNCTION("""COMPUTED_VALUE"""),"ESSENTIELB")</f>
        <v>ESSENTIELB</v>
      </c>
      <c r="F2834" t="str">
        <f>IFERROR(__xludf.DUMMYFUNCTION("""COMPUTED_VALUE"""),"B")</f>
        <v>B</v>
      </c>
      <c r="G2834" t="str">
        <f>IFERROR(__xludf.DUMMYFUNCTION("""COMPUTED_VALUE"""),"NN")</f>
        <v>NN</v>
      </c>
      <c r="H2834">
        <f>IFERROR(__xludf.DUMMYFUNCTION("""COMPUTED_VALUE"""),12.99)</f>
        <v>12.99</v>
      </c>
      <c r="I2834">
        <f>IFERROR(__xludf.DUMMYFUNCTION("""COMPUTED_VALUE"""),12.99)</f>
        <v>12.99</v>
      </c>
      <c r="LL2834" s="2008"/>
      <c r="LM2834" s="2007"/>
    </row>
    <row r="2835">
      <c r="A2835">
        <f>IFERROR(__xludf.DUMMYFUNCTION("""COMPUTED_VALUE"""),8003226.0)</f>
        <v>8003226</v>
      </c>
      <c r="B2835">
        <f>IFERROR(__xludf.DUMMYFUNCTION("""COMPUTED_VALUE"""),2403005.0)</f>
        <v>2403005</v>
      </c>
      <c r="C2835" t="str">
        <f>IFERROR(__xludf.DUMMYFUNCTION("""COMPUTED_VALUE"""),"Cartouche")</f>
        <v>Cartouche</v>
      </c>
      <c r="D2835" t="str">
        <f>IFERROR(__xludf.DUMMYFUNCTION("""COMPUTED_VALUE"""),"C571XL Noir photo Série piment")</f>
        <v>C571XL Noir photo Série piment</v>
      </c>
      <c r="E2835" t="str">
        <f>IFERROR(__xludf.DUMMYFUNCTION("""COMPUTED_VALUE"""),"ESSENTIELB")</f>
        <v>ESSENTIELB</v>
      </c>
      <c r="F2835" t="str">
        <f>IFERROR(__xludf.DUMMYFUNCTION("""COMPUTED_VALUE"""),"B")</f>
        <v>B</v>
      </c>
      <c r="G2835" t="str">
        <f>IFERROR(__xludf.DUMMYFUNCTION("""COMPUTED_VALUE"""),"NN")</f>
        <v>NN</v>
      </c>
      <c r="H2835">
        <f>IFERROR(__xludf.DUMMYFUNCTION("""COMPUTED_VALUE"""),8.99)</f>
        <v>8.99</v>
      </c>
      <c r="I2835">
        <f>IFERROR(__xludf.DUMMYFUNCTION("""COMPUTED_VALUE"""),8.99)</f>
        <v>8.99</v>
      </c>
      <c r="BD2835" s="2006"/>
      <c r="LL2835" s="2007"/>
      <c r="LM2835" s="2007"/>
      <c r="MX2835" s="2007"/>
      <c r="ND2835" s="2007"/>
    </row>
    <row r="2836">
      <c r="A2836">
        <f>IFERROR(__xludf.DUMMYFUNCTION("""COMPUTED_VALUE"""),8003227.0)</f>
        <v>8003227</v>
      </c>
      <c r="B2836">
        <f>IFERROR(__xludf.DUMMYFUNCTION("""COMPUTED_VALUE"""),2403005.0)</f>
        <v>2403005</v>
      </c>
      <c r="C2836" t="str">
        <f>IFERROR(__xludf.DUMMYFUNCTION("""COMPUTED_VALUE"""),"Pack")</f>
        <v>Pack</v>
      </c>
      <c r="D2836" t="str">
        <f>IFERROR(__xludf.DUMMYFUNCTION("""COMPUTED_VALUE"""),"C571XL 3 couleurs Série Piment")</f>
        <v>C571XL 3 couleurs Série Piment</v>
      </c>
      <c r="E2836" t="str">
        <f>IFERROR(__xludf.DUMMYFUNCTION("""COMPUTED_VALUE"""),"ESSENTIELB")</f>
        <v>ESSENTIELB</v>
      </c>
      <c r="F2836" t="str">
        <f>IFERROR(__xludf.DUMMYFUNCTION("""COMPUTED_VALUE"""),"H")</f>
        <v>H</v>
      </c>
      <c r="G2836" t="str">
        <f>IFERROR(__xludf.DUMMYFUNCTION("""COMPUTED_VALUE"""),"FR")</f>
        <v>FR</v>
      </c>
      <c r="H2836">
        <f>IFERROR(__xludf.DUMMYFUNCTION("""COMPUTED_VALUE"""),26.99)</f>
        <v>26.99</v>
      </c>
      <c r="I2836">
        <f>IFERROR(__xludf.DUMMYFUNCTION("""COMPUTED_VALUE"""),26.99)</f>
        <v>26.99</v>
      </c>
      <c r="BD2836" s="2006"/>
      <c r="LL2836" s="2007"/>
      <c r="LM2836" s="2007"/>
      <c r="MX2836" s="2007"/>
      <c r="ND2836" s="2007"/>
    </row>
    <row r="2837">
      <c r="A2837">
        <f>IFERROR(__xludf.DUMMYFUNCTION("""COMPUTED_VALUE"""),8003228.0)</f>
        <v>8003228</v>
      </c>
      <c r="B2837">
        <f>IFERROR(__xludf.DUMMYFUNCTION("""COMPUTED_VALUE"""),2403005.0)</f>
        <v>2403005</v>
      </c>
      <c r="C2837" t="str">
        <f>IFERROR(__xludf.DUMMYFUNCTION("""COMPUTED_VALUE"""),"Cartouche")</f>
        <v>Cartouche</v>
      </c>
      <c r="D2837" t="str">
        <f>IFERROR(__xludf.DUMMYFUNCTION("""COMPUTED_VALUE"""),"E29XL Noir Série Chou rouge")</f>
        <v>E29XL Noir Série Chou rouge</v>
      </c>
      <c r="E2837" t="str">
        <f>IFERROR(__xludf.DUMMYFUNCTION("""COMPUTED_VALUE"""),"ESSENTIELB")</f>
        <v>ESSENTIELB</v>
      </c>
      <c r="F2837" t="str">
        <f>IFERROR(__xludf.DUMMYFUNCTION("""COMPUTED_VALUE"""),"B")</f>
        <v>B</v>
      </c>
      <c r="G2837" t="str">
        <f>IFERROR(__xludf.DUMMYFUNCTION("""COMPUTED_VALUE"""),"NN")</f>
        <v>NN</v>
      </c>
      <c r="H2837">
        <f>IFERROR(__xludf.DUMMYFUNCTION("""COMPUTED_VALUE"""),12.99)</f>
        <v>12.99</v>
      </c>
      <c r="I2837">
        <f>IFERROR(__xludf.DUMMYFUNCTION("""COMPUTED_VALUE"""),12.99)</f>
        <v>12.99</v>
      </c>
      <c r="BD2837" s="2006"/>
      <c r="LL2837" s="2007"/>
      <c r="LM2837" s="2007"/>
      <c r="MX2837" s="2007"/>
      <c r="ND2837" s="2007"/>
    </row>
    <row r="2838">
      <c r="A2838">
        <f>IFERROR(__xludf.DUMMYFUNCTION("""COMPUTED_VALUE"""),8003229.0)</f>
        <v>8003229</v>
      </c>
      <c r="B2838">
        <f>IFERROR(__xludf.DUMMYFUNCTION("""COMPUTED_VALUE"""),2403005.0)</f>
        <v>2403005</v>
      </c>
      <c r="C2838" t="str">
        <f>IFERROR(__xludf.DUMMYFUNCTION("""COMPUTED_VALUE"""),"Pack")</f>
        <v>Pack</v>
      </c>
      <c r="D2838" t="str">
        <f>IFERROR(__xludf.DUMMYFUNCTION("""COMPUTED_VALUE"""),"E29XL 3 couleurs Série Chou rouge")</f>
        <v>E29XL 3 couleurs Série Chou rouge</v>
      </c>
      <c r="E2838" t="str">
        <f>IFERROR(__xludf.DUMMYFUNCTION("""COMPUTED_VALUE"""),"ESSENTIELB")</f>
        <v>ESSENTIELB</v>
      </c>
      <c r="F2838" t="str">
        <f>IFERROR(__xludf.DUMMYFUNCTION("""COMPUTED_VALUE"""),"B")</f>
        <v>B</v>
      </c>
      <c r="G2838" t="str">
        <f>IFERROR(__xludf.DUMMYFUNCTION("""COMPUTED_VALUE"""),"NN")</f>
        <v>NN</v>
      </c>
      <c r="H2838">
        <f>IFERROR(__xludf.DUMMYFUNCTION("""COMPUTED_VALUE"""),17.99)</f>
        <v>17.99</v>
      </c>
      <c r="I2838">
        <f>IFERROR(__xludf.DUMMYFUNCTION("""COMPUTED_VALUE"""),17.99)</f>
        <v>17.99</v>
      </c>
      <c r="BD2838" s="2006"/>
      <c r="LL2838" s="2007"/>
      <c r="LM2838" s="2007"/>
      <c r="MX2838" s="2007"/>
      <c r="ND2838" s="2007"/>
    </row>
    <row r="2839">
      <c r="A2839">
        <f>IFERROR(__xludf.DUMMYFUNCTION("""COMPUTED_VALUE"""),8003230.0)</f>
        <v>8003230</v>
      </c>
      <c r="B2839">
        <f>IFERROR(__xludf.DUMMYFUNCTION("""COMPUTED_VALUE"""),2403005.0)</f>
        <v>2403005</v>
      </c>
      <c r="C2839" t="str">
        <f>IFERROR(__xludf.DUMMYFUNCTION("""COMPUTED_VALUE"""),"Cartouche")</f>
        <v>Cartouche</v>
      </c>
      <c r="D2839" t="str">
        <f>IFERROR(__xludf.DUMMYFUNCTION("""COMPUTED_VALUE"""),"E33XL Noir Série Marqueur")</f>
        <v>E33XL Noir Série Marqueur</v>
      </c>
      <c r="E2839" t="str">
        <f>IFERROR(__xludf.DUMMYFUNCTION("""COMPUTED_VALUE"""),"ESSENTIELB")</f>
        <v>ESSENTIELB</v>
      </c>
      <c r="F2839" t="str">
        <f>IFERROR(__xludf.DUMMYFUNCTION("""COMPUTED_VALUE"""),"B")</f>
        <v>B</v>
      </c>
      <c r="G2839" t="str">
        <f>IFERROR(__xludf.DUMMYFUNCTION("""COMPUTED_VALUE"""),"NN")</f>
        <v>NN</v>
      </c>
      <c r="H2839">
        <f>IFERROR(__xludf.DUMMYFUNCTION("""COMPUTED_VALUE"""),12.99)</f>
        <v>12.99</v>
      </c>
      <c r="I2839">
        <f>IFERROR(__xludf.DUMMYFUNCTION("""COMPUTED_VALUE"""),12.99)</f>
        <v>12.99</v>
      </c>
      <c r="BD2839" s="2006"/>
      <c r="LL2839" s="2007"/>
      <c r="LM2839" s="2007"/>
      <c r="MX2839" s="2007"/>
      <c r="ND2839" s="2007"/>
    </row>
    <row r="2840">
      <c r="A2840">
        <f>IFERROR(__xludf.DUMMYFUNCTION("""COMPUTED_VALUE"""),8003231.0)</f>
        <v>8003231</v>
      </c>
      <c r="B2840">
        <f>IFERROR(__xludf.DUMMYFUNCTION("""COMPUTED_VALUE"""),2403005.0)</f>
        <v>2403005</v>
      </c>
      <c r="C2840" t="str">
        <f>IFERROR(__xludf.DUMMYFUNCTION("""COMPUTED_VALUE"""),"Cartouche")</f>
        <v>Cartouche</v>
      </c>
      <c r="D2840" t="str">
        <f>IFERROR(__xludf.DUMMYFUNCTION("""COMPUTED_VALUE"""),"E33XL Noir photo Série Marqueur")</f>
        <v>E33XL Noir photo Série Marqueur</v>
      </c>
      <c r="E2840" t="str">
        <f>IFERROR(__xludf.DUMMYFUNCTION("""COMPUTED_VALUE"""),"ESSENTIELB")</f>
        <v>ESSENTIELB</v>
      </c>
      <c r="F2840" t="str">
        <f>IFERROR(__xludf.DUMMYFUNCTION("""COMPUTED_VALUE"""),"B")</f>
        <v>B</v>
      </c>
      <c r="G2840" t="str">
        <f>IFERROR(__xludf.DUMMYFUNCTION("""COMPUTED_VALUE"""),"NN")</f>
        <v>NN</v>
      </c>
      <c r="H2840">
        <f>IFERROR(__xludf.DUMMYFUNCTION("""COMPUTED_VALUE"""),8.99)</f>
        <v>8.99</v>
      </c>
      <c r="I2840">
        <f>IFERROR(__xludf.DUMMYFUNCTION("""COMPUTED_VALUE"""),8.99)</f>
        <v>8.99</v>
      </c>
      <c r="BD2840" s="2006"/>
      <c r="LL2840" s="2007"/>
      <c r="LM2840" s="2007"/>
      <c r="MX2840" s="2007"/>
      <c r="ND2840" s="2007"/>
    </row>
    <row r="2841">
      <c r="A2841">
        <f>IFERROR(__xludf.DUMMYFUNCTION("""COMPUTED_VALUE"""),8003233.0)</f>
        <v>8003233</v>
      </c>
      <c r="B2841">
        <f>IFERROR(__xludf.DUMMYFUNCTION("""COMPUTED_VALUE"""),2403005.0)</f>
        <v>2403005</v>
      </c>
      <c r="C2841" t="str">
        <f>IFERROR(__xludf.DUMMYFUNCTION("""COMPUTED_VALUE"""),"Pack")</f>
        <v>Pack</v>
      </c>
      <c r="D2841" t="str">
        <f>IFERROR(__xludf.DUMMYFUNCTION("""COMPUTED_VALUE"""),"E33XL 3 couleurs Série Marqueur")</f>
        <v>E33XL 3 couleurs Série Marqueur</v>
      </c>
      <c r="E2841" t="str">
        <f>IFERROR(__xludf.DUMMYFUNCTION("""COMPUTED_VALUE"""),"ESSENTIELB")</f>
        <v>ESSENTIELB</v>
      </c>
      <c r="F2841" t="str">
        <f>IFERROR(__xludf.DUMMYFUNCTION("""COMPUTED_VALUE"""),"B")</f>
        <v>B</v>
      </c>
      <c r="G2841" t="str">
        <f>IFERROR(__xludf.DUMMYFUNCTION("""COMPUTED_VALUE"""),"NN")</f>
        <v>NN</v>
      </c>
      <c r="H2841">
        <f>IFERROR(__xludf.DUMMYFUNCTION("""COMPUTED_VALUE"""),39.99)</f>
        <v>39.99</v>
      </c>
      <c r="I2841">
        <f>IFERROR(__xludf.DUMMYFUNCTION("""COMPUTED_VALUE"""),39.99)</f>
        <v>39.99</v>
      </c>
      <c r="BD2841" s="2006"/>
      <c r="LL2841" s="2007"/>
      <c r="LM2841" s="2007"/>
      <c r="MX2841" s="2007"/>
      <c r="ND2841" s="2007"/>
    </row>
    <row r="2842">
      <c r="A2842">
        <f>IFERROR(__xludf.DUMMYFUNCTION("""COMPUTED_VALUE"""),8003234.0)</f>
        <v>8003234</v>
      </c>
      <c r="B2842">
        <f>IFERROR(__xludf.DUMMYFUNCTION("""COMPUTED_VALUE"""),2403005.0)</f>
        <v>2403005</v>
      </c>
      <c r="C2842" t="str">
        <f>IFERROR(__xludf.DUMMYFUNCTION("""COMPUTED_VALUE"""),"Cartouche")</f>
        <v>Cartouche</v>
      </c>
      <c r="D2842" t="str">
        <f>IFERROR(__xludf.DUMMYFUNCTION("""COMPUTED_VALUE"""),"H62XL Noir Série Salade")</f>
        <v>H62XL Noir Série Salade</v>
      </c>
      <c r="E2842" t="str">
        <f>IFERROR(__xludf.DUMMYFUNCTION("""COMPUTED_VALUE"""),"ESSENTIELB")</f>
        <v>ESSENTIELB</v>
      </c>
      <c r="F2842" t="str">
        <f>IFERROR(__xludf.DUMMYFUNCTION("""COMPUTED_VALUE"""),"B")</f>
        <v>B</v>
      </c>
      <c r="G2842" t="str">
        <f>IFERROR(__xludf.DUMMYFUNCTION("""COMPUTED_VALUE"""),"NN")</f>
        <v>NN</v>
      </c>
      <c r="H2842">
        <f>IFERROR(__xludf.DUMMYFUNCTION("""COMPUTED_VALUE"""),26.99)</f>
        <v>26.99</v>
      </c>
      <c r="I2842">
        <f>IFERROR(__xludf.DUMMYFUNCTION("""COMPUTED_VALUE"""),26.99)</f>
        <v>26.99</v>
      </c>
      <c r="BD2842" s="2006"/>
      <c r="LL2842" s="2008"/>
      <c r="LM2842" s="2007"/>
      <c r="MX2842" s="2007"/>
      <c r="ND2842" s="2008"/>
    </row>
    <row r="2843">
      <c r="A2843">
        <f>IFERROR(__xludf.DUMMYFUNCTION("""COMPUTED_VALUE"""),8003235.0)</f>
        <v>8003235</v>
      </c>
      <c r="B2843">
        <f>IFERROR(__xludf.DUMMYFUNCTION("""COMPUTED_VALUE"""),2403005.0)</f>
        <v>2403005</v>
      </c>
      <c r="C2843" t="str">
        <f>IFERROR(__xludf.DUMMYFUNCTION("""COMPUTED_VALUE"""),"Cartouche")</f>
        <v>Cartouche</v>
      </c>
      <c r="D2843" t="str">
        <f>IFERROR(__xludf.DUMMYFUNCTION("""COMPUTED_VALUE"""),"H62XL Couleurs Série Salade")</f>
        <v>H62XL Couleurs Série Salade</v>
      </c>
      <c r="E2843" t="str">
        <f>IFERROR(__xludf.DUMMYFUNCTION("""COMPUTED_VALUE"""),"ESSENTIELB")</f>
        <v>ESSENTIELB</v>
      </c>
      <c r="F2843" t="str">
        <f>IFERROR(__xludf.DUMMYFUNCTION("""COMPUTED_VALUE"""),"B")</f>
        <v>B</v>
      </c>
      <c r="G2843" t="str">
        <f>IFERROR(__xludf.DUMMYFUNCTION("""COMPUTED_VALUE"""),"NN")</f>
        <v>NN</v>
      </c>
      <c r="H2843">
        <f>IFERROR(__xludf.DUMMYFUNCTION("""COMPUTED_VALUE"""),23.99)</f>
        <v>23.99</v>
      </c>
      <c r="I2843">
        <f>IFERROR(__xludf.DUMMYFUNCTION("""COMPUTED_VALUE"""),23.99)</f>
        <v>23.99</v>
      </c>
      <c r="BD2843" s="2006"/>
      <c r="LL2843" s="2007"/>
      <c r="LM2843" s="2007"/>
      <c r="MX2843" s="2008"/>
      <c r="ND2843" s="2007"/>
    </row>
    <row r="2844">
      <c r="A2844">
        <f>IFERROR(__xludf.DUMMYFUNCTION("""COMPUTED_VALUE"""),8003238.0)</f>
        <v>8003238</v>
      </c>
      <c r="B2844">
        <f>IFERROR(__xludf.DUMMYFUNCTION("""COMPUTED_VALUE"""),2403005.0)</f>
        <v>2403005</v>
      </c>
      <c r="C2844" t="str">
        <f>IFERROR(__xludf.DUMMYFUNCTION("""COMPUTED_VALUE"""),"Cartouche")</f>
        <v>Cartouche</v>
      </c>
      <c r="D2844" t="str">
        <f>IFERROR(__xludf.DUMMYFUNCTION("""COMPUTED_VALUE"""),"H302XL Noir Série Sac à mains")</f>
        <v>H302XL Noir Série Sac à mains</v>
      </c>
      <c r="E2844" t="str">
        <f>IFERROR(__xludf.DUMMYFUNCTION("""COMPUTED_VALUE"""),"ESSENTIELB")</f>
        <v>ESSENTIELB</v>
      </c>
      <c r="F2844" t="str">
        <f>IFERROR(__xludf.DUMMYFUNCTION("""COMPUTED_VALUE"""),"A")</f>
        <v>A</v>
      </c>
      <c r="G2844" t="str">
        <f>IFERROR(__xludf.DUMMYFUNCTION("""COMPUTED_VALUE"""),"NN")</f>
        <v>NN</v>
      </c>
      <c r="H2844">
        <f>IFERROR(__xludf.DUMMYFUNCTION("""COMPUTED_VALUE"""),21.99)</f>
        <v>21.99</v>
      </c>
      <c r="I2844">
        <f>IFERROR(__xludf.DUMMYFUNCTION("""COMPUTED_VALUE"""),21.99)</f>
        <v>21.99</v>
      </c>
      <c r="BD2844" s="2006"/>
      <c r="LL2844" s="2007"/>
      <c r="LM2844" s="2007"/>
      <c r="MX2844" s="2007"/>
      <c r="ND2844" s="2007"/>
    </row>
    <row r="2845">
      <c r="A2845">
        <f>IFERROR(__xludf.DUMMYFUNCTION("""COMPUTED_VALUE"""),8003239.0)</f>
        <v>8003239</v>
      </c>
      <c r="B2845">
        <f>IFERROR(__xludf.DUMMYFUNCTION("""COMPUTED_VALUE"""),2403005.0)</f>
        <v>2403005</v>
      </c>
      <c r="C2845" t="str">
        <f>IFERROR(__xludf.DUMMYFUNCTION("""COMPUTED_VALUE"""),"Cartouche")</f>
        <v>Cartouche</v>
      </c>
      <c r="D2845" t="str">
        <f>IFERROR(__xludf.DUMMYFUNCTION("""COMPUTED_VALUE"""),"H302XL Couleurs Série Sac à mains")</f>
        <v>H302XL Couleurs Série Sac à mains</v>
      </c>
      <c r="E2845" t="str">
        <f>IFERROR(__xludf.DUMMYFUNCTION("""COMPUTED_VALUE"""),"ESSENTIELB")</f>
        <v>ESSENTIELB</v>
      </c>
      <c r="F2845" t="str">
        <f>IFERROR(__xludf.DUMMYFUNCTION("""COMPUTED_VALUE"""),"B")</f>
        <v>B</v>
      </c>
      <c r="G2845" t="str">
        <f>IFERROR(__xludf.DUMMYFUNCTION("""COMPUTED_VALUE"""),"NN")</f>
        <v>NN</v>
      </c>
      <c r="H2845">
        <f>IFERROR(__xludf.DUMMYFUNCTION("""COMPUTED_VALUE"""),23.99)</f>
        <v>23.99</v>
      </c>
      <c r="I2845">
        <f>IFERROR(__xludf.DUMMYFUNCTION("""COMPUTED_VALUE"""),23.99)</f>
        <v>23.99</v>
      </c>
      <c r="BD2845" s="2006"/>
      <c r="LL2845" s="2007"/>
      <c r="LM2845" s="2007"/>
      <c r="MX2845" s="2007"/>
      <c r="ND2845" s="2007"/>
    </row>
    <row r="2846">
      <c r="A2846">
        <f>IFERROR(__xludf.DUMMYFUNCTION("""COMPUTED_VALUE"""),8003240.0)</f>
        <v>8003240</v>
      </c>
      <c r="B2846">
        <f>IFERROR(__xludf.DUMMYFUNCTION("""COMPUTED_VALUE"""),2403005.0)</f>
        <v>2403005</v>
      </c>
      <c r="C2846" t="str">
        <f>IFERROR(__xludf.DUMMYFUNCTION("""COMPUTED_VALUE"""),"Pack")</f>
        <v>Pack</v>
      </c>
      <c r="D2846" t="str">
        <f>IFERROR(__xludf.DUMMYFUNCTION("""COMPUTED_VALUE"""),"H950/951XL Noir + 3 coul Série Caméléon")</f>
        <v>H950/951XL Noir + 3 coul Série Caméléon</v>
      </c>
      <c r="E2846" t="str">
        <f>IFERROR(__xludf.DUMMYFUNCTION("""COMPUTED_VALUE"""),"ESSENTIELB")</f>
        <v>ESSENTIELB</v>
      </c>
      <c r="F2846" t="str">
        <f>IFERROR(__xludf.DUMMYFUNCTION("""COMPUTED_VALUE"""),"B")</f>
        <v>B</v>
      </c>
      <c r="G2846" t="str">
        <f>IFERROR(__xludf.DUMMYFUNCTION("""COMPUTED_VALUE"""),"NN")</f>
        <v>NN</v>
      </c>
      <c r="H2846">
        <f>IFERROR(__xludf.DUMMYFUNCTION("""COMPUTED_VALUE"""),59.99)</f>
        <v>59.99</v>
      </c>
      <c r="I2846">
        <f>IFERROR(__xludf.DUMMYFUNCTION("""COMPUTED_VALUE"""),59.99)</f>
        <v>59.99</v>
      </c>
      <c r="BD2846" s="2006"/>
      <c r="LL2846" s="2007"/>
      <c r="LM2846" s="2007"/>
      <c r="MX2846" s="2007"/>
      <c r="ND2846" s="2007"/>
    </row>
    <row r="2847">
      <c r="A2847">
        <f>IFERROR(__xludf.DUMMYFUNCTION("""COMPUTED_VALUE"""),8003266.0)</f>
        <v>8003266</v>
      </c>
      <c r="B2847">
        <f>IFERROR(__xludf.DUMMYFUNCTION("""COMPUTED_VALUE"""),2502015.0)</f>
        <v>2502015</v>
      </c>
      <c r="C2847" t="str">
        <f>IFERROR(__xludf.DUMMYFUNCTION("""COMPUTED_VALUE"""),"Clavier")</f>
        <v>Clavier</v>
      </c>
      <c r="D2847" t="str">
        <f>IFERROR(__xludf.DUMMYFUNCTION("""COMPUTED_VALUE"""),"CF-266")</f>
        <v>CF-266</v>
      </c>
      <c r="E2847" t="str">
        <f>IFERROR(__xludf.DUMMYFUNCTION("""COMPUTED_VALUE"""),"LISTO")</f>
        <v>LISTO</v>
      </c>
      <c r="F2847" t="str">
        <f>IFERROR(__xludf.DUMMYFUNCTION("""COMPUTED_VALUE"""),"A")</f>
        <v>A</v>
      </c>
      <c r="G2847" t="str">
        <f>IFERROR(__xludf.DUMMYFUNCTION("""COMPUTED_VALUE"""),"AC")</f>
        <v>AC</v>
      </c>
      <c r="H2847">
        <f>IFERROR(__xludf.DUMMYFUNCTION("""COMPUTED_VALUE"""),13.99)</f>
        <v>13.99</v>
      </c>
      <c r="I2847">
        <f>IFERROR(__xludf.DUMMYFUNCTION("""COMPUTED_VALUE"""),13.99)</f>
        <v>13.99</v>
      </c>
      <c r="BD2847" s="2006"/>
      <c r="LL2847" s="2007"/>
      <c r="LM2847" s="2007"/>
      <c r="MX2847" s="2007"/>
      <c r="ND2847" s="2007"/>
    </row>
    <row r="2848">
      <c r="A2848">
        <f>IFERROR(__xludf.DUMMYFUNCTION("""COMPUTED_VALUE"""),8003297.0)</f>
        <v>8003297</v>
      </c>
      <c r="B2848">
        <f>IFERROR(__xludf.DUMMYFUNCTION("""COMPUTED_VALUE"""),2705505.0)</f>
        <v>2705505</v>
      </c>
      <c r="C2848" t="str">
        <f>IFERROR(__xludf.DUMMYFUNCTION("""COMPUTED_VALUE"""),"Pack")</f>
        <v>Pack</v>
      </c>
      <c r="D2848" t="str">
        <f>IFERROR(__xludf.DUMMYFUNCTION("""COMPUTED_VALUE"""),"10 DVD")</f>
        <v>10 DVD</v>
      </c>
      <c r="E2848" t="str">
        <f>IFERROR(__xludf.DUMMYFUNCTION("""COMPUTED_VALUE"""),"ESSENTIELB")</f>
        <v>ESSENTIELB</v>
      </c>
      <c r="F2848" t="str">
        <f>IFERROR(__xludf.DUMMYFUNCTION("""COMPUTED_VALUE"""),"A")</f>
        <v>A</v>
      </c>
      <c r="G2848" t="str">
        <f>IFERROR(__xludf.DUMMYFUNCTION("""COMPUTED_VALUE"""),"FR")</f>
        <v>FR</v>
      </c>
      <c r="H2848">
        <f>IFERROR(__xludf.DUMMYFUNCTION("""COMPUTED_VALUE"""),4.99)</f>
        <v>4.99</v>
      </c>
      <c r="I2848">
        <f>IFERROR(__xludf.DUMMYFUNCTION("""COMPUTED_VALUE"""),4.99)</f>
        <v>4.99</v>
      </c>
      <c r="BD2848" s="2006"/>
      <c r="LL2848" s="2007"/>
      <c r="LM2848" s="2007"/>
      <c r="MX2848" s="2007"/>
      <c r="ND2848" s="2007"/>
    </row>
    <row r="2849">
      <c r="A2849">
        <f>IFERROR(__xludf.DUMMYFUNCTION("""COMPUTED_VALUE"""),8003298.0)</f>
        <v>8003298</v>
      </c>
      <c r="B2849">
        <f>IFERROR(__xludf.DUMMYFUNCTION("""COMPUTED_VALUE"""),2705505.0)</f>
        <v>2705505</v>
      </c>
      <c r="C2849" t="str">
        <f>IFERROR(__xludf.DUMMYFUNCTION("""COMPUTED_VALUE"""),"Pack")</f>
        <v>Pack</v>
      </c>
      <c r="D2849" t="str">
        <f>IFERROR(__xludf.DUMMYFUNCTION("""COMPUTED_VALUE"""),"10 Boîtes CD slim couleur")</f>
        <v>10 Boîtes CD slim couleur</v>
      </c>
      <c r="E2849" t="str">
        <f>IFERROR(__xludf.DUMMYFUNCTION("""COMPUTED_VALUE"""),"ESSENTIELB")</f>
        <v>ESSENTIELB</v>
      </c>
      <c r="F2849" t="str">
        <f>IFERROR(__xludf.DUMMYFUNCTION("""COMPUTED_VALUE"""),"A")</f>
        <v>A</v>
      </c>
      <c r="G2849" t="str">
        <f>IFERROR(__xludf.DUMMYFUNCTION("""COMPUTED_VALUE"""),"NN")</f>
        <v>NN</v>
      </c>
      <c r="H2849">
        <f>IFERROR(__xludf.DUMMYFUNCTION("""COMPUTED_VALUE"""),9.99)</f>
        <v>9.99</v>
      </c>
      <c r="I2849">
        <f>IFERROR(__xludf.DUMMYFUNCTION("""COMPUTED_VALUE"""),9.99)</f>
        <v>9.99</v>
      </c>
      <c r="BD2849" s="2006"/>
      <c r="LL2849" s="2007"/>
      <c r="LM2849" s="2007"/>
      <c r="MX2849" s="2007"/>
      <c r="ND2849" s="2007"/>
    </row>
    <row r="2850">
      <c r="A2850">
        <f>IFERROR(__xludf.DUMMYFUNCTION("""COMPUTED_VALUE"""),8003304.0)</f>
        <v>8003304</v>
      </c>
      <c r="B2850">
        <f>IFERROR(__xludf.DUMMYFUNCTION("""COMPUTED_VALUE"""),2502015.0)</f>
        <v>2502015</v>
      </c>
      <c r="C2850" t="str">
        <f>IFERROR(__xludf.DUMMYFUNCTION("""COMPUTED_VALUE"""),"Clavier")</f>
        <v>Clavier</v>
      </c>
      <c r="D2850" t="str">
        <f>IFERROR(__xludf.DUMMYFUNCTION("""COMPUTED_VALUE"""),"Nomad BT")</f>
        <v>Nomad BT</v>
      </c>
      <c r="E2850" t="str">
        <f>IFERROR(__xludf.DUMMYFUNCTION("""COMPUTED_VALUE"""),"ESSENTIELB")</f>
        <v>ESSENTIELB</v>
      </c>
      <c r="F2850" t="str">
        <f>IFERROR(__xludf.DUMMYFUNCTION("""COMPUTED_VALUE"""),"A")</f>
        <v>A</v>
      </c>
      <c r="G2850" t="str">
        <f>IFERROR(__xludf.DUMMYFUNCTION("""COMPUTED_VALUE"""),"NN")</f>
        <v>NN</v>
      </c>
      <c r="H2850">
        <f>IFERROR(__xludf.DUMMYFUNCTION("""COMPUTED_VALUE"""),24.99)</f>
        <v>24.99</v>
      </c>
      <c r="I2850">
        <f>IFERROR(__xludf.DUMMYFUNCTION("""COMPUTED_VALUE"""),24.99)</f>
        <v>24.99</v>
      </c>
      <c r="BD2850" s="2006"/>
      <c r="LL2850" s="2007"/>
      <c r="LM2850" s="2007"/>
      <c r="MX2850" s="2007"/>
      <c r="ND2850" s="2007"/>
    </row>
    <row r="2851">
      <c r="A2851">
        <f>IFERROR(__xludf.DUMMYFUNCTION("""COMPUTED_VALUE"""),8003306.0)</f>
        <v>8003306</v>
      </c>
      <c r="B2851">
        <f>IFERROR(__xludf.DUMMYFUNCTION("""COMPUTED_VALUE"""),2502015.0)</f>
        <v>2502015</v>
      </c>
      <c r="C2851" t="str">
        <f>IFERROR(__xludf.DUMMYFUNCTION("""COMPUTED_VALUE"""),"Clavier")</f>
        <v>Clavier</v>
      </c>
      <c r="D2851" t="str">
        <f>IFERROR(__xludf.DUMMYFUNCTION("""COMPUTED_VALUE"""),"ECM Pad")</f>
        <v>ECM Pad</v>
      </c>
      <c r="E2851" t="str">
        <f>IFERROR(__xludf.DUMMYFUNCTION("""COMPUTED_VALUE"""),"ESSENTIELB")</f>
        <v>ESSENTIELB</v>
      </c>
      <c r="F2851" t="str">
        <f>IFERROR(__xludf.DUMMYFUNCTION("""COMPUTED_VALUE"""),"A")</f>
        <v>A</v>
      </c>
      <c r="G2851" t="str">
        <f>IFERROR(__xludf.DUMMYFUNCTION("""COMPUTED_VALUE"""),"NN")</f>
        <v>NN</v>
      </c>
      <c r="H2851">
        <f>IFERROR(__xludf.DUMMYFUNCTION("""COMPUTED_VALUE"""),19.99)</f>
        <v>19.99</v>
      </c>
      <c r="I2851">
        <f>IFERROR(__xludf.DUMMYFUNCTION("""COMPUTED_VALUE"""),19.99)</f>
        <v>19.99</v>
      </c>
      <c r="BD2851" s="2006"/>
      <c r="LL2851" s="2007"/>
      <c r="LM2851" s="2007"/>
      <c r="MX2851" s="2007"/>
      <c r="ND2851" s="2007"/>
    </row>
    <row r="2852">
      <c r="A2852">
        <f>IFERROR(__xludf.DUMMYFUNCTION("""COMPUTED_VALUE"""),8003307.0)</f>
        <v>8003307</v>
      </c>
      <c r="B2852">
        <f>IFERROR(__xludf.DUMMYFUNCTION("""COMPUTED_VALUE"""),2502010.0)</f>
        <v>2502010</v>
      </c>
      <c r="C2852" t="str">
        <f>IFERROR(__xludf.DUMMYFUNCTION("""COMPUTED_VALUE"""),"Souris")</f>
        <v>Souris</v>
      </c>
      <c r="D2852" t="str">
        <f>IFERROR(__xludf.DUMMYFUNCTION("""COMPUTED_VALUE"""),"Ergo XL")</f>
        <v>Ergo XL</v>
      </c>
      <c r="E2852" t="str">
        <f>IFERROR(__xludf.DUMMYFUNCTION("""COMPUTED_VALUE"""),"ESSENTIELB")</f>
        <v>ESSENTIELB</v>
      </c>
      <c r="F2852" t="str">
        <f>IFERROR(__xludf.DUMMYFUNCTION("""COMPUTED_VALUE"""),"A")</f>
        <v>A</v>
      </c>
      <c r="G2852" t="str">
        <f>IFERROR(__xludf.DUMMYFUNCTION("""COMPUTED_VALUE"""),"NN")</f>
        <v>NN</v>
      </c>
      <c r="H2852">
        <f>IFERROR(__xludf.DUMMYFUNCTION("""COMPUTED_VALUE"""),14.99)</f>
        <v>14.99</v>
      </c>
      <c r="I2852">
        <f>IFERROR(__xludf.DUMMYFUNCTION("""COMPUTED_VALUE"""),14.99)</f>
        <v>14.99</v>
      </c>
      <c r="BD2852" s="2006"/>
      <c r="LL2852" s="2007"/>
      <c r="LM2852" s="2007"/>
      <c r="MX2852" s="2007"/>
      <c r="ND2852" s="2007"/>
    </row>
    <row r="2853">
      <c r="A2853">
        <f>IFERROR(__xludf.DUMMYFUNCTION("""COMPUTED_VALUE"""),8003541.0)</f>
        <v>8003541</v>
      </c>
      <c r="B2853">
        <f>IFERROR(__xludf.DUMMYFUNCTION("""COMPUTED_VALUE"""),1103006.0)</f>
        <v>1103006</v>
      </c>
      <c r="C2853" t="str">
        <f>IFERROR(__xludf.DUMMYFUNCTION("""COMPUTED_VALUE"""),"Pack")</f>
        <v>Pack</v>
      </c>
      <c r="D2853" t="str">
        <f>IFERROR(__xludf.DUMMYFUNCTION("""COMPUTED_VALUE"""),"BI-EASY REPONDEUR NOIR")</f>
        <v>BI-EASY REPONDEUR NOIR</v>
      </c>
      <c r="E2853" t="str">
        <f>IFERROR(__xludf.DUMMYFUNCTION("""COMPUTED_VALUE"""),"ESSENTIELB")</f>
        <v>ESSENTIELB</v>
      </c>
      <c r="F2853" t="str">
        <f>IFERROR(__xludf.DUMMYFUNCTION("""COMPUTED_VALUE"""),"A")</f>
        <v>A</v>
      </c>
      <c r="G2853" t="str">
        <f>IFERROR(__xludf.DUMMYFUNCTION("""COMPUTED_VALUE"""),"AC")</f>
        <v>AC</v>
      </c>
      <c r="H2853">
        <f>IFERROR(__xludf.DUMMYFUNCTION("""COMPUTED_VALUE"""),69.99)</f>
        <v>69.99</v>
      </c>
      <c r="I2853">
        <f>IFERROR(__xludf.DUMMYFUNCTION("""COMPUTED_VALUE"""),69.99)</f>
        <v>69.99</v>
      </c>
      <c r="BD2853" s="2006"/>
      <c r="LL2853" s="2007"/>
      <c r="LM2853" s="2007"/>
      <c r="MX2853" s="2007"/>
      <c r="ND2853" s="2007"/>
    </row>
    <row r="2854">
      <c r="A2854">
        <f>IFERROR(__xludf.DUMMYFUNCTION("""COMPUTED_VALUE"""),8003763.0)</f>
        <v>8003763</v>
      </c>
      <c r="B2854">
        <f>IFERROR(__xludf.DUMMYFUNCTION("""COMPUTED_VALUE"""),2502010.0)</f>
        <v>2502010</v>
      </c>
      <c r="C2854" t="str">
        <f>IFERROR(__xludf.DUMMYFUNCTION("""COMPUTED_VALUE"""),"Souris")</f>
        <v>Souris</v>
      </c>
      <c r="D2854" t="str">
        <f>IFERROR(__xludf.DUMMYFUNCTION("""COMPUTED_VALUE"""),"Profyl verticale")</f>
        <v>Profyl verticale</v>
      </c>
      <c r="E2854" t="str">
        <f>IFERROR(__xludf.DUMMYFUNCTION("""COMPUTED_VALUE"""),"ESSENTIELB")</f>
        <v>ESSENTIELB</v>
      </c>
      <c r="F2854" t="str">
        <f>IFERROR(__xludf.DUMMYFUNCTION("""COMPUTED_VALUE"""),"A")</f>
        <v>A</v>
      </c>
      <c r="G2854" t="str">
        <f>IFERROR(__xludf.DUMMYFUNCTION("""COMPUTED_VALUE"""),"NN")</f>
        <v>NN</v>
      </c>
      <c r="H2854">
        <f>IFERROR(__xludf.DUMMYFUNCTION("""COMPUTED_VALUE"""),24.99)</f>
        <v>24.99</v>
      </c>
      <c r="I2854">
        <f>IFERROR(__xludf.DUMMYFUNCTION("""COMPUTED_VALUE"""),24.99)</f>
        <v>24.99</v>
      </c>
      <c r="BD2854" s="2006"/>
      <c r="LL2854" s="2007"/>
      <c r="LM2854" s="2007"/>
      <c r="MX2854" s="2007"/>
      <c r="ND2854" s="2007"/>
    </row>
    <row r="2855">
      <c r="A2855">
        <f>IFERROR(__xludf.DUMMYFUNCTION("""COMPUTED_VALUE"""),8003835.0)</f>
        <v>8003835</v>
      </c>
      <c r="B2855">
        <f>IFERROR(__xludf.DUMMYFUNCTION("""COMPUTED_VALUE"""),2704515.0)</f>
        <v>2704515</v>
      </c>
      <c r="C2855" t="str">
        <f>IFERROR(__xludf.DUMMYFUNCTION("""COMPUTED_VALUE"""),"Calc.")</f>
        <v>Calc.</v>
      </c>
      <c r="D2855" t="str">
        <f>IFERROR(__xludf.DUMMYFUNCTION("""COMPUTED_VALUE"""),"EC-8 Orange")</f>
        <v>EC-8 Orange</v>
      </c>
      <c r="E2855" t="str">
        <f>IFERROR(__xludf.DUMMYFUNCTION("""COMPUTED_VALUE"""),"ESSENTIELB")</f>
        <v>ESSENTIELB</v>
      </c>
      <c r="F2855" t="str">
        <f>IFERROR(__xludf.DUMMYFUNCTION("""COMPUTED_VALUE"""),"A")</f>
        <v>A</v>
      </c>
      <c r="G2855" t="str">
        <f>IFERROR(__xludf.DUMMYFUNCTION("""COMPUTED_VALUE"""),"NN")</f>
        <v>NN</v>
      </c>
      <c r="H2855">
        <f>IFERROR(__xludf.DUMMYFUNCTION("""COMPUTED_VALUE"""),4.99)</f>
        <v>4.99</v>
      </c>
      <c r="I2855">
        <f>IFERROR(__xludf.DUMMYFUNCTION("""COMPUTED_VALUE"""),4.99)</f>
        <v>4.99</v>
      </c>
      <c r="BD2855" s="2006"/>
      <c r="LL2855" s="2007"/>
      <c r="LM2855" s="2007"/>
      <c r="MX2855" s="2007"/>
      <c r="ND2855" s="2007"/>
    </row>
    <row r="2856">
      <c r="A2856">
        <f>IFERROR(__xludf.DUMMYFUNCTION("""COMPUTED_VALUE"""),8003855.0)</f>
        <v>8003855</v>
      </c>
      <c r="B2856">
        <f>IFERROR(__xludf.DUMMYFUNCTION("""COMPUTED_VALUE"""),2705020.0)</f>
        <v>2705020</v>
      </c>
      <c r="C2856" t="str">
        <f>IFERROR(__xludf.DUMMYFUNCTION("""COMPUTED_VALUE"""),"Support")</f>
        <v>Support</v>
      </c>
      <c r="D2856" t="str">
        <f>IFERROR(__xludf.DUMMYFUNCTION("""COMPUTED_VALUE"""),"UP-Screen support écran/imprimante")</f>
        <v>UP-Screen support écran/imprimante</v>
      </c>
      <c r="E2856" t="str">
        <f>IFERROR(__xludf.DUMMYFUNCTION("""COMPUTED_VALUE"""),"ESSENTIELB")</f>
        <v>ESSENTIELB</v>
      </c>
      <c r="F2856" t="str">
        <f>IFERROR(__xludf.DUMMYFUNCTION("""COMPUTED_VALUE"""),"A")</f>
        <v>A</v>
      </c>
      <c r="G2856" t="str">
        <f>IFERROR(__xludf.DUMMYFUNCTION("""COMPUTED_VALUE"""),"NN")</f>
        <v>NN</v>
      </c>
      <c r="H2856">
        <f>IFERROR(__xludf.DUMMYFUNCTION("""COMPUTED_VALUE"""),24.99)</f>
        <v>24.99</v>
      </c>
      <c r="I2856">
        <f>IFERROR(__xludf.DUMMYFUNCTION("""COMPUTED_VALUE"""),24.99)</f>
        <v>24.99</v>
      </c>
      <c r="BD2856" s="2006"/>
      <c r="LL2856" s="2007"/>
      <c r="LM2856" s="2007"/>
      <c r="MX2856" s="2007"/>
      <c r="ND2856" s="2007"/>
    </row>
    <row r="2857">
      <c r="A2857">
        <f>IFERROR(__xludf.DUMMYFUNCTION("""COMPUTED_VALUE"""),8004134.0)</f>
        <v>8004134</v>
      </c>
      <c r="B2857">
        <f>IFERROR(__xludf.DUMMYFUNCTION("""COMPUTED_VALUE"""),2502010.0)</f>
        <v>2502010</v>
      </c>
      <c r="C2857" t="str">
        <f>IFERROR(__xludf.DUMMYFUNCTION("""COMPUTED_VALUE"""),"Présenteur")</f>
        <v>Présenteur</v>
      </c>
      <c r="D2857" t="str">
        <f>IFERROR(__xludf.DUMMYFUNCTION("""COMPUTED_VALUE"""),"LASER ALPHA")</f>
        <v>LASER ALPHA</v>
      </c>
      <c r="E2857" t="str">
        <f>IFERROR(__xludf.DUMMYFUNCTION("""COMPUTED_VALUE"""),"ADEQWAT")</f>
        <v>ADEQWAT</v>
      </c>
      <c r="F2857" t="str">
        <f>IFERROR(__xludf.DUMMYFUNCTION("""COMPUTED_VALUE"""),"A")</f>
        <v>A</v>
      </c>
      <c r="G2857" t="str">
        <f>IFERROR(__xludf.DUMMYFUNCTION("""COMPUTED_VALUE"""),"NN")</f>
        <v>NN</v>
      </c>
      <c r="H2857">
        <f>IFERROR(__xludf.DUMMYFUNCTION("""COMPUTED_VALUE"""),12.99)</f>
        <v>12.99</v>
      </c>
      <c r="I2857">
        <f>IFERROR(__xludf.DUMMYFUNCTION("""COMPUTED_VALUE"""),12.99)</f>
        <v>12.99</v>
      </c>
      <c r="BD2857" s="2006"/>
      <c r="LL2857" s="2007"/>
      <c r="LM2857" s="2007"/>
      <c r="MX2857" s="2007"/>
      <c r="ND2857" s="2007"/>
    </row>
    <row r="2858">
      <c r="A2858">
        <f>IFERROR(__xludf.DUMMYFUNCTION("""COMPUTED_VALUE"""),8004576.0)</f>
        <v>8004576</v>
      </c>
      <c r="B2858">
        <f>IFERROR(__xludf.DUMMYFUNCTION("""COMPUTED_VALUE"""),2502020.0)</f>
        <v>2502020</v>
      </c>
      <c r="C2858" t="str">
        <f>IFERROR(__xludf.DUMMYFUNCTION("""COMPUTED_VALUE"""),"Webcam")</f>
        <v>Webcam</v>
      </c>
      <c r="D2858" t="str">
        <f>IFERROR(__xludf.DUMMYFUNCTION("""COMPUTED_VALUE"""),"HD'Cam 1080P")</f>
        <v>HD'Cam 1080P</v>
      </c>
      <c r="E2858" t="str">
        <f>IFERROR(__xludf.DUMMYFUNCTION("""COMPUTED_VALUE"""),"ESSENTIELB")</f>
        <v>ESSENTIELB</v>
      </c>
      <c r="F2858" t="str">
        <f>IFERROR(__xludf.DUMMYFUNCTION("""COMPUTED_VALUE"""),"A")</f>
        <v>A</v>
      </c>
      <c r="G2858" t="str">
        <f>IFERROR(__xludf.DUMMYFUNCTION("""COMPUTED_VALUE"""),"AC")</f>
        <v>AC</v>
      </c>
      <c r="H2858">
        <f>IFERROR(__xludf.DUMMYFUNCTION("""COMPUTED_VALUE"""),29.99)</f>
        <v>29.99</v>
      </c>
      <c r="I2858">
        <f>IFERROR(__xludf.DUMMYFUNCTION("""COMPUTED_VALUE"""),29.99)</f>
        <v>29.99</v>
      </c>
      <c r="BD2858" s="2006"/>
      <c r="LL2858" s="2007"/>
      <c r="LM2858" s="2007"/>
      <c r="MX2858" s="2007"/>
      <c r="ND2858" s="2007"/>
    </row>
    <row r="2859">
      <c r="A2859">
        <f>IFERROR(__xludf.DUMMYFUNCTION("""COMPUTED_VALUE"""),8004668.0)</f>
        <v>8004668</v>
      </c>
      <c r="B2859">
        <f>IFERROR(__xludf.DUMMYFUNCTION("""COMPUTED_VALUE"""),2502010.0)</f>
        <v>2502010</v>
      </c>
      <c r="C2859" t="str">
        <f>IFERROR(__xludf.DUMMYFUNCTION("""COMPUTED_VALUE"""),"Souris")</f>
        <v>Souris</v>
      </c>
      <c r="D2859" t="str">
        <f>IFERROR(__xludf.DUMMYFUNCTION("""COMPUTED_VALUE"""),"Silencieuse Nonoïz Blanche")</f>
        <v>Silencieuse Nonoïz Blanche</v>
      </c>
      <c r="E2859" t="str">
        <f>IFERROR(__xludf.DUMMYFUNCTION("""COMPUTED_VALUE"""),"ESSENTIELB")</f>
        <v>ESSENTIELB</v>
      </c>
      <c r="F2859" t="str">
        <f>IFERROR(__xludf.DUMMYFUNCTION("""COMPUTED_VALUE"""),"B")</f>
        <v>B</v>
      </c>
      <c r="G2859" t="str">
        <f>IFERROR(__xludf.DUMMYFUNCTION("""COMPUTED_VALUE"""),"NN")</f>
        <v>NN</v>
      </c>
      <c r="H2859">
        <f>IFERROR(__xludf.DUMMYFUNCTION("""COMPUTED_VALUE"""),4.99)</f>
        <v>4.99</v>
      </c>
      <c r="I2859">
        <f>IFERROR(__xludf.DUMMYFUNCTION("""COMPUTED_VALUE"""),4.99)</f>
        <v>4.99</v>
      </c>
      <c r="BD2859" s="2006"/>
      <c r="LL2859" s="2007"/>
      <c r="LM2859" s="2007"/>
      <c r="MX2859" s="2007"/>
      <c r="ND2859" s="2007"/>
    </row>
    <row r="2860">
      <c r="A2860">
        <f>IFERROR(__xludf.DUMMYFUNCTION("""COMPUTED_VALUE"""),8004669.0)</f>
        <v>8004669</v>
      </c>
      <c r="B2860">
        <f>IFERROR(__xludf.DUMMYFUNCTION("""COMPUTED_VALUE"""),2502010.0)</f>
        <v>2502010</v>
      </c>
      <c r="C2860" t="str">
        <f>IFERROR(__xludf.DUMMYFUNCTION("""COMPUTED_VALUE"""),"Souris")</f>
        <v>Souris</v>
      </c>
      <c r="D2860" t="str">
        <f>IFERROR(__xludf.DUMMYFUNCTION("""COMPUTED_VALUE"""),"Silencieuse Nonoïz Noire")</f>
        <v>Silencieuse Nonoïz Noire</v>
      </c>
      <c r="E2860" t="str">
        <f>IFERROR(__xludf.DUMMYFUNCTION("""COMPUTED_VALUE"""),"ESSENTIELB")</f>
        <v>ESSENTIELB</v>
      </c>
      <c r="F2860" t="str">
        <f>IFERROR(__xludf.DUMMYFUNCTION("""COMPUTED_VALUE"""),"A")</f>
        <v>A</v>
      </c>
      <c r="G2860" t="str">
        <f>IFERROR(__xludf.DUMMYFUNCTION("""COMPUTED_VALUE"""),"NN")</f>
        <v>NN</v>
      </c>
      <c r="H2860">
        <f>IFERROR(__xludf.DUMMYFUNCTION("""COMPUTED_VALUE"""),9.99)</f>
        <v>9.99</v>
      </c>
      <c r="I2860">
        <f>IFERROR(__xludf.DUMMYFUNCTION("""COMPUTED_VALUE"""),9.99)</f>
        <v>9.99</v>
      </c>
      <c r="BD2860" s="2006"/>
      <c r="LL2860" s="2007"/>
      <c r="LM2860" s="2007"/>
      <c r="MX2860" s="2007"/>
      <c r="ND2860" s="2007"/>
    </row>
    <row r="2861">
      <c r="A2861">
        <f>IFERROR(__xludf.DUMMYFUNCTION("""COMPUTED_VALUE"""),8004855.0)</f>
        <v>8004855</v>
      </c>
      <c r="B2861">
        <f>IFERROR(__xludf.DUMMYFUNCTION("""COMPUTED_VALUE"""),2503010.0)</f>
        <v>2503010</v>
      </c>
      <c r="C2861" t="str">
        <f>IFERROR(__xludf.DUMMYFUNCTION("""COMPUTED_VALUE"""),"Casque micro")</f>
        <v>Casque micro</v>
      </c>
      <c r="D2861" t="str">
        <f>IFERROR(__xludf.DUMMYFUNCTION("""COMPUTED_VALUE"""),"MC-855")</f>
        <v>MC-855</v>
      </c>
      <c r="E2861" t="str">
        <f>IFERROR(__xludf.DUMMYFUNCTION("""COMPUTED_VALUE"""),"LISTO")</f>
        <v>LISTO</v>
      </c>
      <c r="F2861" t="str">
        <f>IFERROR(__xludf.DUMMYFUNCTION("""COMPUTED_VALUE"""),"A")</f>
        <v>A</v>
      </c>
      <c r="G2861" t="str">
        <f>IFERROR(__xludf.DUMMYFUNCTION("""COMPUTED_VALUE"""),"AC")</f>
        <v>AC</v>
      </c>
      <c r="H2861">
        <f>IFERROR(__xludf.DUMMYFUNCTION("""COMPUTED_VALUE"""),12.99)</f>
        <v>12.99</v>
      </c>
      <c r="I2861">
        <f>IFERROR(__xludf.DUMMYFUNCTION("""COMPUTED_VALUE"""),12.99)</f>
        <v>12.99</v>
      </c>
      <c r="BD2861" s="2006"/>
      <c r="LL2861" s="2008"/>
      <c r="LM2861" s="2007"/>
      <c r="MX2861" s="2007"/>
      <c r="ND2861" s="2007"/>
    </row>
    <row r="2862">
      <c r="A2862">
        <f>IFERROR(__xludf.DUMMYFUNCTION("""COMPUTED_VALUE"""),8005063.0)</f>
        <v>8005063</v>
      </c>
      <c r="B2862">
        <f>IFERROR(__xludf.DUMMYFUNCTION("""COMPUTED_VALUE"""),2403005.0)</f>
        <v>2403005</v>
      </c>
      <c r="C2862" t="str">
        <f>IFERROR(__xludf.DUMMYFUNCTION("""COMPUTED_VALUE"""),"Pack")</f>
        <v>Pack</v>
      </c>
      <c r="D2862" t="str">
        <f>IFERROR(__xludf.DUMMYFUNCTION("""COMPUTED_VALUE"""),"E29XL Noir + couleurs Série Chou Rouge")</f>
        <v>E29XL Noir + couleurs Série Chou Rouge</v>
      </c>
      <c r="E2862" t="str">
        <f>IFERROR(__xludf.DUMMYFUNCTION("""COMPUTED_VALUE"""),"ESSENTIELB")</f>
        <v>ESSENTIELB</v>
      </c>
      <c r="F2862" t="str">
        <f>IFERROR(__xludf.DUMMYFUNCTION("""COMPUTED_VALUE"""),"A")</f>
        <v>A</v>
      </c>
      <c r="G2862" t="str">
        <f>IFERROR(__xludf.DUMMYFUNCTION("""COMPUTED_VALUE"""),"NN")</f>
        <v>NN</v>
      </c>
      <c r="H2862">
        <f>IFERROR(__xludf.DUMMYFUNCTION("""COMPUTED_VALUE"""),37.99)</f>
        <v>37.99</v>
      </c>
      <c r="I2862">
        <f>IFERROR(__xludf.DUMMYFUNCTION("""COMPUTED_VALUE"""),37.99)</f>
        <v>37.99</v>
      </c>
      <c r="BD2862" s="2006"/>
      <c r="LL2862" s="2007"/>
      <c r="LM2862" s="2007"/>
      <c r="MX2862" s="2007"/>
      <c r="ND2862" s="2007"/>
    </row>
    <row r="2863">
      <c r="A2863">
        <f>IFERROR(__xludf.DUMMYFUNCTION("""COMPUTED_VALUE"""),8005418.0)</f>
        <v>8005418</v>
      </c>
      <c r="B2863">
        <f>IFERROR(__xludf.DUMMYFUNCTION("""COMPUTED_VALUE"""),2502010.0)</f>
        <v>2502010</v>
      </c>
      <c r="C2863" t="str">
        <f>IFERROR(__xludf.DUMMYFUNCTION("""COMPUTED_VALUE"""),"Souris")</f>
        <v>Souris</v>
      </c>
      <c r="D2863" t="str">
        <f>IFERROR(__xludf.DUMMYFUNCTION("""COMPUTED_VALUE"""),"Nonoiz SF Greige")</f>
        <v>Nonoiz SF Greige</v>
      </c>
      <c r="E2863" t="str">
        <f>IFERROR(__xludf.DUMMYFUNCTION("""COMPUTED_VALUE"""),"ESSENTIELB")</f>
        <v>ESSENTIELB</v>
      </c>
      <c r="F2863" t="str">
        <f>IFERROR(__xludf.DUMMYFUNCTION("""COMPUTED_VALUE"""),"B")</f>
        <v>B</v>
      </c>
      <c r="G2863" t="str">
        <f>IFERROR(__xludf.DUMMYFUNCTION("""COMPUTED_VALUE"""),"NN")</f>
        <v>NN</v>
      </c>
      <c r="H2863">
        <f>IFERROR(__xludf.DUMMYFUNCTION("""COMPUTED_VALUE"""),14.99)</f>
        <v>14.99</v>
      </c>
      <c r="I2863">
        <f>IFERROR(__xludf.DUMMYFUNCTION("""COMPUTED_VALUE"""),14.99)</f>
        <v>14.99</v>
      </c>
      <c r="BD2863" s="2006"/>
      <c r="LL2863" s="2007"/>
      <c r="LM2863" s="2007"/>
      <c r="MX2863" s="2007"/>
      <c r="ND2863" s="2007"/>
    </row>
    <row r="2864">
      <c r="A2864">
        <f>IFERROR(__xludf.DUMMYFUNCTION("""COMPUTED_VALUE"""),8005419.0)</f>
        <v>8005419</v>
      </c>
      <c r="B2864">
        <f>IFERROR(__xludf.DUMMYFUNCTION("""COMPUTED_VALUE"""),2502010.0)</f>
        <v>2502010</v>
      </c>
      <c r="C2864" t="str">
        <f>IFERROR(__xludf.DUMMYFUNCTION("""COMPUTED_VALUE"""),"Souris")</f>
        <v>Souris</v>
      </c>
      <c r="D2864" t="str">
        <f>IFERROR(__xludf.DUMMYFUNCTION("""COMPUTED_VALUE"""),"Nonoiz SF Noire")</f>
        <v>Nonoiz SF Noire</v>
      </c>
      <c r="E2864" t="str">
        <f>IFERROR(__xludf.DUMMYFUNCTION("""COMPUTED_VALUE"""),"ESSENTIELB")</f>
        <v>ESSENTIELB</v>
      </c>
      <c r="F2864" t="str">
        <f>IFERROR(__xludf.DUMMYFUNCTION("""COMPUTED_VALUE"""),"B")</f>
        <v>B</v>
      </c>
      <c r="G2864" t="str">
        <f>IFERROR(__xludf.DUMMYFUNCTION("""COMPUTED_VALUE"""),"NN")</f>
        <v>NN</v>
      </c>
      <c r="H2864">
        <f>IFERROR(__xludf.DUMMYFUNCTION("""COMPUTED_VALUE"""),14.99)</f>
        <v>14.99</v>
      </c>
      <c r="I2864">
        <f>IFERROR(__xludf.DUMMYFUNCTION("""COMPUTED_VALUE"""),14.99)</f>
        <v>14.99</v>
      </c>
      <c r="BD2864" s="2006"/>
      <c r="LL2864" s="2007"/>
      <c r="LM2864" s="2007"/>
      <c r="MX2864" s="2007"/>
      <c r="ND2864" s="2007"/>
    </row>
    <row r="2865">
      <c r="A2865">
        <f>IFERROR(__xludf.DUMMYFUNCTION("""COMPUTED_VALUE"""),8005558.0)</f>
        <v>8005558</v>
      </c>
      <c r="B2865">
        <f>IFERROR(__xludf.DUMMYFUNCTION("""COMPUTED_VALUE"""),2502010.0)</f>
        <v>2502010</v>
      </c>
      <c r="C2865" t="str">
        <f>IFERROR(__xludf.DUMMYFUNCTION("""COMPUTED_VALUE"""),"Souris")</f>
        <v>Souris</v>
      </c>
      <c r="D2865" t="str">
        <f>IFERROR(__xludf.DUMMYFUNCTION("""COMPUTED_VALUE"""),"Multy Carbone Silencieuse")</f>
        <v>Multy Carbone Silencieuse</v>
      </c>
      <c r="E2865" t="str">
        <f>IFERROR(__xludf.DUMMYFUNCTION("""COMPUTED_VALUE"""),"ESSENTIELB")</f>
        <v>ESSENTIELB</v>
      </c>
      <c r="F2865" t="str">
        <f>IFERROR(__xludf.DUMMYFUNCTION("""COMPUTED_VALUE"""),"A")</f>
        <v>A</v>
      </c>
      <c r="G2865" t="str">
        <f>IFERROR(__xludf.DUMMYFUNCTION("""COMPUTED_VALUE"""),"NN")</f>
        <v>NN</v>
      </c>
      <c r="H2865">
        <f>IFERROR(__xludf.DUMMYFUNCTION("""COMPUTED_VALUE"""),14.99)</f>
        <v>14.99</v>
      </c>
      <c r="I2865">
        <f>IFERROR(__xludf.DUMMYFUNCTION("""COMPUTED_VALUE"""),14.99)</f>
        <v>14.99</v>
      </c>
      <c r="BD2865" s="2006"/>
      <c r="LL2865" s="2007"/>
      <c r="LM2865" s="2007"/>
      <c r="MX2865" s="2007"/>
      <c r="ND2865" s="2007"/>
    </row>
    <row r="2866">
      <c r="A2866">
        <f>IFERROR(__xludf.DUMMYFUNCTION("""COMPUTED_VALUE"""),8005561.0)</f>
        <v>8005561</v>
      </c>
      <c r="B2866">
        <f>IFERROR(__xludf.DUMMYFUNCTION("""COMPUTED_VALUE"""),2502010.0)</f>
        <v>2502010</v>
      </c>
      <c r="C2866" t="str">
        <f>IFERROR(__xludf.DUMMYFUNCTION("""COMPUTED_VALUE"""),"Souris")</f>
        <v>Souris</v>
      </c>
      <c r="D2866" t="str">
        <f>IFERROR(__xludf.DUMMYFUNCTION("""COMPUTED_VALUE"""),"Multy Marine Silencieuse")</f>
        <v>Multy Marine Silencieuse</v>
      </c>
      <c r="E2866" t="str">
        <f>IFERROR(__xludf.DUMMYFUNCTION("""COMPUTED_VALUE"""),"ESSENTIELB")</f>
        <v>ESSENTIELB</v>
      </c>
      <c r="F2866" t="str">
        <f>IFERROR(__xludf.DUMMYFUNCTION("""COMPUTED_VALUE"""),"A")</f>
        <v>A</v>
      </c>
      <c r="G2866" t="str">
        <f>IFERROR(__xludf.DUMMYFUNCTION("""COMPUTED_VALUE"""),"NN")</f>
        <v>NN</v>
      </c>
      <c r="H2866">
        <f>IFERROR(__xludf.DUMMYFUNCTION("""COMPUTED_VALUE"""),9.99)</f>
        <v>9.99</v>
      </c>
      <c r="I2866">
        <f>IFERROR(__xludf.DUMMYFUNCTION("""COMPUTED_VALUE"""),9.99)</f>
        <v>9.99</v>
      </c>
      <c r="BD2866" s="2006"/>
      <c r="LL2866" s="2007"/>
      <c r="LM2866" s="2007"/>
      <c r="MX2866" s="2008"/>
      <c r="ND2866" s="2007"/>
    </row>
    <row r="2867">
      <c r="A2867">
        <f>IFERROR(__xludf.DUMMYFUNCTION("""COMPUTED_VALUE"""),8006029.0)</f>
        <v>8006029</v>
      </c>
      <c r="B2867">
        <f>IFERROR(__xludf.DUMMYFUNCTION("""COMPUTED_VALUE"""),2502015.0)</f>
        <v>2502015</v>
      </c>
      <c r="C2867" t="str">
        <f>IFERROR(__xludf.DUMMYFUNCTION("""COMPUTED_VALUE"""),"Clavier+Souris")</f>
        <v>Clavier+Souris</v>
      </c>
      <c r="D2867" t="str">
        <f>IFERROR(__xludf.DUMMYFUNCTION("""COMPUTED_VALUE"""),"Tandem 3")</f>
        <v>Tandem 3</v>
      </c>
      <c r="E2867" t="str">
        <f>IFERROR(__xludf.DUMMYFUNCTION("""COMPUTED_VALUE"""),"ESSENTIELB")</f>
        <v>ESSENTIELB</v>
      </c>
      <c r="F2867" t="str">
        <f>IFERROR(__xludf.DUMMYFUNCTION("""COMPUTED_VALUE"""),"A")</f>
        <v>A</v>
      </c>
      <c r="G2867" t="str">
        <f>IFERROR(__xludf.DUMMYFUNCTION("""COMPUTED_VALUE"""),"NN")</f>
        <v>NN</v>
      </c>
      <c r="H2867">
        <f>IFERROR(__xludf.DUMMYFUNCTION("""COMPUTED_VALUE"""),15.09)</f>
        <v>15.09</v>
      </c>
      <c r="I2867">
        <f>IFERROR(__xludf.DUMMYFUNCTION("""COMPUTED_VALUE"""),15.09)</f>
        <v>15.09</v>
      </c>
      <c r="BD2867" s="2006"/>
      <c r="LL2867" s="2007"/>
      <c r="LM2867" s="2007"/>
      <c r="MX2867" s="2007"/>
      <c r="ND2867" s="2007"/>
    </row>
    <row r="2868">
      <c r="A2868">
        <f>IFERROR(__xludf.DUMMYFUNCTION("""COMPUTED_VALUE"""),8006538.0)</f>
        <v>8006538</v>
      </c>
      <c r="B2868">
        <f>IFERROR(__xludf.DUMMYFUNCTION("""COMPUTED_VALUE"""),2503005.0)</f>
        <v>2503005</v>
      </c>
      <c r="C2868" t="str">
        <f>IFERROR(__xludf.DUMMYFUNCTION("""COMPUTED_VALUE"""),"Enceinte")</f>
        <v>Enceinte</v>
      </c>
      <c r="D2868" t="str">
        <f>IFERROR(__xludf.DUMMYFUNCTION("""COMPUTED_VALUE"""),"2.0 - 538")</f>
        <v>2.0 - 538</v>
      </c>
      <c r="E2868" t="str">
        <f>IFERROR(__xludf.DUMMYFUNCTION("""COMPUTED_VALUE"""),"LISTO")</f>
        <v>LISTO</v>
      </c>
      <c r="F2868" t="str">
        <f>IFERROR(__xludf.DUMMYFUNCTION("""COMPUTED_VALUE"""),"A")</f>
        <v>A</v>
      </c>
      <c r="G2868" t="str">
        <f>IFERROR(__xludf.DUMMYFUNCTION("""COMPUTED_VALUE"""),"NN")</f>
        <v>NN</v>
      </c>
      <c r="H2868">
        <f>IFERROR(__xludf.DUMMYFUNCTION("""COMPUTED_VALUE"""),9.99)</f>
        <v>9.99</v>
      </c>
      <c r="I2868">
        <f>IFERROR(__xludf.DUMMYFUNCTION("""COMPUTED_VALUE"""),9.99)</f>
        <v>9.99</v>
      </c>
      <c r="BD2868" s="2006"/>
      <c r="LL2868" s="2007"/>
      <c r="LM2868" s="2007"/>
      <c r="MX2868" s="2007"/>
      <c r="ND2868" s="2007"/>
    </row>
    <row r="2869">
      <c r="A2869">
        <f>IFERROR(__xludf.DUMMYFUNCTION("""COMPUTED_VALUE"""),8006630.0)</f>
        <v>8006630</v>
      </c>
      <c r="B2869">
        <f>IFERROR(__xludf.DUMMYFUNCTION("""COMPUTED_VALUE"""),2703025.0)</f>
        <v>2703025</v>
      </c>
      <c r="C2869" t="str">
        <f>IFERROR(__xludf.DUMMYFUNCTION("""COMPUTED_VALUE"""),"DESTRUCTEUR")</f>
        <v>DESTRUCTEUR</v>
      </c>
      <c r="D2869" t="str">
        <f>IFERROR(__xludf.DUMMYFUNCTION("""COMPUTED_VALUE"""),"DEST-342")</f>
        <v>DEST-342</v>
      </c>
      <c r="E2869" t="str">
        <f>IFERROR(__xludf.DUMMYFUNCTION("""COMPUTED_VALUE"""),"LISTO")</f>
        <v>LISTO</v>
      </c>
      <c r="F2869" t="str">
        <f>IFERROR(__xludf.DUMMYFUNCTION("""COMPUTED_VALUE"""),"A")</f>
        <v>A</v>
      </c>
      <c r="G2869" t="str">
        <f>IFERROR(__xludf.DUMMYFUNCTION("""COMPUTED_VALUE"""),"NN")</f>
        <v>NN</v>
      </c>
      <c r="H2869">
        <f>IFERROR(__xludf.DUMMYFUNCTION("""COMPUTED_VALUE"""),29.99)</f>
        <v>29.99</v>
      </c>
      <c r="I2869">
        <f>IFERROR(__xludf.DUMMYFUNCTION("""COMPUTED_VALUE"""),29.99)</f>
        <v>29.99</v>
      </c>
      <c r="BD2869" s="2006"/>
      <c r="LL2869" s="2007"/>
      <c r="LM2869" s="2007"/>
      <c r="MX2869" s="2007"/>
      <c r="ND2869" s="2007"/>
    </row>
    <row r="2870">
      <c r="A2870">
        <f>IFERROR(__xludf.DUMMYFUNCTION("""COMPUTED_VALUE"""),8006636.0)</f>
        <v>8006636</v>
      </c>
      <c r="B2870">
        <f>IFERROR(__xludf.DUMMYFUNCTION("""COMPUTED_VALUE"""),2703025.0)</f>
        <v>2703025</v>
      </c>
      <c r="C2870" t="str">
        <f>IFERROR(__xludf.DUMMYFUNCTION("""COMPUTED_VALUE"""),"DESTRUCTEUR")</f>
        <v>DESTRUCTEUR</v>
      </c>
      <c r="D2870" t="str">
        <f>IFERROR(__xludf.DUMMYFUNCTION("""COMPUTED_VALUE"""),"C602")</f>
        <v>C602</v>
      </c>
      <c r="E2870" t="str">
        <f>IFERROR(__xludf.DUMMYFUNCTION("""COMPUTED_VALUE"""),"ESSENTIELB")</f>
        <v>ESSENTIELB</v>
      </c>
      <c r="F2870" t="str">
        <f>IFERROR(__xludf.DUMMYFUNCTION("""COMPUTED_VALUE"""),"A")</f>
        <v>A</v>
      </c>
      <c r="G2870" t="str">
        <f>IFERROR(__xludf.DUMMYFUNCTION("""COMPUTED_VALUE"""),"NN")</f>
        <v>NN</v>
      </c>
      <c r="H2870">
        <f>IFERROR(__xludf.DUMMYFUNCTION("""COMPUTED_VALUE"""),61.99)</f>
        <v>61.99</v>
      </c>
      <c r="I2870">
        <f>IFERROR(__xludf.DUMMYFUNCTION("""COMPUTED_VALUE"""),61.99)</f>
        <v>61.99</v>
      </c>
      <c r="BD2870" s="2006"/>
      <c r="LL2870" s="2007"/>
      <c r="LM2870" s="2007"/>
      <c r="MX2870" s="2007"/>
      <c r="ND2870" s="2007"/>
    </row>
    <row r="2871">
      <c r="A2871">
        <f>IFERROR(__xludf.DUMMYFUNCTION("""COMPUTED_VALUE"""),8006637.0)</f>
        <v>8006637</v>
      </c>
      <c r="B2871">
        <f>IFERROR(__xludf.DUMMYFUNCTION("""COMPUTED_VALUE"""),2703025.0)</f>
        <v>2703025</v>
      </c>
      <c r="C2871" t="str">
        <f>IFERROR(__xludf.DUMMYFUNCTION("""COMPUTED_VALUE"""),"DESTRUCTEUR")</f>
        <v>DESTRUCTEUR</v>
      </c>
      <c r="D2871" t="str">
        <f>IFERROR(__xludf.DUMMYFUNCTION("""COMPUTED_VALUE"""),"C502")</f>
        <v>C502</v>
      </c>
      <c r="E2871" t="str">
        <f>IFERROR(__xludf.DUMMYFUNCTION("""COMPUTED_VALUE"""),"ESSENTIELB")</f>
        <v>ESSENTIELB</v>
      </c>
      <c r="F2871" t="str">
        <f>IFERROR(__xludf.DUMMYFUNCTION("""COMPUTED_VALUE"""),"A")</f>
        <v>A</v>
      </c>
      <c r="G2871" t="str">
        <f>IFERROR(__xludf.DUMMYFUNCTION("""COMPUTED_VALUE"""),"AC")</f>
        <v>AC</v>
      </c>
      <c r="H2871">
        <f>IFERROR(__xludf.DUMMYFUNCTION("""COMPUTED_VALUE"""),61.99)</f>
        <v>61.99</v>
      </c>
      <c r="I2871">
        <f>IFERROR(__xludf.DUMMYFUNCTION("""COMPUTED_VALUE"""),61.99)</f>
        <v>61.99</v>
      </c>
      <c r="BD2871" s="2006"/>
      <c r="LL2871" s="2007"/>
      <c r="LM2871" s="2007"/>
      <c r="MX2871" s="2007"/>
      <c r="ND2871" s="2007"/>
    </row>
    <row r="2872">
      <c r="A2872">
        <f>IFERROR(__xludf.DUMMYFUNCTION("""COMPUTED_VALUE"""),8006659.0)</f>
        <v>8006659</v>
      </c>
      <c r="B2872">
        <f>IFERROR(__xludf.DUMMYFUNCTION("""COMPUTED_VALUE"""),2502510.0)</f>
        <v>2502510</v>
      </c>
      <c r="C2872" t="str">
        <f>IFERROR(__xludf.DUMMYFUNCTION("""COMPUTED_VALUE"""),"Support")</f>
        <v>Support</v>
      </c>
      <c r="D2872" t="str">
        <f>IFERROR(__xludf.DUMMYFUNCTION("""COMPUTED_VALUE"""),"SKP V20")</f>
        <v>SKP V20</v>
      </c>
      <c r="E2872" t="str">
        <f>IFERROR(__xludf.DUMMYFUNCTION("""COMPUTED_VALUE"""),"SKILLKORP")</f>
        <v>SKILLKORP</v>
      </c>
      <c r="F2872" t="str">
        <f>IFERROR(__xludf.DUMMYFUNCTION("""COMPUTED_VALUE"""),"B")</f>
        <v>B</v>
      </c>
      <c r="G2872" t="str">
        <f>IFERROR(__xludf.DUMMYFUNCTION("""COMPUTED_VALUE"""),"AC")</f>
        <v>AC</v>
      </c>
      <c r="H2872">
        <f>IFERROR(__xludf.DUMMYFUNCTION("""COMPUTED_VALUE"""),31.99)</f>
        <v>31.99</v>
      </c>
      <c r="I2872">
        <f>IFERROR(__xludf.DUMMYFUNCTION("""COMPUTED_VALUE"""),31.99)</f>
        <v>31.99</v>
      </c>
      <c r="BD2872" s="2006"/>
      <c r="LL2872" s="2007"/>
      <c r="LM2872" s="2007"/>
      <c r="MX2872" s="2007"/>
      <c r="ND2872" s="2007"/>
    </row>
    <row r="2873">
      <c r="A2873">
        <f>IFERROR(__xludf.DUMMYFUNCTION("""COMPUTED_VALUE"""),8006660.0)</f>
        <v>8006660</v>
      </c>
      <c r="B2873">
        <f>IFERROR(__xludf.DUMMYFUNCTION("""COMPUTED_VALUE"""),2502510.0)</f>
        <v>2502510</v>
      </c>
      <c r="C2873" t="str">
        <f>IFERROR(__xludf.DUMMYFUNCTION("""COMPUTED_VALUE"""),"Support")</f>
        <v>Support</v>
      </c>
      <c r="D2873" t="str">
        <f>IFERROR(__xludf.DUMMYFUNCTION("""COMPUTED_VALUE"""),"SKP_S20")</f>
        <v>SKP_S20</v>
      </c>
      <c r="E2873" t="str">
        <f>IFERROR(__xludf.DUMMYFUNCTION("""COMPUTED_VALUE"""),"SKILLKORP")</f>
        <v>SKILLKORP</v>
      </c>
      <c r="F2873" t="str">
        <f>IFERROR(__xludf.DUMMYFUNCTION("""COMPUTED_VALUE"""),"A")</f>
        <v>A</v>
      </c>
      <c r="G2873" t="str">
        <f>IFERROR(__xludf.DUMMYFUNCTION("""COMPUTED_VALUE"""),"AC")</f>
        <v>AC</v>
      </c>
      <c r="H2873">
        <f>IFERROR(__xludf.DUMMYFUNCTION("""COMPUTED_VALUE"""),31.99)</f>
        <v>31.99</v>
      </c>
      <c r="I2873">
        <f>IFERROR(__xludf.DUMMYFUNCTION("""COMPUTED_VALUE"""),31.99)</f>
        <v>31.99</v>
      </c>
      <c r="BD2873" s="2006"/>
      <c r="LL2873" s="2007"/>
      <c r="LM2873" s="2007"/>
      <c r="MX2873" s="2007"/>
      <c r="ND2873" s="2007"/>
    </row>
    <row r="2874">
      <c r="A2874">
        <f>IFERROR(__xludf.DUMMYFUNCTION("""COMPUTED_VALUE"""),8006673.0)</f>
        <v>8006673</v>
      </c>
      <c r="B2874">
        <f>IFERROR(__xludf.DUMMYFUNCTION("""COMPUTED_VALUE"""),2703015.0)</f>
        <v>2703015</v>
      </c>
      <c r="C2874" t="str">
        <f>IFERROR(__xludf.DUMMYFUNCTION("""COMPUTED_VALUE"""),"Plastifieuse")</f>
        <v>Plastifieuse</v>
      </c>
      <c r="D2874" t="str">
        <f>IFERROR(__xludf.DUMMYFUNCTION("""COMPUTED_VALUE"""),"EP FA4")</f>
        <v>EP FA4</v>
      </c>
      <c r="E2874" t="str">
        <f>IFERROR(__xludf.DUMMYFUNCTION("""COMPUTED_VALUE"""),"ESSENTIELB")</f>
        <v>ESSENTIELB</v>
      </c>
      <c r="F2874" t="str">
        <f>IFERROR(__xludf.DUMMYFUNCTION("""COMPUTED_VALUE"""),"B")</f>
        <v>B</v>
      </c>
      <c r="G2874" t="str">
        <f>IFERROR(__xludf.DUMMYFUNCTION("""COMPUTED_VALUE"""),"AC")</f>
        <v>AC</v>
      </c>
      <c r="H2874">
        <f>IFERROR(__xludf.DUMMYFUNCTION("""COMPUTED_VALUE"""),24.99)</f>
        <v>24.99</v>
      </c>
      <c r="I2874">
        <f>IFERROR(__xludf.DUMMYFUNCTION("""COMPUTED_VALUE"""),24.99)</f>
        <v>24.99</v>
      </c>
      <c r="BD2874" s="2006"/>
      <c r="LL2874" s="2007"/>
      <c r="LM2874" s="2007"/>
      <c r="MX2874" s="2007"/>
      <c r="ND2874" s="2007"/>
    </row>
    <row r="2875">
      <c r="A2875">
        <f>IFERROR(__xludf.DUMMYFUNCTION("""COMPUTED_VALUE"""),8006674.0)</f>
        <v>8006674</v>
      </c>
      <c r="B2875">
        <f>IFERROR(__xludf.DUMMYFUNCTION("""COMPUTED_VALUE"""),2703015.0)</f>
        <v>2703015</v>
      </c>
      <c r="C2875" t="str">
        <f>IFERROR(__xludf.DUMMYFUNCTION("""COMPUTED_VALUE"""),"Plastifieuse")</f>
        <v>Plastifieuse</v>
      </c>
      <c r="D2875" t="str">
        <f>IFERROR(__xludf.DUMMYFUNCTION("""COMPUTED_VALUE"""),"EP FA3")</f>
        <v>EP FA3</v>
      </c>
      <c r="E2875" t="str">
        <f>IFERROR(__xludf.DUMMYFUNCTION("""COMPUTED_VALUE"""),"ESSENTIELB")</f>
        <v>ESSENTIELB</v>
      </c>
      <c r="F2875" t="str">
        <f>IFERROR(__xludf.DUMMYFUNCTION("""COMPUTED_VALUE"""),"B")</f>
        <v>B</v>
      </c>
      <c r="G2875" t="str">
        <f>IFERROR(__xludf.DUMMYFUNCTION("""COMPUTED_VALUE"""),"AC")</f>
        <v>AC</v>
      </c>
      <c r="H2875">
        <f>IFERROR(__xludf.DUMMYFUNCTION("""COMPUTED_VALUE"""),41.99)</f>
        <v>41.99</v>
      </c>
      <c r="I2875">
        <f>IFERROR(__xludf.DUMMYFUNCTION("""COMPUTED_VALUE"""),41.99)</f>
        <v>41.99</v>
      </c>
      <c r="BD2875" s="2006"/>
      <c r="LL2875" s="2007"/>
      <c r="LM2875" s="2007"/>
      <c r="MX2875" s="2007"/>
      <c r="ND2875" s="2007"/>
    </row>
    <row r="2876">
      <c r="A2876">
        <f>IFERROR(__xludf.DUMMYFUNCTION("""COMPUTED_VALUE"""),8006675.0)</f>
        <v>8006675</v>
      </c>
      <c r="B2876">
        <f>IFERROR(__xludf.DUMMYFUNCTION("""COMPUTED_VALUE"""),2403515.0)</f>
        <v>2403515</v>
      </c>
      <c r="C2876" t="str">
        <f>IFERROR(__xludf.DUMMYFUNCTION("""COMPUTED_VALUE"""),"Pack")</f>
        <v>Pack</v>
      </c>
      <c r="D2876" t="str">
        <f>IFERROR(__xludf.DUMMYFUNCTION("""COMPUTED_VALUE"""),"20 feuilles A4 pour plastifieuse 80mic")</f>
        <v>20 feuilles A4 pour plastifieuse 80mic</v>
      </c>
      <c r="E2876" t="str">
        <f>IFERROR(__xludf.DUMMYFUNCTION("""COMPUTED_VALUE"""),"ESSENTIELB")</f>
        <v>ESSENTIELB</v>
      </c>
      <c r="F2876" t="str">
        <f>IFERROR(__xludf.DUMMYFUNCTION("""COMPUTED_VALUE"""),"A")</f>
        <v>A</v>
      </c>
      <c r="G2876" t="str">
        <f>IFERROR(__xludf.DUMMYFUNCTION("""COMPUTED_VALUE"""),"AC")</f>
        <v>AC</v>
      </c>
      <c r="H2876">
        <f>IFERROR(__xludf.DUMMYFUNCTION("""COMPUTED_VALUE"""),4.99)</f>
        <v>4.99</v>
      </c>
      <c r="I2876">
        <f>IFERROR(__xludf.DUMMYFUNCTION("""COMPUTED_VALUE"""),4.99)</f>
        <v>4.99</v>
      </c>
      <c r="BD2876" s="2006"/>
      <c r="LL2876" s="2007"/>
      <c r="LM2876" s="2007"/>
      <c r="MX2876" s="2007"/>
      <c r="ND2876" s="2007"/>
    </row>
    <row r="2877">
      <c r="A2877">
        <f>IFERROR(__xludf.DUMMYFUNCTION("""COMPUTED_VALUE"""),8006676.0)</f>
        <v>8006676</v>
      </c>
      <c r="B2877">
        <f>IFERROR(__xludf.DUMMYFUNCTION("""COMPUTED_VALUE"""),2403515.0)</f>
        <v>2403515</v>
      </c>
      <c r="C2877" t="str">
        <f>IFERROR(__xludf.DUMMYFUNCTION("""COMPUTED_VALUE"""),"Pack")</f>
        <v>Pack</v>
      </c>
      <c r="D2877" t="str">
        <f>IFERROR(__xludf.DUMMYFUNCTION("""COMPUTED_VALUE"""),"20 feuilles A3 pour plastifieuse 80mic")</f>
        <v>20 feuilles A3 pour plastifieuse 80mic</v>
      </c>
      <c r="E2877" t="str">
        <f>IFERROR(__xludf.DUMMYFUNCTION("""COMPUTED_VALUE"""),"ESSENTIELB")</f>
        <v>ESSENTIELB</v>
      </c>
      <c r="F2877" t="str">
        <f>IFERROR(__xludf.DUMMYFUNCTION("""COMPUTED_VALUE"""),"C")</f>
        <v>C</v>
      </c>
      <c r="G2877" t="str">
        <f>IFERROR(__xludf.DUMMYFUNCTION("""COMPUTED_VALUE"""),"AC")</f>
        <v>AC</v>
      </c>
      <c r="H2877">
        <f>IFERROR(__xludf.DUMMYFUNCTION("""COMPUTED_VALUE"""),6.99)</f>
        <v>6.99</v>
      </c>
      <c r="I2877">
        <f>IFERROR(__xludf.DUMMYFUNCTION("""COMPUTED_VALUE"""),6.99)</f>
        <v>6.99</v>
      </c>
      <c r="BD2877" s="2006"/>
      <c r="LL2877" s="2007"/>
      <c r="LM2877" s="2007"/>
      <c r="MX2877" s="2007"/>
      <c r="ND2877" s="2007"/>
    </row>
    <row r="2878">
      <c r="A2878">
        <f>IFERROR(__xludf.DUMMYFUNCTION("""COMPUTED_VALUE"""),8007272.0)</f>
        <v>8007272</v>
      </c>
      <c r="B2878">
        <f>IFERROR(__xludf.DUMMYFUNCTION("""COMPUTED_VALUE"""),1103006.0)</f>
        <v>1103006</v>
      </c>
      <c r="C2878" t="str">
        <f>IFERROR(__xludf.DUMMYFUNCTION("""COMPUTED_VALUE"""),"Tél.")</f>
        <v>Tél.</v>
      </c>
      <c r="D2878" t="str">
        <f>IFERROR(__xludf.DUMMYFUNCTION("""COMPUTED_VALUE"""),"TF-265")</f>
        <v>TF-265</v>
      </c>
      <c r="E2878" t="str">
        <f>IFERROR(__xludf.DUMMYFUNCTION("""COMPUTED_VALUE"""),"LISTO")</f>
        <v>LISTO</v>
      </c>
      <c r="F2878" t="str">
        <f>IFERROR(__xludf.DUMMYFUNCTION("""COMPUTED_VALUE"""),"A")</f>
        <v>A</v>
      </c>
      <c r="G2878" t="str">
        <f>IFERROR(__xludf.DUMMYFUNCTION("""COMPUTED_VALUE"""),"AC")</f>
        <v>AC</v>
      </c>
      <c r="H2878">
        <f>IFERROR(__xludf.DUMMYFUNCTION("""COMPUTED_VALUE"""),14.99)</f>
        <v>14.99</v>
      </c>
      <c r="I2878">
        <f>IFERROR(__xludf.DUMMYFUNCTION("""COMPUTED_VALUE"""),14.99)</f>
        <v>14.99</v>
      </c>
      <c r="BD2878" s="2006"/>
      <c r="LL2878" s="2007"/>
      <c r="LM2878" s="2007"/>
      <c r="MX2878" s="2007"/>
      <c r="ND2878" s="2007"/>
    </row>
    <row r="2879">
      <c r="A2879">
        <f>IFERROR(__xludf.DUMMYFUNCTION("""COMPUTED_VALUE"""),8007273.0)</f>
        <v>8007273</v>
      </c>
      <c r="B2879">
        <f>IFERROR(__xludf.DUMMYFUNCTION("""COMPUTED_VALUE"""),1103006.0)</f>
        <v>1103006</v>
      </c>
      <c r="C2879" t="str">
        <f>IFERROR(__xludf.DUMMYFUNCTION("""COMPUTED_VALUE"""),"Tél.")</f>
        <v>Tél.</v>
      </c>
      <c r="D2879" t="str">
        <f>IFERROR(__xludf.DUMMYFUNCTION("""COMPUTED_VALUE"""),"ELO")</f>
        <v>ELO</v>
      </c>
      <c r="E2879" t="str">
        <f>IFERROR(__xludf.DUMMYFUNCTION("""COMPUTED_VALUE"""),"ESSENTIELB")</f>
        <v>ESSENTIELB</v>
      </c>
      <c r="F2879" t="str">
        <f>IFERROR(__xludf.DUMMYFUNCTION("""COMPUTED_VALUE"""),"B")</f>
        <v>B</v>
      </c>
      <c r="G2879" t="str">
        <f>IFERROR(__xludf.DUMMYFUNCTION("""COMPUTED_VALUE"""),"AC")</f>
        <v>AC</v>
      </c>
      <c r="H2879">
        <f>IFERROR(__xludf.DUMMYFUNCTION("""COMPUTED_VALUE"""),24.99)</f>
        <v>24.99</v>
      </c>
      <c r="I2879">
        <f>IFERROR(__xludf.DUMMYFUNCTION("""COMPUTED_VALUE"""),24.99)</f>
        <v>24.99</v>
      </c>
      <c r="BD2879" s="2006"/>
      <c r="LL2879" s="2007"/>
      <c r="LM2879" s="2007"/>
      <c r="MX2879" s="2007"/>
      <c r="ND2879" s="2007"/>
    </row>
    <row r="2880">
      <c r="A2880">
        <f>IFERROR(__xludf.DUMMYFUNCTION("""COMPUTED_VALUE"""),8007274.0)</f>
        <v>8007274</v>
      </c>
      <c r="B2880">
        <f>IFERROR(__xludf.DUMMYFUNCTION("""COMPUTED_VALUE"""),1101005.0)</f>
        <v>1101005</v>
      </c>
      <c r="C2880" t="str">
        <f>IFERROR(__xludf.DUMMYFUNCTION("""COMPUTED_VALUE"""),"Tél.")</f>
        <v>Tél.</v>
      </c>
      <c r="D2880" t="str">
        <f>IFERROR(__xludf.DUMMYFUNCTION("""COMPUTED_VALUE"""),"IZY")</f>
        <v>IZY</v>
      </c>
      <c r="E2880" t="str">
        <f>IFERROR(__xludf.DUMMYFUNCTION("""COMPUTED_VALUE"""),"ESSENTIELB")</f>
        <v>ESSENTIELB</v>
      </c>
      <c r="F2880" t="str">
        <f>IFERROR(__xludf.DUMMYFUNCTION("""COMPUTED_VALUE"""),"A")</f>
        <v>A</v>
      </c>
      <c r="G2880" t="str">
        <f>IFERROR(__xludf.DUMMYFUNCTION("""COMPUTED_VALUE"""),"AC")</f>
        <v>AC</v>
      </c>
      <c r="H2880">
        <f>IFERROR(__xludf.DUMMYFUNCTION("""COMPUTED_VALUE"""),24.99)</f>
        <v>24.99</v>
      </c>
      <c r="I2880">
        <f>IFERROR(__xludf.DUMMYFUNCTION("""COMPUTED_VALUE"""),24.99)</f>
        <v>24.99</v>
      </c>
      <c r="BD2880" s="2006"/>
      <c r="LL2880" s="2007"/>
      <c r="LM2880" s="2007"/>
      <c r="MX2880" s="2007"/>
      <c r="ND2880" s="2007"/>
    </row>
    <row r="2881">
      <c r="A2881">
        <f>IFERROR(__xludf.DUMMYFUNCTION("""COMPUTED_VALUE"""),8007276.0)</f>
        <v>8007276</v>
      </c>
      <c r="B2881">
        <f>IFERROR(__xludf.DUMMYFUNCTION("""COMPUTED_VALUE"""),1101005.0)</f>
        <v>1101005</v>
      </c>
      <c r="C2881" t="str">
        <f>IFERROR(__xludf.DUMMYFUNCTION("""COMPUTED_VALUE"""),"Tél.")</f>
        <v>Tél.</v>
      </c>
      <c r="D2881" t="str">
        <f>IFERROR(__xludf.DUMMYFUNCTION("""COMPUTED_VALUE"""),"BRIO SOLO")</f>
        <v>BRIO SOLO</v>
      </c>
      <c r="E2881" t="str">
        <f>IFERROR(__xludf.DUMMYFUNCTION("""COMPUTED_VALUE"""),"ESSENTIELB")</f>
        <v>ESSENTIELB</v>
      </c>
      <c r="F2881" t="str">
        <f>IFERROR(__xludf.DUMMYFUNCTION("""COMPUTED_VALUE"""),"A")</f>
        <v>A</v>
      </c>
      <c r="G2881" t="str">
        <f>IFERROR(__xludf.DUMMYFUNCTION("""COMPUTED_VALUE"""),"NN")</f>
        <v>NN</v>
      </c>
      <c r="H2881">
        <f>IFERROR(__xludf.DUMMYFUNCTION("""COMPUTED_VALUE"""),20.99)</f>
        <v>20.99</v>
      </c>
      <c r="I2881">
        <f>IFERROR(__xludf.DUMMYFUNCTION("""COMPUTED_VALUE"""),20.99)</f>
        <v>20.99</v>
      </c>
      <c r="BD2881" s="2006"/>
      <c r="LL2881" s="2007"/>
      <c r="LM2881" s="2007"/>
      <c r="MX2881" s="2007"/>
      <c r="ND2881" s="2007"/>
    </row>
    <row r="2882">
      <c r="A2882">
        <f>IFERROR(__xludf.DUMMYFUNCTION("""COMPUTED_VALUE"""),8007277.0)</f>
        <v>8007277</v>
      </c>
      <c r="B2882">
        <f>IFERROR(__xludf.DUMMYFUNCTION("""COMPUTED_VALUE"""),1101005.0)</f>
        <v>1101005</v>
      </c>
      <c r="C2882" t="str">
        <f>IFERROR(__xludf.DUMMYFUNCTION("""COMPUTED_VALUE"""),"Tél.")</f>
        <v>Tél.</v>
      </c>
      <c r="D2882" t="str">
        <f>IFERROR(__xludf.DUMMYFUNCTION("""COMPUTED_VALUE"""),"BRIO DUO")</f>
        <v>BRIO DUO</v>
      </c>
      <c r="E2882" t="str">
        <f>IFERROR(__xludf.DUMMYFUNCTION("""COMPUTED_VALUE"""),"ESSENTIELB")</f>
        <v>ESSENTIELB</v>
      </c>
      <c r="F2882" t="str">
        <f>IFERROR(__xludf.DUMMYFUNCTION("""COMPUTED_VALUE"""),"H")</f>
        <v>H</v>
      </c>
      <c r="G2882" t="str">
        <f>IFERROR(__xludf.DUMMYFUNCTION("""COMPUTED_VALUE"""),"NN")</f>
        <v>NN</v>
      </c>
      <c r="H2882">
        <f>IFERROR(__xludf.DUMMYFUNCTION("""COMPUTED_VALUE"""),31.99)</f>
        <v>31.99</v>
      </c>
      <c r="I2882">
        <f>IFERROR(__xludf.DUMMYFUNCTION("""COMPUTED_VALUE"""),31.99)</f>
        <v>31.99</v>
      </c>
      <c r="BD2882" s="2006"/>
      <c r="LL2882" s="2007"/>
      <c r="LM2882" s="2007"/>
      <c r="MX2882" s="2007"/>
      <c r="ND2882" s="2007"/>
    </row>
    <row r="2883">
      <c r="A2883">
        <f>IFERROR(__xludf.DUMMYFUNCTION("""COMPUTED_VALUE"""),8007278.0)</f>
        <v>8007278</v>
      </c>
      <c r="B2883">
        <f>IFERROR(__xludf.DUMMYFUNCTION("""COMPUTED_VALUE"""),1101005.0)</f>
        <v>1101005</v>
      </c>
      <c r="C2883" t="str">
        <f>IFERROR(__xludf.DUMMYFUNCTION("""COMPUTED_VALUE"""),"Tél.")</f>
        <v>Tél.</v>
      </c>
      <c r="D2883" t="str">
        <f>IFERROR(__xludf.DUMMYFUNCTION("""COMPUTED_VALUE"""),"BRIO SOLO-Répondeur")</f>
        <v>BRIO SOLO-Répondeur</v>
      </c>
      <c r="E2883" t="str">
        <f>IFERROR(__xludf.DUMMYFUNCTION("""COMPUTED_VALUE"""),"ESSENTIELB")</f>
        <v>ESSENTIELB</v>
      </c>
      <c r="F2883" t="str">
        <f>IFERROR(__xludf.DUMMYFUNCTION("""COMPUTED_VALUE"""),"A")</f>
        <v>A</v>
      </c>
      <c r="G2883" t="str">
        <f>IFERROR(__xludf.DUMMYFUNCTION("""COMPUTED_VALUE"""),"NN")</f>
        <v>NN</v>
      </c>
      <c r="H2883">
        <f>IFERROR(__xludf.DUMMYFUNCTION("""COMPUTED_VALUE"""),25.99)</f>
        <v>25.99</v>
      </c>
      <c r="I2883">
        <f>IFERROR(__xludf.DUMMYFUNCTION("""COMPUTED_VALUE"""),25.99)</f>
        <v>25.99</v>
      </c>
      <c r="BD2883" s="2006"/>
      <c r="LL2883" s="2007"/>
      <c r="LM2883" s="2007"/>
      <c r="MX2883" s="2007"/>
      <c r="ND2883" s="2007"/>
    </row>
    <row r="2884">
      <c r="A2884">
        <f>IFERROR(__xludf.DUMMYFUNCTION("""COMPUTED_VALUE"""),8007279.0)</f>
        <v>8007279</v>
      </c>
      <c r="B2884">
        <f>IFERROR(__xludf.DUMMYFUNCTION("""COMPUTED_VALUE"""),1101005.0)</f>
        <v>1101005</v>
      </c>
      <c r="C2884" t="str">
        <f>IFERROR(__xludf.DUMMYFUNCTION("""COMPUTED_VALUE"""),"Tél.")</f>
        <v>Tél.</v>
      </c>
      <c r="D2884" t="str">
        <f>IFERROR(__xludf.DUMMYFUNCTION("""COMPUTED_VALUE"""),"BRIO DUO-Répondeur")</f>
        <v>BRIO DUO-Répondeur</v>
      </c>
      <c r="E2884" t="str">
        <f>IFERROR(__xludf.DUMMYFUNCTION("""COMPUTED_VALUE"""),"ESSENTIELB")</f>
        <v>ESSENTIELB</v>
      </c>
      <c r="F2884" t="str">
        <f>IFERROR(__xludf.DUMMYFUNCTION("""COMPUTED_VALUE"""),"A")</f>
        <v>A</v>
      </c>
      <c r="G2884" t="str">
        <f>IFERROR(__xludf.DUMMYFUNCTION("""COMPUTED_VALUE"""),"NN")</f>
        <v>NN</v>
      </c>
      <c r="H2884">
        <f>IFERROR(__xludf.DUMMYFUNCTION("""COMPUTED_VALUE"""),49.99)</f>
        <v>49.99</v>
      </c>
      <c r="I2884">
        <f>IFERROR(__xludf.DUMMYFUNCTION("""COMPUTED_VALUE"""),49.99)</f>
        <v>49.99</v>
      </c>
      <c r="BD2884" s="2006"/>
      <c r="LL2884" s="2007"/>
      <c r="LM2884" s="2007"/>
      <c r="MX2884" s="2007"/>
      <c r="ND2884" s="2007"/>
    </row>
    <row r="2885">
      <c r="A2885">
        <f>IFERROR(__xludf.DUMMYFUNCTION("""COMPUTED_VALUE"""),8007320.0)</f>
        <v>8007320</v>
      </c>
      <c r="B2885">
        <f>IFERROR(__xludf.DUMMYFUNCTION("""COMPUTED_VALUE"""),1103010.0)</f>
        <v>1103010</v>
      </c>
      <c r="C2885" t="str">
        <f>IFERROR(__xludf.DUMMYFUNCTION("""COMPUTED_VALUE"""),"Tél.")</f>
        <v>Tél.</v>
      </c>
      <c r="D2885" t="str">
        <f>IFERROR(__xludf.DUMMYFUNCTION("""COMPUTED_VALUE"""),"TRIBU SOLO")</f>
        <v>TRIBU SOLO</v>
      </c>
      <c r="E2885" t="str">
        <f>IFERROR(__xludf.DUMMYFUNCTION("""COMPUTED_VALUE"""),"ESSENTIELB")</f>
        <v>ESSENTIELB</v>
      </c>
      <c r="F2885" t="str">
        <f>IFERROR(__xludf.DUMMYFUNCTION("""COMPUTED_VALUE"""),"A")</f>
        <v>A</v>
      </c>
      <c r="G2885" t="str">
        <f>IFERROR(__xludf.DUMMYFUNCTION("""COMPUTED_VALUE"""),"NN")</f>
        <v>NN</v>
      </c>
      <c r="H2885">
        <f>IFERROR(__xludf.DUMMYFUNCTION("""COMPUTED_VALUE"""),13.99)</f>
        <v>13.99</v>
      </c>
      <c r="I2885">
        <f>IFERROR(__xludf.DUMMYFUNCTION("""COMPUTED_VALUE"""),13.99)</f>
        <v>13.99</v>
      </c>
      <c r="BD2885" s="2006"/>
      <c r="LL2885" s="2007"/>
      <c r="LM2885" s="2007"/>
      <c r="MX2885" s="2007"/>
      <c r="ND2885" s="2007"/>
    </row>
    <row r="2886">
      <c r="A2886">
        <f>IFERROR(__xludf.DUMMYFUNCTION("""COMPUTED_VALUE"""),8007321.0)</f>
        <v>8007321</v>
      </c>
      <c r="B2886">
        <f>IFERROR(__xludf.DUMMYFUNCTION("""COMPUTED_VALUE"""),1103010.0)</f>
        <v>1103010</v>
      </c>
      <c r="C2886" t="str">
        <f>IFERROR(__xludf.DUMMYFUNCTION("""COMPUTED_VALUE"""),"Tél.")</f>
        <v>Tél.</v>
      </c>
      <c r="D2886" t="str">
        <f>IFERROR(__xludf.DUMMYFUNCTION("""COMPUTED_VALUE"""),"TRIBU DUO")</f>
        <v>TRIBU DUO</v>
      </c>
      <c r="E2886" t="str">
        <f>IFERROR(__xludf.DUMMYFUNCTION("""COMPUTED_VALUE"""),"ESSENTIELB")</f>
        <v>ESSENTIELB</v>
      </c>
      <c r="F2886" t="str">
        <f>IFERROR(__xludf.DUMMYFUNCTION("""COMPUTED_VALUE"""),"A")</f>
        <v>A</v>
      </c>
      <c r="G2886" t="str">
        <f>IFERROR(__xludf.DUMMYFUNCTION("""COMPUTED_VALUE"""),"NN")</f>
        <v>NN</v>
      </c>
      <c r="H2886">
        <f>IFERROR(__xludf.DUMMYFUNCTION("""COMPUTED_VALUE"""),23.99)</f>
        <v>23.99</v>
      </c>
      <c r="I2886">
        <f>IFERROR(__xludf.DUMMYFUNCTION("""COMPUTED_VALUE"""),23.99)</f>
        <v>23.99</v>
      </c>
      <c r="BD2886" s="2006"/>
      <c r="LL2886" s="2007"/>
      <c r="LM2886" s="2007"/>
      <c r="MX2886" s="2007"/>
      <c r="ND2886" s="2007"/>
    </row>
    <row r="2887">
      <c r="A2887">
        <f>IFERROR(__xludf.DUMMYFUNCTION("""COMPUTED_VALUE"""),8007322.0)</f>
        <v>8007322</v>
      </c>
      <c r="B2887">
        <f>IFERROR(__xludf.DUMMYFUNCTION("""COMPUTED_VALUE"""),1103010.0)</f>
        <v>1103010</v>
      </c>
      <c r="C2887" t="str">
        <f>IFERROR(__xludf.DUMMYFUNCTION("""COMPUTED_VALUE"""),"Tél.")</f>
        <v>Tél.</v>
      </c>
      <c r="D2887" t="str">
        <f>IFERROR(__xludf.DUMMYFUNCTION("""COMPUTED_VALUE"""),"TRIBU TRIO")</f>
        <v>TRIBU TRIO</v>
      </c>
      <c r="E2887" t="str">
        <f>IFERROR(__xludf.DUMMYFUNCTION("""COMPUTED_VALUE"""),"ESSENTIELB")</f>
        <v>ESSENTIELB</v>
      </c>
      <c r="F2887" t="str">
        <f>IFERROR(__xludf.DUMMYFUNCTION("""COMPUTED_VALUE"""),"A")</f>
        <v>A</v>
      </c>
      <c r="G2887" t="str">
        <f>IFERROR(__xludf.DUMMYFUNCTION("""COMPUTED_VALUE"""),"NN")</f>
        <v>NN</v>
      </c>
      <c r="H2887">
        <f>IFERROR(__xludf.DUMMYFUNCTION("""COMPUTED_VALUE"""),33.99)</f>
        <v>33.99</v>
      </c>
      <c r="I2887">
        <f>IFERROR(__xludf.DUMMYFUNCTION("""COMPUTED_VALUE"""),33.99)</f>
        <v>33.99</v>
      </c>
      <c r="BD2887" s="2006"/>
      <c r="LL2887" s="2007"/>
      <c r="LM2887" s="2007"/>
      <c r="MX2887" s="2007"/>
      <c r="ND2887" s="2007"/>
    </row>
    <row r="2888">
      <c r="A2888">
        <f>IFERROR(__xludf.DUMMYFUNCTION("""COMPUTED_VALUE"""),8007360.0)</f>
        <v>8007360</v>
      </c>
      <c r="B2888">
        <f>IFERROR(__xludf.DUMMYFUNCTION("""COMPUTED_VALUE"""),2503005.0)</f>
        <v>2503005</v>
      </c>
      <c r="C2888" t="str">
        <f>IFERROR(__xludf.DUMMYFUNCTION("""COMPUTED_VALUE"""),"Enceinte")</f>
        <v>Enceinte</v>
      </c>
      <c r="D2888" t="str">
        <f>IFERROR(__xludf.DUMMYFUNCTION("""COMPUTED_VALUE"""),"EKO")</f>
        <v>EKO</v>
      </c>
      <c r="E2888" t="str">
        <f>IFERROR(__xludf.DUMMYFUNCTION("""COMPUTED_VALUE"""),"ESSENTIELB")</f>
        <v>ESSENTIELB</v>
      </c>
      <c r="F2888" t="str">
        <f>IFERROR(__xludf.DUMMYFUNCTION("""COMPUTED_VALUE"""),"A")</f>
        <v>A</v>
      </c>
      <c r="G2888" t="str">
        <f>IFERROR(__xludf.DUMMYFUNCTION("""COMPUTED_VALUE"""),"NN")</f>
        <v>NN</v>
      </c>
      <c r="H2888">
        <f>IFERROR(__xludf.DUMMYFUNCTION("""COMPUTED_VALUE"""),31.99)</f>
        <v>31.99</v>
      </c>
      <c r="I2888">
        <f>IFERROR(__xludf.DUMMYFUNCTION("""COMPUTED_VALUE"""),31.99)</f>
        <v>31.99</v>
      </c>
      <c r="BD2888" s="2006"/>
      <c r="LL2888" s="2007"/>
      <c r="LM2888" s="2007"/>
      <c r="MX2888" s="2007"/>
      <c r="ND2888" s="2007"/>
    </row>
    <row r="2889">
      <c r="A2889">
        <f>IFERROR(__xludf.DUMMYFUNCTION("""COMPUTED_VALUE"""),8007542.0)</f>
        <v>8007542</v>
      </c>
      <c r="B2889">
        <f>IFERROR(__xludf.DUMMYFUNCTION("""COMPUTED_VALUE"""),1103010.0)</f>
        <v>1103010</v>
      </c>
      <c r="C2889" t="str">
        <f>IFERROR(__xludf.DUMMYFUNCTION("""COMPUTED_VALUE"""),"Tél.")</f>
        <v>Tél.</v>
      </c>
      <c r="D2889" t="str">
        <f>IFERROR(__xludf.DUMMYFUNCTION("""COMPUTED_VALUE"""),"TRIBU SOLO-REPONDEUR")</f>
        <v>TRIBU SOLO-REPONDEUR</v>
      </c>
      <c r="E2889" t="str">
        <f>IFERROR(__xludf.DUMMYFUNCTION("""COMPUTED_VALUE"""),"ESSENTIELB")</f>
        <v>ESSENTIELB</v>
      </c>
      <c r="F2889" t="str">
        <f>IFERROR(__xludf.DUMMYFUNCTION("""COMPUTED_VALUE"""),"H")</f>
        <v>H</v>
      </c>
      <c r="G2889" t="str">
        <f>IFERROR(__xludf.DUMMYFUNCTION("""COMPUTED_VALUE"""),"NN")</f>
        <v>NN</v>
      </c>
      <c r="H2889">
        <f>IFERROR(__xludf.DUMMYFUNCTION("""COMPUTED_VALUE"""),18.99)</f>
        <v>18.99</v>
      </c>
      <c r="I2889">
        <f>IFERROR(__xludf.DUMMYFUNCTION("""COMPUTED_VALUE"""),18.99)</f>
        <v>18.99</v>
      </c>
      <c r="BD2889" s="2006"/>
      <c r="LL2889" s="2008"/>
      <c r="LM2889" s="2007"/>
      <c r="MX2889" s="2007"/>
      <c r="ND2889" s="2008"/>
    </row>
    <row r="2890">
      <c r="A2890">
        <f>IFERROR(__xludf.DUMMYFUNCTION("""COMPUTED_VALUE"""),8007543.0)</f>
        <v>8007543</v>
      </c>
      <c r="B2890">
        <f>IFERROR(__xludf.DUMMYFUNCTION("""COMPUTED_VALUE"""),1103010.0)</f>
        <v>1103010</v>
      </c>
      <c r="C2890" t="str">
        <f>IFERROR(__xludf.DUMMYFUNCTION("""COMPUTED_VALUE"""),"Tél.")</f>
        <v>Tél.</v>
      </c>
      <c r="D2890" t="str">
        <f>IFERROR(__xludf.DUMMYFUNCTION("""COMPUTED_VALUE"""),"TRIBU DUO-REPONDEUR")</f>
        <v>TRIBU DUO-REPONDEUR</v>
      </c>
      <c r="E2890" t="str">
        <f>IFERROR(__xludf.DUMMYFUNCTION("""COMPUTED_VALUE"""),"ESSENTIELB")</f>
        <v>ESSENTIELB</v>
      </c>
      <c r="F2890" t="str">
        <f>IFERROR(__xludf.DUMMYFUNCTION("""COMPUTED_VALUE"""),"A")</f>
        <v>A</v>
      </c>
      <c r="G2890" t="str">
        <f>IFERROR(__xludf.DUMMYFUNCTION("""COMPUTED_VALUE"""),"NN")</f>
        <v>NN</v>
      </c>
      <c r="H2890">
        <f>IFERROR(__xludf.DUMMYFUNCTION("""COMPUTED_VALUE"""),54.99)</f>
        <v>54.99</v>
      </c>
      <c r="I2890">
        <f>IFERROR(__xludf.DUMMYFUNCTION("""COMPUTED_VALUE"""),54.99)</f>
        <v>54.99</v>
      </c>
      <c r="BD2890" s="2006"/>
      <c r="LL2890" s="2007"/>
      <c r="LM2890" s="2007"/>
      <c r="MX2890" s="2007"/>
      <c r="ND2890" s="2007"/>
    </row>
    <row r="2891">
      <c r="A2891">
        <f>IFERROR(__xludf.DUMMYFUNCTION("""COMPUTED_VALUE"""),8007544.0)</f>
        <v>8007544</v>
      </c>
      <c r="B2891">
        <f>IFERROR(__xludf.DUMMYFUNCTION("""COMPUTED_VALUE"""),1103010.0)</f>
        <v>1103010</v>
      </c>
      <c r="C2891" t="str">
        <f>IFERROR(__xludf.DUMMYFUNCTION("""COMPUTED_VALUE"""),"Tél.")</f>
        <v>Tél.</v>
      </c>
      <c r="D2891" t="str">
        <f>IFERROR(__xludf.DUMMYFUNCTION("""COMPUTED_VALUE"""),"TRIBU TRIO-REPONDEUR")</f>
        <v>TRIBU TRIO-REPONDEUR</v>
      </c>
      <c r="E2891" t="str">
        <f>IFERROR(__xludf.DUMMYFUNCTION("""COMPUTED_VALUE"""),"ESSENTIELB")</f>
        <v>ESSENTIELB</v>
      </c>
      <c r="F2891" t="str">
        <f>IFERROR(__xludf.DUMMYFUNCTION("""COMPUTED_VALUE"""),"A")</f>
        <v>A</v>
      </c>
      <c r="G2891" t="str">
        <f>IFERROR(__xludf.DUMMYFUNCTION("""COMPUTED_VALUE"""),"NN")</f>
        <v>NN</v>
      </c>
      <c r="H2891">
        <f>IFERROR(__xludf.DUMMYFUNCTION("""COMPUTED_VALUE"""),38.99)</f>
        <v>38.99</v>
      </c>
      <c r="I2891">
        <f>IFERROR(__xludf.DUMMYFUNCTION("""COMPUTED_VALUE"""),38.99)</f>
        <v>38.99</v>
      </c>
      <c r="BD2891" s="2006"/>
      <c r="LL2891" s="2007"/>
      <c r="LM2891" s="2007"/>
      <c r="MX2891" s="2007"/>
      <c r="ND2891" s="2008"/>
    </row>
    <row r="2892">
      <c r="A2892">
        <f>IFERROR(__xludf.DUMMYFUNCTION("""COMPUTED_VALUE"""),8007567.0)</f>
        <v>8007567</v>
      </c>
      <c r="B2892">
        <f>IFERROR(__xludf.DUMMYFUNCTION("""COMPUTED_VALUE"""),1101005.0)</f>
        <v>1101005</v>
      </c>
      <c r="C2892" t="str">
        <f>IFERROR(__xludf.DUMMYFUNCTION("""COMPUTED_VALUE"""),"Tél.")</f>
        <v>Tél.</v>
      </c>
      <c r="D2892" t="str">
        <f>IFERROR(__xludf.DUMMYFUNCTION("""COMPUTED_VALUE"""),"BRIO TRIO-REPONDEUR")</f>
        <v>BRIO TRIO-REPONDEUR</v>
      </c>
      <c r="E2892" t="str">
        <f>IFERROR(__xludf.DUMMYFUNCTION("""COMPUTED_VALUE"""),"ESSENTIELB")</f>
        <v>ESSENTIELB</v>
      </c>
      <c r="F2892" t="str">
        <f>IFERROR(__xludf.DUMMYFUNCTION("""COMPUTED_VALUE"""),"A")</f>
        <v>A</v>
      </c>
      <c r="G2892" t="str">
        <f>IFERROR(__xludf.DUMMYFUNCTION("""COMPUTED_VALUE"""),"NN")</f>
        <v>NN</v>
      </c>
      <c r="H2892">
        <f>IFERROR(__xludf.DUMMYFUNCTION("""COMPUTED_VALUE"""),51.99)</f>
        <v>51.99</v>
      </c>
      <c r="I2892">
        <f>IFERROR(__xludf.DUMMYFUNCTION("""COMPUTED_VALUE"""),51.99)</f>
        <v>51.99</v>
      </c>
      <c r="BD2892" s="2006"/>
      <c r="LL2892" s="2007"/>
      <c r="LM2892" s="2007"/>
      <c r="MX2892" s="2007"/>
      <c r="ND2892" s="2007"/>
    </row>
    <row r="2893">
      <c r="A2893">
        <f>IFERROR(__xludf.DUMMYFUNCTION("""COMPUTED_VALUE"""),8007752.0)</f>
        <v>8007752</v>
      </c>
      <c r="B2893">
        <f>IFERROR(__xludf.DUMMYFUNCTION("""COMPUTED_VALUE"""),2403005.0)</f>
        <v>2403005</v>
      </c>
      <c r="C2893" t="str">
        <f>IFERROR(__xludf.DUMMYFUNCTION("""COMPUTED_VALUE"""),"Pack")</f>
        <v>Pack</v>
      </c>
      <c r="D2893" t="str">
        <f>IFERROR(__xludf.DUMMYFUNCTION("""COMPUTED_VALUE"""),"H62 XL Noir + Couleur")</f>
        <v>H62 XL Noir + Couleur</v>
      </c>
      <c r="E2893" t="str">
        <f>IFERROR(__xludf.DUMMYFUNCTION("""COMPUTED_VALUE"""),"ESSENTIELB")</f>
        <v>ESSENTIELB</v>
      </c>
      <c r="F2893" t="str">
        <f>IFERROR(__xludf.DUMMYFUNCTION("""COMPUTED_VALUE"""),"A")</f>
        <v>A</v>
      </c>
      <c r="G2893" t="str">
        <f>IFERROR(__xludf.DUMMYFUNCTION("""COMPUTED_VALUE"""),"NN")</f>
        <v>NN</v>
      </c>
      <c r="H2893">
        <f>IFERROR(__xludf.DUMMYFUNCTION("""COMPUTED_VALUE"""),39.99)</f>
        <v>39.99</v>
      </c>
      <c r="I2893">
        <f>IFERROR(__xludf.DUMMYFUNCTION("""COMPUTED_VALUE"""),39.99)</f>
        <v>39.99</v>
      </c>
      <c r="LM2893" s="2007"/>
    </row>
    <row r="2894">
      <c r="A2894">
        <f>IFERROR(__xludf.DUMMYFUNCTION("""COMPUTED_VALUE"""),8007963.0)</f>
        <v>8007963</v>
      </c>
      <c r="B2894">
        <f>IFERROR(__xludf.DUMMYFUNCTION("""COMPUTED_VALUE"""),2502015.0)</f>
        <v>2502015</v>
      </c>
      <c r="C2894" t="str">
        <f>IFERROR(__xludf.DUMMYFUNCTION("""COMPUTED_VALUE"""),"Clavier")</f>
        <v>Clavier</v>
      </c>
      <c r="D2894" t="str">
        <f>IFERROR(__xludf.DUMMYFUNCTION("""COMPUTED_VALUE"""),"ECM Pad V2")</f>
        <v>ECM Pad V2</v>
      </c>
      <c r="E2894" t="str">
        <f>IFERROR(__xludf.DUMMYFUNCTION("""COMPUTED_VALUE"""),"ESSENTIELB")</f>
        <v>ESSENTIELB</v>
      </c>
      <c r="F2894" t="str">
        <f>IFERROR(__xludf.DUMMYFUNCTION("""COMPUTED_VALUE"""),"A")</f>
        <v>A</v>
      </c>
      <c r="G2894" t="str">
        <f>IFERROR(__xludf.DUMMYFUNCTION("""COMPUTED_VALUE"""),"NN")</f>
        <v>NN</v>
      </c>
      <c r="H2894">
        <f>IFERROR(__xludf.DUMMYFUNCTION("""COMPUTED_VALUE"""),34.99)</f>
        <v>34.99</v>
      </c>
      <c r="I2894">
        <f>IFERROR(__xludf.DUMMYFUNCTION("""COMPUTED_VALUE"""),34.99)</f>
        <v>34.99</v>
      </c>
      <c r="BD2894" s="2006"/>
      <c r="LL2894" s="2007"/>
      <c r="LM2894" s="2007"/>
      <c r="MX2894" s="2007"/>
      <c r="ND2894" s="2008"/>
    </row>
    <row r="2895">
      <c r="A2895">
        <f>IFERROR(__xludf.DUMMYFUNCTION("""COMPUTED_VALUE"""),8008155.0)</f>
        <v>8008155</v>
      </c>
      <c r="B2895">
        <f>IFERROR(__xludf.DUMMYFUNCTION("""COMPUTED_VALUE"""),2502015.0)</f>
        <v>2502015</v>
      </c>
      <c r="C2895" t="str">
        <f>IFERROR(__xludf.DUMMYFUNCTION("""COMPUTED_VALUE"""),"Clavier+Souris")</f>
        <v>Clavier+Souris</v>
      </c>
      <c r="D2895" t="str">
        <f>IFERROR(__xludf.DUMMYFUNCTION("""COMPUTED_VALUE"""),"KM-20-SF")</f>
        <v>KM-20-SF</v>
      </c>
      <c r="E2895" t="str">
        <f>IFERROR(__xludf.DUMMYFUNCTION("""COMPUTED_VALUE"""),"ADEQWAT")</f>
        <v>ADEQWAT</v>
      </c>
      <c r="F2895" t="str">
        <f>IFERROR(__xludf.DUMMYFUNCTION("""COMPUTED_VALUE"""),"H")</f>
        <v>H</v>
      </c>
      <c r="G2895" t="str">
        <f>IFERROR(__xludf.DUMMYFUNCTION("""COMPUTED_VALUE"""),"NN")</f>
        <v>NN</v>
      </c>
      <c r="H2895">
        <f>IFERROR(__xludf.DUMMYFUNCTION("""COMPUTED_VALUE"""),19.99)</f>
        <v>19.99</v>
      </c>
      <c r="I2895">
        <f>IFERROR(__xludf.DUMMYFUNCTION("""COMPUTED_VALUE"""),19.99)</f>
        <v>19.99</v>
      </c>
      <c r="BD2895" s="2006"/>
      <c r="LM2895" s="2007"/>
    </row>
    <row r="2896">
      <c r="A2896">
        <f>IFERROR(__xludf.DUMMYFUNCTION("""COMPUTED_VALUE"""),8008190.0)</f>
        <v>8008190</v>
      </c>
      <c r="B2896">
        <f>IFERROR(__xludf.DUMMYFUNCTION("""COMPUTED_VALUE"""),2502020.0)</f>
        <v>2502020</v>
      </c>
      <c r="C2896" t="str">
        <f>IFERROR(__xludf.DUMMYFUNCTION("""COMPUTED_VALUE"""),"Webcam")</f>
        <v>Webcam</v>
      </c>
      <c r="D2896" t="str">
        <f>IFERROR(__xludf.DUMMYFUNCTION("""COMPUTED_VALUE"""),"W1")</f>
        <v>W1</v>
      </c>
      <c r="E2896" t="str">
        <f>IFERROR(__xludf.DUMMYFUNCTION("""COMPUTED_VALUE"""),"ESSENTIELB")</f>
        <v>ESSENTIELB</v>
      </c>
      <c r="F2896" t="str">
        <f>IFERROR(__xludf.DUMMYFUNCTION("""COMPUTED_VALUE"""),"A")</f>
        <v>A</v>
      </c>
      <c r="G2896" t="str">
        <f>IFERROR(__xludf.DUMMYFUNCTION("""COMPUTED_VALUE"""),"FF")</f>
        <v>FF</v>
      </c>
      <c r="H2896">
        <f>IFERROR(__xludf.DUMMYFUNCTION("""COMPUTED_VALUE"""),19.99)</f>
        <v>19.99</v>
      </c>
      <c r="I2896">
        <f>IFERROR(__xludf.DUMMYFUNCTION("""COMPUTED_VALUE"""),19.99)</f>
        <v>19.99</v>
      </c>
      <c r="BD2896" s="2006"/>
      <c r="LL2896" s="2008"/>
      <c r="LM2896" s="2007"/>
      <c r="MX2896" s="2007"/>
      <c r="ND2896" s="2008"/>
    </row>
    <row r="2897">
      <c r="A2897">
        <f>IFERROR(__xludf.DUMMYFUNCTION("""COMPUTED_VALUE"""),8008196.0)</f>
        <v>8008196</v>
      </c>
      <c r="B2897">
        <f>IFERROR(__xludf.DUMMYFUNCTION("""COMPUTED_VALUE"""),2502015.0)</f>
        <v>2502015</v>
      </c>
      <c r="C2897" t="str">
        <f>IFERROR(__xludf.DUMMYFUNCTION("""COMPUTED_VALUE"""),"PAVE NUMERIQUE")</f>
        <v>PAVE NUMERIQUE</v>
      </c>
      <c r="D2897" t="str">
        <f>IFERROR(__xludf.DUMMYFUNCTION("""COMPUTED_VALUE"""),"NK-10-SF")</f>
        <v>NK-10-SF</v>
      </c>
      <c r="E2897" t="str">
        <f>IFERROR(__xludf.DUMMYFUNCTION("""COMPUTED_VALUE"""),"ESSENTIELB")</f>
        <v>ESSENTIELB</v>
      </c>
      <c r="F2897" t="str">
        <f>IFERROR(__xludf.DUMMYFUNCTION("""COMPUTED_VALUE"""),"A")</f>
        <v>A</v>
      </c>
      <c r="G2897" t="str">
        <f>IFERROR(__xludf.DUMMYFUNCTION("""COMPUTED_VALUE"""),"AC")</f>
        <v>AC</v>
      </c>
      <c r="H2897">
        <f>IFERROR(__xludf.DUMMYFUNCTION("""COMPUTED_VALUE"""),19.99)</f>
        <v>19.99</v>
      </c>
      <c r="I2897">
        <f>IFERROR(__xludf.DUMMYFUNCTION("""COMPUTED_VALUE"""),19.99)</f>
        <v>19.99</v>
      </c>
      <c r="BD2897" s="2006"/>
      <c r="LL2897" s="2007"/>
      <c r="LM2897" s="2007"/>
      <c r="MX2897" s="2007"/>
      <c r="ND2897" s="2007"/>
    </row>
    <row r="2898">
      <c r="A2898">
        <f>IFERROR(__xludf.DUMMYFUNCTION("""COMPUTED_VALUE"""),8008263.0)</f>
        <v>8008263</v>
      </c>
      <c r="B2898">
        <f>IFERROR(__xludf.DUMMYFUNCTION("""COMPUTED_VALUE"""),2403005.0)</f>
        <v>2403005</v>
      </c>
      <c r="C2898" t="str">
        <f>IFERROR(__xludf.DUMMYFUNCTION("""COMPUTED_VALUE"""),"Pack")</f>
        <v>Pack</v>
      </c>
      <c r="D2898" t="str">
        <f>IFERROR(__xludf.DUMMYFUNCTION("""COMPUTED_VALUE"""),"C540/C541 XL Noir + 3 couleurs")</f>
        <v>C540/C541 XL Noir + 3 couleurs</v>
      </c>
      <c r="E2898" t="str">
        <f>IFERROR(__xludf.DUMMYFUNCTION("""COMPUTED_VALUE"""),"ESSENTIELB")</f>
        <v>ESSENTIELB</v>
      </c>
      <c r="F2898" t="str">
        <f>IFERROR(__xludf.DUMMYFUNCTION("""COMPUTED_VALUE"""),"A")</f>
        <v>A</v>
      </c>
      <c r="G2898" t="str">
        <f>IFERROR(__xludf.DUMMYFUNCTION("""COMPUTED_VALUE"""),"NN")</f>
        <v>NN</v>
      </c>
      <c r="H2898">
        <f>IFERROR(__xludf.DUMMYFUNCTION("""COMPUTED_VALUE"""),40.01)</f>
        <v>40.01</v>
      </c>
      <c r="I2898">
        <f>IFERROR(__xludf.DUMMYFUNCTION("""COMPUTED_VALUE"""),40.01)</f>
        <v>40.01</v>
      </c>
      <c r="BD2898" s="2006"/>
      <c r="LL2898" s="2007"/>
      <c r="LM2898" s="2007"/>
      <c r="MX2898" s="2007"/>
      <c r="ND2898" s="2007"/>
    </row>
    <row r="2899">
      <c r="A2899">
        <f>IFERROR(__xludf.DUMMYFUNCTION("""COMPUTED_VALUE"""),8008264.0)</f>
        <v>8008264</v>
      </c>
      <c r="B2899">
        <f>IFERROR(__xludf.DUMMYFUNCTION("""COMPUTED_VALUE"""),2403005.0)</f>
        <v>2403005</v>
      </c>
      <c r="C2899" t="str">
        <f>IFERROR(__xludf.DUMMYFUNCTION("""COMPUTED_VALUE"""),"Pack")</f>
        <v>Pack</v>
      </c>
      <c r="D2899" t="str">
        <f>IFERROR(__xludf.DUMMYFUNCTION("""COMPUTED_VALUE"""),"C545/C546 XL Noir + 3 couleurs")</f>
        <v>C545/C546 XL Noir + 3 couleurs</v>
      </c>
      <c r="E2899" t="str">
        <f>IFERROR(__xludf.DUMMYFUNCTION("""COMPUTED_VALUE"""),"ESSENTIELB")</f>
        <v>ESSENTIELB</v>
      </c>
      <c r="F2899" t="str">
        <f>IFERROR(__xludf.DUMMYFUNCTION("""COMPUTED_VALUE"""),"A")</f>
        <v>A</v>
      </c>
      <c r="G2899" t="str">
        <f>IFERROR(__xludf.DUMMYFUNCTION("""COMPUTED_VALUE"""),"NN")</f>
        <v>NN</v>
      </c>
      <c r="H2899">
        <f>IFERROR(__xludf.DUMMYFUNCTION("""COMPUTED_VALUE"""),36.99)</f>
        <v>36.99</v>
      </c>
      <c r="I2899">
        <f>IFERROR(__xludf.DUMMYFUNCTION("""COMPUTED_VALUE"""),36.99)</f>
        <v>36.99</v>
      </c>
      <c r="BD2899" s="2006"/>
      <c r="LL2899" s="2007"/>
      <c r="LM2899" s="2007"/>
      <c r="MX2899" s="2007"/>
      <c r="ND2899" s="2007"/>
    </row>
    <row r="2900">
      <c r="A2900">
        <f>IFERROR(__xludf.DUMMYFUNCTION("""COMPUTED_VALUE"""),8008265.0)</f>
        <v>8008265</v>
      </c>
      <c r="B2900">
        <f>IFERROR(__xludf.DUMMYFUNCTION("""COMPUTED_VALUE"""),2403005.0)</f>
        <v>2403005</v>
      </c>
      <c r="C2900" t="str">
        <f>IFERROR(__xludf.DUMMYFUNCTION("""COMPUTED_VALUE"""),"Pack")</f>
        <v>Pack</v>
      </c>
      <c r="D2900" t="str">
        <f>IFERROR(__xludf.DUMMYFUNCTION("""COMPUTED_VALUE"""),"C581XL - Noir photo + 3 Couleurs")</f>
        <v>C581XL - Noir photo + 3 Couleurs</v>
      </c>
      <c r="E2900" t="str">
        <f>IFERROR(__xludf.DUMMYFUNCTION("""COMPUTED_VALUE"""),"ESSENTIELB")</f>
        <v>ESSENTIELB</v>
      </c>
      <c r="F2900" t="str">
        <f>IFERROR(__xludf.DUMMYFUNCTION("""COMPUTED_VALUE"""),"B")</f>
        <v>B</v>
      </c>
      <c r="G2900" t="str">
        <f>IFERROR(__xludf.DUMMYFUNCTION("""COMPUTED_VALUE"""),"NN")</f>
        <v>NN</v>
      </c>
      <c r="H2900">
        <f>IFERROR(__xludf.DUMMYFUNCTION("""COMPUTED_VALUE"""),45.09)</f>
        <v>45.09</v>
      </c>
      <c r="I2900">
        <f>IFERROR(__xludf.DUMMYFUNCTION("""COMPUTED_VALUE"""),45.09)</f>
        <v>45.09</v>
      </c>
      <c r="BD2900" s="2006"/>
      <c r="LL2900" s="2007"/>
      <c r="LM2900" s="2007"/>
      <c r="MX2900" s="2007"/>
      <c r="ND2900" s="2007"/>
    </row>
    <row r="2901">
      <c r="A2901">
        <f>IFERROR(__xludf.DUMMYFUNCTION("""COMPUTED_VALUE"""),8008266.0)</f>
        <v>8008266</v>
      </c>
      <c r="B2901">
        <f>IFERROR(__xludf.DUMMYFUNCTION("""COMPUTED_VALUE"""),2403005.0)</f>
        <v>2403005</v>
      </c>
      <c r="C2901" t="str">
        <f>IFERROR(__xludf.DUMMYFUNCTION("""COMPUTED_VALUE"""),"Cartouche")</f>
        <v>Cartouche</v>
      </c>
      <c r="D2901" t="str">
        <f>IFERROR(__xludf.DUMMYFUNCTION("""COMPUTED_VALUE"""),"C580 XL - Noir")</f>
        <v>C580 XL - Noir</v>
      </c>
      <c r="E2901" t="str">
        <f>IFERROR(__xludf.DUMMYFUNCTION("""COMPUTED_VALUE"""),"ESSENTIELB")</f>
        <v>ESSENTIELB</v>
      </c>
      <c r="F2901" t="str">
        <f>IFERROR(__xludf.DUMMYFUNCTION("""COMPUTED_VALUE"""),"B")</f>
        <v>B</v>
      </c>
      <c r="G2901" t="str">
        <f>IFERROR(__xludf.DUMMYFUNCTION("""COMPUTED_VALUE"""),"NN")</f>
        <v>NN</v>
      </c>
      <c r="H2901">
        <f>IFERROR(__xludf.DUMMYFUNCTION("""COMPUTED_VALUE"""),9.99)</f>
        <v>9.99</v>
      </c>
      <c r="I2901">
        <f>IFERROR(__xludf.DUMMYFUNCTION("""COMPUTED_VALUE"""),9.99)</f>
        <v>9.99</v>
      </c>
      <c r="BD2901" s="2006"/>
      <c r="LL2901" s="2007"/>
      <c r="LM2901" s="2007"/>
      <c r="MX2901" s="2007"/>
      <c r="ND2901" s="2007"/>
    </row>
    <row r="2902">
      <c r="A2902">
        <f>IFERROR(__xludf.DUMMYFUNCTION("""COMPUTED_VALUE"""),8008267.0)</f>
        <v>8008267</v>
      </c>
      <c r="B2902">
        <f>IFERROR(__xludf.DUMMYFUNCTION("""COMPUTED_VALUE"""),2403005.0)</f>
        <v>2403005</v>
      </c>
      <c r="C2902" t="str">
        <f>IFERROR(__xludf.DUMMYFUNCTION("""COMPUTED_VALUE"""),"Pack")</f>
        <v>Pack</v>
      </c>
      <c r="D2902" t="str">
        <f>IFERROR(__xludf.DUMMYFUNCTION("""COMPUTED_VALUE"""),"H301XL - Noir + Couleurs")</f>
        <v>H301XL - Noir + Couleurs</v>
      </c>
      <c r="E2902" t="str">
        <f>IFERROR(__xludf.DUMMYFUNCTION("""COMPUTED_VALUE"""),"ESSENTIELB")</f>
        <v>ESSENTIELB</v>
      </c>
      <c r="F2902" t="str">
        <f>IFERROR(__xludf.DUMMYFUNCTION("""COMPUTED_VALUE"""),"A")</f>
        <v>A</v>
      </c>
      <c r="G2902" t="str">
        <f>IFERROR(__xludf.DUMMYFUNCTION("""COMPUTED_VALUE"""),"NN")</f>
        <v>NN</v>
      </c>
      <c r="H2902">
        <f>IFERROR(__xludf.DUMMYFUNCTION("""COMPUTED_VALUE"""),39.99)</f>
        <v>39.99</v>
      </c>
      <c r="I2902">
        <f>IFERROR(__xludf.DUMMYFUNCTION("""COMPUTED_VALUE"""),39.99)</f>
        <v>39.99</v>
      </c>
      <c r="BD2902" s="2006"/>
      <c r="LL2902" s="2007"/>
      <c r="LM2902" s="2007"/>
      <c r="MX2902" s="2008"/>
      <c r="ND2902" s="2007"/>
    </row>
    <row r="2903">
      <c r="A2903">
        <f>IFERROR(__xludf.DUMMYFUNCTION("""COMPUTED_VALUE"""),8008268.0)</f>
        <v>8008268</v>
      </c>
      <c r="B2903">
        <f>IFERROR(__xludf.DUMMYFUNCTION("""COMPUTED_VALUE"""),2403005.0)</f>
        <v>2403005</v>
      </c>
      <c r="C2903" t="str">
        <f>IFERROR(__xludf.DUMMYFUNCTION("""COMPUTED_VALUE"""),"Pack")</f>
        <v>Pack</v>
      </c>
      <c r="D2903" t="str">
        <f>IFERROR(__xludf.DUMMYFUNCTION("""COMPUTED_VALUE"""),"H302XL - Noir + Couleurs")</f>
        <v>H302XL - Noir + Couleurs</v>
      </c>
      <c r="E2903" t="str">
        <f>IFERROR(__xludf.DUMMYFUNCTION("""COMPUTED_VALUE"""),"ESSENTIELB")</f>
        <v>ESSENTIELB</v>
      </c>
      <c r="F2903" t="str">
        <f>IFERROR(__xludf.DUMMYFUNCTION("""COMPUTED_VALUE"""),"H")</f>
        <v>H</v>
      </c>
      <c r="G2903" t="str">
        <f>IFERROR(__xludf.DUMMYFUNCTION("""COMPUTED_VALUE"""),"NN")</f>
        <v>NN</v>
      </c>
      <c r="H2903">
        <f>IFERROR(__xludf.DUMMYFUNCTION("""COMPUTED_VALUE"""),40.04)</f>
        <v>40.04</v>
      </c>
      <c r="I2903">
        <f>IFERROR(__xludf.DUMMYFUNCTION("""COMPUTED_VALUE"""),40.04)</f>
        <v>40.04</v>
      </c>
      <c r="BD2903" s="2006"/>
      <c r="LM2903" s="2007"/>
      <c r="MX2903" s="2007"/>
      <c r="ND2903" s="2007"/>
    </row>
    <row r="2904">
      <c r="A2904">
        <f>IFERROR(__xludf.DUMMYFUNCTION("""COMPUTED_VALUE"""),8008269.0)</f>
        <v>8008269</v>
      </c>
      <c r="B2904">
        <f>IFERROR(__xludf.DUMMYFUNCTION("""COMPUTED_VALUE"""),2403005.0)</f>
        <v>2403005</v>
      </c>
      <c r="C2904" t="str">
        <f>IFERROR(__xludf.DUMMYFUNCTION("""COMPUTED_VALUE"""),"Cartouche")</f>
        <v>Cartouche</v>
      </c>
      <c r="D2904" t="str">
        <f>IFERROR(__xludf.DUMMYFUNCTION("""COMPUTED_VALUE"""),"E603 - Noir")</f>
        <v>E603 - Noir</v>
      </c>
      <c r="E2904" t="str">
        <f>IFERROR(__xludf.DUMMYFUNCTION("""COMPUTED_VALUE"""),"ESSENTIELB")</f>
        <v>ESSENTIELB</v>
      </c>
      <c r="F2904" t="str">
        <f>IFERROR(__xludf.DUMMYFUNCTION("""COMPUTED_VALUE"""),"H")</f>
        <v>H</v>
      </c>
      <c r="G2904" t="str">
        <f>IFERROR(__xludf.DUMMYFUNCTION("""COMPUTED_VALUE"""),"NN")</f>
        <v>NN</v>
      </c>
      <c r="H2904">
        <f>IFERROR(__xludf.DUMMYFUNCTION("""COMPUTED_VALUE"""),10.01)</f>
        <v>10.01</v>
      </c>
      <c r="I2904">
        <f>IFERROR(__xludf.DUMMYFUNCTION("""COMPUTED_VALUE"""),10.01)</f>
        <v>10.01</v>
      </c>
      <c r="BD2904" s="2006"/>
      <c r="LL2904" s="2007"/>
      <c r="LM2904" s="2007"/>
      <c r="MX2904" s="2007"/>
      <c r="ND2904" s="2008"/>
    </row>
    <row r="2905">
      <c r="A2905">
        <f>IFERROR(__xludf.DUMMYFUNCTION("""COMPUTED_VALUE"""),8008270.0)</f>
        <v>8008270</v>
      </c>
      <c r="B2905">
        <f>IFERROR(__xludf.DUMMYFUNCTION("""COMPUTED_VALUE"""),2403005.0)</f>
        <v>2403005</v>
      </c>
      <c r="C2905" t="str">
        <f>IFERROR(__xludf.DUMMYFUNCTION("""COMPUTED_VALUE"""),"Cartouche")</f>
        <v>Cartouche</v>
      </c>
      <c r="D2905" t="str">
        <f>IFERROR(__xludf.DUMMYFUNCTION("""COMPUTED_VALUE"""),"E603 XL - Noir")</f>
        <v>E603 XL - Noir</v>
      </c>
      <c r="E2905" t="str">
        <f>IFERROR(__xludf.DUMMYFUNCTION("""COMPUTED_VALUE"""),"ESSENTIELB")</f>
        <v>ESSENTIELB</v>
      </c>
      <c r="F2905" t="str">
        <f>IFERROR(__xludf.DUMMYFUNCTION("""COMPUTED_VALUE"""),"H")</f>
        <v>H</v>
      </c>
      <c r="G2905" t="str">
        <f>IFERROR(__xludf.DUMMYFUNCTION("""COMPUTED_VALUE"""),"NN")</f>
        <v>NN</v>
      </c>
      <c r="H2905">
        <f>IFERROR(__xludf.DUMMYFUNCTION("""COMPUTED_VALUE"""),19.99)</f>
        <v>19.99</v>
      </c>
      <c r="I2905">
        <f>IFERROR(__xludf.DUMMYFUNCTION("""COMPUTED_VALUE"""),19.99)</f>
        <v>19.99</v>
      </c>
      <c r="BD2905" s="2006"/>
      <c r="LL2905" s="2007"/>
      <c r="LM2905" s="2007"/>
      <c r="MX2905" s="2007"/>
      <c r="ND2905" s="2007"/>
    </row>
    <row r="2906">
      <c r="A2906">
        <f>IFERROR(__xludf.DUMMYFUNCTION("""COMPUTED_VALUE"""),8008271.0)</f>
        <v>8008271</v>
      </c>
      <c r="B2906">
        <f>IFERROR(__xludf.DUMMYFUNCTION("""COMPUTED_VALUE"""),2403005.0)</f>
        <v>2403005</v>
      </c>
      <c r="C2906" t="str">
        <f>IFERROR(__xludf.DUMMYFUNCTION("""COMPUTED_VALUE"""),"Pack")</f>
        <v>Pack</v>
      </c>
      <c r="D2906" t="str">
        <f>IFERROR(__xludf.DUMMYFUNCTION("""COMPUTED_VALUE"""),"E603 Noir + 3 Couleurs")</f>
        <v>E603 Noir + 3 Couleurs</v>
      </c>
      <c r="E2906" t="str">
        <f>IFERROR(__xludf.DUMMYFUNCTION("""COMPUTED_VALUE"""),"ESSENTIELB")</f>
        <v>ESSENTIELB</v>
      </c>
      <c r="F2906" t="str">
        <f>IFERROR(__xludf.DUMMYFUNCTION("""COMPUTED_VALUE"""),"A")</f>
        <v>A</v>
      </c>
      <c r="G2906" t="str">
        <f>IFERROR(__xludf.DUMMYFUNCTION("""COMPUTED_VALUE"""),"NN")</f>
        <v>NN</v>
      </c>
      <c r="H2906">
        <f>IFERROR(__xludf.DUMMYFUNCTION("""COMPUTED_VALUE"""),27.09)</f>
        <v>27.09</v>
      </c>
      <c r="I2906">
        <f>IFERROR(__xludf.DUMMYFUNCTION("""COMPUTED_VALUE"""),27.09)</f>
        <v>27.09</v>
      </c>
      <c r="BD2906" s="2006"/>
      <c r="LL2906" s="2007"/>
      <c r="LM2906" s="2007"/>
      <c r="MX2906" s="2007"/>
      <c r="ND2906" s="2007"/>
    </row>
    <row r="2907">
      <c r="A2907">
        <f>IFERROR(__xludf.DUMMYFUNCTION("""COMPUTED_VALUE"""),8008272.0)</f>
        <v>8008272</v>
      </c>
      <c r="B2907">
        <f>IFERROR(__xludf.DUMMYFUNCTION("""COMPUTED_VALUE"""),2403005.0)</f>
        <v>2403005</v>
      </c>
      <c r="C2907" t="str">
        <f>IFERROR(__xludf.DUMMYFUNCTION("""COMPUTED_VALUE"""),"Pack")</f>
        <v>Pack</v>
      </c>
      <c r="D2907" t="str">
        <f>IFERROR(__xludf.DUMMYFUNCTION("""COMPUTED_VALUE"""),"E603 XL - Noir + 3 Couleurs")</f>
        <v>E603 XL - Noir + 3 Couleurs</v>
      </c>
      <c r="E2907" t="str">
        <f>IFERROR(__xludf.DUMMYFUNCTION("""COMPUTED_VALUE"""),"ESSENTIELB")</f>
        <v>ESSENTIELB</v>
      </c>
      <c r="F2907" t="str">
        <f>IFERROR(__xludf.DUMMYFUNCTION("""COMPUTED_VALUE"""),"A")</f>
        <v>A</v>
      </c>
      <c r="G2907" t="str">
        <f>IFERROR(__xludf.DUMMYFUNCTION("""COMPUTED_VALUE"""),"NN")</f>
        <v>NN</v>
      </c>
      <c r="H2907">
        <f>IFERROR(__xludf.DUMMYFUNCTION("""COMPUTED_VALUE"""),40.09)</f>
        <v>40.09</v>
      </c>
      <c r="I2907">
        <f>IFERROR(__xludf.DUMMYFUNCTION("""COMPUTED_VALUE"""),40.09)</f>
        <v>40.09</v>
      </c>
      <c r="BD2907" s="2006"/>
      <c r="LL2907" s="2007"/>
      <c r="LM2907" s="2007"/>
      <c r="MX2907" s="2007"/>
      <c r="ND2907" s="2007"/>
    </row>
    <row r="2908">
      <c r="A2908">
        <f>IFERROR(__xludf.DUMMYFUNCTION("""COMPUTED_VALUE"""),8008273.0)</f>
        <v>8008273</v>
      </c>
      <c r="B2908">
        <f>IFERROR(__xludf.DUMMYFUNCTION("""COMPUTED_VALUE"""),2403005.0)</f>
        <v>2403005</v>
      </c>
      <c r="C2908" t="str">
        <f>IFERROR(__xludf.DUMMYFUNCTION("""COMPUTED_VALUE"""),"Cartouche")</f>
        <v>Cartouche</v>
      </c>
      <c r="D2908" t="str">
        <f>IFERROR(__xludf.DUMMYFUNCTION("""COMPUTED_VALUE"""),"H304 XL - Noir")</f>
        <v>H304 XL - Noir</v>
      </c>
      <c r="E2908" t="str">
        <f>IFERROR(__xludf.DUMMYFUNCTION("""COMPUTED_VALUE"""),"ESSENTIELB")</f>
        <v>ESSENTIELB</v>
      </c>
      <c r="F2908" t="str">
        <f>IFERROR(__xludf.DUMMYFUNCTION("""COMPUTED_VALUE"""),"A")</f>
        <v>A</v>
      </c>
      <c r="G2908" t="str">
        <f>IFERROR(__xludf.DUMMYFUNCTION("""COMPUTED_VALUE"""),"NN")</f>
        <v>NN</v>
      </c>
      <c r="H2908">
        <f>IFERROR(__xludf.DUMMYFUNCTION("""COMPUTED_VALUE"""),21.01)</f>
        <v>21.01</v>
      </c>
      <c r="I2908">
        <f>IFERROR(__xludf.DUMMYFUNCTION("""COMPUTED_VALUE"""),21.01)</f>
        <v>21.01</v>
      </c>
      <c r="BD2908" s="2006"/>
      <c r="LL2908" s="2007"/>
      <c r="LM2908" s="2007"/>
      <c r="MX2908" s="2007"/>
      <c r="ND2908" s="2007"/>
    </row>
    <row r="2909">
      <c r="A2909">
        <f>IFERROR(__xludf.DUMMYFUNCTION("""COMPUTED_VALUE"""),8008274.0)</f>
        <v>8008274</v>
      </c>
      <c r="B2909">
        <f>IFERROR(__xludf.DUMMYFUNCTION("""COMPUTED_VALUE"""),2403005.0)</f>
        <v>2403005</v>
      </c>
      <c r="C2909" t="str">
        <f>IFERROR(__xludf.DUMMYFUNCTION("""COMPUTED_VALUE"""),"Cartouche")</f>
        <v>Cartouche</v>
      </c>
      <c r="D2909" t="str">
        <f>IFERROR(__xludf.DUMMYFUNCTION("""COMPUTED_VALUE"""),"H304 XL Couleurs")</f>
        <v>H304 XL Couleurs</v>
      </c>
      <c r="E2909" t="str">
        <f>IFERROR(__xludf.DUMMYFUNCTION("""COMPUTED_VALUE"""),"ESSENTIELB")</f>
        <v>ESSENTIELB</v>
      </c>
      <c r="F2909" t="str">
        <f>IFERROR(__xludf.DUMMYFUNCTION("""COMPUTED_VALUE"""),"B")</f>
        <v>B</v>
      </c>
      <c r="G2909" t="str">
        <f>IFERROR(__xludf.DUMMYFUNCTION("""COMPUTED_VALUE"""),"NN")</f>
        <v>NN</v>
      </c>
      <c r="H2909">
        <f>IFERROR(__xludf.DUMMYFUNCTION("""COMPUTED_VALUE"""),22.01)</f>
        <v>22.01</v>
      </c>
      <c r="I2909">
        <f>IFERROR(__xludf.DUMMYFUNCTION("""COMPUTED_VALUE"""),22.01)</f>
        <v>22.01</v>
      </c>
      <c r="BD2909" s="2006"/>
      <c r="LL2909" s="2008"/>
      <c r="LM2909" s="2007"/>
      <c r="MX2909" s="2007"/>
      <c r="ND2909" s="2008"/>
    </row>
    <row r="2910">
      <c r="A2910">
        <f>IFERROR(__xludf.DUMMYFUNCTION("""COMPUTED_VALUE"""),8008306.0)</f>
        <v>8008306</v>
      </c>
      <c r="B2910">
        <f>IFERROR(__xludf.DUMMYFUNCTION("""COMPUTED_VALUE"""),2403010.0)</f>
        <v>2403010</v>
      </c>
      <c r="C2910" t="str">
        <f>IFERROR(__xludf.DUMMYFUNCTION("""COMPUTED_VALUE"""),"Toner")</f>
        <v>Toner</v>
      </c>
      <c r="D2910" t="str">
        <f>IFERROR(__xludf.DUMMYFUNCTION("""COMPUTED_VALUE"""),"CLT 404S Noir")</f>
        <v>CLT 404S Noir</v>
      </c>
      <c r="E2910" t="str">
        <f>IFERROR(__xludf.DUMMYFUNCTION("""COMPUTED_VALUE"""),"ESSENTIELB")</f>
        <v>ESSENTIELB</v>
      </c>
      <c r="F2910" t="str">
        <f>IFERROR(__xludf.DUMMYFUNCTION("""COMPUTED_VALUE"""),"B")</f>
        <v>B</v>
      </c>
      <c r="G2910" t="str">
        <f>IFERROR(__xludf.DUMMYFUNCTION("""COMPUTED_VALUE"""),"FI")</f>
        <v>FI</v>
      </c>
      <c r="H2910">
        <f>IFERROR(__xludf.DUMMYFUNCTION("""COMPUTED_VALUE"""),44.99)</f>
        <v>44.99</v>
      </c>
      <c r="I2910">
        <f>IFERROR(__xludf.DUMMYFUNCTION("""COMPUTED_VALUE"""),44.99)</f>
        <v>44.99</v>
      </c>
      <c r="BD2910" s="2006"/>
      <c r="LL2910" s="2008"/>
      <c r="LM2910" s="2007"/>
      <c r="MX2910" s="2008"/>
      <c r="ND2910" s="2007"/>
    </row>
    <row r="2911">
      <c r="A2911">
        <f>IFERROR(__xludf.DUMMYFUNCTION("""COMPUTED_VALUE"""),8008307.0)</f>
        <v>8008307</v>
      </c>
      <c r="B2911">
        <f>IFERROR(__xludf.DUMMYFUNCTION("""COMPUTED_VALUE"""),2403010.0)</f>
        <v>2403010</v>
      </c>
      <c r="C2911" t="str">
        <f>IFERROR(__xludf.DUMMYFUNCTION("""COMPUTED_VALUE"""),"Toner")</f>
        <v>Toner</v>
      </c>
      <c r="D2911" t="str">
        <f>IFERROR(__xludf.DUMMYFUNCTION("""COMPUTED_VALUE"""),"CLT 404S Cyan")</f>
        <v>CLT 404S Cyan</v>
      </c>
      <c r="E2911" t="str">
        <f>IFERROR(__xludf.DUMMYFUNCTION("""COMPUTED_VALUE"""),"ESSENTIELB")</f>
        <v>ESSENTIELB</v>
      </c>
      <c r="F2911" t="str">
        <f>IFERROR(__xludf.DUMMYFUNCTION("""COMPUTED_VALUE"""),"B")</f>
        <v>B</v>
      </c>
      <c r="G2911" t="str">
        <f>IFERROR(__xludf.DUMMYFUNCTION("""COMPUTED_VALUE"""),"FR")</f>
        <v>FR</v>
      </c>
      <c r="H2911">
        <f>IFERROR(__xludf.DUMMYFUNCTION("""COMPUTED_VALUE"""),44.99)</f>
        <v>44.99</v>
      </c>
      <c r="I2911">
        <f>IFERROR(__xludf.DUMMYFUNCTION("""COMPUTED_VALUE"""),44.99)</f>
        <v>44.99</v>
      </c>
      <c r="BD2911" s="2006"/>
      <c r="LL2911" s="2007"/>
      <c r="LM2911" s="2007"/>
      <c r="MX2911" s="2007"/>
      <c r="ND2911" s="2007"/>
    </row>
    <row r="2912">
      <c r="A2912">
        <f>IFERROR(__xludf.DUMMYFUNCTION("""COMPUTED_VALUE"""),8008308.0)</f>
        <v>8008308</v>
      </c>
      <c r="B2912">
        <f>IFERROR(__xludf.DUMMYFUNCTION("""COMPUTED_VALUE"""),2403010.0)</f>
        <v>2403010</v>
      </c>
      <c r="C2912" t="str">
        <f>IFERROR(__xludf.DUMMYFUNCTION("""COMPUTED_VALUE"""),"Toner")</f>
        <v>Toner</v>
      </c>
      <c r="D2912" t="str">
        <f>IFERROR(__xludf.DUMMYFUNCTION("""COMPUTED_VALUE"""),"CLT 404S Jaune")</f>
        <v>CLT 404S Jaune</v>
      </c>
      <c r="E2912" t="str">
        <f>IFERROR(__xludf.DUMMYFUNCTION("""COMPUTED_VALUE"""),"ESSENTIELB")</f>
        <v>ESSENTIELB</v>
      </c>
      <c r="F2912" t="str">
        <f>IFERROR(__xludf.DUMMYFUNCTION("""COMPUTED_VALUE"""),"B")</f>
        <v>B</v>
      </c>
      <c r="G2912" t="str">
        <f>IFERROR(__xludf.DUMMYFUNCTION("""COMPUTED_VALUE"""),"FI")</f>
        <v>FI</v>
      </c>
      <c r="H2912">
        <f>IFERROR(__xludf.DUMMYFUNCTION("""COMPUTED_VALUE"""),34.99)</f>
        <v>34.99</v>
      </c>
      <c r="I2912">
        <f>IFERROR(__xludf.DUMMYFUNCTION("""COMPUTED_VALUE"""),34.99)</f>
        <v>34.99</v>
      </c>
      <c r="BD2912" s="2006"/>
      <c r="LL2912" s="2007"/>
      <c r="LM2912" s="2007"/>
      <c r="MX2912" s="2007"/>
      <c r="ND2912" s="2008"/>
    </row>
    <row r="2913">
      <c r="A2913">
        <f>IFERROR(__xludf.DUMMYFUNCTION("""COMPUTED_VALUE"""),8008309.0)</f>
        <v>8008309</v>
      </c>
      <c r="B2913">
        <f>IFERROR(__xludf.DUMMYFUNCTION("""COMPUTED_VALUE"""),2403010.0)</f>
        <v>2403010</v>
      </c>
      <c r="C2913" t="str">
        <f>IFERROR(__xludf.DUMMYFUNCTION("""COMPUTED_VALUE"""),"Toner")</f>
        <v>Toner</v>
      </c>
      <c r="D2913" t="str">
        <f>IFERROR(__xludf.DUMMYFUNCTION("""COMPUTED_VALUE"""),"CLT 404S Magenta")</f>
        <v>CLT 404S Magenta</v>
      </c>
      <c r="E2913" t="str">
        <f>IFERROR(__xludf.DUMMYFUNCTION("""COMPUTED_VALUE"""),"ESSENTIELB")</f>
        <v>ESSENTIELB</v>
      </c>
      <c r="F2913" t="str">
        <f>IFERROR(__xludf.DUMMYFUNCTION("""COMPUTED_VALUE"""),"B")</f>
        <v>B</v>
      </c>
      <c r="G2913" t="str">
        <f>IFERROR(__xludf.DUMMYFUNCTION("""COMPUTED_VALUE"""),"FI")</f>
        <v>FI</v>
      </c>
      <c r="H2913">
        <f>IFERROR(__xludf.DUMMYFUNCTION("""COMPUTED_VALUE"""),34.99)</f>
        <v>34.99</v>
      </c>
      <c r="I2913">
        <f>IFERROR(__xludf.DUMMYFUNCTION("""COMPUTED_VALUE"""),34.99)</f>
        <v>34.99</v>
      </c>
      <c r="BD2913" s="2006"/>
      <c r="LL2913" s="2007"/>
      <c r="LM2913" s="2007"/>
      <c r="MX2913" s="2007"/>
      <c r="ND2913" s="2007"/>
    </row>
    <row r="2914">
      <c r="A2914">
        <f>IFERROR(__xludf.DUMMYFUNCTION("""COMPUTED_VALUE"""),8008310.0)</f>
        <v>8008310</v>
      </c>
      <c r="B2914">
        <f>IFERROR(__xludf.DUMMYFUNCTION("""COMPUTED_VALUE"""),2403010.0)</f>
        <v>2403010</v>
      </c>
      <c r="C2914" t="str">
        <f>IFERROR(__xludf.DUMMYFUNCTION("""COMPUTED_VALUE"""),"Toner")</f>
        <v>Toner</v>
      </c>
      <c r="D2914" t="str">
        <f>IFERROR(__xludf.DUMMYFUNCTION("""COMPUTED_VALUE"""),"H203X Noir")</f>
        <v>H203X Noir</v>
      </c>
      <c r="E2914" t="str">
        <f>IFERROR(__xludf.DUMMYFUNCTION("""COMPUTED_VALUE"""),"ESSENTIELB")</f>
        <v>ESSENTIELB</v>
      </c>
      <c r="F2914" t="str">
        <f>IFERROR(__xludf.DUMMYFUNCTION("""COMPUTED_VALUE"""),"A")</f>
        <v>A</v>
      </c>
      <c r="G2914" t="str">
        <f>IFERROR(__xludf.DUMMYFUNCTION("""COMPUTED_VALUE"""),"FR")</f>
        <v>FR</v>
      </c>
      <c r="H2914">
        <f>IFERROR(__xludf.DUMMYFUNCTION("""COMPUTED_VALUE"""),34.99)</f>
        <v>34.99</v>
      </c>
      <c r="I2914">
        <f>IFERROR(__xludf.DUMMYFUNCTION("""COMPUTED_VALUE"""),34.99)</f>
        <v>34.99</v>
      </c>
      <c r="BD2914" s="2006"/>
      <c r="LL2914" s="2007"/>
      <c r="LM2914" s="2007"/>
      <c r="MX2914" s="2007"/>
      <c r="ND2914" s="2007"/>
    </row>
    <row r="2915">
      <c r="A2915">
        <f>IFERROR(__xludf.DUMMYFUNCTION("""COMPUTED_VALUE"""),8008311.0)</f>
        <v>8008311</v>
      </c>
      <c r="B2915">
        <f>IFERROR(__xludf.DUMMYFUNCTION("""COMPUTED_VALUE"""),2403010.0)</f>
        <v>2403010</v>
      </c>
      <c r="C2915" t="str">
        <f>IFERROR(__xludf.DUMMYFUNCTION("""COMPUTED_VALUE"""),"Toner")</f>
        <v>Toner</v>
      </c>
      <c r="D2915" t="str">
        <f>IFERROR(__xludf.DUMMYFUNCTION("""COMPUTED_VALUE"""),"H203X Cyan")</f>
        <v>H203X Cyan</v>
      </c>
      <c r="E2915" t="str">
        <f>IFERROR(__xludf.DUMMYFUNCTION("""COMPUTED_VALUE"""),"ESSENTIELB")</f>
        <v>ESSENTIELB</v>
      </c>
      <c r="F2915" t="str">
        <f>IFERROR(__xludf.DUMMYFUNCTION("""COMPUTED_VALUE"""),"A")</f>
        <v>A</v>
      </c>
      <c r="G2915" t="str">
        <f>IFERROR(__xludf.DUMMYFUNCTION("""COMPUTED_VALUE"""),"FR")</f>
        <v>FR</v>
      </c>
      <c r="H2915">
        <f>IFERROR(__xludf.DUMMYFUNCTION("""COMPUTED_VALUE"""),44.99)</f>
        <v>44.99</v>
      </c>
      <c r="I2915">
        <f>IFERROR(__xludf.DUMMYFUNCTION("""COMPUTED_VALUE"""),44.99)</f>
        <v>44.99</v>
      </c>
      <c r="BD2915" s="2006"/>
      <c r="LL2915" s="2007"/>
      <c r="LM2915" s="2007"/>
      <c r="MX2915" s="2007"/>
      <c r="ND2915" s="2007"/>
    </row>
    <row r="2916">
      <c r="A2916">
        <f>IFERROR(__xludf.DUMMYFUNCTION("""COMPUTED_VALUE"""),8008312.0)</f>
        <v>8008312</v>
      </c>
      <c r="B2916">
        <f>IFERROR(__xludf.DUMMYFUNCTION("""COMPUTED_VALUE"""),2403010.0)</f>
        <v>2403010</v>
      </c>
      <c r="C2916" t="str">
        <f>IFERROR(__xludf.DUMMYFUNCTION("""COMPUTED_VALUE"""),"Toner")</f>
        <v>Toner</v>
      </c>
      <c r="D2916" t="str">
        <f>IFERROR(__xludf.DUMMYFUNCTION("""COMPUTED_VALUE"""),"H203X Jaune")</f>
        <v>H203X Jaune</v>
      </c>
      <c r="E2916" t="str">
        <f>IFERROR(__xludf.DUMMYFUNCTION("""COMPUTED_VALUE"""),"ESSENTIELB")</f>
        <v>ESSENTIELB</v>
      </c>
      <c r="F2916" t="str">
        <f>IFERROR(__xludf.DUMMYFUNCTION("""COMPUTED_VALUE"""),"A")</f>
        <v>A</v>
      </c>
      <c r="G2916" t="str">
        <f>IFERROR(__xludf.DUMMYFUNCTION("""COMPUTED_VALUE"""),"FR")</f>
        <v>FR</v>
      </c>
      <c r="H2916">
        <f>IFERROR(__xludf.DUMMYFUNCTION("""COMPUTED_VALUE"""),44.99)</f>
        <v>44.99</v>
      </c>
      <c r="I2916">
        <f>IFERROR(__xludf.DUMMYFUNCTION("""COMPUTED_VALUE"""),44.99)</f>
        <v>44.99</v>
      </c>
      <c r="BD2916" s="2006"/>
      <c r="LL2916" s="2007"/>
      <c r="LM2916" s="2007"/>
      <c r="MX2916" s="2007"/>
      <c r="ND2916" s="2007"/>
    </row>
    <row r="2917">
      <c r="A2917">
        <f>IFERROR(__xludf.DUMMYFUNCTION("""COMPUTED_VALUE"""),8008313.0)</f>
        <v>8008313</v>
      </c>
      <c r="B2917">
        <f>IFERROR(__xludf.DUMMYFUNCTION("""COMPUTED_VALUE"""),2403010.0)</f>
        <v>2403010</v>
      </c>
      <c r="C2917" t="str">
        <f>IFERROR(__xludf.DUMMYFUNCTION("""COMPUTED_VALUE"""),"Toner")</f>
        <v>Toner</v>
      </c>
      <c r="D2917" t="str">
        <f>IFERROR(__xludf.DUMMYFUNCTION("""COMPUTED_VALUE"""),"H203X Magenta")</f>
        <v>H203X Magenta</v>
      </c>
      <c r="E2917" t="str">
        <f>IFERROR(__xludf.DUMMYFUNCTION("""COMPUTED_VALUE"""),"ESSENTIELB")</f>
        <v>ESSENTIELB</v>
      </c>
      <c r="F2917" t="str">
        <f>IFERROR(__xludf.DUMMYFUNCTION("""COMPUTED_VALUE"""),"A")</f>
        <v>A</v>
      </c>
      <c r="G2917" t="str">
        <f>IFERROR(__xludf.DUMMYFUNCTION("""COMPUTED_VALUE"""),"FR")</f>
        <v>FR</v>
      </c>
      <c r="H2917">
        <f>IFERROR(__xludf.DUMMYFUNCTION("""COMPUTED_VALUE"""),44.99)</f>
        <v>44.99</v>
      </c>
      <c r="I2917">
        <f>IFERROR(__xludf.DUMMYFUNCTION("""COMPUTED_VALUE"""),44.99)</f>
        <v>44.99</v>
      </c>
      <c r="BD2917" s="2006"/>
      <c r="LL2917" s="2008"/>
      <c r="LM2917" s="2007"/>
      <c r="MX2917" s="2007"/>
      <c r="ND2917" s="2008"/>
    </row>
    <row r="2918">
      <c r="A2918">
        <f>IFERROR(__xludf.DUMMYFUNCTION("""COMPUTED_VALUE"""),8008314.0)</f>
        <v>8008314</v>
      </c>
      <c r="B2918">
        <f>IFERROR(__xludf.DUMMYFUNCTION("""COMPUTED_VALUE"""),2403005.0)</f>
        <v>2403005</v>
      </c>
      <c r="C2918" t="str">
        <f>IFERROR(__xludf.DUMMYFUNCTION("""COMPUTED_VALUE"""),"Pack")</f>
        <v>Pack</v>
      </c>
      <c r="D2918" t="str">
        <f>IFERROR(__xludf.DUMMYFUNCTION("""COMPUTED_VALUE"""),"H304XL Noir + 3 Couleurs")</f>
        <v>H304XL Noir + 3 Couleurs</v>
      </c>
      <c r="E2918" t="str">
        <f>IFERROR(__xludf.DUMMYFUNCTION("""COMPUTED_VALUE"""),"ESSENTIELB")</f>
        <v>ESSENTIELB</v>
      </c>
      <c r="F2918" t="str">
        <f>IFERROR(__xludf.DUMMYFUNCTION("""COMPUTED_VALUE"""),"A")</f>
        <v>A</v>
      </c>
      <c r="G2918" t="str">
        <f>IFERROR(__xludf.DUMMYFUNCTION("""COMPUTED_VALUE"""),"NN")</f>
        <v>NN</v>
      </c>
      <c r="H2918">
        <f>IFERROR(__xludf.DUMMYFUNCTION("""COMPUTED_VALUE"""),40.04)</f>
        <v>40.04</v>
      </c>
      <c r="I2918">
        <f>IFERROR(__xludf.DUMMYFUNCTION("""COMPUTED_VALUE"""),40.04)</f>
        <v>40.04</v>
      </c>
      <c r="BD2918" s="2006"/>
      <c r="LL2918" s="2007"/>
      <c r="LM2918" s="2007"/>
      <c r="MX2918" s="2007"/>
      <c r="ND2918" s="2007"/>
    </row>
    <row r="2919">
      <c r="A2919">
        <f>IFERROR(__xludf.DUMMYFUNCTION("""COMPUTED_VALUE"""),8008438.0)</f>
        <v>8008438</v>
      </c>
      <c r="B2919">
        <f>IFERROR(__xludf.DUMMYFUNCTION("""COMPUTED_VALUE"""),2502015.0)</f>
        <v>2502015</v>
      </c>
      <c r="C2919" t="str">
        <f>IFERROR(__xludf.DUMMYFUNCTION("""COMPUTED_VALUE"""),"Clavier")</f>
        <v>Clavier</v>
      </c>
      <c r="D2919" t="str">
        <f>IFERROR(__xludf.DUMMYFUNCTION("""COMPUTED_VALUE"""),"K-1-SF")</f>
        <v>K-1-SF</v>
      </c>
      <c r="E2919" t="str">
        <f>IFERROR(__xludf.DUMMYFUNCTION("""COMPUTED_VALUE"""),"ESSENTIELB")</f>
        <v>ESSENTIELB</v>
      </c>
      <c r="F2919" t="str">
        <f>IFERROR(__xludf.DUMMYFUNCTION("""COMPUTED_VALUE"""),"B")</f>
        <v>B</v>
      </c>
      <c r="G2919" t="str">
        <f>IFERROR(__xludf.DUMMYFUNCTION("""COMPUTED_VALUE"""),"AC")</f>
        <v>AC</v>
      </c>
      <c r="H2919">
        <f>IFERROR(__xludf.DUMMYFUNCTION("""COMPUTED_VALUE"""),21.99)</f>
        <v>21.99</v>
      </c>
      <c r="I2919">
        <f>IFERROR(__xludf.DUMMYFUNCTION("""COMPUTED_VALUE"""),21.99)</f>
        <v>21.99</v>
      </c>
      <c r="BD2919" s="2006"/>
      <c r="LL2919" s="2007"/>
      <c r="LM2919" s="2007"/>
      <c r="MX2919" s="2007"/>
      <c r="ND2919" s="2007"/>
    </row>
    <row r="2920">
      <c r="A2920">
        <f>IFERROR(__xludf.DUMMYFUNCTION("""COMPUTED_VALUE"""),8008465.0)</f>
        <v>8008465</v>
      </c>
      <c r="B2920">
        <f>IFERROR(__xludf.DUMMYFUNCTION("""COMPUTED_VALUE"""),2502010.0)</f>
        <v>2502010</v>
      </c>
      <c r="C2920" t="str">
        <f>IFERROR(__xludf.DUMMYFUNCTION("""COMPUTED_VALUE"""),"Souris")</f>
        <v>Souris</v>
      </c>
      <c r="D2920" t="str">
        <f>IFERROR(__xludf.DUMMYFUNCTION("""COMPUTED_VALUE"""),"EM-10")</f>
        <v>EM-10</v>
      </c>
      <c r="E2920" t="str">
        <f>IFERROR(__xludf.DUMMYFUNCTION("""COMPUTED_VALUE"""),"ESSENTIELB")</f>
        <v>ESSENTIELB</v>
      </c>
      <c r="F2920" t="str">
        <f>IFERROR(__xludf.DUMMYFUNCTION("""COMPUTED_VALUE"""),"B")</f>
        <v>B</v>
      </c>
      <c r="G2920" t="str">
        <f>IFERROR(__xludf.DUMMYFUNCTION("""COMPUTED_VALUE"""),"AC")</f>
        <v>AC</v>
      </c>
      <c r="H2920">
        <f>IFERROR(__xludf.DUMMYFUNCTION("""COMPUTED_VALUE"""),34.99)</f>
        <v>34.99</v>
      </c>
      <c r="I2920">
        <f>IFERROR(__xludf.DUMMYFUNCTION("""COMPUTED_VALUE"""),34.99)</f>
        <v>34.99</v>
      </c>
      <c r="BD2920" s="2006"/>
      <c r="LL2920" s="2007"/>
      <c r="LM2920" s="2007"/>
      <c r="MX2920" s="2007"/>
      <c r="ND2920" s="2007"/>
    </row>
    <row r="2921">
      <c r="A2921">
        <f>IFERROR(__xludf.DUMMYFUNCTION("""COMPUTED_VALUE"""),8008466.0)</f>
        <v>8008466</v>
      </c>
      <c r="B2921">
        <f>IFERROR(__xludf.DUMMYFUNCTION("""COMPUTED_VALUE"""),2502015.0)</f>
        <v>2502015</v>
      </c>
      <c r="C2921" t="str">
        <f>IFERROR(__xludf.DUMMYFUNCTION("""COMPUTED_VALUE"""),"Clavier+Souris")</f>
        <v>Clavier+Souris</v>
      </c>
      <c r="D2921" t="str">
        <f>IFERROR(__xludf.DUMMYFUNCTION("""COMPUTED_VALUE"""),"KM-10-SF")</f>
        <v>KM-10-SF</v>
      </c>
      <c r="E2921" t="str">
        <f>IFERROR(__xludf.DUMMYFUNCTION("""COMPUTED_VALUE"""),"ESSENTIELB")</f>
        <v>ESSENTIELB</v>
      </c>
      <c r="F2921" t="str">
        <f>IFERROR(__xludf.DUMMYFUNCTION("""COMPUTED_VALUE"""),"A")</f>
        <v>A</v>
      </c>
      <c r="G2921" t="str">
        <f>IFERROR(__xludf.DUMMYFUNCTION("""COMPUTED_VALUE"""),"AC")</f>
        <v>AC</v>
      </c>
      <c r="H2921">
        <f>IFERROR(__xludf.DUMMYFUNCTION("""COMPUTED_VALUE"""),29.99)</f>
        <v>29.99</v>
      </c>
      <c r="I2921">
        <f>IFERROR(__xludf.DUMMYFUNCTION("""COMPUTED_VALUE"""),29.99)</f>
        <v>29.99</v>
      </c>
      <c r="BD2921" s="2006"/>
      <c r="LL2921" s="2007"/>
      <c r="LM2921" s="2007"/>
      <c r="MX2921" s="2007"/>
      <c r="ND2921" s="2007"/>
    </row>
    <row r="2922">
      <c r="A2922">
        <f>IFERROR(__xludf.DUMMYFUNCTION("""COMPUTED_VALUE"""),8008562.0)</f>
        <v>8008562</v>
      </c>
      <c r="B2922">
        <f>IFERROR(__xludf.DUMMYFUNCTION("""COMPUTED_VALUE"""),2502010.0)</f>
        <v>2502010</v>
      </c>
      <c r="C2922" t="str">
        <f>IFERROR(__xludf.DUMMYFUNCTION("""COMPUTED_VALUE"""),"Souris")</f>
        <v>Souris</v>
      </c>
      <c r="D2922" t="str">
        <f>IFERROR(__xludf.DUMMYFUNCTION("""COMPUTED_VALUE"""),"M-10-SF")</f>
        <v>M-10-SF</v>
      </c>
      <c r="E2922" t="str">
        <f>IFERROR(__xludf.DUMMYFUNCTION("""COMPUTED_VALUE"""),"ESSENTIELB")</f>
        <v>ESSENTIELB</v>
      </c>
      <c r="F2922" t="str">
        <f>IFERROR(__xludf.DUMMYFUNCTION("""COMPUTED_VALUE"""),"B")</f>
        <v>B</v>
      </c>
      <c r="G2922" t="str">
        <f>IFERROR(__xludf.DUMMYFUNCTION("""COMPUTED_VALUE"""),"AC")</f>
        <v>AC</v>
      </c>
      <c r="H2922">
        <f>IFERROR(__xludf.DUMMYFUNCTION("""COMPUTED_VALUE"""),29.99)</f>
        <v>29.99</v>
      </c>
      <c r="I2922">
        <f>IFERROR(__xludf.DUMMYFUNCTION("""COMPUTED_VALUE"""),29.99)</f>
        <v>29.99</v>
      </c>
      <c r="BD2922" s="2006"/>
      <c r="LL2922" s="2007"/>
      <c r="LM2922" s="2007"/>
      <c r="MX2922" s="2007"/>
      <c r="ND2922" s="2007"/>
    </row>
    <row r="2923">
      <c r="A2923">
        <f>IFERROR(__xludf.DUMMYFUNCTION("""COMPUTED_VALUE"""),8008764.0)</f>
        <v>8008764</v>
      </c>
      <c r="B2923">
        <f>IFERROR(__xludf.DUMMYFUNCTION("""COMPUTED_VALUE"""),2502015.0)</f>
        <v>2502015</v>
      </c>
      <c r="C2923" t="str">
        <f>IFERROR(__xludf.DUMMYFUNCTION("""COMPUTED_VALUE"""),"Clavier+Souris")</f>
        <v>Clavier+Souris</v>
      </c>
      <c r="D2923" t="str">
        <f>IFERROR(__xludf.DUMMYFUNCTION("""COMPUTED_VALUE"""),"KM-20-SF")</f>
        <v>KM-20-SF</v>
      </c>
      <c r="E2923" t="str">
        <f>IFERROR(__xludf.DUMMYFUNCTION("""COMPUTED_VALUE"""),"ADEQWAT")</f>
        <v>ADEQWAT</v>
      </c>
      <c r="F2923" t="str">
        <f>IFERROR(__xludf.DUMMYFUNCTION("""COMPUTED_VALUE"""),"A")</f>
        <v>A</v>
      </c>
      <c r="G2923" t="str">
        <f>IFERROR(__xludf.DUMMYFUNCTION("""COMPUTED_VALUE"""),"AC")</f>
        <v>AC</v>
      </c>
      <c r="H2923">
        <f>IFERROR(__xludf.DUMMYFUNCTION("""COMPUTED_VALUE"""),41.99)</f>
        <v>41.99</v>
      </c>
      <c r="I2923">
        <f>IFERROR(__xludf.DUMMYFUNCTION("""COMPUTED_VALUE"""),41.99)</f>
        <v>41.99</v>
      </c>
      <c r="BD2923" s="2006"/>
      <c r="LL2923" s="2007"/>
      <c r="LM2923" s="2007"/>
      <c r="MX2923" s="2007"/>
      <c r="ND2923" s="2007"/>
    </row>
    <row r="2924">
      <c r="A2924">
        <f>IFERROR(__xludf.DUMMYFUNCTION("""COMPUTED_VALUE"""),8008968.0)</f>
        <v>8008968</v>
      </c>
      <c r="B2924">
        <f>IFERROR(__xludf.DUMMYFUNCTION("""COMPUTED_VALUE"""),2502010.0)</f>
        <v>2502010</v>
      </c>
      <c r="C2924" t="str">
        <f>IFERROR(__xludf.DUMMYFUNCTION("""COMPUTED_VALUE"""),"Souris")</f>
        <v>Souris</v>
      </c>
      <c r="D2924" t="str">
        <f>IFERROR(__xludf.DUMMYFUNCTION("""COMPUTED_VALUE"""),"M-21-SF_R")</f>
        <v>M-21-SF_R</v>
      </c>
      <c r="E2924" t="str">
        <f>IFERROR(__xludf.DUMMYFUNCTION("""COMPUTED_VALUE"""),"ESSENTIELB")</f>
        <v>ESSENTIELB</v>
      </c>
      <c r="F2924" t="str">
        <f>IFERROR(__xludf.DUMMYFUNCTION("""COMPUTED_VALUE"""),"A")</f>
        <v>A</v>
      </c>
      <c r="G2924" t="str">
        <f>IFERROR(__xludf.DUMMYFUNCTION("""COMPUTED_VALUE"""),"NN")</f>
        <v>NN</v>
      </c>
      <c r="H2924">
        <f>IFERROR(__xludf.DUMMYFUNCTION("""COMPUTED_VALUE"""),5.99)</f>
        <v>5.99</v>
      </c>
      <c r="I2924">
        <f>IFERROR(__xludf.DUMMYFUNCTION("""COMPUTED_VALUE"""),5.99)</f>
        <v>5.99</v>
      </c>
      <c r="BD2924" s="2006"/>
      <c r="LL2924" s="2007"/>
      <c r="LM2924" s="2007"/>
      <c r="MX2924" s="2007"/>
      <c r="ND2924" s="2007"/>
    </row>
    <row r="2925">
      <c r="A2925">
        <f>IFERROR(__xludf.DUMMYFUNCTION("""COMPUTED_VALUE"""),8008969.0)</f>
        <v>8008969</v>
      </c>
      <c r="B2925">
        <f>IFERROR(__xludf.DUMMYFUNCTION("""COMPUTED_VALUE"""),2502010.0)</f>
        <v>2502010</v>
      </c>
      <c r="C2925" t="str">
        <f>IFERROR(__xludf.DUMMYFUNCTION("""COMPUTED_VALUE"""),"Souris")</f>
        <v>Souris</v>
      </c>
      <c r="D2925" t="str">
        <f>IFERROR(__xludf.DUMMYFUNCTION("""COMPUTED_VALUE"""),"M-21-SF_V")</f>
        <v>M-21-SF_V</v>
      </c>
      <c r="E2925" t="str">
        <f>IFERROR(__xludf.DUMMYFUNCTION("""COMPUTED_VALUE"""),"ESSENTIELB")</f>
        <v>ESSENTIELB</v>
      </c>
      <c r="F2925" t="str">
        <f>IFERROR(__xludf.DUMMYFUNCTION("""COMPUTED_VALUE"""),"A")</f>
        <v>A</v>
      </c>
      <c r="G2925" t="str">
        <f>IFERROR(__xludf.DUMMYFUNCTION("""COMPUTED_VALUE"""),"NN")</f>
        <v>NN</v>
      </c>
      <c r="H2925">
        <f>IFERROR(__xludf.DUMMYFUNCTION("""COMPUTED_VALUE"""),5.99)</f>
        <v>5.99</v>
      </c>
      <c r="I2925">
        <f>IFERROR(__xludf.DUMMYFUNCTION("""COMPUTED_VALUE"""),5.99)</f>
        <v>5.99</v>
      </c>
      <c r="BD2925" s="2006"/>
      <c r="LL2925" s="2007"/>
      <c r="LM2925" s="2007"/>
      <c r="MX2925" s="2007"/>
      <c r="ND2925" s="2007"/>
    </row>
    <row r="2926">
      <c r="A2926">
        <f>IFERROR(__xludf.DUMMYFUNCTION("""COMPUTED_VALUE"""),8008970.0)</f>
        <v>8008970</v>
      </c>
      <c r="B2926">
        <f>IFERROR(__xludf.DUMMYFUNCTION("""COMPUTED_VALUE"""),2502010.0)</f>
        <v>2502010</v>
      </c>
      <c r="C2926" t="str">
        <f>IFERROR(__xludf.DUMMYFUNCTION("""COMPUTED_VALUE"""),"Souris")</f>
        <v>Souris</v>
      </c>
      <c r="D2926" t="str">
        <f>IFERROR(__xludf.DUMMYFUNCTION("""COMPUTED_VALUE"""),"M-21-SF_B")</f>
        <v>M-21-SF_B</v>
      </c>
      <c r="E2926" t="str">
        <f>IFERROR(__xludf.DUMMYFUNCTION("""COMPUTED_VALUE"""),"ESSENTIELB")</f>
        <v>ESSENTIELB</v>
      </c>
      <c r="F2926" t="str">
        <f>IFERROR(__xludf.DUMMYFUNCTION("""COMPUTED_VALUE"""),"A")</f>
        <v>A</v>
      </c>
      <c r="G2926" t="str">
        <f>IFERROR(__xludf.DUMMYFUNCTION("""COMPUTED_VALUE"""),"NN")</f>
        <v>NN</v>
      </c>
      <c r="H2926">
        <f>IFERROR(__xludf.DUMMYFUNCTION("""COMPUTED_VALUE"""),5.99)</f>
        <v>5.99</v>
      </c>
      <c r="I2926">
        <f>IFERROR(__xludf.DUMMYFUNCTION("""COMPUTED_VALUE"""),5.99)</f>
        <v>5.99</v>
      </c>
      <c r="BD2926" s="2006"/>
      <c r="LL2926" s="2007"/>
      <c r="LM2926" s="2007"/>
      <c r="MX2926" s="2007"/>
      <c r="ND2926" s="2008"/>
    </row>
    <row r="2927">
      <c r="A2927">
        <f>IFERROR(__xludf.DUMMYFUNCTION("""COMPUTED_VALUE"""),8009013.0)</f>
        <v>8009013</v>
      </c>
      <c r="B2927">
        <f>IFERROR(__xludf.DUMMYFUNCTION("""COMPUTED_VALUE"""),2503010.0)</f>
        <v>2503010</v>
      </c>
      <c r="C2927" t="str">
        <f>IFERROR(__xludf.DUMMYFUNCTION("""COMPUTED_VALUE"""),"Casque micro")</f>
        <v>Casque micro</v>
      </c>
      <c r="D2927" t="str">
        <f>IFERROR(__xludf.DUMMYFUNCTION("""COMPUTED_VALUE"""),"EB_MH-10-F")</f>
        <v>EB_MH-10-F</v>
      </c>
      <c r="E2927" t="str">
        <f>IFERROR(__xludf.DUMMYFUNCTION("""COMPUTED_VALUE"""),"ESSENTIELB")</f>
        <v>ESSENTIELB</v>
      </c>
      <c r="F2927" t="str">
        <f>IFERROR(__xludf.DUMMYFUNCTION("""COMPUTED_VALUE"""),"A")</f>
        <v>A</v>
      </c>
      <c r="G2927" t="str">
        <f>IFERROR(__xludf.DUMMYFUNCTION("""COMPUTED_VALUE"""),"FR")</f>
        <v>FR</v>
      </c>
      <c r="H2927">
        <f>IFERROR(__xludf.DUMMYFUNCTION("""COMPUTED_VALUE"""),25.99)</f>
        <v>25.99</v>
      </c>
      <c r="I2927">
        <f>IFERROR(__xludf.DUMMYFUNCTION("""COMPUTED_VALUE"""),25.99)</f>
        <v>25.99</v>
      </c>
      <c r="BD2927" s="2006"/>
      <c r="LL2927" s="2008"/>
      <c r="LM2927" s="2007"/>
      <c r="MX2927" s="2007"/>
      <c r="ND2927" s="2007"/>
    </row>
    <row r="2928">
      <c r="A2928">
        <f>IFERROR(__xludf.DUMMYFUNCTION("""COMPUTED_VALUE"""),8009111.0)</f>
        <v>8009111</v>
      </c>
      <c r="B2928">
        <f>IFERROR(__xludf.DUMMYFUNCTION("""COMPUTED_VALUE"""),2502015.0)</f>
        <v>2502015</v>
      </c>
      <c r="C2928" t="str">
        <f>IFERROR(__xludf.DUMMYFUNCTION("""COMPUTED_VALUE"""),"Clavier")</f>
        <v>Clavier</v>
      </c>
      <c r="D2928" t="str">
        <f>IFERROR(__xludf.DUMMYFUNCTION("""COMPUTED_VALUE"""),"K-10-SF_A pour MAC")</f>
        <v>K-10-SF_A pour MAC</v>
      </c>
      <c r="E2928" t="str">
        <f>IFERROR(__xludf.DUMMYFUNCTION("""COMPUTED_VALUE"""),"ESSENTIELB")</f>
        <v>ESSENTIELB</v>
      </c>
      <c r="F2928" t="str">
        <f>IFERROR(__xludf.DUMMYFUNCTION("""COMPUTED_VALUE"""),"B")</f>
        <v>B</v>
      </c>
      <c r="G2928" t="str">
        <f>IFERROR(__xludf.DUMMYFUNCTION("""COMPUTED_VALUE"""),"FR")</f>
        <v>FR</v>
      </c>
      <c r="H2928">
        <f>IFERROR(__xludf.DUMMYFUNCTION("""COMPUTED_VALUE"""),39.99)</f>
        <v>39.99</v>
      </c>
      <c r="I2928">
        <f>IFERROR(__xludf.DUMMYFUNCTION("""COMPUTED_VALUE"""),39.99)</f>
        <v>39.99</v>
      </c>
      <c r="BD2928" s="2006"/>
      <c r="LL2928" s="2008"/>
      <c r="LM2928" s="2007"/>
      <c r="MX2928" s="2007"/>
      <c r="ND2928" s="2008"/>
    </row>
    <row r="2929">
      <c r="A2929">
        <f>IFERROR(__xludf.DUMMYFUNCTION("""COMPUTED_VALUE"""),8009215.0)</f>
        <v>8009215</v>
      </c>
      <c r="B2929">
        <f>IFERROR(__xludf.DUMMYFUNCTION("""COMPUTED_VALUE"""),2703025.0)</f>
        <v>2703025</v>
      </c>
      <c r="C2929" t="str">
        <f>IFERROR(__xludf.DUMMYFUNCTION("""COMPUTED_VALUE"""),"DESTRUCTEUR")</f>
        <v>DESTRUCTEUR</v>
      </c>
      <c r="D2929" t="str">
        <f>IFERROR(__xludf.DUMMYFUNCTION("""COMPUTED_VALUE"""),"C602")</f>
        <v>C602</v>
      </c>
      <c r="E2929" t="str">
        <f>IFERROR(__xludf.DUMMYFUNCTION("""COMPUTED_VALUE"""),"ESSENTIELB")</f>
        <v>ESSENTIELB</v>
      </c>
      <c r="F2929" t="str">
        <f>IFERROR(__xludf.DUMMYFUNCTION("""COMPUTED_VALUE"""),"A")</f>
        <v>A</v>
      </c>
      <c r="G2929" t="str">
        <f>IFERROR(__xludf.DUMMYFUNCTION("""COMPUTED_VALUE"""),"FF")</f>
        <v>FF</v>
      </c>
      <c r="H2929">
        <f>IFERROR(__xludf.DUMMYFUNCTION("""COMPUTED_VALUE"""),99.99)</f>
        <v>99.99</v>
      </c>
      <c r="I2929">
        <f>IFERROR(__xludf.DUMMYFUNCTION("""COMPUTED_VALUE"""),99.99)</f>
        <v>99.99</v>
      </c>
      <c r="BD2929" s="2006"/>
      <c r="LL2929" s="2008"/>
      <c r="LM2929" s="2007"/>
      <c r="MX2929" s="2007"/>
      <c r="ND2929" s="2007"/>
    </row>
    <row r="2930">
      <c r="A2930">
        <f>IFERROR(__xludf.DUMMYFUNCTION("""COMPUTED_VALUE"""),8009235.0)</f>
        <v>8009235</v>
      </c>
      <c r="B2930">
        <f>IFERROR(__xludf.DUMMYFUNCTION("""COMPUTED_VALUE"""),2502010.0)</f>
        <v>2502010</v>
      </c>
      <c r="C2930" t="str">
        <f>IFERROR(__xludf.DUMMYFUNCTION("""COMPUTED_VALUE"""),"Souris")</f>
        <v>Souris</v>
      </c>
      <c r="D2930" t="str">
        <f>IFERROR(__xludf.DUMMYFUNCTION("""COMPUTED_VALUE"""),"M-22-SF_P")</f>
        <v>M-22-SF_P</v>
      </c>
      <c r="E2930" t="str">
        <f>IFERROR(__xludf.DUMMYFUNCTION("""COMPUTED_VALUE"""),"ESSENTIELB")</f>
        <v>ESSENTIELB</v>
      </c>
      <c r="F2930" t="str">
        <f>IFERROR(__xludf.DUMMYFUNCTION("""COMPUTED_VALUE"""),"A")</f>
        <v>A</v>
      </c>
      <c r="G2930" t="str">
        <f>IFERROR(__xludf.DUMMYFUNCTION("""COMPUTED_VALUE"""),"NN")</f>
        <v>NN</v>
      </c>
      <c r="H2930">
        <f>IFERROR(__xludf.DUMMYFUNCTION("""COMPUTED_VALUE"""),9.99)</f>
        <v>9.99</v>
      </c>
      <c r="I2930">
        <f>IFERROR(__xludf.DUMMYFUNCTION("""COMPUTED_VALUE"""),9.99)</f>
        <v>9.99</v>
      </c>
      <c r="BD2930" s="2006"/>
      <c r="LL2930" s="2008"/>
      <c r="LM2930" s="2007"/>
      <c r="MX2930" s="2007"/>
      <c r="ND2930" s="2007"/>
    </row>
    <row r="2931">
      <c r="A2931">
        <f>IFERROR(__xludf.DUMMYFUNCTION("""COMPUTED_VALUE"""),8009236.0)</f>
        <v>8009236</v>
      </c>
      <c r="B2931">
        <f>IFERROR(__xludf.DUMMYFUNCTION("""COMPUTED_VALUE"""),2502010.0)</f>
        <v>2502010</v>
      </c>
      <c r="C2931" t="str">
        <f>IFERROR(__xludf.DUMMYFUNCTION("""COMPUTED_VALUE"""),"Souris")</f>
        <v>Souris</v>
      </c>
      <c r="D2931" t="str">
        <f>IFERROR(__xludf.DUMMYFUNCTION("""COMPUTED_VALUE"""),"M-22-SF_O")</f>
        <v>M-22-SF_O</v>
      </c>
      <c r="E2931" t="str">
        <f>IFERROR(__xludf.DUMMYFUNCTION("""COMPUTED_VALUE"""),"ESSENTIELB")</f>
        <v>ESSENTIELB</v>
      </c>
      <c r="F2931" t="str">
        <f>IFERROR(__xludf.DUMMYFUNCTION("""COMPUTED_VALUE"""),"A")</f>
        <v>A</v>
      </c>
      <c r="G2931" t="str">
        <f>IFERROR(__xludf.DUMMYFUNCTION("""COMPUTED_VALUE"""),"NN")</f>
        <v>NN</v>
      </c>
      <c r="H2931">
        <f>IFERROR(__xludf.DUMMYFUNCTION("""COMPUTED_VALUE"""),9.99)</f>
        <v>9.99</v>
      </c>
      <c r="I2931">
        <f>IFERROR(__xludf.DUMMYFUNCTION("""COMPUTED_VALUE"""),9.99)</f>
        <v>9.99</v>
      </c>
      <c r="BD2931" s="2006"/>
      <c r="LL2931" s="2007"/>
      <c r="LM2931" s="2007"/>
      <c r="MX2931" s="2007"/>
      <c r="ND2931" s="2007"/>
    </row>
    <row r="2932">
      <c r="A2932">
        <f>IFERROR(__xludf.DUMMYFUNCTION("""COMPUTED_VALUE"""),8009237.0)</f>
        <v>8009237</v>
      </c>
      <c r="B2932">
        <f>IFERROR(__xludf.DUMMYFUNCTION("""COMPUTED_VALUE"""),2502010.0)</f>
        <v>2502010</v>
      </c>
      <c r="C2932" t="str">
        <f>IFERROR(__xludf.DUMMYFUNCTION("""COMPUTED_VALUE"""),"Souris")</f>
        <v>Souris</v>
      </c>
      <c r="D2932" t="str">
        <f>IFERROR(__xludf.DUMMYFUNCTION("""COMPUTED_VALUE"""),"M-22-SF_B")</f>
        <v>M-22-SF_B</v>
      </c>
      <c r="E2932" t="str">
        <f>IFERROR(__xludf.DUMMYFUNCTION("""COMPUTED_VALUE"""),"ESSENTIELB")</f>
        <v>ESSENTIELB</v>
      </c>
      <c r="F2932" t="str">
        <f>IFERROR(__xludf.DUMMYFUNCTION("""COMPUTED_VALUE"""),"A")</f>
        <v>A</v>
      </c>
      <c r="G2932" t="str">
        <f>IFERROR(__xludf.DUMMYFUNCTION("""COMPUTED_VALUE"""),"NN")</f>
        <v>NN</v>
      </c>
      <c r="H2932">
        <f>IFERROR(__xludf.DUMMYFUNCTION("""COMPUTED_VALUE"""),9.99)</f>
        <v>9.99</v>
      </c>
      <c r="I2932">
        <f>IFERROR(__xludf.DUMMYFUNCTION("""COMPUTED_VALUE"""),9.99)</f>
        <v>9.99</v>
      </c>
      <c r="BD2932" s="2006"/>
      <c r="LL2932" s="2008"/>
      <c r="LM2932" s="2007"/>
      <c r="MX2932" s="2007"/>
      <c r="ND2932" s="2007"/>
    </row>
    <row r="2933">
      <c r="A2933">
        <f>IFERROR(__xludf.DUMMYFUNCTION("""COMPUTED_VALUE"""),8009380.0)</f>
        <v>8009380</v>
      </c>
      <c r="B2933">
        <f>IFERROR(__xludf.DUMMYFUNCTION("""COMPUTED_VALUE"""),1101005.0)</f>
        <v>1101005</v>
      </c>
      <c r="C2933" t="str">
        <f>IFERROR(__xludf.DUMMYFUNCTION("""COMPUTED_VALUE"""),"Tél.")</f>
        <v>Tél.</v>
      </c>
      <c r="D2933" t="str">
        <f>IFERROR(__xludf.DUMMYFUNCTION("""COMPUTED_VALUE"""),"EB_TS-11-SF")</f>
        <v>EB_TS-11-SF</v>
      </c>
      <c r="E2933" t="str">
        <f>IFERROR(__xludf.DUMMYFUNCTION("""COMPUTED_VALUE"""),"ESSENTIELB")</f>
        <v>ESSENTIELB</v>
      </c>
      <c r="F2933" t="str">
        <f>IFERROR(__xludf.DUMMYFUNCTION("""COMPUTED_VALUE"""),"A")</f>
        <v>A</v>
      </c>
      <c r="G2933" t="str">
        <f>IFERROR(__xludf.DUMMYFUNCTION("""COMPUTED_VALUE"""),"FR")</f>
        <v>FR</v>
      </c>
      <c r="H2933">
        <f>IFERROR(__xludf.DUMMYFUNCTION("""COMPUTED_VALUE"""),39.99)</f>
        <v>39.99</v>
      </c>
      <c r="I2933">
        <f>IFERROR(__xludf.DUMMYFUNCTION("""COMPUTED_VALUE"""),39.99)</f>
        <v>39.99</v>
      </c>
      <c r="BD2933" s="2006"/>
      <c r="LL2933" s="2007"/>
      <c r="LM2933" s="2007"/>
      <c r="MX2933" s="2007"/>
      <c r="ND2933" s="2007"/>
    </row>
    <row r="2934">
      <c r="A2934">
        <f>IFERROR(__xludf.DUMMYFUNCTION("""COMPUTED_VALUE"""),8009381.0)</f>
        <v>8009381</v>
      </c>
      <c r="B2934">
        <f>IFERROR(__xludf.DUMMYFUNCTION("""COMPUTED_VALUE"""),1101005.0)</f>
        <v>1101005</v>
      </c>
      <c r="C2934" t="str">
        <f>IFERROR(__xludf.DUMMYFUNCTION("""COMPUTED_VALUE"""),"Tél.")</f>
        <v>Tél.</v>
      </c>
      <c r="D2934" t="str">
        <f>IFERROR(__xludf.DUMMYFUNCTION("""COMPUTED_VALUE"""),"EB_TS-12-SF")</f>
        <v>EB_TS-12-SF</v>
      </c>
      <c r="E2934" t="str">
        <f>IFERROR(__xludf.DUMMYFUNCTION("""COMPUTED_VALUE"""),"ESSENTIELB")</f>
        <v>ESSENTIELB</v>
      </c>
      <c r="F2934" t="str">
        <f>IFERROR(__xludf.DUMMYFUNCTION("""COMPUTED_VALUE"""),"A")</f>
        <v>A</v>
      </c>
      <c r="G2934" t="str">
        <f>IFERROR(__xludf.DUMMYFUNCTION("""COMPUTED_VALUE"""),"AC")</f>
        <v>AC</v>
      </c>
      <c r="H2934">
        <f>IFERROR(__xludf.DUMMYFUNCTION("""COMPUTED_VALUE"""),59.99)</f>
        <v>59.99</v>
      </c>
      <c r="I2934">
        <f>IFERROR(__xludf.DUMMYFUNCTION("""COMPUTED_VALUE"""),59.99)</f>
        <v>59.99</v>
      </c>
      <c r="BD2934" s="2006"/>
      <c r="LL2934" s="2007"/>
      <c r="LM2934" s="2007"/>
      <c r="MX2934" s="2007"/>
      <c r="ND2934" s="2008"/>
    </row>
    <row r="2935">
      <c r="A2935">
        <f>IFERROR(__xludf.DUMMYFUNCTION("""COMPUTED_VALUE"""),8009382.0)</f>
        <v>8009382</v>
      </c>
      <c r="B2935">
        <f>IFERROR(__xludf.DUMMYFUNCTION("""COMPUTED_VALUE"""),1101005.0)</f>
        <v>1101005</v>
      </c>
      <c r="C2935" t="str">
        <f>IFERROR(__xludf.DUMMYFUNCTION("""COMPUTED_VALUE"""),"Tél.")</f>
        <v>Tél.</v>
      </c>
      <c r="D2935" t="str">
        <f>IFERROR(__xludf.DUMMYFUNCTION("""COMPUTED_VALUE"""),"EB_TS-11-SF_R")</f>
        <v>EB_TS-11-SF_R</v>
      </c>
      <c r="E2935" t="str">
        <f>IFERROR(__xludf.DUMMYFUNCTION("""COMPUTED_VALUE"""),"ESSENTIELB")</f>
        <v>ESSENTIELB</v>
      </c>
      <c r="F2935" t="str">
        <f>IFERROR(__xludf.DUMMYFUNCTION("""COMPUTED_VALUE"""),"A")</f>
        <v>A</v>
      </c>
      <c r="G2935" t="str">
        <f>IFERROR(__xludf.DUMMYFUNCTION("""COMPUTED_VALUE"""),"AC")</f>
        <v>AC</v>
      </c>
      <c r="H2935">
        <f>IFERROR(__xludf.DUMMYFUNCTION("""COMPUTED_VALUE"""),49.99)</f>
        <v>49.99</v>
      </c>
      <c r="I2935">
        <f>IFERROR(__xludf.DUMMYFUNCTION("""COMPUTED_VALUE"""),49.99)</f>
        <v>49.99</v>
      </c>
      <c r="BD2935" s="2006"/>
      <c r="LL2935" s="2007"/>
      <c r="LM2935" s="2007"/>
      <c r="MX2935" s="2007"/>
      <c r="ND2935" s="2007"/>
    </row>
    <row r="2936">
      <c r="A2936">
        <f>IFERROR(__xludf.DUMMYFUNCTION("""COMPUTED_VALUE"""),8009383.0)</f>
        <v>8009383</v>
      </c>
      <c r="B2936">
        <f>IFERROR(__xludf.DUMMYFUNCTION("""COMPUTED_VALUE"""),1101005.0)</f>
        <v>1101005</v>
      </c>
      <c r="C2936" t="str">
        <f>IFERROR(__xludf.DUMMYFUNCTION("""COMPUTED_VALUE"""),"Tél.")</f>
        <v>Tél.</v>
      </c>
      <c r="D2936" t="str">
        <f>IFERROR(__xludf.DUMMYFUNCTION("""COMPUTED_VALUE"""),"EB_TS-12-SF_R")</f>
        <v>EB_TS-12-SF_R</v>
      </c>
      <c r="E2936" t="str">
        <f>IFERROR(__xludf.DUMMYFUNCTION("""COMPUTED_VALUE"""),"ESSENTIELB")</f>
        <v>ESSENTIELB</v>
      </c>
      <c r="F2936" t="str">
        <f>IFERROR(__xludf.DUMMYFUNCTION("""COMPUTED_VALUE"""),"A")</f>
        <v>A</v>
      </c>
      <c r="G2936" t="str">
        <f>IFERROR(__xludf.DUMMYFUNCTION("""COMPUTED_VALUE"""),"AC")</f>
        <v>AC</v>
      </c>
      <c r="H2936">
        <f>IFERROR(__xludf.DUMMYFUNCTION("""COMPUTED_VALUE"""),69.99)</f>
        <v>69.99</v>
      </c>
      <c r="I2936">
        <f>IFERROR(__xludf.DUMMYFUNCTION("""COMPUTED_VALUE"""),69.99)</f>
        <v>69.99</v>
      </c>
      <c r="BD2936" s="2006"/>
      <c r="LL2936" s="2007"/>
      <c r="LM2936" s="2007"/>
      <c r="MX2936" s="2007"/>
      <c r="ND2936" s="2008"/>
    </row>
    <row r="2937">
      <c r="A2937">
        <f>IFERROR(__xludf.DUMMYFUNCTION("""COMPUTED_VALUE"""),8009384.0)</f>
        <v>8009384</v>
      </c>
      <c r="B2937">
        <f>IFERROR(__xludf.DUMMYFUNCTION("""COMPUTED_VALUE"""),1101005.0)</f>
        <v>1101005</v>
      </c>
      <c r="C2937" t="str">
        <f>IFERROR(__xludf.DUMMYFUNCTION("""COMPUTED_VALUE"""),"Tél.")</f>
        <v>Tél.</v>
      </c>
      <c r="D2937" t="str">
        <f>IFERROR(__xludf.DUMMYFUNCTION("""COMPUTED_VALUE"""),"EB_TS-13-SF_R")</f>
        <v>EB_TS-13-SF_R</v>
      </c>
      <c r="E2937" t="str">
        <f>IFERROR(__xludf.DUMMYFUNCTION("""COMPUTED_VALUE"""),"ESSENTIELB")</f>
        <v>ESSENTIELB</v>
      </c>
      <c r="F2937" t="str">
        <f>IFERROR(__xludf.DUMMYFUNCTION("""COMPUTED_VALUE"""),"A")</f>
        <v>A</v>
      </c>
      <c r="G2937" t="str">
        <f>IFERROR(__xludf.DUMMYFUNCTION("""COMPUTED_VALUE"""),"AC")</f>
        <v>AC</v>
      </c>
      <c r="H2937">
        <f>IFERROR(__xludf.DUMMYFUNCTION("""COMPUTED_VALUE"""),89.99)</f>
        <v>89.99</v>
      </c>
      <c r="I2937">
        <f>IFERROR(__xludf.DUMMYFUNCTION("""COMPUTED_VALUE"""),89.99)</f>
        <v>89.99</v>
      </c>
      <c r="BD2937" s="2006"/>
      <c r="LL2937" s="2007"/>
      <c r="LM2937" s="2007"/>
      <c r="MX2937" s="2007"/>
      <c r="ND2937" s="2007"/>
    </row>
    <row r="2938">
      <c r="A2938">
        <f>IFERROR(__xludf.DUMMYFUNCTION("""COMPUTED_VALUE"""),8009385.0)</f>
        <v>8009385</v>
      </c>
      <c r="B2938">
        <f>IFERROR(__xludf.DUMMYFUNCTION("""COMPUTED_VALUE"""),1103010.0)</f>
        <v>1103010</v>
      </c>
      <c r="C2938" t="str">
        <f>IFERROR(__xludf.DUMMYFUNCTION("""COMPUTED_VALUE"""),"Tél.")</f>
        <v>Tél.</v>
      </c>
      <c r="D2938" t="str">
        <f>IFERROR(__xludf.DUMMYFUNCTION("""COMPUTED_VALUE"""),"EB_T-11-SF_R")</f>
        <v>EB_T-11-SF_R</v>
      </c>
      <c r="E2938" t="str">
        <f>IFERROR(__xludf.DUMMYFUNCTION("""COMPUTED_VALUE"""),"ESSENTIELB")</f>
        <v>ESSENTIELB</v>
      </c>
      <c r="F2938" t="str">
        <f>IFERROR(__xludf.DUMMYFUNCTION("""COMPUTED_VALUE"""),"A")</f>
        <v>A</v>
      </c>
      <c r="G2938" t="str">
        <f>IFERROR(__xludf.DUMMYFUNCTION("""COMPUTED_VALUE"""),"FR")</f>
        <v>FR</v>
      </c>
      <c r="H2938">
        <f>IFERROR(__xludf.DUMMYFUNCTION("""COMPUTED_VALUE"""),39.99)</f>
        <v>39.99</v>
      </c>
      <c r="I2938">
        <f>IFERROR(__xludf.DUMMYFUNCTION("""COMPUTED_VALUE"""),39.99)</f>
        <v>39.99</v>
      </c>
      <c r="BD2938" s="2006"/>
      <c r="LL2938" s="2007"/>
      <c r="LM2938" s="2007"/>
      <c r="MX2938" s="2007"/>
      <c r="ND2938" s="2008"/>
    </row>
    <row r="2939">
      <c r="A2939">
        <f>IFERROR(__xludf.DUMMYFUNCTION("""COMPUTED_VALUE"""),8009386.0)</f>
        <v>8009386</v>
      </c>
      <c r="B2939">
        <f>IFERROR(__xludf.DUMMYFUNCTION("""COMPUTED_VALUE"""),1103010.0)</f>
        <v>1103010</v>
      </c>
      <c r="C2939" t="str">
        <f>IFERROR(__xludf.DUMMYFUNCTION("""COMPUTED_VALUE"""),"Tél.")</f>
        <v>Tél.</v>
      </c>
      <c r="D2939" t="str">
        <f>IFERROR(__xludf.DUMMYFUNCTION("""COMPUTED_VALUE"""),"EB_T-12-SF_R")</f>
        <v>EB_T-12-SF_R</v>
      </c>
      <c r="E2939" t="str">
        <f>IFERROR(__xludf.DUMMYFUNCTION("""COMPUTED_VALUE"""),"ESSENTIELB")</f>
        <v>ESSENTIELB</v>
      </c>
      <c r="F2939" t="str">
        <f>IFERROR(__xludf.DUMMYFUNCTION("""COMPUTED_VALUE"""),"A")</f>
        <v>A</v>
      </c>
      <c r="G2939" t="str">
        <f>IFERROR(__xludf.DUMMYFUNCTION("""COMPUTED_VALUE"""),"FR")</f>
        <v>FR</v>
      </c>
      <c r="H2939">
        <f>IFERROR(__xludf.DUMMYFUNCTION("""COMPUTED_VALUE"""),59.99)</f>
        <v>59.99</v>
      </c>
      <c r="I2939">
        <f>IFERROR(__xludf.DUMMYFUNCTION("""COMPUTED_VALUE"""),59.99)</f>
        <v>59.99</v>
      </c>
      <c r="BD2939" s="2006"/>
      <c r="LL2939" s="2007"/>
      <c r="LM2939" s="2007"/>
      <c r="MX2939" s="2007"/>
      <c r="ND2939" s="2007"/>
    </row>
    <row r="2940">
      <c r="A2940">
        <f>IFERROR(__xludf.DUMMYFUNCTION("""COMPUTED_VALUE"""),8009387.0)</f>
        <v>8009387</v>
      </c>
      <c r="B2940">
        <f>IFERROR(__xludf.DUMMYFUNCTION("""COMPUTED_VALUE"""),1103010.0)</f>
        <v>1103010</v>
      </c>
      <c r="C2940" t="str">
        <f>IFERROR(__xludf.DUMMYFUNCTION("""COMPUTED_VALUE"""),"Tél.")</f>
        <v>Tél.</v>
      </c>
      <c r="D2940" t="str">
        <f>IFERROR(__xludf.DUMMYFUNCTION("""COMPUTED_VALUE"""),"EB_T-13-SF_R")</f>
        <v>EB_T-13-SF_R</v>
      </c>
      <c r="E2940" t="str">
        <f>IFERROR(__xludf.DUMMYFUNCTION("""COMPUTED_VALUE"""),"ESSENTIELB")</f>
        <v>ESSENTIELB</v>
      </c>
      <c r="F2940" t="str">
        <f>IFERROR(__xludf.DUMMYFUNCTION("""COMPUTED_VALUE"""),"A")</f>
        <v>A</v>
      </c>
      <c r="G2940" t="str">
        <f>IFERROR(__xludf.DUMMYFUNCTION("""COMPUTED_VALUE"""),"FR")</f>
        <v>FR</v>
      </c>
      <c r="H2940">
        <f>IFERROR(__xludf.DUMMYFUNCTION("""COMPUTED_VALUE"""),69.99)</f>
        <v>69.99</v>
      </c>
      <c r="I2940">
        <f>IFERROR(__xludf.DUMMYFUNCTION("""COMPUTED_VALUE"""),69.99)</f>
        <v>69.99</v>
      </c>
      <c r="BD2940" s="2006"/>
      <c r="LL2940" s="2007"/>
      <c r="LM2940" s="2007"/>
      <c r="MX2940" s="2007"/>
      <c r="ND2940" s="2007"/>
    </row>
    <row r="2941">
      <c r="A2941">
        <f>IFERROR(__xludf.DUMMYFUNCTION("""COMPUTED_VALUE"""),8009388.0)</f>
        <v>8009388</v>
      </c>
      <c r="B2941">
        <f>IFERROR(__xludf.DUMMYFUNCTION("""COMPUTED_VALUE"""),1103010.0)</f>
        <v>1103010</v>
      </c>
      <c r="C2941" t="str">
        <f>IFERROR(__xludf.DUMMYFUNCTION("""COMPUTED_VALUE"""),"Tél.")</f>
        <v>Tél.</v>
      </c>
      <c r="D2941" t="str">
        <f>IFERROR(__xludf.DUMMYFUNCTION("""COMPUTED_VALUE"""),"EB_T-11-SF")</f>
        <v>EB_T-11-SF</v>
      </c>
      <c r="E2941" t="str">
        <f>IFERROR(__xludf.DUMMYFUNCTION("""COMPUTED_VALUE"""),"ESSENTIELB")</f>
        <v>ESSENTIELB</v>
      </c>
      <c r="F2941" t="str">
        <f>IFERROR(__xludf.DUMMYFUNCTION("""COMPUTED_VALUE"""),"A")</f>
        <v>A</v>
      </c>
      <c r="G2941" t="str">
        <f>IFERROR(__xludf.DUMMYFUNCTION("""COMPUTED_VALUE"""),"FI")</f>
        <v>FI</v>
      </c>
      <c r="H2941">
        <f>IFERROR(__xludf.DUMMYFUNCTION("""COMPUTED_VALUE"""),29.99)</f>
        <v>29.99</v>
      </c>
      <c r="I2941">
        <f>IFERROR(__xludf.DUMMYFUNCTION("""COMPUTED_VALUE"""),29.99)</f>
        <v>29.99</v>
      </c>
      <c r="BD2941" s="2006"/>
      <c r="LL2941" s="2008"/>
      <c r="LM2941" s="2007"/>
      <c r="MX2941" s="2007"/>
      <c r="ND2941" s="2008"/>
    </row>
    <row r="2942">
      <c r="A2942">
        <f>IFERROR(__xludf.DUMMYFUNCTION("""COMPUTED_VALUE"""),8009389.0)</f>
        <v>8009389</v>
      </c>
      <c r="B2942">
        <f>IFERROR(__xludf.DUMMYFUNCTION("""COMPUTED_VALUE"""),1103010.0)</f>
        <v>1103010</v>
      </c>
      <c r="C2942" t="str">
        <f>IFERROR(__xludf.DUMMYFUNCTION("""COMPUTED_VALUE"""),"Tél.")</f>
        <v>Tél.</v>
      </c>
      <c r="D2942" t="str">
        <f>IFERROR(__xludf.DUMMYFUNCTION("""COMPUTED_VALUE"""),"EB_T-12-SF")</f>
        <v>EB_T-12-SF</v>
      </c>
      <c r="E2942" t="str">
        <f>IFERROR(__xludf.DUMMYFUNCTION("""COMPUTED_VALUE"""),"ESSENTIELB")</f>
        <v>ESSENTIELB</v>
      </c>
      <c r="F2942" t="str">
        <f>IFERROR(__xludf.DUMMYFUNCTION("""COMPUTED_VALUE"""),"A")</f>
        <v>A</v>
      </c>
      <c r="G2942" t="str">
        <f>IFERROR(__xludf.DUMMYFUNCTION("""COMPUTED_VALUE"""),"FR")</f>
        <v>FR</v>
      </c>
      <c r="H2942">
        <f>IFERROR(__xludf.DUMMYFUNCTION("""COMPUTED_VALUE"""),49.99)</f>
        <v>49.99</v>
      </c>
      <c r="I2942">
        <f>IFERROR(__xludf.DUMMYFUNCTION("""COMPUTED_VALUE"""),49.99)</f>
        <v>49.99</v>
      </c>
      <c r="BD2942" s="2006"/>
      <c r="LL2942" s="2007"/>
      <c r="LM2942" s="2007"/>
      <c r="MX2942" s="2007"/>
      <c r="ND2942" s="2007"/>
    </row>
    <row r="2943">
      <c r="A2943">
        <f>IFERROR(__xludf.DUMMYFUNCTION("""COMPUTED_VALUE"""),8009390.0)</f>
        <v>8009390</v>
      </c>
      <c r="B2943">
        <f>IFERROR(__xludf.DUMMYFUNCTION("""COMPUTED_VALUE"""),1103010.0)</f>
        <v>1103010</v>
      </c>
      <c r="C2943" t="str">
        <f>IFERROR(__xludf.DUMMYFUNCTION("""COMPUTED_VALUE"""),"Tél.")</f>
        <v>Tél.</v>
      </c>
      <c r="D2943" t="str">
        <f>IFERROR(__xludf.DUMMYFUNCTION("""COMPUTED_VALUE"""),"EB_T-13-SF")</f>
        <v>EB_T-13-SF</v>
      </c>
      <c r="E2943" t="str">
        <f>IFERROR(__xludf.DUMMYFUNCTION("""COMPUTED_VALUE"""),"ESSENTIELB")</f>
        <v>ESSENTIELB</v>
      </c>
      <c r="F2943" t="str">
        <f>IFERROR(__xludf.DUMMYFUNCTION("""COMPUTED_VALUE"""),"A")</f>
        <v>A</v>
      </c>
      <c r="G2943" t="str">
        <f>IFERROR(__xludf.DUMMYFUNCTION("""COMPUTED_VALUE"""),"FR")</f>
        <v>FR</v>
      </c>
      <c r="H2943">
        <f>IFERROR(__xludf.DUMMYFUNCTION("""COMPUTED_VALUE"""),64.99)</f>
        <v>64.99</v>
      </c>
      <c r="I2943">
        <f>IFERROR(__xludf.DUMMYFUNCTION("""COMPUTED_VALUE"""),64.99)</f>
        <v>64.99</v>
      </c>
      <c r="BD2943" s="2006"/>
      <c r="LL2943" s="2007"/>
      <c r="LM2943" s="2007"/>
      <c r="MX2943" s="2007"/>
      <c r="ND2943" s="2007"/>
    </row>
    <row r="2944">
      <c r="A2944">
        <f>IFERROR(__xludf.DUMMYFUNCTION("""COMPUTED_VALUE"""),8009519.0)</f>
        <v>8009519</v>
      </c>
      <c r="B2944">
        <f>IFERROR(__xludf.DUMMYFUNCTION("""COMPUTED_VALUE"""),2502015.0)</f>
        <v>2502015</v>
      </c>
      <c r="C2944" t="str">
        <f>IFERROR(__xludf.DUMMYFUNCTION("""COMPUTED_VALUE"""),"PAVE NUMERIQUE")</f>
        <v>PAVE NUMERIQUE</v>
      </c>
      <c r="D2944" t="str">
        <f>IFERROR(__xludf.DUMMYFUNCTION("""COMPUTED_VALUE"""),"EB_NP-10-F")</f>
        <v>EB_NP-10-F</v>
      </c>
      <c r="E2944" t="str">
        <f>IFERROR(__xludf.DUMMYFUNCTION("""COMPUTED_VALUE"""),"ESSENTIELB")</f>
        <v>ESSENTIELB</v>
      </c>
      <c r="F2944" t="str">
        <f>IFERROR(__xludf.DUMMYFUNCTION("""COMPUTED_VALUE"""),"B")</f>
        <v>B</v>
      </c>
      <c r="G2944" t="str">
        <f>IFERROR(__xludf.DUMMYFUNCTION("""COMPUTED_VALUE"""),"FF")</f>
        <v>FF</v>
      </c>
      <c r="H2944">
        <f>IFERROR(__xludf.DUMMYFUNCTION("""COMPUTED_VALUE"""),14.99)</f>
        <v>14.99</v>
      </c>
      <c r="I2944">
        <f>IFERROR(__xludf.DUMMYFUNCTION("""COMPUTED_VALUE"""),14.99)</f>
        <v>14.99</v>
      </c>
      <c r="BD2944" s="2006"/>
      <c r="LL2944" s="2007"/>
      <c r="LM2944" s="2007"/>
      <c r="MX2944" s="2007"/>
      <c r="ND2944" s="2007"/>
    </row>
    <row r="2945">
      <c r="A2945">
        <f>IFERROR(__xludf.DUMMYFUNCTION("""COMPUTED_VALUE"""),8009558.0)</f>
        <v>8009558</v>
      </c>
      <c r="B2945">
        <f>IFERROR(__xludf.DUMMYFUNCTION("""COMPUTED_VALUE"""),2502505.0)</f>
        <v>2502505</v>
      </c>
      <c r="C2945" t="str">
        <f>IFERROR(__xludf.DUMMYFUNCTION("""COMPUTED_VALUE"""),"Tapis")</f>
        <v>Tapis</v>
      </c>
      <c r="D2945" t="str">
        <f>IFERROR(__xludf.DUMMYFUNCTION("""COMPUTED_VALUE"""),"Peacock")</f>
        <v>Peacock</v>
      </c>
      <c r="E2945" t="str">
        <f>IFERROR(__xludf.DUMMYFUNCTION("""COMPUTED_VALUE"""),"ESSENTIELB")</f>
        <v>ESSENTIELB</v>
      </c>
      <c r="F2945" t="str">
        <f>IFERROR(__xludf.DUMMYFUNCTION("""COMPUTED_VALUE"""),"A")</f>
        <v>A</v>
      </c>
      <c r="G2945" t="str">
        <f>IFERROR(__xludf.DUMMYFUNCTION("""COMPUTED_VALUE"""),"FF")</f>
        <v>FF</v>
      </c>
      <c r="H2945">
        <f>IFERROR(__xludf.DUMMYFUNCTION("""COMPUTED_VALUE"""),6.99)</f>
        <v>6.99</v>
      </c>
      <c r="I2945">
        <f>IFERROR(__xludf.DUMMYFUNCTION("""COMPUTED_VALUE"""),6.99)</f>
        <v>6.99</v>
      </c>
      <c r="BD2945" s="2006"/>
      <c r="LL2945" s="2007"/>
      <c r="LM2945" s="2007"/>
      <c r="MX2945" s="2007"/>
      <c r="ND2945" s="2008"/>
    </row>
    <row r="2946">
      <c r="A2946">
        <f>IFERROR(__xludf.DUMMYFUNCTION("""COMPUTED_VALUE"""),8009559.0)</f>
        <v>8009559</v>
      </c>
      <c r="B2946">
        <f>IFERROR(__xludf.DUMMYFUNCTION("""COMPUTED_VALUE"""),2502505.0)</f>
        <v>2502505</v>
      </c>
      <c r="C2946" t="str">
        <f>IFERROR(__xludf.DUMMYFUNCTION("""COMPUTED_VALUE"""),"Tapis")</f>
        <v>Tapis</v>
      </c>
      <c r="D2946" t="str">
        <f>IFERROR(__xludf.DUMMYFUNCTION("""COMPUTED_VALUE"""),"EB_MP-10-R")</f>
        <v>EB_MP-10-R</v>
      </c>
      <c r="E2946" t="str">
        <f>IFERROR(__xludf.DUMMYFUNCTION("""COMPUTED_VALUE"""),"ESSENTIELB")</f>
        <v>ESSENTIELB</v>
      </c>
      <c r="F2946" t="str">
        <f>IFERROR(__xludf.DUMMYFUNCTION("""COMPUTED_VALUE"""),"A")</f>
        <v>A</v>
      </c>
      <c r="G2946" t="str">
        <f>IFERROR(__xludf.DUMMYFUNCTION("""COMPUTED_VALUE"""),"FR")</f>
        <v>FR</v>
      </c>
      <c r="H2946">
        <f>IFERROR(__xludf.DUMMYFUNCTION("""COMPUTED_VALUE"""),6.99)</f>
        <v>6.99</v>
      </c>
      <c r="I2946">
        <f>IFERROR(__xludf.DUMMYFUNCTION("""COMPUTED_VALUE"""),6.99)</f>
        <v>6.99</v>
      </c>
      <c r="BD2946" s="2006"/>
      <c r="LL2946" s="2007"/>
      <c r="LM2946" s="2007"/>
      <c r="MX2946" s="2007"/>
      <c r="ND2946" s="2007"/>
    </row>
    <row r="2947">
      <c r="A2947">
        <f>IFERROR(__xludf.DUMMYFUNCTION("""COMPUTED_VALUE"""),8009584.0)</f>
        <v>8009584</v>
      </c>
      <c r="B2947">
        <f>IFERROR(__xludf.DUMMYFUNCTION("""COMPUTED_VALUE"""),2502010.0)</f>
        <v>2502010</v>
      </c>
      <c r="C2947" t="str">
        <f>IFERROR(__xludf.DUMMYFUNCTION("""COMPUTED_VALUE"""),"Souris")</f>
        <v>Souris</v>
      </c>
      <c r="D2947" t="str">
        <f>IFERROR(__xludf.DUMMYFUNCTION("""COMPUTED_VALUE"""),"EB_MM-10-F")</f>
        <v>EB_MM-10-F</v>
      </c>
      <c r="E2947" t="str">
        <f>IFERROR(__xludf.DUMMYFUNCTION("""COMPUTED_VALUE"""),"ESSENTIELB")</f>
        <v>ESSENTIELB</v>
      </c>
      <c r="F2947" t="str">
        <f>IFERROR(__xludf.DUMMYFUNCTION("""COMPUTED_VALUE"""),"A")</f>
        <v>A</v>
      </c>
      <c r="G2947" t="str">
        <f>IFERROR(__xludf.DUMMYFUNCTION("""COMPUTED_VALUE"""),"FF")</f>
        <v>FF</v>
      </c>
      <c r="H2947">
        <f>IFERROR(__xludf.DUMMYFUNCTION("""COMPUTED_VALUE"""),13.99)</f>
        <v>13.99</v>
      </c>
      <c r="I2947">
        <f>IFERROR(__xludf.DUMMYFUNCTION("""COMPUTED_VALUE"""),13.99)</f>
        <v>13.99</v>
      </c>
      <c r="BD2947" s="2006"/>
      <c r="LL2947" s="2007"/>
      <c r="LM2947" s="2007"/>
      <c r="MX2947" s="2007"/>
      <c r="ND2947" s="2007"/>
    </row>
    <row r="2948">
      <c r="A2948">
        <f>IFERROR(__xludf.DUMMYFUNCTION("""COMPUTED_VALUE"""),8009590.0)</f>
        <v>8009590</v>
      </c>
      <c r="B2948">
        <f>IFERROR(__xludf.DUMMYFUNCTION("""COMPUTED_VALUE"""),2502024.0)</f>
        <v>2502024</v>
      </c>
      <c r="C2948" t="str">
        <f>IFERROR(__xludf.DUMMYFUNCTION("""COMPUTED_VALUE"""),"Stylet")</f>
        <v>Stylet</v>
      </c>
      <c r="D2948" t="str">
        <f>IFERROR(__xludf.DUMMYFUNCTION("""COMPUTED_VALUE"""),"Svelto blanc")</f>
        <v>Svelto blanc</v>
      </c>
      <c r="E2948" t="str">
        <f>IFERROR(__xludf.DUMMYFUNCTION("""COMPUTED_VALUE"""),"ESSENTIELB")</f>
        <v>ESSENTIELB</v>
      </c>
      <c r="F2948" t="str">
        <f>IFERROR(__xludf.DUMMYFUNCTION("""COMPUTED_VALUE"""),"A")</f>
        <v>A</v>
      </c>
      <c r="G2948" t="str">
        <f>IFERROR(__xludf.DUMMYFUNCTION("""COMPUTED_VALUE"""),"FI")</f>
        <v>FI</v>
      </c>
      <c r="H2948">
        <f>IFERROR(__xludf.DUMMYFUNCTION("""COMPUTED_VALUE"""),5.99)</f>
        <v>5.99</v>
      </c>
      <c r="I2948">
        <f>IFERROR(__xludf.DUMMYFUNCTION("""COMPUTED_VALUE"""),5.99)</f>
        <v>5.99</v>
      </c>
      <c r="BD2948" s="2006"/>
      <c r="LL2948" s="2007"/>
      <c r="LM2948" s="2007"/>
      <c r="MX2948" s="2007"/>
      <c r="ND2948" s="2007"/>
    </row>
    <row r="2949">
      <c r="A2949">
        <f>IFERROR(__xludf.DUMMYFUNCTION("""COMPUTED_VALUE"""),8009591.0)</f>
        <v>8009591</v>
      </c>
      <c r="B2949">
        <f>IFERROR(__xludf.DUMMYFUNCTION("""COMPUTED_VALUE"""),2502024.0)</f>
        <v>2502024</v>
      </c>
      <c r="C2949" t="str">
        <f>IFERROR(__xludf.DUMMYFUNCTION("""COMPUTED_VALUE"""),"Stylet")</f>
        <v>Stylet</v>
      </c>
      <c r="D2949" t="str">
        <f>IFERROR(__xludf.DUMMYFUNCTION("""COMPUTED_VALUE"""),"Svelto noir")</f>
        <v>Svelto noir</v>
      </c>
      <c r="E2949" t="str">
        <f>IFERROR(__xludf.DUMMYFUNCTION("""COMPUTED_VALUE"""),"ESSENTIELB")</f>
        <v>ESSENTIELB</v>
      </c>
      <c r="F2949" t="str">
        <f>IFERROR(__xludf.DUMMYFUNCTION("""COMPUTED_VALUE"""),"A")</f>
        <v>A</v>
      </c>
      <c r="G2949" t="str">
        <f>IFERROR(__xludf.DUMMYFUNCTION("""COMPUTED_VALUE"""),"FI")</f>
        <v>FI</v>
      </c>
      <c r="H2949">
        <f>IFERROR(__xludf.DUMMYFUNCTION("""COMPUTED_VALUE"""),5.99)</f>
        <v>5.99</v>
      </c>
      <c r="I2949">
        <f>IFERROR(__xludf.DUMMYFUNCTION("""COMPUTED_VALUE"""),5.99)</f>
        <v>5.99</v>
      </c>
      <c r="BD2949" s="2006"/>
      <c r="LL2949" s="2007"/>
      <c r="LM2949" s="2007"/>
      <c r="MX2949" s="2007"/>
      <c r="ND2949" s="2007"/>
    </row>
    <row r="2950">
      <c r="A2950">
        <f>IFERROR(__xludf.DUMMYFUNCTION("""COMPUTED_VALUE"""),8009634.0)</f>
        <v>8009634</v>
      </c>
      <c r="B2950">
        <f>IFERROR(__xludf.DUMMYFUNCTION("""COMPUTED_VALUE"""),2502015.0)</f>
        <v>2502015</v>
      </c>
      <c r="C2950" t="str">
        <f>IFERROR(__xludf.DUMMYFUNCTION("""COMPUTED_VALUE"""),"Clavier")</f>
        <v>Clavier</v>
      </c>
      <c r="D2950" t="str">
        <f>IFERROR(__xludf.DUMMYFUNCTION("""COMPUTED_VALUE"""),"EB_SK-10-F")</f>
        <v>EB_SK-10-F</v>
      </c>
      <c r="E2950" t="str">
        <f>IFERROR(__xludf.DUMMYFUNCTION("""COMPUTED_VALUE"""),"ESSENTIELB")</f>
        <v>ESSENTIELB</v>
      </c>
      <c r="F2950" t="str">
        <f>IFERROR(__xludf.DUMMYFUNCTION("""COMPUTED_VALUE"""),"A")</f>
        <v>A</v>
      </c>
      <c r="G2950" t="str">
        <f>IFERROR(__xludf.DUMMYFUNCTION("""COMPUTED_VALUE"""),"FI")</f>
        <v>FI</v>
      </c>
      <c r="H2950">
        <f>IFERROR(__xludf.DUMMYFUNCTION("""COMPUTED_VALUE"""),16.99)</f>
        <v>16.99</v>
      </c>
      <c r="I2950">
        <f>IFERROR(__xludf.DUMMYFUNCTION("""COMPUTED_VALUE"""),16.99)</f>
        <v>16.99</v>
      </c>
      <c r="BD2950" s="2006"/>
      <c r="LL2950" s="2007"/>
      <c r="LM2950" s="2007"/>
      <c r="MX2950" s="2007"/>
      <c r="ND2950" s="2007"/>
    </row>
    <row r="2951">
      <c r="A2951">
        <f>IFERROR(__xludf.DUMMYFUNCTION("""COMPUTED_VALUE"""),8009643.0)</f>
        <v>8009643</v>
      </c>
      <c r="B2951">
        <f>IFERROR(__xludf.DUMMYFUNCTION("""COMPUTED_VALUE"""),2502010.0)</f>
        <v>2502010</v>
      </c>
      <c r="C2951" t="str">
        <f>IFERROR(__xludf.DUMMYFUNCTION("""COMPUTED_VALUE"""),"Souris")</f>
        <v>Souris</v>
      </c>
      <c r="D2951" t="str">
        <f>IFERROR(__xludf.DUMMYFUNCTION("""COMPUTED_VALUE"""),"EB_VM-10-SF")</f>
        <v>EB_VM-10-SF</v>
      </c>
      <c r="E2951" t="str">
        <f>IFERROR(__xludf.DUMMYFUNCTION("""COMPUTED_VALUE"""),"ESSENTIELB")</f>
        <v>ESSENTIELB</v>
      </c>
      <c r="F2951" t="str">
        <f>IFERROR(__xludf.DUMMYFUNCTION("""COMPUTED_VALUE"""),"A")</f>
        <v>A</v>
      </c>
      <c r="G2951" t="str">
        <f>IFERROR(__xludf.DUMMYFUNCTION("""COMPUTED_VALUE"""),"AC")</f>
        <v>AC</v>
      </c>
      <c r="H2951">
        <f>IFERROR(__xludf.DUMMYFUNCTION("""COMPUTED_VALUE"""),24.99)</f>
        <v>24.99</v>
      </c>
      <c r="I2951">
        <f>IFERROR(__xludf.DUMMYFUNCTION("""COMPUTED_VALUE"""),24.99)</f>
        <v>24.99</v>
      </c>
      <c r="BD2951" s="2006"/>
      <c r="LL2951" s="2007"/>
      <c r="LM2951" s="2007"/>
      <c r="MX2951" s="2007"/>
      <c r="ND2951" s="2008"/>
    </row>
    <row r="2952">
      <c r="A2952">
        <f>IFERROR(__xludf.DUMMYFUNCTION("""COMPUTED_VALUE"""),8009855.0)</f>
        <v>8009855</v>
      </c>
      <c r="B2952">
        <f>IFERROR(__xludf.DUMMYFUNCTION("""COMPUTED_VALUE"""),2503005.0)</f>
        <v>2503005</v>
      </c>
      <c r="C2952" t="str">
        <f>IFERROR(__xludf.DUMMYFUNCTION("""COMPUTED_VALUE"""),"Enceinte")</f>
        <v>Enceinte</v>
      </c>
      <c r="D2952" t="str">
        <f>IFERROR(__xludf.DUMMYFUNCTION("""COMPUTED_VALUE"""),"pour PC")</f>
        <v>pour PC</v>
      </c>
      <c r="E2952" t="str">
        <f>IFERROR(__xludf.DUMMYFUNCTION("""COMPUTED_VALUE"""),"LISTO")</f>
        <v>LISTO</v>
      </c>
      <c r="F2952" t="str">
        <f>IFERROR(__xludf.DUMMYFUNCTION("""COMPUTED_VALUE"""),"A")</f>
        <v>A</v>
      </c>
      <c r="G2952" t="str">
        <f>IFERROR(__xludf.DUMMYFUNCTION("""COMPUTED_VALUE"""),"AC")</f>
        <v>AC</v>
      </c>
      <c r="H2952">
        <f>IFERROR(__xludf.DUMMYFUNCTION("""COMPUTED_VALUE"""),14.99)</f>
        <v>14.99</v>
      </c>
      <c r="I2952">
        <f>IFERROR(__xludf.DUMMYFUNCTION("""COMPUTED_VALUE"""),14.99)</f>
        <v>14.99</v>
      </c>
      <c r="BD2952" s="2006"/>
      <c r="LL2952" s="2007"/>
      <c r="LM2952" s="2007"/>
      <c r="MX2952" s="2007"/>
      <c r="ND2952" s="2007"/>
    </row>
    <row r="2953">
      <c r="A2953">
        <f>IFERROR(__xludf.DUMMYFUNCTION("""COMPUTED_VALUE"""),8009857.0)</f>
        <v>8009857</v>
      </c>
      <c r="B2953">
        <f>IFERROR(__xludf.DUMMYFUNCTION("""COMPUTED_VALUE"""),2706520.0)</f>
        <v>2706520</v>
      </c>
      <c r="C2953" t="str">
        <f>IFERROR(__xludf.DUMMYFUNCTION("""COMPUTED_VALUE"""),"Lampe")</f>
        <v>Lampe</v>
      </c>
      <c r="D2953" t="str">
        <f>IFERROR(__xludf.DUMMYFUNCTION("""COMPUTED_VALUE"""),"Lampe de bureau")</f>
        <v>Lampe de bureau</v>
      </c>
      <c r="E2953" t="str">
        <f>IFERROR(__xludf.DUMMYFUNCTION("""COMPUTED_VALUE"""),"ESSENTIELB")</f>
        <v>ESSENTIELB</v>
      </c>
      <c r="F2953" t="str">
        <f>IFERROR(__xludf.DUMMYFUNCTION("""COMPUTED_VALUE"""),"A")</f>
        <v>A</v>
      </c>
      <c r="G2953" t="str">
        <f>IFERROR(__xludf.DUMMYFUNCTION("""COMPUTED_VALUE"""),"FR")</f>
        <v>FR</v>
      </c>
      <c r="H2953">
        <f>IFERROR(__xludf.DUMMYFUNCTION("""COMPUTED_VALUE"""),34.99)</f>
        <v>34.99</v>
      </c>
      <c r="I2953">
        <f>IFERROR(__xludf.DUMMYFUNCTION("""COMPUTED_VALUE"""),34.99)</f>
        <v>34.99</v>
      </c>
      <c r="BD2953" s="2006"/>
      <c r="LL2953" s="2007"/>
      <c r="LM2953" s="2007"/>
      <c r="MX2953" s="2007"/>
      <c r="ND2953" s="2007"/>
    </row>
    <row r="2954">
      <c r="A2954">
        <f>IFERROR(__xludf.DUMMYFUNCTION("""COMPUTED_VALUE"""),8010037.0)</f>
        <v>8010037</v>
      </c>
      <c r="B2954">
        <f>IFERROR(__xludf.DUMMYFUNCTION("""COMPUTED_VALUE"""),2403005.0)</f>
        <v>2403005</v>
      </c>
      <c r="C2954" t="str">
        <f>IFERROR(__xludf.DUMMYFUNCTION("""COMPUTED_VALUE"""),"Cartouche")</f>
        <v>Cartouche</v>
      </c>
      <c r="D2954" t="str">
        <f>IFERROR(__xludf.DUMMYFUNCTION("""COMPUTED_VALUE"""),"C525 Noir")</f>
        <v>C525 Noir</v>
      </c>
      <c r="E2954" t="str">
        <f>IFERROR(__xludf.DUMMYFUNCTION("""COMPUTED_VALUE"""),"ESSENTIELB")</f>
        <v>ESSENTIELB</v>
      </c>
      <c r="F2954" t="str">
        <f>IFERROR(__xludf.DUMMYFUNCTION("""COMPUTED_VALUE"""),"A")</f>
        <v>A</v>
      </c>
      <c r="G2954" t="str">
        <f>IFERROR(__xludf.DUMMYFUNCTION("""COMPUTED_VALUE"""),"FR")</f>
        <v>FR</v>
      </c>
      <c r="H2954">
        <f>IFERROR(__xludf.DUMMYFUNCTION("""COMPUTED_VALUE"""),12.01)</f>
        <v>12.01</v>
      </c>
      <c r="I2954">
        <f>IFERROR(__xludf.DUMMYFUNCTION("""COMPUTED_VALUE"""),12.01)</f>
        <v>12.01</v>
      </c>
      <c r="BD2954" s="2006"/>
      <c r="LL2954" s="2007"/>
      <c r="LM2954" s="2007"/>
      <c r="MX2954" s="2007"/>
      <c r="ND2954" s="2008"/>
    </row>
    <row r="2955">
      <c r="A2955">
        <f>IFERROR(__xludf.DUMMYFUNCTION("""COMPUTED_VALUE"""),8010038.0)</f>
        <v>8010038</v>
      </c>
      <c r="B2955">
        <f>IFERROR(__xludf.DUMMYFUNCTION("""COMPUTED_VALUE"""),2403005.0)</f>
        <v>2403005</v>
      </c>
      <c r="C2955" t="str">
        <f>IFERROR(__xludf.DUMMYFUNCTION("""COMPUTED_VALUE"""),"Cartouches")</f>
        <v>Cartouches</v>
      </c>
      <c r="D2955" t="str">
        <f>IFERROR(__xludf.DUMMYFUNCTION("""COMPUTED_VALUE"""),"C526 Noir photo")</f>
        <v>C526 Noir photo</v>
      </c>
      <c r="E2955" t="str">
        <f>IFERROR(__xludf.DUMMYFUNCTION("""COMPUTED_VALUE"""),"ESSENTIELB")</f>
        <v>ESSENTIELB</v>
      </c>
      <c r="F2955" t="str">
        <f>IFERROR(__xludf.DUMMYFUNCTION("""COMPUTED_VALUE"""),"A")</f>
        <v>A</v>
      </c>
      <c r="G2955" t="str">
        <f>IFERROR(__xludf.DUMMYFUNCTION("""COMPUTED_VALUE"""),"FR")</f>
        <v>FR</v>
      </c>
      <c r="H2955">
        <f>IFERROR(__xludf.DUMMYFUNCTION("""COMPUTED_VALUE"""),10.01)</f>
        <v>10.01</v>
      </c>
      <c r="I2955">
        <f>IFERROR(__xludf.DUMMYFUNCTION("""COMPUTED_VALUE"""),10.01)</f>
        <v>10.01</v>
      </c>
      <c r="BD2955" s="2006"/>
      <c r="LL2955" s="2008"/>
      <c r="LM2955" s="2007"/>
      <c r="MX2955" s="2007"/>
      <c r="ND2955" s="2008"/>
    </row>
    <row r="2956">
      <c r="A2956">
        <f>IFERROR(__xludf.DUMMYFUNCTION("""COMPUTED_VALUE"""),8010039.0)</f>
        <v>8010039</v>
      </c>
      <c r="B2956">
        <f>IFERROR(__xludf.DUMMYFUNCTION("""COMPUTED_VALUE"""),2403005.0)</f>
        <v>2403005</v>
      </c>
      <c r="C2956" t="str">
        <f>IFERROR(__xludf.DUMMYFUNCTION("""COMPUTED_VALUE"""),"Cartouches")</f>
        <v>Cartouches</v>
      </c>
      <c r="D2956" t="str">
        <f>IFERROR(__xludf.DUMMYFUNCTION("""COMPUTED_VALUE"""),"C526 3 couleurs")</f>
        <v>C526 3 couleurs</v>
      </c>
      <c r="E2956" t="str">
        <f>IFERROR(__xludf.DUMMYFUNCTION("""COMPUTED_VALUE"""),"ESSENTIELB")</f>
        <v>ESSENTIELB</v>
      </c>
      <c r="F2956" t="str">
        <f>IFERROR(__xludf.DUMMYFUNCTION("""COMPUTED_VALUE"""),"A")</f>
        <v>A</v>
      </c>
      <c r="G2956" t="str">
        <f>IFERROR(__xludf.DUMMYFUNCTION("""COMPUTED_VALUE"""),"FI")</f>
        <v>FI</v>
      </c>
      <c r="H2956">
        <f>IFERROR(__xludf.DUMMYFUNCTION("""COMPUTED_VALUE"""),30.06)</f>
        <v>30.06</v>
      </c>
      <c r="I2956">
        <f>IFERROR(__xludf.DUMMYFUNCTION("""COMPUTED_VALUE"""),30.06)</f>
        <v>30.06</v>
      </c>
      <c r="BD2956" s="2006"/>
      <c r="LL2956" s="2007"/>
      <c r="LM2956" s="2007"/>
      <c r="MX2956" s="2007"/>
      <c r="ND2956" s="2007"/>
    </row>
    <row r="2957">
      <c r="A2957">
        <f>IFERROR(__xludf.DUMMYFUNCTION("""COMPUTED_VALUE"""),8010040.0)</f>
        <v>8010040</v>
      </c>
      <c r="B2957">
        <f>IFERROR(__xludf.DUMMYFUNCTION("""COMPUTED_VALUE"""),2403005.0)</f>
        <v>2403005</v>
      </c>
      <c r="C2957" t="str">
        <f>IFERROR(__xludf.DUMMYFUNCTION("""COMPUTED_VALUE"""),"Cartouches")</f>
        <v>Cartouches</v>
      </c>
      <c r="D2957" t="str">
        <f>IFERROR(__xludf.DUMMYFUNCTION("""COMPUTED_VALUE"""),"C540 XL Noir")</f>
        <v>C540 XL Noir</v>
      </c>
      <c r="E2957" t="str">
        <f>IFERROR(__xludf.DUMMYFUNCTION("""COMPUTED_VALUE"""),"ESSENTIELB")</f>
        <v>ESSENTIELB</v>
      </c>
      <c r="F2957" t="str">
        <f>IFERROR(__xludf.DUMMYFUNCTION("""COMPUTED_VALUE"""),"B")</f>
        <v>B</v>
      </c>
      <c r="G2957" t="str">
        <f>IFERROR(__xludf.DUMMYFUNCTION("""COMPUTED_VALUE"""),"AC")</f>
        <v>AC</v>
      </c>
      <c r="H2957">
        <f>IFERROR(__xludf.DUMMYFUNCTION("""COMPUTED_VALUE"""),24.04)</f>
        <v>24.04</v>
      </c>
      <c r="I2957">
        <f>IFERROR(__xludf.DUMMYFUNCTION("""COMPUTED_VALUE"""),24.04)</f>
        <v>24.04</v>
      </c>
      <c r="BD2957" s="2006"/>
      <c r="LL2957" s="2007"/>
      <c r="LM2957" s="2007"/>
      <c r="MX2957" s="2007"/>
      <c r="ND2957" s="2008"/>
    </row>
    <row r="2958">
      <c r="A2958">
        <f>IFERROR(__xludf.DUMMYFUNCTION("""COMPUTED_VALUE"""),8010041.0)</f>
        <v>8010041</v>
      </c>
      <c r="B2958">
        <f>IFERROR(__xludf.DUMMYFUNCTION("""COMPUTED_VALUE"""),2403005.0)</f>
        <v>2403005</v>
      </c>
      <c r="C2958" t="str">
        <f>IFERROR(__xludf.DUMMYFUNCTION("""COMPUTED_VALUE"""),"Cartouche")</f>
        <v>Cartouche</v>
      </c>
      <c r="D2958" t="str">
        <f>IFERROR(__xludf.DUMMYFUNCTION("""COMPUTED_VALUE"""),"C541 XL 3 couleurs")</f>
        <v>C541 XL 3 couleurs</v>
      </c>
      <c r="E2958" t="str">
        <f>IFERROR(__xludf.DUMMYFUNCTION("""COMPUTED_VALUE"""),"ESSENTIELB")</f>
        <v>ESSENTIELB</v>
      </c>
      <c r="F2958" t="str">
        <f>IFERROR(__xludf.DUMMYFUNCTION("""COMPUTED_VALUE"""),"A")</f>
        <v>A</v>
      </c>
      <c r="G2958" t="str">
        <f>IFERROR(__xludf.DUMMYFUNCTION("""COMPUTED_VALUE"""),"FR")</f>
        <v>FR</v>
      </c>
      <c r="H2958">
        <f>IFERROR(__xludf.DUMMYFUNCTION("""COMPUTED_VALUE"""),24.01)</f>
        <v>24.01</v>
      </c>
      <c r="I2958">
        <f>IFERROR(__xludf.DUMMYFUNCTION("""COMPUTED_VALUE"""),24.01)</f>
        <v>24.01</v>
      </c>
      <c r="BD2958" s="2006"/>
      <c r="LL2958" s="2007"/>
      <c r="LM2958" s="2007"/>
      <c r="MX2958" s="2007"/>
      <c r="ND2958" s="2008"/>
    </row>
    <row r="2959">
      <c r="A2959">
        <f>IFERROR(__xludf.DUMMYFUNCTION("""COMPUTED_VALUE"""),8010042.0)</f>
        <v>8010042</v>
      </c>
      <c r="B2959">
        <f>IFERROR(__xludf.DUMMYFUNCTION("""COMPUTED_VALUE"""),2403005.0)</f>
        <v>2403005</v>
      </c>
      <c r="C2959" t="str">
        <f>IFERROR(__xludf.DUMMYFUNCTION("""COMPUTED_VALUE"""),"Cartouche")</f>
        <v>Cartouche</v>
      </c>
      <c r="D2959" t="str">
        <f>IFERROR(__xludf.DUMMYFUNCTION("""COMPUTED_VALUE"""),"C540/C541 XL - Noir + 3 couleurs")</f>
        <v>C540/C541 XL - Noir + 3 couleurs</v>
      </c>
      <c r="E2959" t="str">
        <f>IFERROR(__xludf.DUMMYFUNCTION("""COMPUTED_VALUE"""),"ESSENTIELB")</f>
        <v>ESSENTIELB</v>
      </c>
      <c r="F2959" t="str">
        <f>IFERROR(__xludf.DUMMYFUNCTION("""COMPUTED_VALUE"""),"A")</f>
        <v>A</v>
      </c>
      <c r="G2959" t="str">
        <f>IFERROR(__xludf.DUMMYFUNCTION("""COMPUTED_VALUE"""),"AC")</f>
        <v>AC</v>
      </c>
      <c r="H2959">
        <f>IFERROR(__xludf.DUMMYFUNCTION("""COMPUTED_VALUE"""),43.04)</f>
        <v>43.04</v>
      </c>
      <c r="I2959">
        <f>IFERROR(__xludf.DUMMYFUNCTION("""COMPUTED_VALUE"""),43.04)</f>
        <v>43.04</v>
      </c>
      <c r="BD2959" s="2006"/>
      <c r="LL2959" s="2008"/>
      <c r="LM2959" s="2007"/>
      <c r="MX2959" s="2007"/>
      <c r="ND2959" s="2008"/>
    </row>
    <row r="2960">
      <c r="A2960">
        <f>IFERROR(__xludf.DUMMYFUNCTION("""COMPUTED_VALUE"""),8010043.0)</f>
        <v>8010043</v>
      </c>
      <c r="B2960">
        <f>IFERROR(__xludf.DUMMYFUNCTION("""COMPUTED_VALUE"""),2403005.0)</f>
        <v>2403005</v>
      </c>
      <c r="C2960" t="str">
        <f>IFERROR(__xludf.DUMMYFUNCTION("""COMPUTED_VALUE"""),"Cartouche")</f>
        <v>Cartouche</v>
      </c>
      <c r="D2960" t="str">
        <f>IFERROR(__xludf.DUMMYFUNCTION("""COMPUTED_VALUE"""),"C545 XL Noir")</f>
        <v>C545 XL Noir</v>
      </c>
      <c r="E2960" t="str">
        <f>IFERROR(__xludf.DUMMYFUNCTION("""COMPUTED_VALUE"""),"ESSENTIELB")</f>
        <v>ESSENTIELB</v>
      </c>
      <c r="F2960" t="str">
        <f>IFERROR(__xludf.DUMMYFUNCTION("""COMPUTED_VALUE"""),"A")</f>
        <v>A</v>
      </c>
      <c r="G2960" t="str">
        <f>IFERROR(__xludf.DUMMYFUNCTION("""COMPUTED_VALUE"""),"AC")</f>
        <v>AC</v>
      </c>
      <c r="H2960">
        <f>IFERROR(__xludf.DUMMYFUNCTION("""COMPUTED_VALUE"""),23.01)</f>
        <v>23.01</v>
      </c>
      <c r="I2960">
        <f>IFERROR(__xludf.DUMMYFUNCTION("""COMPUTED_VALUE"""),23.01)</f>
        <v>23.01</v>
      </c>
      <c r="BD2960" s="2006"/>
      <c r="LL2960" s="2007"/>
      <c r="LM2960" s="2007"/>
      <c r="MX2960" s="2007"/>
      <c r="ND2960" s="2008"/>
    </row>
    <row r="2961">
      <c r="A2961">
        <f>IFERROR(__xludf.DUMMYFUNCTION("""COMPUTED_VALUE"""),8010044.0)</f>
        <v>8010044</v>
      </c>
      <c r="B2961">
        <f>IFERROR(__xludf.DUMMYFUNCTION("""COMPUTED_VALUE"""),2403005.0)</f>
        <v>2403005</v>
      </c>
      <c r="C2961" t="str">
        <f>IFERROR(__xludf.DUMMYFUNCTION("""COMPUTED_VALUE"""),"Cartouche")</f>
        <v>Cartouche</v>
      </c>
      <c r="D2961" t="str">
        <f>IFERROR(__xludf.DUMMYFUNCTION("""COMPUTED_VALUE"""),"C546 XL 3 couleurs")</f>
        <v>C546 XL 3 couleurs</v>
      </c>
      <c r="E2961" t="str">
        <f>IFERROR(__xludf.DUMMYFUNCTION("""COMPUTED_VALUE"""),"ESSENTIELB")</f>
        <v>ESSENTIELB</v>
      </c>
      <c r="F2961" t="str">
        <f>IFERROR(__xludf.DUMMYFUNCTION("""COMPUTED_VALUE"""),"A")</f>
        <v>A</v>
      </c>
      <c r="G2961" t="str">
        <f>IFERROR(__xludf.DUMMYFUNCTION("""COMPUTED_VALUE"""),"FR")</f>
        <v>FR</v>
      </c>
      <c r="H2961">
        <f>IFERROR(__xludf.DUMMYFUNCTION("""COMPUTED_VALUE"""),23.01)</f>
        <v>23.01</v>
      </c>
      <c r="I2961">
        <f>IFERROR(__xludf.DUMMYFUNCTION("""COMPUTED_VALUE"""),23.01)</f>
        <v>23.01</v>
      </c>
      <c r="BD2961" s="2006"/>
      <c r="LL2961" s="2007"/>
      <c r="LM2961" s="2007"/>
      <c r="MX2961" s="2007"/>
      <c r="ND2961" s="2008"/>
    </row>
    <row r="2962">
      <c r="A2962">
        <f>IFERROR(__xludf.DUMMYFUNCTION("""COMPUTED_VALUE"""),8010045.0)</f>
        <v>8010045</v>
      </c>
      <c r="B2962">
        <f>IFERROR(__xludf.DUMMYFUNCTION("""COMPUTED_VALUE"""),2403005.0)</f>
        <v>2403005</v>
      </c>
      <c r="C2962" t="str">
        <f>IFERROR(__xludf.DUMMYFUNCTION("""COMPUTED_VALUE"""),"Cartouche")</f>
        <v>Cartouche</v>
      </c>
      <c r="D2962" t="str">
        <f>IFERROR(__xludf.DUMMYFUNCTION("""COMPUTED_VALUE"""),"C545/C546 XL - Noir + 3 couleurs")</f>
        <v>C545/C546 XL - Noir + 3 couleurs</v>
      </c>
      <c r="E2962" t="str">
        <f>IFERROR(__xludf.DUMMYFUNCTION("""COMPUTED_VALUE"""),"ESSENTIELB")</f>
        <v>ESSENTIELB</v>
      </c>
      <c r="F2962" t="str">
        <f>IFERROR(__xludf.DUMMYFUNCTION("""COMPUTED_VALUE"""),"A")</f>
        <v>A</v>
      </c>
      <c r="G2962" t="str">
        <f>IFERROR(__xludf.DUMMYFUNCTION("""COMPUTED_VALUE"""),"AC")</f>
        <v>AC</v>
      </c>
      <c r="H2962">
        <f>IFERROR(__xludf.DUMMYFUNCTION("""COMPUTED_VALUE"""),42.04)</f>
        <v>42.04</v>
      </c>
      <c r="I2962">
        <f>IFERROR(__xludf.DUMMYFUNCTION("""COMPUTED_VALUE"""),42.04)</f>
        <v>42.04</v>
      </c>
      <c r="BD2962" s="2006"/>
      <c r="LL2962" s="2007"/>
      <c r="LM2962" s="2007"/>
      <c r="MX2962" s="2007"/>
      <c r="ND2962" s="2007"/>
    </row>
    <row r="2963">
      <c r="A2963">
        <f>IFERROR(__xludf.DUMMYFUNCTION("""COMPUTED_VALUE"""),8010046.0)</f>
        <v>8010046</v>
      </c>
      <c r="B2963">
        <f>IFERROR(__xludf.DUMMYFUNCTION("""COMPUTED_VALUE"""),2403005.0)</f>
        <v>2403005</v>
      </c>
      <c r="C2963" t="str">
        <f>IFERROR(__xludf.DUMMYFUNCTION("""COMPUTED_VALUE"""),"Cartouche")</f>
        <v>Cartouche</v>
      </c>
      <c r="D2963" t="str">
        <f>IFERROR(__xludf.DUMMYFUNCTION("""COMPUTED_VALUE"""),"C550 XL NOIR")</f>
        <v>C550 XL NOIR</v>
      </c>
      <c r="E2963" t="str">
        <f>IFERROR(__xludf.DUMMYFUNCTION("""COMPUTED_VALUE"""),"ESSENTIELB")</f>
        <v>ESSENTIELB</v>
      </c>
      <c r="F2963" t="str">
        <f>IFERROR(__xludf.DUMMYFUNCTION("""COMPUTED_VALUE"""),"B")</f>
        <v>B</v>
      </c>
      <c r="G2963" t="str">
        <f>IFERROR(__xludf.DUMMYFUNCTION("""COMPUTED_VALUE"""),"FR")</f>
        <v>FR</v>
      </c>
      <c r="H2963">
        <f>IFERROR(__xludf.DUMMYFUNCTION("""COMPUTED_VALUE"""),13.01)</f>
        <v>13.01</v>
      </c>
      <c r="I2963">
        <f>IFERROR(__xludf.DUMMYFUNCTION("""COMPUTED_VALUE"""),13.01)</f>
        <v>13.01</v>
      </c>
      <c r="BD2963" s="2006"/>
      <c r="LL2963" s="2008"/>
      <c r="LM2963" s="2007"/>
      <c r="MX2963" s="2007"/>
      <c r="ND2963" s="2008"/>
    </row>
    <row r="2964">
      <c r="A2964">
        <f>IFERROR(__xludf.DUMMYFUNCTION("""COMPUTED_VALUE"""),8010047.0)</f>
        <v>8010047</v>
      </c>
      <c r="B2964">
        <f>IFERROR(__xludf.DUMMYFUNCTION("""COMPUTED_VALUE"""),2403005.0)</f>
        <v>2403005</v>
      </c>
      <c r="C2964" t="str">
        <f>IFERROR(__xludf.DUMMYFUNCTION("""COMPUTED_VALUE"""),"Cartouche")</f>
        <v>Cartouche</v>
      </c>
      <c r="D2964" t="str">
        <f>IFERROR(__xludf.DUMMYFUNCTION("""COMPUTED_VALUE"""),"C551 XL NOIR photo")</f>
        <v>C551 XL NOIR photo</v>
      </c>
      <c r="E2964" t="str">
        <f>IFERROR(__xludf.DUMMYFUNCTION("""COMPUTED_VALUE"""),"ESSENTIELB")</f>
        <v>ESSENTIELB</v>
      </c>
      <c r="F2964" t="str">
        <f>IFERROR(__xludf.DUMMYFUNCTION("""COMPUTED_VALUE"""),"B")</f>
        <v>B</v>
      </c>
      <c r="G2964" t="str">
        <f>IFERROR(__xludf.DUMMYFUNCTION("""COMPUTED_VALUE"""),"FR")</f>
        <v>FR</v>
      </c>
      <c r="H2964">
        <f>IFERROR(__xludf.DUMMYFUNCTION("""COMPUTED_VALUE"""),10.01)</f>
        <v>10.01</v>
      </c>
      <c r="I2964">
        <f>IFERROR(__xludf.DUMMYFUNCTION("""COMPUTED_VALUE"""),10.01)</f>
        <v>10.01</v>
      </c>
      <c r="BD2964" s="2006"/>
      <c r="LL2964" s="2008"/>
      <c r="LM2964" s="2007"/>
      <c r="MX2964" s="2008"/>
      <c r="ND2964" s="2008"/>
    </row>
    <row r="2965">
      <c r="A2965">
        <f>IFERROR(__xludf.DUMMYFUNCTION("""COMPUTED_VALUE"""),8010048.0)</f>
        <v>8010048</v>
      </c>
      <c r="B2965">
        <f>IFERROR(__xludf.DUMMYFUNCTION("""COMPUTED_VALUE"""),2403005.0)</f>
        <v>2403005</v>
      </c>
      <c r="C2965" t="str">
        <f>IFERROR(__xludf.DUMMYFUNCTION("""COMPUTED_VALUE"""),"Cartouche")</f>
        <v>Cartouche</v>
      </c>
      <c r="D2965" t="str">
        <f>IFERROR(__xludf.DUMMYFUNCTION("""COMPUTED_VALUE"""),"C551 XL 3 couleurs")</f>
        <v>C551 XL 3 couleurs</v>
      </c>
      <c r="E2965" t="str">
        <f>IFERROR(__xludf.DUMMYFUNCTION("""COMPUTED_VALUE"""),"ESSENTIELB")</f>
        <v>ESSENTIELB</v>
      </c>
      <c r="F2965" t="str">
        <f>IFERROR(__xludf.DUMMYFUNCTION("""COMPUTED_VALUE"""),"B")</f>
        <v>B</v>
      </c>
      <c r="G2965" t="str">
        <f>IFERROR(__xludf.DUMMYFUNCTION("""COMPUTED_VALUE"""),"FI")</f>
        <v>FI</v>
      </c>
      <c r="H2965">
        <f>IFERROR(__xludf.DUMMYFUNCTION("""COMPUTED_VALUE"""),27.06)</f>
        <v>27.06</v>
      </c>
      <c r="I2965">
        <f>IFERROR(__xludf.DUMMYFUNCTION("""COMPUTED_VALUE"""),27.06)</f>
        <v>27.06</v>
      </c>
      <c r="BD2965" s="2006"/>
      <c r="LL2965" s="2008"/>
      <c r="LM2965" s="2007"/>
      <c r="MX2965" s="2007"/>
      <c r="ND2965" s="2008"/>
    </row>
    <row r="2966">
      <c r="A2966">
        <f>IFERROR(__xludf.DUMMYFUNCTION("""COMPUTED_VALUE"""),8010049.0)</f>
        <v>8010049</v>
      </c>
      <c r="B2966">
        <f>IFERROR(__xludf.DUMMYFUNCTION("""COMPUTED_VALUE"""),2403005.0)</f>
        <v>2403005</v>
      </c>
      <c r="C2966" t="str">
        <f>IFERROR(__xludf.DUMMYFUNCTION("""COMPUTED_VALUE"""),"Cartouche")</f>
        <v>Cartouche</v>
      </c>
      <c r="D2966" t="str">
        <f>IFERROR(__xludf.DUMMYFUNCTION("""COMPUTED_VALUE"""),"C560 XL Noir")</f>
        <v>C560 XL Noir</v>
      </c>
      <c r="E2966" t="str">
        <f>IFERROR(__xludf.DUMMYFUNCTION("""COMPUTED_VALUE"""),"ESSENTIELB")</f>
        <v>ESSENTIELB</v>
      </c>
      <c r="F2966" t="str">
        <f>IFERROR(__xludf.DUMMYFUNCTION("""COMPUTED_VALUE"""),"B")</f>
        <v>B</v>
      </c>
      <c r="G2966" t="str">
        <f>IFERROR(__xludf.DUMMYFUNCTION("""COMPUTED_VALUE"""),"AC")</f>
        <v>AC</v>
      </c>
      <c r="H2966">
        <f>IFERROR(__xludf.DUMMYFUNCTION("""COMPUTED_VALUE"""),25.01)</f>
        <v>25.01</v>
      </c>
      <c r="I2966">
        <f>IFERROR(__xludf.DUMMYFUNCTION("""COMPUTED_VALUE"""),25.01)</f>
        <v>25.01</v>
      </c>
      <c r="BD2966" s="2006"/>
      <c r="LL2966" s="2008"/>
      <c r="LM2966" s="2007"/>
      <c r="MX2966" s="2007"/>
      <c r="ND2966" s="2008"/>
    </row>
    <row r="2967">
      <c r="A2967">
        <f>IFERROR(__xludf.DUMMYFUNCTION("""COMPUTED_VALUE"""),8010050.0)</f>
        <v>8010050</v>
      </c>
      <c r="B2967">
        <f>IFERROR(__xludf.DUMMYFUNCTION("""COMPUTED_VALUE"""),2403005.0)</f>
        <v>2403005</v>
      </c>
      <c r="C2967" t="str">
        <f>IFERROR(__xludf.DUMMYFUNCTION("""COMPUTED_VALUE"""),"Cartouche")</f>
        <v>Cartouche</v>
      </c>
      <c r="D2967" t="str">
        <f>IFERROR(__xludf.DUMMYFUNCTION("""COMPUTED_VALUE"""),"C561 XL 3 couleurs")</f>
        <v>C561 XL 3 couleurs</v>
      </c>
      <c r="E2967" t="str">
        <f>IFERROR(__xludf.DUMMYFUNCTION("""COMPUTED_VALUE"""),"ESSENTIELB")</f>
        <v>ESSENTIELB</v>
      </c>
      <c r="F2967" t="str">
        <f>IFERROR(__xludf.DUMMYFUNCTION("""COMPUTED_VALUE"""),"B")</f>
        <v>B</v>
      </c>
      <c r="G2967" t="str">
        <f>IFERROR(__xludf.DUMMYFUNCTION("""COMPUTED_VALUE"""),"AC")</f>
        <v>AC</v>
      </c>
      <c r="H2967">
        <f>IFERROR(__xludf.DUMMYFUNCTION("""COMPUTED_VALUE"""),25.01)</f>
        <v>25.01</v>
      </c>
      <c r="I2967">
        <f>IFERROR(__xludf.DUMMYFUNCTION("""COMPUTED_VALUE"""),25.01)</f>
        <v>25.01</v>
      </c>
      <c r="BD2967" s="2006"/>
      <c r="LL2967" s="2008"/>
      <c r="LM2967" s="2007"/>
      <c r="MX2967" s="2007"/>
      <c r="ND2967" s="2008"/>
    </row>
    <row r="2968">
      <c r="A2968">
        <f>IFERROR(__xludf.DUMMYFUNCTION("""COMPUTED_VALUE"""),8010051.0)</f>
        <v>8010051</v>
      </c>
      <c r="B2968">
        <f>IFERROR(__xludf.DUMMYFUNCTION("""COMPUTED_VALUE"""),2403005.0)</f>
        <v>2403005</v>
      </c>
      <c r="C2968" t="str">
        <f>IFERROR(__xludf.DUMMYFUNCTION("""COMPUTED_VALUE"""),"Cartouche")</f>
        <v>Cartouche</v>
      </c>
      <c r="D2968" t="str">
        <f>IFERROR(__xludf.DUMMYFUNCTION("""COMPUTED_VALUE"""),"C570 XL NOIR")</f>
        <v>C570 XL NOIR</v>
      </c>
      <c r="E2968" t="str">
        <f>IFERROR(__xludf.DUMMYFUNCTION("""COMPUTED_VALUE"""),"ESSENTIELB")</f>
        <v>ESSENTIELB</v>
      </c>
      <c r="F2968" t="str">
        <f>IFERROR(__xludf.DUMMYFUNCTION("""COMPUTED_VALUE"""),"B")</f>
        <v>B</v>
      </c>
      <c r="G2968" t="str">
        <f>IFERROR(__xludf.DUMMYFUNCTION("""COMPUTED_VALUE"""),"AC")</f>
        <v>AC</v>
      </c>
      <c r="H2968">
        <f>IFERROR(__xludf.DUMMYFUNCTION("""COMPUTED_VALUE"""),15.01)</f>
        <v>15.01</v>
      </c>
      <c r="I2968">
        <f>IFERROR(__xludf.DUMMYFUNCTION("""COMPUTED_VALUE"""),15.01)</f>
        <v>15.01</v>
      </c>
      <c r="BD2968" s="2006"/>
      <c r="LL2968" s="2008"/>
      <c r="LM2968" s="2007"/>
      <c r="MX2968" s="2007"/>
      <c r="ND2968" s="2008"/>
    </row>
    <row r="2969">
      <c r="A2969">
        <f>IFERROR(__xludf.DUMMYFUNCTION("""COMPUTED_VALUE"""),8010052.0)</f>
        <v>8010052</v>
      </c>
      <c r="B2969">
        <f>IFERROR(__xludf.DUMMYFUNCTION("""COMPUTED_VALUE"""),2403005.0)</f>
        <v>2403005</v>
      </c>
      <c r="C2969" t="str">
        <f>IFERROR(__xludf.DUMMYFUNCTION("""COMPUTED_VALUE"""),"Cartouche")</f>
        <v>Cartouche</v>
      </c>
      <c r="D2969" t="str">
        <f>IFERROR(__xludf.DUMMYFUNCTION("""COMPUTED_VALUE"""),"C571 XL noir photo")</f>
        <v>C571 XL noir photo</v>
      </c>
      <c r="E2969" t="str">
        <f>IFERROR(__xludf.DUMMYFUNCTION("""COMPUTED_VALUE"""),"ESSENTIELB")</f>
        <v>ESSENTIELB</v>
      </c>
      <c r="F2969" t="str">
        <f>IFERROR(__xludf.DUMMYFUNCTION("""COMPUTED_VALUE"""),"B")</f>
        <v>B</v>
      </c>
      <c r="G2969" t="str">
        <f>IFERROR(__xludf.DUMMYFUNCTION("""COMPUTED_VALUE"""),"FI")</f>
        <v>FI</v>
      </c>
      <c r="H2969">
        <f>IFERROR(__xludf.DUMMYFUNCTION("""COMPUTED_VALUE"""),10.01)</f>
        <v>10.01</v>
      </c>
      <c r="I2969">
        <f>IFERROR(__xludf.DUMMYFUNCTION("""COMPUTED_VALUE"""),10.01)</f>
        <v>10.01</v>
      </c>
      <c r="BD2969" s="2006"/>
      <c r="LL2969" s="2008"/>
      <c r="LM2969" s="2007"/>
      <c r="MX2969" s="2007"/>
      <c r="ND2969" s="2008"/>
    </row>
    <row r="2970">
      <c r="A2970">
        <f>IFERROR(__xludf.DUMMYFUNCTION("""COMPUTED_VALUE"""),8010053.0)</f>
        <v>8010053</v>
      </c>
      <c r="B2970">
        <f>IFERROR(__xludf.DUMMYFUNCTION("""COMPUTED_VALUE"""),2403005.0)</f>
        <v>2403005</v>
      </c>
      <c r="C2970" t="str">
        <f>IFERROR(__xludf.DUMMYFUNCTION("""COMPUTED_VALUE"""),"Cartouche")</f>
        <v>Cartouche</v>
      </c>
      <c r="D2970" t="str">
        <f>IFERROR(__xludf.DUMMYFUNCTION("""COMPUTED_VALUE"""),"C571 XL 3 couleurs")</f>
        <v>C571 XL 3 couleurs</v>
      </c>
      <c r="E2970" t="str">
        <f>IFERROR(__xludf.DUMMYFUNCTION("""COMPUTED_VALUE"""),"ESSENTIELB")</f>
        <v>ESSENTIELB</v>
      </c>
      <c r="F2970" t="str">
        <f>IFERROR(__xludf.DUMMYFUNCTION("""COMPUTED_VALUE"""),"B")</f>
        <v>B</v>
      </c>
      <c r="G2970" t="str">
        <f>IFERROR(__xludf.DUMMYFUNCTION("""COMPUTED_VALUE"""),"AC")</f>
        <v>AC</v>
      </c>
      <c r="H2970">
        <f>IFERROR(__xludf.DUMMYFUNCTION("""COMPUTED_VALUE"""),28.06)</f>
        <v>28.06</v>
      </c>
      <c r="I2970">
        <f>IFERROR(__xludf.DUMMYFUNCTION("""COMPUTED_VALUE"""),28.06)</f>
        <v>28.06</v>
      </c>
      <c r="BD2970" s="2006"/>
      <c r="LL2970" s="2007"/>
      <c r="LM2970" s="2007"/>
      <c r="MX2970" s="2007"/>
      <c r="ND2970" s="2007"/>
    </row>
    <row r="2971">
      <c r="A2971">
        <f>IFERROR(__xludf.DUMMYFUNCTION("""COMPUTED_VALUE"""),8010054.0)</f>
        <v>8010054</v>
      </c>
      <c r="B2971">
        <f>IFERROR(__xludf.DUMMYFUNCTION("""COMPUTED_VALUE"""),2403005.0)</f>
        <v>2403005</v>
      </c>
      <c r="C2971" t="str">
        <f>IFERROR(__xludf.DUMMYFUNCTION("""COMPUTED_VALUE"""),"Cartouche")</f>
        <v>Cartouche</v>
      </c>
      <c r="D2971" t="str">
        <f>IFERROR(__xludf.DUMMYFUNCTION("""COMPUTED_VALUE"""),"C580 XXL Noir")</f>
        <v>C580 XXL Noir</v>
      </c>
      <c r="E2971" t="str">
        <f>IFERROR(__xludf.DUMMYFUNCTION("""COMPUTED_VALUE"""),"ESSENTIELB")</f>
        <v>ESSENTIELB</v>
      </c>
      <c r="F2971" t="str">
        <f>IFERROR(__xludf.DUMMYFUNCTION("""COMPUTED_VALUE"""),"B")</f>
        <v>B</v>
      </c>
      <c r="G2971" t="str">
        <f>IFERROR(__xludf.DUMMYFUNCTION("""COMPUTED_VALUE"""),"AC")</f>
        <v>AC</v>
      </c>
      <c r="H2971">
        <f>IFERROR(__xludf.DUMMYFUNCTION("""COMPUTED_VALUE"""),13.01)</f>
        <v>13.01</v>
      </c>
      <c r="I2971">
        <f>IFERROR(__xludf.DUMMYFUNCTION("""COMPUTED_VALUE"""),13.01)</f>
        <v>13.01</v>
      </c>
      <c r="BD2971" s="2006"/>
      <c r="LL2971" s="2008"/>
      <c r="LM2971" s="2007"/>
      <c r="MX2971" s="2007"/>
      <c r="ND2971" s="2008"/>
    </row>
    <row r="2972">
      <c r="A2972">
        <f>IFERROR(__xludf.DUMMYFUNCTION("""COMPUTED_VALUE"""),8010055.0)</f>
        <v>8010055</v>
      </c>
      <c r="B2972">
        <f>IFERROR(__xludf.DUMMYFUNCTION("""COMPUTED_VALUE"""),2403005.0)</f>
        <v>2403005</v>
      </c>
      <c r="C2972" t="str">
        <f>IFERROR(__xludf.DUMMYFUNCTION("""COMPUTED_VALUE"""),"Cartouche")</f>
        <v>Cartouche</v>
      </c>
      <c r="D2972" t="str">
        <f>IFERROR(__xludf.DUMMYFUNCTION("""COMPUTED_VALUE"""),"C581 XXL Noir + 3 couleurs")</f>
        <v>C581 XXL Noir + 3 couleurs</v>
      </c>
      <c r="E2972" t="str">
        <f>IFERROR(__xludf.DUMMYFUNCTION("""COMPUTED_VALUE"""),"ESSENTIELB")</f>
        <v>ESSENTIELB</v>
      </c>
      <c r="F2972" t="str">
        <f>IFERROR(__xludf.DUMMYFUNCTION("""COMPUTED_VALUE"""),"A")</f>
        <v>A</v>
      </c>
      <c r="G2972" t="str">
        <f>IFERROR(__xludf.DUMMYFUNCTION("""COMPUTED_VALUE"""),"FI")</f>
        <v>FI</v>
      </c>
      <c r="H2972">
        <f>IFERROR(__xludf.DUMMYFUNCTION("""COMPUTED_VALUE"""),43.09)</f>
        <v>43.09</v>
      </c>
      <c r="I2972">
        <f>IFERROR(__xludf.DUMMYFUNCTION("""COMPUTED_VALUE"""),43.09)</f>
        <v>43.09</v>
      </c>
      <c r="BD2972" s="2006"/>
      <c r="LL2972" s="2007"/>
      <c r="LM2972" s="2007"/>
      <c r="MX2972" s="2007"/>
      <c r="ND2972" s="2007"/>
    </row>
    <row r="2973">
      <c r="A2973">
        <f>IFERROR(__xludf.DUMMYFUNCTION("""COMPUTED_VALUE"""),8010056.0)</f>
        <v>8010056</v>
      </c>
      <c r="B2973">
        <f>IFERROR(__xludf.DUMMYFUNCTION("""COMPUTED_VALUE"""),2403005.0)</f>
        <v>2403005</v>
      </c>
      <c r="C2973" t="str">
        <f>IFERROR(__xludf.DUMMYFUNCTION("""COMPUTED_VALUE"""),"Cartouche")</f>
        <v>Cartouche</v>
      </c>
      <c r="D2973" t="str">
        <f>IFERROR(__xludf.DUMMYFUNCTION("""COMPUTED_VALUE"""),"C580/581 XXL noir + 3 couleurs")</f>
        <v>C580/581 XXL noir + 3 couleurs</v>
      </c>
      <c r="E2973" t="str">
        <f>IFERROR(__xludf.DUMMYFUNCTION("""COMPUTED_VALUE"""),"ESSENTIELB")</f>
        <v>ESSENTIELB</v>
      </c>
      <c r="F2973" t="str">
        <f>IFERROR(__xludf.DUMMYFUNCTION("""COMPUTED_VALUE"""),"A")</f>
        <v>A</v>
      </c>
      <c r="G2973" t="str">
        <f>IFERROR(__xludf.DUMMYFUNCTION("""COMPUTED_VALUE"""),"AC")</f>
        <v>AC</v>
      </c>
      <c r="H2973">
        <f>IFERROR(__xludf.DUMMYFUNCTION("""COMPUTED_VALUE"""),50.11)</f>
        <v>50.11</v>
      </c>
      <c r="I2973">
        <f>IFERROR(__xludf.DUMMYFUNCTION("""COMPUTED_VALUE"""),50.11)</f>
        <v>50.11</v>
      </c>
      <c r="BD2973" s="2006"/>
      <c r="LL2973" s="2007"/>
      <c r="LM2973" s="2007"/>
      <c r="MX2973" s="2007"/>
      <c r="NB2973" s="2007"/>
      <c r="ND2973" s="2007"/>
    </row>
    <row r="2974">
      <c r="A2974">
        <f>IFERROR(__xludf.DUMMYFUNCTION("""COMPUTED_VALUE"""),8010059.0)</f>
        <v>8010059</v>
      </c>
      <c r="B2974">
        <f>IFERROR(__xludf.DUMMYFUNCTION("""COMPUTED_VALUE"""),2403005.0)</f>
        <v>2403005</v>
      </c>
      <c r="C2974" t="str">
        <f>IFERROR(__xludf.DUMMYFUNCTION("""COMPUTED_VALUE"""),"Cartouches")</f>
        <v>Cartouches</v>
      </c>
      <c r="D2974" t="str">
        <f>IFERROR(__xludf.DUMMYFUNCTION("""COMPUTED_VALUE"""),"E29 XL Noir")</f>
        <v>E29 XL Noir</v>
      </c>
      <c r="E2974" t="str">
        <f>IFERROR(__xludf.DUMMYFUNCTION("""COMPUTED_VALUE"""),"ESSENTIELB")</f>
        <v>ESSENTIELB</v>
      </c>
      <c r="F2974" t="str">
        <f>IFERROR(__xludf.DUMMYFUNCTION("""COMPUTED_VALUE"""),"A")</f>
        <v>A</v>
      </c>
      <c r="G2974" t="str">
        <f>IFERROR(__xludf.DUMMYFUNCTION("""COMPUTED_VALUE"""),"FR")</f>
        <v>FR</v>
      </c>
      <c r="H2974">
        <f>IFERROR(__xludf.DUMMYFUNCTION("""COMPUTED_VALUE"""),13.01)</f>
        <v>13.01</v>
      </c>
      <c r="I2974">
        <f>IFERROR(__xludf.DUMMYFUNCTION("""COMPUTED_VALUE"""),13.01)</f>
        <v>13.01</v>
      </c>
      <c r="BD2974" s="2006"/>
      <c r="LL2974" s="2007"/>
      <c r="LM2974" s="2007"/>
      <c r="MX2974" s="2007"/>
      <c r="ND2974" s="2007"/>
    </row>
    <row r="2975">
      <c r="A2975">
        <f>IFERROR(__xludf.DUMMYFUNCTION("""COMPUTED_VALUE"""),8010060.0)</f>
        <v>8010060</v>
      </c>
      <c r="B2975">
        <f>IFERROR(__xludf.DUMMYFUNCTION("""COMPUTED_VALUE"""),2403005.0)</f>
        <v>2403005</v>
      </c>
      <c r="C2975" t="str">
        <f>IFERROR(__xludf.DUMMYFUNCTION("""COMPUTED_VALUE"""),"Cartouches")</f>
        <v>Cartouches</v>
      </c>
      <c r="D2975" t="str">
        <f>IFERROR(__xludf.DUMMYFUNCTION("""COMPUTED_VALUE"""),"E29 XL Noir + 3 couleurs")</f>
        <v>E29 XL Noir + 3 couleurs</v>
      </c>
      <c r="E2975" t="str">
        <f>IFERROR(__xludf.DUMMYFUNCTION("""COMPUTED_VALUE"""),"ESSENTIELB")</f>
        <v>ESSENTIELB</v>
      </c>
      <c r="F2975" t="str">
        <f>IFERROR(__xludf.DUMMYFUNCTION("""COMPUTED_VALUE"""),"B")</f>
        <v>B</v>
      </c>
      <c r="G2975" t="str">
        <f>IFERROR(__xludf.DUMMYFUNCTION("""COMPUTED_VALUE"""),"AC")</f>
        <v>AC</v>
      </c>
      <c r="H2975">
        <f>IFERROR(__xludf.DUMMYFUNCTION("""COMPUTED_VALUE"""),38.09)</f>
        <v>38.09</v>
      </c>
      <c r="I2975">
        <f>IFERROR(__xludf.DUMMYFUNCTION("""COMPUTED_VALUE"""),38.09)</f>
        <v>38.09</v>
      </c>
      <c r="BD2975" s="2006"/>
      <c r="LL2975" s="2007"/>
      <c r="LM2975" s="2007"/>
      <c r="MX2975" s="2007"/>
      <c r="ND2975" s="2007"/>
    </row>
    <row r="2976">
      <c r="A2976">
        <f>IFERROR(__xludf.DUMMYFUNCTION("""COMPUTED_VALUE"""),8010061.0)</f>
        <v>8010061</v>
      </c>
      <c r="B2976">
        <f>IFERROR(__xludf.DUMMYFUNCTION("""COMPUTED_VALUE"""),2403005.0)</f>
        <v>2403005</v>
      </c>
      <c r="C2976" t="str">
        <f>IFERROR(__xludf.DUMMYFUNCTION("""COMPUTED_VALUE"""),"Cartouches")</f>
        <v>Cartouches</v>
      </c>
      <c r="D2976" t="str">
        <f>IFERROR(__xludf.DUMMYFUNCTION("""COMPUTED_VALUE"""),"E202XL - Noir")</f>
        <v>E202XL - Noir</v>
      </c>
      <c r="E2976" t="str">
        <f>IFERROR(__xludf.DUMMYFUNCTION("""COMPUTED_VALUE"""),"ESSENTIELB")</f>
        <v>ESSENTIELB</v>
      </c>
      <c r="F2976" t="str">
        <f>IFERROR(__xludf.DUMMYFUNCTION("""COMPUTED_VALUE"""),"A")</f>
        <v>A</v>
      </c>
      <c r="G2976" t="str">
        <f>IFERROR(__xludf.DUMMYFUNCTION("""COMPUTED_VALUE"""),"FR")</f>
        <v>FR</v>
      </c>
      <c r="H2976">
        <f>IFERROR(__xludf.DUMMYFUNCTION("""COMPUTED_VALUE"""),13.01)</f>
        <v>13.01</v>
      </c>
      <c r="I2976">
        <f>IFERROR(__xludf.DUMMYFUNCTION("""COMPUTED_VALUE"""),13.01)</f>
        <v>13.01</v>
      </c>
      <c r="BD2976" s="2006"/>
      <c r="LL2976" s="2008"/>
      <c r="LM2976" s="2007"/>
      <c r="MX2976" s="2007"/>
      <c r="ND2976" s="2008"/>
    </row>
    <row r="2977">
      <c r="A2977">
        <f>IFERROR(__xludf.DUMMYFUNCTION("""COMPUTED_VALUE"""),8010062.0)</f>
        <v>8010062</v>
      </c>
      <c r="B2977">
        <f>IFERROR(__xludf.DUMMYFUNCTION("""COMPUTED_VALUE"""),2403005.0)</f>
        <v>2403005</v>
      </c>
      <c r="C2977" t="str">
        <f>IFERROR(__xludf.DUMMYFUNCTION("""COMPUTED_VALUE"""),"Cartouches")</f>
        <v>Cartouches</v>
      </c>
      <c r="D2977" t="str">
        <f>IFERROR(__xludf.DUMMYFUNCTION("""COMPUTED_VALUE"""),"E202XL Noir + 3 couleurs")</f>
        <v>E202XL Noir + 3 couleurs</v>
      </c>
      <c r="E2977" t="str">
        <f>IFERROR(__xludf.DUMMYFUNCTION("""COMPUTED_VALUE"""),"ESSENTIELB")</f>
        <v>ESSENTIELB</v>
      </c>
      <c r="F2977" t="str">
        <f>IFERROR(__xludf.DUMMYFUNCTION("""COMPUTED_VALUE"""),"B")</f>
        <v>B</v>
      </c>
      <c r="G2977" t="str">
        <f>IFERROR(__xludf.DUMMYFUNCTION("""COMPUTED_VALUE"""),"AC")</f>
        <v>AC</v>
      </c>
      <c r="H2977">
        <f>IFERROR(__xludf.DUMMYFUNCTION("""COMPUTED_VALUE"""),55.11)</f>
        <v>55.11</v>
      </c>
      <c r="I2977">
        <f>IFERROR(__xludf.DUMMYFUNCTION("""COMPUTED_VALUE"""),55.11)</f>
        <v>55.11</v>
      </c>
      <c r="BD2977" s="2006"/>
      <c r="LL2977" s="2007"/>
      <c r="LM2977" s="2007"/>
      <c r="MX2977" s="2007"/>
      <c r="ND2977" s="2007"/>
    </row>
    <row r="2978">
      <c r="A2978">
        <f>IFERROR(__xludf.DUMMYFUNCTION("""COMPUTED_VALUE"""),8010063.0)</f>
        <v>8010063</v>
      </c>
      <c r="B2978">
        <f>IFERROR(__xludf.DUMMYFUNCTION("""COMPUTED_VALUE"""),2403005.0)</f>
        <v>2403005</v>
      </c>
      <c r="C2978" t="str">
        <f>IFERROR(__xludf.DUMMYFUNCTION("""COMPUTED_VALUE"""),"Cartouches")</f>
        <v>Cartouches</v>
      </c>
      <c r="D2978" t="str">
        <f>IFERROR(__xludf.DUMMYFUNCTION("""COMPUTED_VALUE"""),"E502XL - Noir")</f>
        <v>E502XL - Noir</v>
      </c>
      <c r="E2978" t="str">
        <f>IFERROR(__xludf.DUMMYFUNCTION("""COMPUTED_VALUE"""),"ESSENTIELB")</f>
        <v>ESSENTIELB</v>
      </c>
      <c r="F2978" t="str">
        <f>IFERROR(__xludf.DUMMYFUNCTION("""COMPUTED_VALUE"""),"A")</f>
        <v>A</v>
      </c>
      <c r="G2978" t="str">
        <f>IFERROR(__xludf.DUMMYFUNCTION("""COMPUTED_VALUE"""),"FR")</f>
        <v>FR</v>
      </c>
      <c r="H2978">
        <f>IFERROR(__xludf.DUMMYFUNCTION("""COMPUTED_VALUE"""),23.01)</f>
        <v>23.01</v>
      </c>
      <c r="I2978">
        <f>IFERROR(__xludf.DUMMYFUNCTION("""COMPUTED_VALUE"""),23.01)</f>
        <v>23.01</v>
      </c>
      <c r="BD2978" s="2006"/>
      <c r="LL2978" s="2007"/>
      <c r="LM2978" s="2007"/>
      <c r="MX2978" s="2007"/>
      <c r="ND2978" s="2007"/>
    </row>
    <row r="2979">
      <c r="A2979">
        <f>IFERROR(__xludf.DUMMYFUNCTION("""COMPUTED_VALUE"""),8010064.0)</f>
        <v>8010064</v>
      </c>
      <c r="B2979">
        <f>IFERROR(__xludf.DUMMYFUNCTION("""COMPUTED_VALUE"""),2403005.0)</f>
        <v>2403005</v>
      </c>
      <c r="C2979" t="str">
        <f>IFERROR(__xludf.DUMMYFUNCTION("""COMPUTED_VALUE"""),"Cartouches")</f>
        <v>Cartouches</v>
      </c>
      <c r="D2979" t="str">
        <f>IFERROR(__xludf.DUMMYFUNCTION("""COMPUTED_VALUE"""),"E502XL Noir + 3 couleurs")</f>
        <v>E502XL Noir + 3 couleurs</v>
      </c>
      <c r="E2979" t="str">
        <f>IFERROR(__xludf.DUMMYFUNCTION("""COMPUTED_VALUE"""),"ESSENTIELB")</f>
        <v>ESSENTIELB</v>
      </c>
      <c r="F2979" t="str">
        <f>IFERROR(__xludf.DUMMYFUNCTION("""COMPUTED_VALUE"""),"B")</f>
        <v>B</v>
      </c>
      <c r="G2979" t="str">
        <f>IFERROR(__xludf.DUMMYFUNCTION("""COMPUTED_VALUE"""),"AC")</f>
        <v>AC</v>
      </c>
      <c r="H2979">
        <f>IFERROR(__xludf.DUMMYFUNCTION("""COMPUTED_VALUE"""),47.09)</f>
        <v>47.09</v>
      </c>
      <c r="I2979">
        <f>IFERROR(__xludf.DUMMYFUNCTION("""COMPUTED_VALUE"""),47.09)</f>
        <v>47.09</v>
      </c>
      <c r="BD2979" s="2006"/>
      <c r="LL2979" s="2007"/>
      <c r="LM2979" s="2007"/>
      <c r="MX2979" s="2007"/>
      <c r="ND2979" s="2007"/>
    </row>
    <row r="2980">
      <c r="A2980">
        <f>IFERROR(__xludf.DUMMYFUNCTION("""COMPUTED_VALUE"""),8010067.0)</f>
        <v>8010067</v>
      </c>
      <c r="B2980">
        <f>IFERROR(__xludf.DUMMYFUNCTION("""COMPUTED_VALUE"""),2403005.0)</f>
        <v>2403005</v>
      </c>
      <c r="C2980" t="str">
        <f>IFERROR(__xludf.DUMMYFUNCTION("""COMPUTED_VALUE"""),"Cartouches")</f>
        <v>Cartouches</v>
      </c>
      <c r="D2980" t="str">
        <f>IFERROR(__xludf.DUMMYFUNCTION("""COMPUTED_VALUE"""),"E603 XL")</f>
        <v>E603 XL</v>
      </c>
      <c r="E2980" t="str">
        <f>IFERROR(__xludf.DUMMYFUNCTION("""COMPUTED_VALUE"""),"ESSENTIELB")</f>
        <v>ESSENTIELB</v>
      </c>
      <c r="F2980" t="str">
        <f>IFERROR(__xludf.DUMMYFUNCTION("""COMPUTED_VALUE"""),"A")</f>
        <v>A</v>
      </c>
      <c r="G2980" t="str">
        <f>IFERROR(__xludf.DUMMYFUNCTION("""COMPUTED_VALUE"""),"FI")</f>
        <v>FI</v>
      </c>
      <c r="H2980">
        <f>IFERROR(__xludf.DUMMYFUNCTION("""COMPUTED_VALUE"""),16.01)</f>
        <v>16.01</v>
      </c>
      <c r="I2980">
        <f>IFERROR(__xludf.DUMMYFUNCTION("""COMPUTED_VALUE"""),16.01)</f>
        <v>16.01</v>
      </c>
      <c r="BD2980" s="2006"/>
      <c r="LL2980" s="2007"/>
      <c r="LM2980" s="2007"/>
      <c r="MX2980" s="2007"/>
      <c r="ND2980" s="2007"/>
    </row>
    <row r="2981">
      <c r="A2981">
        <f>IFERROR(__xludf.DUMMYFUNCTION("""COMPUTED_VALUE"""),8010068.0)</f>
        <v>8010068</v>
      </c>
      <c r="B2981">
        <f>IFERROR(__xludf.DUMMYFUNCTION("""COMPUTED_VALUE"""),2403005.0)</f>
        <v>2403005</v>
      </c>
      <c r="C2981" t="str">
        <f>IFERROR(__xludf.DUMMYFUNCTION("""COMPUTED_VALUE"""),"Cartouches")</f>
        <v>Cartouches</v>
      </c>
      <c r="D2981" t="str">
        <f>IFERROR(__xludf.DUMMYFUNCTION("""COMPUTED_VALUE"""),"E603XL Noir + 3 couleurs")</f>
        <v>E603XL Noir + 3 couleurs</v>
      </c>
      <c r="E2981" t="str">
        <f>IFERROR(__xludf.DUMMYFUNCTION("""COMPUTED_VALUE"""),"ESSENTIELB")</f>
        <v>ESSENTIELB</v>
      </c>
      <c r="F2981" t="str">
        <f>IFERROR(__xludf.DUMMYFUNCTION("""COMPUTED_VALUE"""),"A")</f>
        <v>A</v>
      </c>
      <c r="G2981" t="str">
        <f>IFERROR(__xludf.DUMMYFUNCTION("""COMPUTED_VALUE"""),"AC")</f>
        <v>AC</v>
      </c>
      <c r="H2981">
        <f>IFERROR(__xludf.DUMMYFUNCTION("""COMPUTED_VALUE"""),43.09)</f>
        <v>43.09</v>
      </c>
      <c r="I2981">
        <f>IFERROR(__xludf.DUMMYFUNCTION("""COMPUTED_VALUE"""),43.09)</f>
        <v>43.09</v>
      </c>
      <c r="BD2981" s="2006"/>
      <c r="LL2981" s="2007"/>
      <c r="LM2981" s="2007"/>
      <c r="MX2981" s="2007"/>
      <c r="ND2981" s="2007"/>
    </row>
    <row r="2982">
      <c r="A2982">
        <f>IFERROR(__xludf.DUMMYFUNCTION("""COMPUTED_VALUE"""),8010073.0)</f>
        <v>8010073</v>
      </c>
      <c r="B2982">
        <f>IFERROR(__xludf.DUMMYFUNCTION("""COMPUTED_VALUE"""),2403005.0)</f>
        <v>2403005</v>
      </c>
      <c r="C2982" t="str">
        <f>IFERROR(__xludf.DUMMYFUNCTION("""COMPUTED_VALUE"""),"Cartouche")</f>
        <v>Cartouche</v>
      </c>
      <c r="D2982" t="str">
        <f>IFERROR(__xludf.DUMMYFUNCTION("""COMPUTED_VALUE"""),"H62 XL Noir")</f>
        <v>H62 XL Noir</v>
      </c>
      <c r="E2982" t="str">
        <f>IFERROR(__xludf.DUMMYFUNCTION("""COMPUTED_VALUE"""),"ESSENTIELB")</f>
        <v>ESSENTIELB</v>
      </c>
      <c r="F2982" t="str">
        <f>IFERROR(__xludf.DUMMYFUNCTION("""COMPUTED_VALUE"""),"B")</f>
        <v>B</v>
      </c>
      <c r="G2982" t="str">
        <f>IFERROR(__xludf.DUMMYFUNCTION("""COMPUTED_VALUE"""),"AC")</f>
        <v>AC</v>
      </c>
      <c r="H2982">
        <f>IFERROR(__xludf.DUMMYFUNCTION("""COMPUTED_VALUE"""),27.01)</f>
        <v>27.01</v>
      </c>
      <c r="I2982">
        <f>IFERROR(__xludf.DUMMYFUNCTION("""COMPUTED_VALUE"""),27.01)</f>
        <v>27.01</v>
      </c>
      <c r="BD2982" s="2006"/>
      <c r="LL2982" s="2007"/>
      <c r="LM2982" s="2007"/>
      <c r="MX2982" s="2007"/>
      <c r="ND2982" s="2007"/>
    </row>
    <row r="2983">
      <c r="A2983">
        <f>IFERROR(__xludf.DUMMYFUNCTION("""COMPUTED_VALUE"""),8010074.0)</f>
        <v>8010074</v>
      </c>
      <c r="B2983">
        <f>IFERROR(__xludf.DUMMYFUNCTION("""COMPUTED_VALUE"""),2403005.0)</f>
        <v>2403005</v>
      </c>
      <c r="C2983" t="str">
        <f>IFERROR(__xludf.DUMMYFUNCTION("""COMPUTED_VALUE"""),"Cartouche")</f>
        <v>Cartouche</v>
      </c>
      <c r="D2983" t="str">
        <f>IFERROR(__xludf.DUMMYFUNCTION("""COMPUTED_VALUE"""),"H62 XL 3 couleurs")</f>
        <v>H62 XL 3 couleurs</v>
      </c>
      <c r="E2983" t="str">
        <f>IFERROR(__xludf.DUMMYFUNCTION("""COMPUTED_VALUE"""),"ESSENTIELB")</f>
        <v>ESSENTIELB</v>
      </c>
      <c r="F2983" t="str">
        <f>IFERROR(__xludf.DUMMYFUNCTION("""COMPUTED_VALUE"""),"B")</f>
        <v>B</v>
      </c>
      <c r="G2983" t="str">
        <f>IFERROR(__xludf.DUMMYFUNCTION("""COMPUTED_VALUE"""),"FR")</f>
        <v>FR</v>
      </c>
      <c r="H2983">
        <f>IFERROR(__xludf.DUMMYFUNCTION("""COMPUTED_VALUE"""),32.01)</f>
        <v>32.01</v>
      </c>
      <c r="I2983">
        <f>IFERROR(__xludf.DUMMYFUNCTION("""COMPUTED_VALUE"""),32.01)</f>
        <v>32.01</v>
      </c>
      <c r="BD2983" s="2006"/>
      <c r="LL2983" s="2007"/>
      <c r="LM2983" s="2007"/>
      <c r="MX2983" s="2007"/>
      <c r="ND2983" s="2007"/>
    </row>
    <row r="2984">
      <c r="A2984">
        <f>IFERROR(__xludf.DUMMYFUNCTION("""COMPUTED_VALUE"""),8010075.0)</f>
        <v>8010075</v>
      </c>
      <c r="B2984">
        <f>IFERROR(__xludf.DUMMYFUNCTION("""COMPUTED_VALUE"""),2403005.0)</f>
        <v>2403005</v>
      </c>
      <c r="C2984" t="str">
        <f>IFERROR(__xludf.DUMMYFUNCTION("""COMPUTED_VALUE"""),"Cartouche")</f>
        <v>Cartouche</v>
      </c>
      <c r="D2984" t="str">
        <f>IFERROR(__xludf.DUMMYFUNCTION("""COMPUTED_VALUE"""),"H62 XL Noir + 3 couleurs")</f>
        <v>H62 XL Noir + 3 couleurs</v>
      </c>
      <c r="E2984" t="str">
        <f>IFERROR(__xludf.DUMMYFUNCTION("""COMPUTED_VALUE"""),"ESSENTIELB")</f>
        <v>ESSENTIELB</v>
      </c>
      <c r="F2984" t="str">
        <f>IFERROR(__xludf.DUMMYFUNCTION("""COMPUTED_VALUE"""),"B")</f>
        <v>B</v>
      </c>
      <c r="G2984" t="str">
        <f>IFERROR(__xludf.DUMMYFUNCTION("""COMPUTED_VALUE"""),"AC")</f>
        <v>AC</v>
      </c>
      <c r="H2984">
        <f>IFERROR(__xludf.DUMMYFUNCTION("""COMPUTED_VALUE"""),50.04)</f>
        <v>50.04</v>
      </c>
      <c r="I2984">
        <f>IFERROR(__xludf.DUMMYFUNCTION("""COMPUTED_VALUE"""),50.04)</f>
        <v>50.04</v>
      </c>
      <c r="BD2984" s="2006"/>
      <c r="LL2984" s="2008"/>
      <c r="LM2984" s="2007"/>
      <c r="MX2984" s="2007"/>
      <c r="ND2984" s="2008"/>
    </row>
    <row r="2985">
      <c r="A2985">
        <f>IFERROR(__xludf.DUMMYFUNCTION("""COMPUTED_VALUE"""),8010076.0)</f>
        <v>8010076</v>
      </c>
      <c r="B2985">
        <f>IFERROR(__xludf.DUMMYFUNCTION("""COMPUTED_VALUE"""),2403005.0)</f>
        <v>2403005</v>
      </c>
      <c r="C2985" t="str">
        <f>IFERROR(__xludf.DUMMYFUNCTION("""COMPUTED_VALUE"""),"Cartouche")</f>
        <v>Cartouche</v>
      </c>
      <c r="D2985" t="str">
        <f>IFERROR(__xludf.DUMMYFUNCTION("""COMPUTED_VALUE"""),"H301 XL Noir")</f>
        <v>H301 XL Noir</v>
      </c>
      <c r="E2985" t="str">
        <f>IFERROR(__xludf.DUMMYFUNCTION("""COMPUTED_VALUE"""),"ESSENTIELB")</f>
        <v>ESSENTIELB</v>
      </c>
      <c r="F2985" t="str">
        <f>IFERROR(__xludf.DUMMYFUNCTION("""COMPUTED_VALUE"""),"A")</f>
        <v>A</v>
      </c>
      <c r="G2985" t="str">
        <f>IFERROR(__xludf.DUMMYFUNCTION("""COMPUTED_VALUE"""),"AC")</f>
        <v>AC</v>
      </c>
      <c r="H2985">
        <f>IFERROR(__xludf.DUMMYFUNCTION("""COMPUTED_VALUE"""),25.01)</f>
        <v>25.01</v>
      </c>
      <c r="I2985">
        <f>IFERROR(__xludf.DUMMYFUNCTION("""COMPUTED_VALUE"""),25.01)</f>
        <v>25.01</v>
      </c>
      <c r="BD2985" s="2006"/>
      <c r="LL2985" s="2008"/>
      <c r="LM2985" s="2007"/>
      <c r="MX2985" s="2007"/>
      <c r="ND2985" s="2008"/>
    </row>
    <row r="2986">
      <c r="A2986">
        <f>IFERROR(__xludf.DUMMYFUNCTION("""COMPUTED_VALUE"""),8010077.0)</f>
        <v>8010077</v>
      </c>
      <c r="B2986">
        <f>IFERROR(__xludf.DUMMYFUNCTION("""COMPUTED_VALUE"""),2403005.0)</f>
        <v>2403005</v>
      </c>
      <c r="C2986" t="str">
        <f>IFERROR(__xludf.DUMMYFUNCTION("""COMPUTED_VALUE"""),"Cartouche")</f>
        <v>Cartouche</v>
      </c>
      <c r="D2986" t="str">
        <f>IFERROR(__xludf.DUMMYFUNCTION("""COMPUTED_VALUE"""),"H301 XL 3 couleurs")</f>
        <v>H301 XL 3 couleurs</v>
      </c>
      <c r="E2986" t="str">
        <f>IFERROR(__xludf.DUMMYFUNCTION("""COMPUTED_VALUE"""),"ESSENTIELB")</f>
        <v>ESSENTIELB</v>
      </c>
      <c r="F2986" t="str">
        <f>IFERROR(__xludf.DUMMYFUNCTION("""COMPUTED_VALUE"""),"A")</f>
        <v>A</v>
      </c>
      <c r="G2986" t="str">
        <f>IFERROR(__xludf.DUMMYFUNCTION("""COMPUTED_VALUE"""),"FI")</f>
        <v>FI</v>
      </c>
      <c r="H2986">
        <f>IFERROR(__xludf.DUMMYFUNCTION("""COMPUTED_VALUE"""),24.01)</f>
        <v>24.01</v>
      </c>
      <c r="I2986">
        <f>IFERROR(__xludf.DUMMYFUNCTION("""COMPUTED_VALUE"""),24.01)</f>
        <v>24.01</v>
      </c>
      <c r="BD2986" s="2006"/>
      <c r="LL2986" s="2008"/>
      <c r="LM2986" s="2007"/>
      <c r="MX2986" s="2007"/>
      <c r="ND2986" s="2008"/>
    </row>
    <row r="2987">
      <c r="A2987">
        <f>IFERROR(__xludf.DUMMYFUNCTION("""COMPUTED_VALUE"""),8010078.0)</f>
        <v>8010078</v>
      </c>
      <c r="B2987">
        <f>IFERROR(__xludf.DUMMYFUNCTION("""COMPUTED_VALUE"""),2403005.0)</f>
        <v>2403005</v>
      </c>
      <c r="C2987" t="str">
        <f>IFERROR(__xludf.DUMMYFUNCTION("""COMPUTED_VALUE"""),"Cartouche")</f>
        <v>Cartouche</v>
      </c>
      <c r="D2987" t="str">
        <f>IFERROR(__xludf.DUMMYFUNCTION("""COMPUTED_VALUE"""),"H301 XL Noir + 3 couleurs")</f>
        <v>H301 XL Noir + 3 couleurs</v>
      </c>
      <c r="E2987" t="str">
        <f>IFERROR(__xludf.DUMMYFUNCTION("""COMPUTED_VALUE"""),"ESSENTIELB")</f>
        <v>ESSENTIELB</v>
      </c>
      <c r="F2987" t="str">
        <f>IFERROR(__xludf.DUMMYFUNCTION("""COMPUTED_VALUE"""),"A")</f>
        <v>A</v>
      </c>
      <c r="G2987" t="str">
        <f>IFERROR(__xludf.DUMMYFUNCTION("""COMPUTED_VALUE"""),"AC")</f>
        <v>AC</v>
      </c>
      <c r="H2987">
        <f>IFERROR(__xludf.DUMMYFUNCTION("""COMPUTED_VALUE"""),43.04)</f>
        <v>43.04</v>
      </c>
      <c r="I2987">
        <f>IFERROR(__xludf.DUMMYFUNCTION("""COMPUTED_VALUE"""),43.04)</f>
        <v>43.04</v>
      </c>
      <c r="BD2987" s="2006"/>
      <c r="LL2987" s="2008"/>
      <c r="LM2987" s="2007"/>
      <c r="MX2987" s="2007"/>
      <c r="ND2987" s="2008"/>
    </row>
    <row r="2988">
      <c r="A2988">
        <f>IFERROR(__xludf.DUMMYFUNCTION("""COMPUTED_VALUE"""),8010079.0)</f>
        <v>8010079</v>
      </c>
      <c r="B2988">
        <f>IFERROR(__xludf.DUMMYFUNCTION("""COMPUTED_VALUE"""),2403005.0)</f>
        <v>2403005</v>
      </c>
      <c r="C2988" t="str">
        <f>IFERROR(__xludf.DUMMYFUNCTION("""COMPUTED_VALUE"""),"Cartouche")</f>
        <v>Cartouche</v>
      </c>
      <c r="D2988" t="str">
        <f>IFERROR(__xludf.DUMMYFUNCTION("""COMPUTED_VALUE"""),"H302 XL Noir")</f>
        <v>H302 XL Noir</v>
      </c>
      <c r="E2988" t="str">
        <f>IFERROR(__xludf.DUMMYFUNCTION("""COMPUTED_VALUE"""),"ESSENTIELB")</f>
        <v>ESSENTIELB</v>
      </c>
      <c r="F2988" t="str">
        <f>IFERROR(__xludf.DUMMYFUNCTION("""COMPUTED_VALUE"""),"A")</f>
        <v>A</v>
      </c>
      <c r="G2988" t="str">
        <f>IFERROR(__xludf.DUMMYFUNCTION("""COMPUTED_VALUE"""),"AC")</f>
        <v>AC</v>
      </c>
      <c r="H2988">
        <f>IFERROR(__xludf.DUMMYFUNCTION("""COMPUTED_VALUE"""),24.01)</f>
        <v>24.01</v>
      </c>
      <c r="I2988">
        <f>IFERROR(__xludf.DUMMYFUNCTION("""COMPUTED_VALUE"""),24.01)</f>
        <v>24.01</v>
      </c>
      <c r="BD2988" s="2006"/>
      <c r="LL2988" s="2008"/>
      <c r="LM2988" s="2007"/>
      <c r="MX2988" s="2007"/>
      <c r="ND2988" s="2008"/>
    </row>
    <row r="2989">
      <c r="A2989">
        <f>IFERROR(__xludf.DUMMYFUNCTION("""COMPUTED_VALUE"""),8010080.0)</f>
        <v>8010080</v>
      </c>
      <c r="B2989">
        <f>IFERROR(__xludf.DUMMYFUNCTION("""COMPUTED_VALUE"""),2403005.0)</f>
        <v>2403005</v>
      </c>
      <c r="C2989" t="str">
        <f>IFERROR(__xludf.DUMMYFUNCTION("""COMPUTED_VALUE"""),"Cartouche")</f>
        <v>Cartouche</v>
      </c>
      <c r="D2989" t="str">
        <f>IFERROR(__xludf.DUMMYFUNCTION("""COMPUTED_VALUE"""),"H302 XL 3 couleurs")</f>
        <v>H302 XL 3 couleurs</v>
      </c>
      <c r="E2989" t="str">
        <f>IFERROR(__xludf.DUMMYFUNCTION("""COMPUTED_VALUE"""),"ESSENTIELB")</f>
        <v>ESSENTIELB</v>
      </c>
      <c r="F2989" t="str">
        <f>IFERROR(__xludf.DUMMYFUNCTION("""COMPUTED_VALUE"""),"A")</f>
        <v>A</v>
      </c>
      <c r="G2989" t="str">
        <f>IFERROR(__xludf.DUMMYFUNCTION("""COMPUTED_VALUE"""),"FI")</f>
        <v>FI</v>
      </c>
      <c r="H2989">
        <f>IFERROR(__xludf.DUMMYFUNCTION("""COMPUTED_VALUE"""),25.01)</f>
        <v>25.01</v>
      </c>
      <c r="I2989">
        <f>IFERROR(__xludf.DUMMYFUNCTION("""COMPUTED_VALUE"""),25.01)</f>
        <v>25.01</v>
      </c>
      <c r="BD2989" s="2006"/>
      <c r="LL2989" s="2007"/>
      <c r="LM2989" s="2007"/>
      <c r="MX2989" s="2007"/>
      <c r="ND2989" s="2007"/>
    </row>
    <row r="2990">
      <c r="A2990">
        <f>IFERROR(__xludf.DUMMYFUNCTION("""COMPUTED_VALUE"""),8010081.0)</f>
        <v>8010081</v>
      </c>
      <c r="B2990">
        <f>IFERROR(__xludf.DUMMYFUNCTION("""COMPUTED_VALUE"""),2403005.0)</f>
        <v>2403005</v>
      </c>
      <c r="C2990" t="str">
        <f>IFERROR(__xludf.DUMMYFUNCTION("""COMPUTED_VALUE"""),"Cartouche")</f>
        <v>Cartouche</v>
      </c>
      <c r="D2990" t="str">
        <f>IFERROR(__xludf.DUMMYFUNCTION("""COMPUTED_VALUE"""),"H302 XL Noir + 3 couleurs")</f>
        <v>H302 XL Noir + 3 couleurs</v>
      </c>
      <c r="E2990" t="str">
        <f>IFERROR(__xludf.DUMMYFUNCTION("""COMPUTED_VALUE"""),"ESSENTIELB")</f>
        <v>ESSENTIELB</v>
      </c>
      <c r="F2990" t="str">
        <f>IFERROR(__xludf.DUMMYFUNCTION("""COMPUTED_VALUE"""),"A")</f>
        <v>A</v>
      </c>
      <c r="G2990" t="str">
        <f>IFERROR(__xludf.DUMMYFUNCTION("""COMPUTED_VALUE"""),"AC")</f>
        <v>AC</v>
      </c>
      <c r="H2990">
        <f>IFERROR(__xludf.DUMMYFUNCTION("""COMPUTED_VALUE"""),41.04)</f>
        <v>41.04</v>
      </c>
      <c r="I2990">
        <f>IFERROR(__xludf.DUMMYFUNCTION("""COMPUTED_VALUE"""),41.04)</f>
        <v>41.04</v>
      </c>
      <c r="BD2990" s="2006"/>
      <c r="LL2990" s="2007"/>
      <c r="LM2990" s="2007"/>
      <c r="MX2990" s="2007"/>
      <c r="ND2990" s="2007"/>
    </row>
    <row r="2991">
      <c r="A2991">
        <f>IFERROR(__xludf.DUMMYFUNCTION("""COMPUTED_VALUE"""),8010082.0)</f>
        <v>8010082</v>
      </c>
      <c r="B2991">
        <f>IFERROR(__xludf.DUMMYFUNCTION("""COMPUTED_VALUE"""),2403005.0)</f>
        <v>2403005</v>
      </c>
      <c r="C2991" t="str">
        <f>IFERROR(__xludf.DUMMYFUNCTION("""COMPUTED_VALUE"""),"Cartouche")</f>
        <v>Cartouche</v>
      </c>
      <c r="D2991" t="str">
        <f>IFERROR(__xludf.DUMMYFUNCTION("""COMPUTED_VALUE"""),"H303 XL Noir")</f>
        <v>H303 XL Noir</v>
      </c>
      <c r="E2991" t="str">
        <f>IFERROR(__xludf.DUMMYFUNCTION("""COMPUTED_VALUE"""),"ESSENTIELB")</f>
        <v>ESSENTIELB</v>
      </c>
      <c r="F2991" t="str">
        <f>IFERROR(__xludf.DUMMYFUNCTION("""COMPUTED_VALUE"""),"A")</f>
        <v>A</v>
      </c>
      <c r="G2991" t="str">
        <f>IFERROR(__xludf.DUMMYFUNCTION("""COMPUTED_VALUE"""),"AC")</f>
        <v>AC</v>
      </c>
      <c r="H2991">
        <f>IFERROR(__xludf.DUMMYFUNCTION("""COMPUTED_VALUE"""),28.01)</f>
        <v>28.01</v>
      </c>
      <c r="I2991">
        <f>IFERROR(__xludf.DUMMYFUNCTION("""COMPUTED_VALUE"""),28.01)</f>
        <v>28.01</v>
      </c>
      <c r="BD2991" s="2006"/>
      <c r="LL2991" s="2007"/>
      <c r="LM2991" s="2007"/>
      <c r="MX2991" s="2007"/>
      <c r="ND2991" s="2007"/>
    </row>
    <row r="2992">
      <c r="A2992">
        <f>IFERROR(__xludf.DUMMYFUNCTION("""COMPUTED_VALUE"""),8010083.0)</f>
        <v>8010083</v>
      </c>
      <c r="B2992">
        <f>IFERROR(__xludf.DUMMYFUNCTION("""COMPUTED_VALUE"""),2403005.0)</f>
        <v>2403005</v>
      </c>
      <c r="C2992" t="str">
        <f>IFERROR(__xludf.DUMMYFUNCTION("""COMPUTED_VALUE"""),"Cartouche")</f>
        <v>Cartouche</v>
      </c>
      <c r="D2992" t="str">
        <f>IFERROR(__xludf.DUMMYFUNCTION("""COMPUTED_VALUE"""),"H303 XL 3 couleurs")</f>
        <v>H303 XL 3 couleurs</v>
      </c>
      <c r="E2992" t="str">
        <f>IFERROR(__xludf.DUMMYFUNCTION("""COMPUTED_VALUE"""),"ESSENTIELB")</f>
        <v>ESSENTIELB</v>
      </c>
      <c r="F2992" t="str">
        <f>IFERROR(__xludf.DUMMYFUNCTION("""COMPUTED_VALUE"""),"A")</f>
        <v>A</v>
      </c>
      <c r="G2992" t="str">
        <f>IFERROR(__xludf.DUMMYFUNCTION("""COMPUTED_VALUE"""),"AC")</f>
        <v>AC</v>
      </c>
      <c r="H2992">
        <f>IFERROR(__xludf.DUMMYFUNCTION("""COMPUTED_VALUE"""),30.01)</f>
        <v>30.01</v>
      </c>
      <c r="I2992">
        <f>IFERROR(__xludf.DUMMYFUNCTION("""COMPUTED_VALUE"""),30.01)</f>
        <v>30.01</v>
      </c>
      <c r="BD2992" s="2006"/>
      <c r="LL2992" s="2007"/>
      <c r="LM2992" s="2007"/>
      <c r="MX2992" s="2007"/>
      <c r="ND2992" s="2007"/>
    </row>
    <row r="2993">
      <c r="A2993">
        <f>IFERROR(__xludf.DUMMYFUNCTION("""COMPUTED_VALUE"""),8010084.0)</f>
        <v>8010084</v>
      </c>
      <c r="B2993">
        <f>IFERROR(__xludf.DUMMYFUNCTION("""COMPUTED_VALUE"""),2403005.0)</f>
        <v>2403005</v>
      </c>
      <c r="C2993" t="str">
        <f>IFERROR(__xludf.DUMMYFUNCTION("""COMPUTED_VALUE"""),"Cartouche")</f>
        <v>Cartouche</v>
      </c>
      <c r="D2993" t="str">
        <f>IFERROR(__xludf.DUMMYFUNCTION("""COMPUTED_VALUE"""),"H304 XL Noir")</f>
        <v>H304 XL Noir</v>
      </c>
      <c r="E2993" t="str">
        <f>IFERROR(__xludf.DUMMYFUNCTION("""COMPUTED_VALUE"""),"ESSENTIELB")</f>
        <v>ESSENTIELB</v>
      </c>
      <c r="F2993" t="str">
        <f>IFERROR(__xludf.DUMMYFUNCTION("""COMPUTED_VALUE"""),"B")</f>
        <v>B</v>
      </c>
      <c r="G2993" t="str">
        <f>IFERROR(__xludf.DUMMYFUNCTION("""COMPUTED_VALUE"""),"AC")</f>
        <v>AC</v>
      </c>
      <c r="H2993">
        <f>IFERROR(__xludf.DUMMYFUNCTION("""COMPUTED_VALUE"""),23.01)</f>
        <v>23.01</v>
      </c>
      <c r="I2993">
        <f>IFERROR(__xludf.DUMMYFUNCTION("""COMPUTED_VALUE"""),23.01)</f>
        <v>23.01</v>
      </c>
      <c r="BD2993" s="2006"/>
      <c r="LL2993" s="2007"/>
      <c r="LM2993" s="2007"/>
      <c r="MX2993" s="2007"/>
      <c r="ND2993" s="2007"/>
    </row>
    <row r="2994">
      <c r="A2994">
        <f>IFERROR(__xludf.DUMMYFUNCTION("""COMPUTED_VALUE"""),8010085.0)</f>
        <v>8010085</v>
      </c>
      <c r="B2994">
        <f>IFERROR(__xludf.DUMMYFUNCTION("""COMPUTED_VALUE"""),2403005.0)</f>
        <v>2403005</v>
      </c>
      <c r="C2994" t="str">
        <f>IFERROR(__xludf.DUMMYFUNCTION("""COMPUTED_VALUE"""),"Cartouche")</f>
        <v>Cartouche</v>
      </c>
      <c r="D2994" t="str">
        <f>IFERROR(__xludf.DUMMYFUNCTION("""COMPUTED_VALUE"""),"H304 XL 3 couleurs")</f>
        <v>H304 XL 3 couleurs</v>
      </c>
      <c r="E2994" t="str">
        <f>IFERROR(__xludf.DUMMYFUNCTION("""COMPUTED_VALUE"""),"ESSENTIELB")</f>
        <v>ESSENTIELB</v>
      </c>
      <c r="F2994" t="str">
        <f>IFERROR(__xludf.DUMMYFUNCTION("""COMPUTED_VALUE"""),"A")</f>
        <v>A</v>
      </c>
      <c r="G2994" t="str">
        <f>IFERROR(__xludf.DUMMYFUNCTION("""COMPUTED_VALUE"""),"FR")</f>
        <v>FR</v>
      </c>
      <c r="H2994">
        <f>IFERROR(__xludf.DUMMYFUNCTION("""COMPUTED_VALUE"""),24.01)</f>
        <v>24.01</v>
      </c>
      <c r="I2994">
        <f>IFERROR(__xludf.DUMMYFUNCTION("""COMPUTED_VALUE"""),24.01)</f>
        <v>24.01</v>
      </c>
      <c r="BD2994" s="2006"/>
      <c r="LL2994" s="2007"/>
      <c r="LM2994" s="2007"/>
      <c r="MX2994" s="2007"/>
      <c r="ND2994" s="2008"/>
    </row>
    <row r="2995">
      <c r="A2995">
        <f>IFERROR(__xludf.DUMMYFUNCTION("""COMPUTED_VALUE"""),8010086.0)</f>
        <v>8010086</v>
      </c>
      <c r="B2995">
        <f>IFERROR(__xludf.DUMMYFUNCTION("""COMPUTED_VALUE"""),2403005.0)</f>
        <v>2403005</v>
      </c>
      <c r="C2995" t="str">
        <f>IFERROR(__xludf.DUMMYFUNCTION("""COMPUTED_VALUE"""),"Cartouche")</f>
        <v>Cartouche</v>
      </c>
      <c r="D2995" t="str">
        <f>IFERROR(__xludf.DUMMYFUNCTION("""COMPUTED_VALUE"""),"H 304 XL noir + 3 couleurs")</f>
        <v>H 304 XL noir + 3 couleurs</v>
      </c>
      <c r="E2995" t="str">
        <f>IFERROR(__xludf.DUMMYFUNCTION("""COMPUTED_VALUE"""),"ESSENTIELB")</f>
        <v>ESSENTIELB</v>
      </c>
      <c r="F2995" t="str">
        <f>IFERROR(__xludf.DUMMYFUNCTION("""COMPUTED_VALUE"""),"B")</f>
        <v>B</v>
      </c>
      <c r="G2995" t="str">
        <f>IFERROR(__xludf.DUMMYFUNCTION("""COMPUTED_VALUE"""),"AC")</f>
        <v>AC</v>
      </c>
      <c r="H2995">
        <f>IFERROR(__xludf.DUMMYFUNCTION("""COMPUTED_VALUE"""),40.04)</f>
        <v>40.04</v>
      </c>
      <c r="I2995">
        <f>IFERROR(__xludf.DUMMYFUNCTION("""COMPUTED_VALUE"""),40.04)</f>
        <v>40.04</v>
      </c>
      <c r="BD2995" s="2006"/>
      <c r="LL2995" s="2007"/>
      <c r="LM2995" s="2007"/>
      <c r="MX2995" s="2007"/>
      <c r="ND2995" s="2008"/>
    </row>
    <row r="2996">
      <c r="A2996">
        <f>IFERROR(__xludf.DUMMYFUNCTION("""COMPUTED_VALUE"""),8010087.0)</f>
        <v>8010087</v>
      </c>
      <c r="B2996">
        <f>IFERROR(__xludf.DUMMYFUNCTION("""COMPUTED_VALUE"""),2403005.0)</f>
        <v>2403005</v>
      </c>
      <c r="C2996" t="str">
        <f>IFERROR(__xludf.DUMMYFUNCTION("""COMPUTED_VALUE"""),"Cartouche")</f>
        <v>Cartouche</v>
      </c>
      <c r="D2996" t="str">
        <f>IFERROR(__xludf.DUMMYFUNCTION("""COMPUTED_VALUE"""),"H305 XL Noir")</f>
        <v>H305 XL Noir</v>
      </c>
      <c r="E2996" t="str">
        <f>IFERROR(__xludf.DUMMYFUNCTION("""COMPUTED_VALUE"""),"ESSENTIELB")</f>
        <v>ESSENTIELB</v>
      </c>
      <c r="F2996" t="str">
        <f>IFERROR(__xludf.DUMMYFUNCTION("""COMPUTED_VALUE"""),"A")</f>
        <v>A</v>
      </c>
      <c r="G2996" t="str">
        <f>IFERROR(__xludf.DUMMYFUNCTION("""COMPUTED_VALUE"""),"AC")</f>
        <v>AC</v>
      </c>
      <c r="H2996">
        <f>IFERROR(__xludf.DUMMYFUNCTION("""COMPUTED_VALUE"""),25.01)</f>
        <v>25.01</v>
      </c>
      <c r="I2996">
        <f>IFERROR(__xludf.DUMMYFUNCTION("""COMPUTED_VALUE"""),25.01)</f>
        <v>25.01</v>
      </c>
      <c r="BD2996" s="2006"/>
      <c r="LL2996" s="2008"/>
      <c r="LM2996" s="2007"/>
      <c r="MX2996" s="2007"/>
      <c r="ND2996" s="2008"/>
    </row>
    <row r="2997">
      <c r="A2997">
        <f>IFERROR(__xludf.DUMMYFUNCTION("""COMPUTED_VALUE"""),8010088.0)</f>
        <v>8010088</v>
      </c>
      <c r="B2997">
        <f>IFERROR(__xludf.DUMMYFUNCTION("""COMPUTED_VALUE"""),2403005.0)</f>
        <v>2403005</v>
      </c>
      <c r="C2997" t="str">
        <f>IFERROR(__xludf.DUMMYFUNCTION("""COMPUTED_VALUE"""),"Cartouche")</f>
        <v>Cartouche</v>
      </c>
      <c r="D2997" t="str">
        <f>IFERROR(__xludf.DUMMYFUNCTION("""COMPUTED_VALUE"""),"H305 XL 3 couleurs")</f>
        <v>H305 XL 3 couleurs</v>
      </c>
      <c r="E2997" t="str">
        <f>IFERROR(__xludf.DUMMYFUNCTION("""COMPUTED_VALUE"""),"ESSENTIELB")</f>
        <v>ESSENTIELB</v>
      </c>
      <c r="F2997" t="str">
        <f>IFERROR(__xludf.DUMMYFUNCTION("""COMPUTED_VALUE"""),"A")</f>
        <v>A</v>
      </c>
      <c r="G2997" t="str">
        <f>IFERROR(__xludf.DUMMYFUNCTION("""COMPUTED_VALUE"""),"AC")</f>
        <v>AC</v>
      </c>
      <c r="H2997">
        <f>IFERROR(__xludf.DUMMYFUNCTION("""COMPUTED_VALUE"""),25.01)</f>
        <v>25.01</v>
      </c>
      <c r="I2997">
        <f>IFERROR(__xludf.DUMMYFUNCTION("""COMPUTED_VALUE"""),25.01)</f>
        <v>25.01</v>
      </c>
      <c r="BD2997" s="2006"/>
      <c r="LL2997" s="2008"/>
      <c r="LM2997" s="2007"/>
      <c r="MX2997" s="2007"/>
      <c r="ND2997" s="2008"/>
    </row>
    <row r="2998">
      <c r="A2998">
        <f>IFERROR(__xludf.DUMMYFUNCTION("""COMPUTED_VALUE"""),8010089.0)</f>
        <v>8010089</v>
      </c>
      <c r="B2998">
        <f>IFERROR(__xludf.DUMMYFUNCTION("""COMPUTED_VALUE"""),2403005.0)</f>
        <v>2403005</v>
      </c>
      <c r="C2998" t="str">
        <f>IFERROR(__xludf.DUMMYFUNCTION("""COMPUTED_VALUE"""),"Cartouche")</f>
        <v>Cartouche</v>
      </c>
      <c r="D2998" t="str">
        <f>IFERROR(__xludf.DUMMYFUNCTION("""COMPUTED_VALUE"""),"H364 Noir")</f>
        <v>H364 Noir</v>
      </c>
      <c r="E2998" t="str">
        <f>IFERROR(__xludf.DUMMYFUNCTION("""COMPUTED_VALUE"""),"ESSENTIELB")</f>
        <v>ESSENTIELB</v>
      </c>
      <c r="F2998" t="str">
        <f>IFERROR(__xludf.DUMMYFUNCTION("""COMPUTED_VALUE"""),"B")</f>
        <v>B</v>
      </c>
      <c r="G2998" t="str">
        <f>IFERROR(__xludf.DUMMYFUNCTION("""COMPUTED_VALUE"""),"FR")</f>
        <v>FR</v>
      </c>
      <c r="H2998">
        <f>IFERROR(__xludf.DUMMYFUNCTION("""COMPUTED_VALUE"""),11.01)</f>
        <v>11.01</v>
      </c>
      <c r="I2998">
        <f>IFERROR(__xludf.DUMMYFUNCTION("""COMPUTED_VALUE"""),11.01)</f>
        <v>11.01</v>
      </c>
      <c r="BD2998" s="2006"/>
      <c r="LL2998" s="2007"/>
      <c r="LM2998" s="2007"/>
      <c r="MX2998" s="2007"/>
      <c r="ND2998" s="2007"/>
    </row>
    <row r="2999">
      <c r="A2999">
        <f>IFERROR(__xludf.DUMMYFUNCTION("""COMPUTED_VALUE"""),8010090.0)</f>
        <v>8010090</v>
      </c>
      <c r="B2999">
        <f>IFERROR(__xludf.DUMMYFUNCTION("""COMPUTED_VALUE"""),2403005.0)</f>
        <v>2403005</v>
      </c>
      <c r="C2999" t="str">
        <f>IFERROR(__xludf.DUMMYFUNCTION("""COMPUTED_VALUE"""),"Cartouche")</f>
        <v>Cartouche</v>
      </c>
      <c r="D2999" t="str">
        <f>IFERROR(__xludf.DUMMYFUNCTION("""COMPUTED_VALUE"""),"H364 Noir Photo")</f>
        <v>H364 Noir Photo</v>
      </c>
      <c r="E2999" t="str">
        <f>IFERROR(__xludf.DUMMYFUNCTION("""COMPUTED_VALUE"""),"ESSENTIELB")</f>
        <v>ESSENTIELB</v>
      </c>
      <c r="F2999" t="str">
        <f>IFERROR(__xludf.DUMMYFUNCTION("""COMPUTED_VALUE"""),"B")</f>
        <v>B</v>
      </c>
      <c r="G2999" t="str">
        <f>IFERROR(__xludf.DUMMYFUNCTION("""COMPUTED_VALUE"""),"FR")</f>
        <v>FR</v>
      </c>
      <c r="H2999">
        <f>IFERROR(__xludf.DUMMYFUNCTION("""COMPUTED_VALUE"""),10.01)</f>
        <v>10.01</v>
      </c>
      <c r="I2999">
        <f>IFERROR(__xludf.DUMMYFUNCTION("""COMPUTED_VALUE"""),10.01)</f>
        <v>10.01</v>
      </c>
      <c r="BD2999" s="2006"/>
      <c r="LM2999" s="2007"/>
      <c r="MX2999" s="2007"/>
      <c r="ND2999" s="2007"/>
    </row>
    <row r="3000">
      <c r="A3000">
        <f>IFERROR(__xludf.DUMMYFUNCTION("""COMPUTED_VALUE"""),8010091.0)</f>
        <v>8010091</v>
      </c>
      <c r="B3000">
        <f>IFERROR(__xludf.DUMMYFUNCTION("""COMPUTED_VALUE"""),2403005.0)</f>
        <v>2403005</v>
      </c>
      <c r="C3000" t="str">
        <f>IFERROR(__xludf.DUMMYFUNCTION("""COMPUTED_VALUE"""),"Cartouche")</f>
        <v>Cartouche</v>
      </c>
      <c r="D3000" t="str">
        <f>IFERROR(__xludf.DUMMYFUNCTION("""COMPUTED_VALUE"""),"H364 Noir + 3 couleurs")</f>
        <v>H364 Noir + 3 couleurs</v>
      </c>
      <c r="E3000" t="str">
        <f>IFERROR(__xludf.DUMMYFUNCTION("""COMPUTED_VALUE"""),"ESSENTIELB")</f>
        <v>ESSENTIELB</v>
      </c>
      <c r="F3000" t="str">
        <f>IFERROR(__xludf.DUMMYFUNCTION("""COMPUTED_VALUE"""),"A")</f>
        <v>A</v>
      </c>
      <c r="G3000" t="str">
        <f>IFERROR(__xludf.DUMMYFUNCTION("""COMPUTED_VALUE"""),"FR")</f>
        <v>FR</v>
      </c>
      <c r="H3000">
        <f>IFERROR(__xludf.DUMMYFUNCTION("""COMPUTED_VALUE"""),33.09)</f>
        <v>33.09</v>
      </c>
      <c r="I3000">
        <f>IFERROR(__xludf.DUMMYFUNCTION("""COMPUTED_VALUE"""),33.09)</f>
        <v>33.09</v>
      </c>
      <c r="BD3000" s="2006"/>
      <c r="LL3000" s="2008"/>
      <c r="LM3000" s="2007"/>
      <c r="MX3000" s="2008"/>
      <c r="ND3000" s="2008"/>
    </row>
    <row r="3001">
      <c r="A3001">
        <f>IFERROR(__xludf.DUMMYFUNCTION("""COMPUTED_VALUE"""),8010092.0)</f>
        <v>8010092</v>
      </c>
      <c r="B3001">
        <f>IFERROR(__xludf.DUMMYFUNCTION("""COMPUTED_VALUE"""),2403005.0)</f>
        <v>2403005</v>
      </c>
      <c r="C3001" t="str">
        <f>IFERROR(__xludf.DUMMYFUNCTION("""COMPUTED_VALUE"""),"Cartouche")</f>
        <v>Cartouche</v>
      </c>
      <c r="D3001" t="str">
        <f>IFERROR(__xludf.DUMMYFUNCTION("""COMPUTED_VALUE"""),"H364 XL Noir + 3 couleurs")</f>
        <v>H364 XL Noir + 3 couleurs</v>
      </c>
      <c r="E3001" t="str">
        <f>IFERROR(__xludf.DUMMYFUNCTION("""COMPUTED_VALUE"""),"ESSENTIELB")</f>
        <v>ESSENTIELB</v>
      </c>
      <c r="F3001" t="str">
        <f>IFERROR(__xludf.DUMMYFUNCTION("""COMPUTED_VALUE"""),"H")</f>
        <v>H</v>
      </c>
      <c r="G3001" t="str">
        <f>IFERROR(__xludf.DUMMYFUNCTION("""COMPUTED_VALUE"""),"FR")</f>
        <v>FR</v>
      </c>
      <c r="H3001">
        <f>IFERROR(__xludf.DUMMYFUNCTION("""COMPUTED_VALUE"""),30.09)</f>
        <v>30.09</v>
      </c>
      <c r="I3001">
        <f>IFERROR(__xludf.DUMMYFUNCTION("""COMPUTED_VALUE"""),30.09)</f>
        <v>30.09</v>
      </c>
      <c r="BD3001" s="2006"/>
      <c r="LL3001" s="2007"/>
      <c r="LM3001" s="2007"/>
      <c r="MX3001" s="2008"/>
      <c r="ND3001" s="2007"/>
    </row>
    <row r="3002">
      <c r="A3002">
        <f>IFERROR(__xludf.DUMMYFUNCTION("""COMPUTED_VALUE"""),8010145.0)</f>
        <v>8010145</v>
      </c>
      <c r="B3002">
        <f>IFERROR(__xludf.DUMMYFUNCTION("""COMPUTED_VALUE"""),2502505.0)</f>
        <v>2502505</v>
      </c>
      <c r="C3002" t="str">
        <f>IFERROR(__xludf.DUMMYFUNCTION("""COMPUTED_VALUE"""),"Tapis")</f>
        <v>Tapis</v>
      </c>
      <c r="D3002" t="str">
        <f>IFERROR(__xludf.DUMMYFUNCTION("""COMPUTED_VALUE"""),"Arty jungle")</f>
        <v>Arty jungle</v>
      </c>
      <c r="E3002" t="str">
        <f>IFERROR(__xludf.DUMMYFUNCTION("""COMPUTED_VALUE"""),"ESSENTIELB")</f>
        <v>ESSENTIELB</v>
      </c>
      <c r="F3002" t="str">
        <f>IFERROR(__xludf.DUMMYFUNCTION("""COMPUTED_VALUE"""),"A")</f>
        <v>A</v>
      </c>
      <c r="G3002" t="str">
        <f>IFERROR(__xludf.DUMMYFUNCTION("""COMPUTED_VALUE"""),"AC")</f>
        <v>AC</v>
      </c>
      <c r="H3002">
        <f>IFERROR(__xludf.DUMMYFUNCTION("""COMPUTED_VALUE"""),7.99)</f>
        <v>7.99</v>
      </c>
      <c r="I3002">
        <f>IFERROR(__xludf.DUMMYFUNCTION("""COMPUTED_VALUE"""),7.99)</f>
        <v>7.99</v>
      </c>
      <c r="LM3002" s="2007"/>
    </row>
    <row r="3003">
      <c r="A3003">
        <f>IFERROR(__xludf.DUMMYFUNCTION("""COMPUTED_VALUE"""),8010147.0)</f>
        <v>8010147</v>
      </c>
      <c r="B3003">
        <f>IFERROR(__xludf.DUMMYFUNCTION("""COMPUTED_VALUE"""),2502505.0)</f>
        <v>2502505</v>
      </c>
      <c r="C3003" t="str">
        <f>IFERROR(__xludf.DUMMYFUNCTION("""COMPUTED_VALUE"""),"Tapis")</f>
        <v>Tapis</v>
      </c>
      <c r="D3003" t="str">
        <f>IFERROR(__xludf.DUMMYFUNCTION("""COMPUTED_VALUE"""),"Purple")</f>
        <v>Purple</v>
      </c>
      <c r="E3003" t="str">
        <f>IFERROR(__xludf.DUMMYFUNCTION("""COMPUTED_VALUE"""),"ESSENTIELB")</f>
        <v>ESSENTIELB</v>
      </c>
      <c r="F3003" t="str">
        <f>IFERROR(__xludf.DUMMYFUNCTION("""COMPUTED_VALUE"""),"A")</f>
        <v>A</v>
      </c>
      <c r="G3003" t="str">
        <f>IFERROR(__xludf.DUMMYFUNCTION("""COMPUTED_VALUE"""),"FF")</f>
        <v>FF</v>
      </c>
      <c r="H3003">
        <f>IFERROR(__xludf.DUMMYFUNCTION("""COMPUTED_VALUE"""),6.99)</f>
        <v>6.99</v>
      </c>
      <c r="I3003">
        <f>IFERROR(__xludf.DUMMYFUNCTION("""COMPUTED_VALUE"""),6.99)</f>
        <v>6.99</v>
      </c>
      <c r="LL3003" s="2007"/>
      <c r="LM3003" s="2007"/>
      <c r="MX3003" s="2007"/>
      <c r="ND3003" s="2007"/>
    </row>
    <row r="3004">
      <c r="A3004">
        <f>IFERROR(__xludf.DUMMYFUNCTION("""COMPUTED_VALUE"""),8010148.0)</f>
        <v>8010148</v>
      </c>
      <c r="B3004">
        <f>IFERROR(__xludf.DUMMYFUNCTION("""COMPUTED_VALUE"""),2502010.0)</f>
        <v>2502010</v>
      </c>
      <c r="C3004" t="str">
        <f>IFERROR(__xludf.DUMMYFUNCTION("""COMPUTED_VALUE"""),"Souris")</f>
        <v>Souris</v>
      </c>
      <c r="D3004" t="str">
        <f>IFERROR(__xludf.DUMMYFUNCTION("""COMPUTED_VALUE"""),"M-23-SF_G")</f>
        <v>M-23-SF_G</v>
      </c>
      <c r="E3004" t="str">
        <f>IFERROR(__xludf.DUMMYFUNCTION("""COMPUTED_VALUE"""),"ESSENTIELB")</f>
        <v>ESSENTIELB</v>
      </c>
      <c r="F3004" t="str">
        <f>IFERROR(__xludf.DUMMYFUNCTION("""COMPUTED_VALUE"""),"A")</f>
        <v>A</v>
      </c>
      <c r="G3004" t="str">
        <f>IFERROR(__xludf.DUMMYFUNCTION("""COMPUTED_VALUE"""),"FI")</f>
        <v>FI</v>
      </c>
      <c r="H3004">
        <f>IFERROR(__xludf.DUMMYFUNCTION("""COMPUTED_VALUE"""),9.99)</f>
        <v>9.99</v>
      </c>
      <c r="I3004">
        <f>IFERROR(__xludf.DUMMYFUNCTION("""COMPUTED_VALUE"""),9.99)</f>
        <v>9.99</v>
      </c>
      <c r="BD3004" s="2006"/>
      <c r="LL3004" s="2008"/>
      <c r="LM3004" s="2007"/>
      <c r="MX3004" s="2007"/>
      <c r="ND3004" s="2008"/>
    </row>
    <row r="3005">
      <c r="A3005">
        <f>IFERROR(__xludf.DUMMYFUNCTION("""COMPUTED_VALUE"""),8010149.0)</f>
        <v>8010149</v>
      </c>
      <c r="B3005">
        <f>IFERROR(__xludf.DUMMYFUNCTION("""COMPUTED_VALUE"""),2502010.0)</f>
        <v>2502010</v>
      </c>
      <c r="C3005" t="str">
        <f>IFERROR(__xludf.DUMMYFUNCTION("""COMPUTED_VALUE"""),"Souris")</f>
        <v>Souris</v>
      </c>
      <c r="D3005" t="str">
        <f>IFERROR(__xludf.DUMMYFUNCTION("""COMPUTED_VALUE"""),"M-23-SF_P")</f>
        <v>M-23-SF_P</v>
      </c>
      <c r="E3005" t="str">
        <f>IFERROR(__xludf.DUMMYFUNCTION("""COMPUTED_VALUE"""),"ESSENTIELB")</f>
        <v>ESSENTIELB</v>
      </c>
      <c r="F3005" t="str">
        <f>IFERROR(__xludf.DUMMYFUNCTION("""COMPUTED_VALUE"""),"A")</f>
        <v>A</v>
      </c>
      <c r="G3005" t="str">
        <f>IFERROR(__xludf.DUMMYFUNCTION("""COMPUTED_VALUE"""),"FF")</f>
        <v>FF</v>
      </c>
      <c r="H3005">
        <f>IFERROR(__xludf.DUMMYFUNCTION("""COMPUTED_VALUE"""),11.99)</f>
        <v>11.99</v>
      </c>
      <c r="I3005">
        <f>IFERROR(__xludf.DUMMYFUNCTION("""COMPUTED_VALUE"""),11.99)</f>
        <v>11.99</v>
      </c>
      <c r="BD3005" s="2006"/>
      <c r="LL3005" s="2007"/>
      <c r="LM3005" s="2007"/>
      <c r="MX3005" s="2007"/>
      <c r="ND3005" s="2008"/>
    </row>
    <row r="3006">
      <c r="A3006">
        <f>IFERROR(__xludf.DUMMYFUNCTION("""COMPUTED_VALUE"""),8010150.0)</f>
        <v>8010150</v>
      </c>
      <c r="B3006">
        <f>IFERROR(__xludf.DUMMYFUNCTION("""COMPUTED_VALUE"""),2502010.0)</f>
        <v>2502010</v>
      </c>
      <c r="C3006" t="str">
        <f>IFERROR(__xludf.DUMMYFUNCTION("""COMPUTED_VALUE"""),"Souris")</f>
        <v>Souris</v>
      </c>
      <c r="D3006" t="str">
        <f>IFERROR(__xludf.DUMMYFUNCTION("""COMPUTED_VALUE"""),"M-23-SF_Arty jungle")</f>
        <v>M-23-SF_Arty jungle</v>
      </c>
      <c r="E3006" t="str">
        <f>IFERROR(__xludf.DUMMYFUNCTION("""COMPUTED_VALUE"""),"ESSENTIELB")</f>
        <v>ESSENTIELB</v>
      </c>
      <c r="F3006" t="str">
        <f>IFERROR(__xludf.DUMMYFUNCTION("""COMPUTED_VALUE"""),"A")</f>
        <v>A</v>
      </c>
      <c r="G3006" t="str">
        <f>IFERROR(__xludf.DUMMYFUNCTION("""COMPUTED_VALUE"""),"FF")</f>
        <v>FF</v>
      </c>
      <c r="H3006">
        <f>IFERROR(__xludf.DUMMYFUNCTION("""COMPUTED_VALUE"""),11.99)</f>
        <v>11.99</v>
      </c>
      <c r="I3006">
        <f>IFERROR(__xludf.DUMMYFUNCTION("""COMPUTED_VALUE"""),11.99)</f>
        <v>11.99</v>
      </c>
      <c r="BD3006" s="2006"/>
      <c r="LL3006" s="2008"/>
      <c r="LM3006" s="2007"/>
      <c r="MX3006" s="2007"/>
      <c r="ND3006" s="2008"/>
    </row>
    <row r="3007">
      <c r="A3007">
        <f>IFERROR(__xludf.DUMMYFUNCTION("""COMPUTED_VALUE"""),8010184.0)</f>
        <v>8010184</v>
      </c>
      <c r="B3007">
        <f>IFERROR(__xludf.DUMMYFUNCTION("""COMPUTED_VALUE"""),2502010.0)</f>
        <v>2502010</v>
      </c>
      <c r="C3007" t="str">
        <f>IFERROR(__xludf.DUMMYFUNCTION("""COMPUTED_VALUE"""),"Présenteur")</f>
        <v>Présenteur</v>
      </c>
      <c r="D3007" t="str">
        <f>IFERROR(__xludf.DUMMYFUNCTION("""COMPUTED_VALUE"""),"Présenteur 2023")</f>
        <v>Présenteur 2023</v>
      </c>
      <c r="E3007" t="str">
        <f>IFERROR(__xludf.DUMMYFUNCTION("""COMPUTED_VALUE"""),"ESSENTIELB")</f>
        <v>ESSENTIELB</v>
      </c>
      <c r="F3007" t="str">
        <f>IFERROR(__xludf.DUMMYFUNCTION("""COMPUTED_VALUE"""),"A")</f>
        <v>A</v>
      </c>
      <c r="G3007" t="str">
        <f>IFERROR(__xludf.DUMMYFUNCTION("""COMPUTED_VALUE"""),"AC")</f>
        <v>AC</v>
      </c>
      <c r="H3007">
        <f>IFERROR(__xludf.DUMMYFUNCTION("""COMPUTED_VALUE"""),29.99)</f>
        <v>29.99</v>
      </c>
      <c r="I3007">
        <f>IFERROR(__xludf.DUMMYFUNCTION("""COMPUTED_VALUE"""),29.99)</f>
        <v>29.99</v>
      </c>
      <c r="BD3007" s="2006"/>
      <c r="LL3007" s="2007"/>
      <c r="LM3007" s="2007"/>
      <c r="MX3007" s="2007"/>
      <c r="ND3007" s="2008"/>
    </row>
    <row r="3008">
      <c r="A3008">
        <f>IFERROR(__xludf.DUMMYFUNCTION("""COMPUTED_VALUE"""),8010261.0)</f>
        <v>8010261</v>
      </c>
      <c r="B3008">
        <f>IFERROR(__xludf.DUMMYFUNCTION("""COMPUTED_VALUE"""),2502010.0)</f>
        <v>2502010</v>
      </c>
      <c r="C3008" t="str">
        <f>IFERROR(__xludf.DUMMYFUNCTION("""COMPUTED_VALUE"""),"Souris")</f>
        <v>Souris</v>
      </c>
      <c r="D3008" t="str">
        <f>IFERROR(__xludf.DUMMYFUNCTION("""COMPUTED_VALUE"""),"EB-F-ECO")</f>
        <v>EB-F-ECO</v>
      </c>
      <c r="E3008" t="str">
        <f>IFERROR(__xludf.DUMMYFUNCTION("""COMPUTED_VALUE"""),"ESSENTIELB")</f>
        <v>ESSENTIELB</v>
      </c>
      <c r="F3008" t="str">
        <f>IFERROR(__xludf.DUMMYFUNCTION("""COMPUTED_VALUE"""),"A")</f>
        <v>A</v>
      </c>
      <c r="G3008" t="str">
        <f>IFERROR(__xludf.DUMMYFUNCTION("""COMPUTED_VALUE"""),"AC")</f>
        <v>AC</v>
      </c>
      <c r="H3008">
        <f>IFERROR(__xludf.DUMMYFUNCTION("""COMPUTED_VALUE"""),9.99)</f>
        <v>9.99</v>
      </c>
      <c r="I3008">
        <f>IFERROR(__xludf.DUMMYFUNCTION("""COMPUTED_VALUE"""),9.99)</f>
        <v>9.99</v>
      </c>
      <c r="BD3008" s="2006"/>
      <c r="LL3008" s="2008"/>
      <c r="LM3008" s="2007"/>
      <c r="MX3008" s="2007"/>
      <c r="ND3008" s="2008"/>
    </row>
    <row r="3009">
      <c r="A3009">
        <f>IFERROR(__xludf.DUMMYFUNCTION("""COMPUTED_VALUE"""),8010375.0)</f>
        <v>8010375</v>
      </c>
      <c r="B3009">
        <f>IFERROR(__xludf.DUMMYFUNCTION("""COMPUTED_VALUE"""),2503005.0)</f>
        <v>2503005</v>
      </c>
      <c r="C3009" t="str">
        <f>IFERROR(__xludf.DUMMYFUNCTION("""COMPUTED_VALUE"""),"Enceinte")</f>
        <v>Enceinte</v>
      </c>
      <c r="D3009" t="str">
        <f>IFERROR(__xludf.DUMMYFUNCTION("""COMPUTED_VALUE"""),"EKO 2")</f>
        <v>EKO 2</v>
      </c>
      <c r="E3009" t="str">
        <f>IFERROR(__xludf.DUMMYFUNCTION("""COMPUTED_VALUE"""),"ESSENTIELB")</f>
        <v>ESSENTIELB</v>
      </c>
      <c r="F3009" t="str">
        <f>IFERROR(__xludf.DUMMYFUNCTION("""COMPUTED_VALUE"""),"A")</f>
        <v>A</v>
      </c>
      <c r="G3009" t="str">
        <f>IFERROR(__xludf.DUMMYFUNCTION("""COMPUTED_VALUE"""),"AC")</f>
        <v>AC</v>
      </c>
      <c r="H3009">
        <f>IFERROR(__xludf.DUMMYFUNCTION("""COMPUTED_VALUE"""),29.99)</f>
        <v>29.99</v>
      </c>
      <c r="I3009">
        <f>IFERROR(__xludf.DUMMYFUNCTION("""COMPUTED_VALUE"""),29.99)</f>
        <v>29.99</v>
      </c>
      <c r="BD3009" s="2006"/>
      <c r="LL3009" s="2008"/>
      <c r="LM3009" s="2007"/>
      <c r="MX3009" s="2007"/>
      <c r="ND3009" s="2008"/>
    </row>
    <row r="3010">
      <c r="A3010">
        <f>IFERROR(__xludf.DUMMYFUNCTION("""COMPUTED_VALUE"""),8010631.0)</f>
        <v>8010631</v>
      </c>
      <c r="B3010">
        <f>IFERROR(__xludf.DUMMYFUNCTION("""COMPUTED_VALUE"""),2502010.0)</f>
        <v>2502010</v>
      </c>
      <c r="C3010" t="str">
        <f>IFERROR(__xludf.DUMMYFUNCTION("""COMPUTED_VALUE"""),"Souris")</f>
        <v>Souris</v>
      </c>
      <c r="D3010" t="str">
        <f>IFERROR(__xludf.DUMMYFUNCTION("""COMPUTED_VALUE"""),"Nonoiz noire Mat")</f>
        <v>Nonoiz noire Mat</v>
      </c>
      <c r="E3010" t="str">
        <f>IFERROR(__xludf.DUMMYFUNCTION("""COMPUTED_VALUE"""),"ESSENTIELB")</f>
        <v>ESSENTIELB</v>
      </c>
      <c r="F3010" t="str">
        <f>IFERROR(__xludf.DUMMYFUNCTION("""COMPUTED_VALUE"""),"B")</f>
        <v>B</v>
      </c>
      <c r="G3010" t="str">
        <f>IFERROR(__xludf.DUMMYFUNCTION("""COMPUTED_VALUE"""),"AC")</f>
        <v>AC</v>
      </c>
      <c r="H3010">
        <f>IFERROR(__xludf.DUMMYFUNCTION("""COMPUTED_VALUE"""),12.99)</f>
        <v>12.99</v>
      </c>
      <c r="I3010">
        <f>IFERROR(__xludf.DUMMYFUNCTION("""COMPUTED_VALUE"""),12.99)</f>
        <v>12.99</v>
      </c>
      <c r="BD3010" s="2006"/>
      <c r="LL3010" s="2008"/>
      <c r="LM3010" s="2007"/>
      <c r="MX3010" s="2007"/>
      <c r="ND3010" s="2008"/>
    </row>
    <row r="3011">
      <c r="A3011">
        <f>IFERROR(__xludf.DUMMYFUNCTION("""COMPUTED_VALUE"""),8010638.0)</f>
        <v>8010638</v>
      </c>
      <c r="B3011">
        <f>IFERROR(__xludf.DUMMYFUNCTION("""COMPUTED_VALUE"""),2502505.0)</f>
        <v>2502505</v>
      </c>
      <c r="C3011" t="str">
        <f>IFERROR(__xludf.DUMMYFUNCTION("""COMPUTED_VALUE"""),"Tapis")</f>
        <v>Tapis</v>
      </c>
      <c r="D3011" t="str">
        <f>IFERROR(__xludf.DUMMYFUNCTION("""COMPUTED_VALUE"""),"EB_MP-12-B")</f>
        <v>EB_MP-12-B</v>
      </c>
      <c r="E3011" t="str">
        <f>IFERROR(__xludf.DUMMYFUNCTION("""COMPUTED_VALUE"""),"ESSENTIELB")</f>
        <v>ESSENTIELB</v>
      </c>
      <c r="F3011" t="str">
        <f>IFERROR(__xludf.DUMMYFUNCTION("""COMPUTED_VALUE"""),"A")</f>
        <v>A</v>
      </c>
      <c r="G3011" t="str">
        <f>IFERROR(__xludf.DUMMYFUNCTION("""COMPUTED_VALUE"""),"AC")</f>
        <v>AC</v>
      </c>
      <c r="H3011">
        <f>IFERROR(__xludf.DUMMYFUNCTION("""COMPUTED_VALUE"""),6.99)</f>
        <v>6.99</v>
      </c>
      <c r="I3011">
        <f>IFERROR(__xludf.DUMMYFUNCTION("""COMPUTED_VALUE"""),6.99)</f>
        <v>6.99</v>
      </c>
      <c r="BD3011" s="2006"/>
      <c r="LL3011" s="2007"/>
      <c r="LM3011" s="2007"/>
      <c r="MX3011" s="2007"/>
      <c r="ND3011" s="2007"/>
    </row>
    <row r="3012">
      <c r="A3012">
        <f>IFERROR(__xludf.DUMMYFUNCTION("""COMPUTED_VALUE"""),8010639.0)</f>
        <v>8010639</v>
      </c>
      <c r="B3012">
        <f>IFERROR(__xludf.DUMMYFUNCTION("""COMPUTED_VALUE"""),2502505.0)</f>
        <v>2502505</v>
      </c>
      <c r="C3012" t="str">
        <f>IFERROR(__xludf.DUMMYFUNCTION("""COMPUTED_VALUE"""),"Tapis")</f>
        <v>Tapis</v>
      </c>
      <c r="D3012" t="str">
        <f>IFERROR(__xludf.DUMMYFUNCTION("""COMPUTED_VALUE"""),"EB_MP-12-F")</f>
        <v>EB_MP-12-F</v>
      </c>
      <c r="E3012" t="str">
        <f>IFERROR(__xludf.DUMMYFUNCTION("""COMPUTED_VALUE"""),"ESSENTIELB")</f>
        <v>ESSENTIELB</v>
      </c>
      <c r="F3012" t="str">
        <f>IFERROR(__xludf.DUMMYFUNCTION("""COMPUTED_VALUE"""),"A")</f>
        <v>A</v>
      </c>
      <c r="G3012" t="str">
        <f>IFERROR(__xludf.DUMMYFUNCTION("""COMPUTED_VALUE"""),"AC")</f>
        <v>AC</v>
      </c>
      <c r="H3012">
        <f>IFERROR(__xludf.DUMMYFUNCTION("""COMPUTED_VALUE"""),6.99)</f>
        <v>6.99</v>
      </c>
      <c r="I3012">
        <f>IFERROR(__xludf.DUMMYFUNCTION("""COMPUTED_VALUE"""),6.99)</f>
        <v>6.99</v>
      </c>
      <c r="BD3012" s="2006"/>
      <c r="LL3012" s="2007"/>
      <c r="LM3012" s="2007"/>
      <c r="MX3012" s="2007"/>
      <c r="ND3012" s="2007"/>
    </row>
    <row r="3013">
      <c r="A3013">
        <f>IFERROR(__xludf.DUMMYFUNCTION("""COMPUTED_VALUE"""),8010640.0)</f>
        <v>8010640</v>
      </c>
      <c r="B3013">
        <f>IFERROR(__xludf.DUMMYFUNCTION("""COMPUTED_VALUE"""),2502505.0)</f>
        <v>2502505</v>
      </c>
      <c r="C3013" t="str">
        <f>IFERROR(__xludf.DUMMYFUNCTION("""COMPUTED_VALUE"""),"Tapis")</f>
        <v>Tapis</v>
      </c>
      <c r="D3013" t="str">
        <f>IFERROR(__xludf.DUMMYFUNCTION("""COMPUTED_VALUE"""),"EB_MP-12-M")</f>
        <v>EB_MP-12-M</v>
      </c>
      <c r="E3013" t="str">
        <f>IFERROR(__xludf.DUMMYFUNCTION("""COMPUTED_VALUE"""),"ESSENTIELB")</f>
        <v>ESSENTIELB</v>
      </c>
      <c r="F3013" t="str">
        <f>IFERROR(__xludf.DUMMYFUNCTION("""COMPUTED_VALUE"""),"A")</f>
        <v>A</v>
      </c>
      <c r="G3013" t="str">
        <f>IFERROR(__xludf.DUMMYFUNCTION("""COMPUTED_VALUE"""),"AC")</f>
        <v>AC</v>
      </c>
      <c r="H3013">
        <f>IFERROR(__xludf.DUMMYFUNCTION("""COMPUTED_VALUE"""),6.99)</f>
        <v>6.99</v>
      </c>
      <c r="I3013">
        <f>IFERROR(__xludf.DUMMYFUNCTION("""COMPUTED_VALUE"""),6.99)</f>
        <v>6.99</v>
      </c>
      <c r="BD3013" s="2006"/>
      <c r="LL3013" s="2008"/>
      <c r="LM3013" s="2007"/>
      <c r="MX3013" s="2007"/>
      <c r="ND3013" s="2008"/>
    </row>
    <row r="3014">
      <c r="A3014">
        <f>IFERROR(__xludf.DUMMYFUNCTION("""COMPUTED_VALUE"""),8010643.0)</f>
        <v>8010643</v>
      </c>
      <c r="B3014">
        <f>IFERROR(__xludf.DUMMYFUNCTION("""COMPUTED_VALUE"""),2502010.0)</f>
        <v>2502010</v>
      </c>
      <c r="C3014" t="str">
        <f>IFERROR(__xludf.DUMMYFUNCTION("""COMPUTED_VALUE"""),"Souris")</f>
        <v>Souris</v>
      </c>
      <c r="D3014" t="str">
        <f>IFERROR(__xludf.DUMMYFUNCTION("""COMPUTED_VALUE"""),"M-24-SF_B")</f>
        <v>M-24-SF_B</v>
      </c>
      <c r="E3014" t="str">
        <f>IFERROR(__xludf.DUMMYFUNCTION("""COMPUTED_VALUE"""),"ESSENTIELB")</f>
        <v>ESSENTIELB</v>
      </c>
      <c r="F3014" t="str">
        <f>IFERROR(__xludf.DUMMYFUNCTION("""COMPUTED_VALUE"""),"A")</f>
        <v>A</v>
      </c>
      <c r="G3014" t="str">
        <f>IFERROR(__xludf.DUMMYFUNCTION("""COMPUTED_VALUE"""),"FR")</f>
        <v>FR</v>
      </c>
      <c r="H3014">
        <f>IFERROR(__xludf.DUMMYFUNCTION("""COMPUTED_VALUE"""),9.99)</f>
        <v>9.99</v>
      </c>
      <c r="I3014">
        <f>IFERROR(__xludf.DUMMYFUNCTION("""COMPUTED_VALUE"""),9.99)</f>
        <v>9.99</v>
      </c>
      <c r="BD3014" s="2006"/>
      <c r="LL3014" s="2007"/>
      <c r="LM3014" s="2007"/>
      <c r="MX3014" s="2007"/>
      <c r="ND3014" s="2007"/>
    </row>
    <row r="3015">
      <c r="A3015">
        <f>IFERROR(__xludf.DUMMYFUNCTION("""COMPUTED_VALUE"""),8010644.0)</f>
        <v>8010644</v>
      </c>
      <c r="B3015">
        <f>IFERROR(__xludf.DUMMYFUNCTION("""COMPUTED_VALUE"""),2502010.0)</f>
        <v>2502010</v>
      </c>
      <c r="C3015" t="str">
        <f>IFERROR(__xludf.DUMMYFUNCTION("""COMPUTED_VALUE"""),"Souris")</f>
        <v>Souris</v>
      </c>
      <c r="D3015" t="str">
        <f>IFERROR(__xludf.DUMMYFUNCTION("""COMPUTED_VALUE"""),"M-24-SF_M")</f>
        <v>M-24-SF_M</v>
      </c>
      <c r="E3015" t="str">
        <f>IFERROR(__xludf.DUMMYFUNCTION("""COMPUTED_VALUE"""),"ESSENTIELB")</f>
        <v>ESSENTIELB</v>
      </c>
      <c r="F3015" t="str">
        <f>IFERROR(__xludf.DUMMYFUNCTION("""COMPUTED_VALUE"""),"A")</f>
        <v>A</v>
      </c>
      <c r="G3015" t="str">
        <f>IFERROR(__xludf.DUMMYFUNCTION("""COMPUTED_VALUE"""),"FR")</f>
        <v>FR</v>
      </c>
      <c r="H3015">
        <f>IFERROR(__xludf.DUMMYFUNCTION("""COMPUTED_VALUE"""),9.99)</f>
        <v>9.99</v>
      </c>
      <c r="I3015">
        <f>IFERROR(__xludf.DUMMYFUNCTION("""COMPUTED_VALUE"""),9.99)</f>
        <v>9.99</v>
      </c>
      <c r="BD3015" s="2006"/>
      <c r="LL3015" s="2008"/>
      <c r="LM3015" s="2007"/>
      <c r="MX3015" s="2007"/>
      <c r="ND3015" s="2008"/>
    </row>
    <row r="3016">
      <c r="A3016">
        <f>IFERROR(__xludf.DUMMYFUNCTION("""COMPUTED_VALUE"""),8010645.0)</f>
        <v>8010645</v>
      </c>
      <c r="B3016">
        <f>IFERROR(__xludf.DUMMYFUNCTION("""COMPUTED_VALUE"""),2502010.0)</f>
        <v>2502010</v>
      </c>
      <c r="C3016" t="str">
        <f>IFERROR(__xludf.DUMMYFUNCTION("""COMPUTED_VALUE"""),"Souris")</f>
        <v>Souris</v>
      </c>
      <c r="D3016" t="str">
        <f>IFERROR(__xludf.DUMMYFUNCTION("""COMPUTED_VALUE"""),"M-24-SF_F")</f>
        <v>M-24-SF_F</v>
      </c>
      <c r="E3016" t="str">
        <f>IFERROR(__xludf.DUMMYFUNCTION("""COMPUTED_VALUE"""),"ESSENTIELB")</f>
        <v>ESSENTIELB</v>
      </c>
      <c r="F3016" t="str">
        <f>IFERROR(__xludf.DUMMYFUNCTION("""COMPUTED_VALUE"""),"A")</f>
        <v>A</v>
      </c>
      <c r="G3016" t="str">
        <f>IFERROR(__xludf.DUMMYFUNCTION("""COMPUTED_VALUE"""),"AC")</f>
        <v>AC</v>
      </c>
      <c r="H3016">
        <f>IFERROR(__xludf.DUMMYFUNCTION("""COMPUTED_VALUE"""),9.99)</f>
        <v>9.99</v>
      </c>
      <c r="I3016">
        <f>IFERROR(__xludf.DUMMYFUNCTION("""COMPUTED_VALUE"""),9.99)</f>
        <v>9.99</v>
      </c>
      <c r="BD3016" s="2006"/>
      <c r="LL3016" s="2008"/>
      <c r="LM3016" s="2007"/>
      <c r="MX3016" s="2007"/>
      <c r="ND3016" s="2008"/>
    </row>
    <row r="3017">
      <c r="A3017">
        <f>IFERROR(__xludf.DUMMYFUNCTION("""COMPUTED_VALUE"""),8010681.0)</f>
        <v>8010681</v>
      </c>
      <c r="B3017">
        <f>IFERROR(__xludf.DUMMYFUNCTION("""COMPUTED_VALUE"""),2502510.0)</f>
        <v>2502510</v>
      </c>
      <c r="C3017" t="str">
        <f>IFERROR(__xludf.DUMMYFUNCTION("""COMPUTED_VALUE"""),"Support")</f>
        <v>Support</v>
      </c>
      <c r="D3017" t="str">
        <f>IFERROR(__xludf.DUMMYFUNCTION("""COMPUTED_VALUE"""),"Sigma")</f>
        <v>Sigma</v>
      </c>
      <c r="E3017" t="str">
        <f>IFERROR(__xludf.DUMMYFUNCTION("""COMPUTED_VALUE"""),"ESSENTIELB")</f>
        <v>ESSENTIELB</v>
      </c>
      <c r="F3017" t="str">
        <f>IFERROR(__xludf.DUMMYFUNCTION("""COMPUTED_VALUE"""),"B")</f>
        <v>B</v>
      </c>
      <c r="G3017" t="str">
        <f>IFERROR(__xludf.DUMMYFUNCTION("""COMPUTED_VALUE"""),"AC")</f>
        <v>AC</v>
      </c>
      <c r="H3017">
        <f>IFERROR(__xludf.DUMMYFUNCTION("""COMPUTED_VALUE"""),24.99)</f>
        <v>24.99</v>
      </c>
      <c r="I3017">
        <f>IFERROR(__xludf.DUMMYFUNCTION("""COMPUTED_VALUE"""),24.99)</f>
        <v>24.99</v>
      </c>
      <c r="BD3017" s="2006"/>
      <c r="LL3017" s="2008"/>
      <c r="LM3017" s="2007"/>
      <c r="MX3017" s="2007"/>
      <c r="ND3017" s="2008"/>
    </row>
    <row r="3018">
      <c r="A3018">
        <f>IFERROR(__xludf.DUMMYFUNCTION("""COMPUTED_VALUE"""),8010762.0)</f>
        <v>8010762</v>
      </c>
      <c r="B3018">
        <f>IFERROR(__xludf.DUMMYFUNCTION("""COMPUTED_VALUE"""),2502015.0)</f>
        <v>2502015</v>
      </c>
      <c r="C3018" t="str">
        <f>IFERROR(__xludf.DUMMYFUNCTION("""COMPUTED_VALUE"""),"Clavier")</f>
        <v>Clavier</v>
      </c>
      <c r="D3018" t="str">
        <f>IFERROR(__xludf.DUMMYFUNCTION("""COMPUTED_VALUE"""),"EB-SK-11-SF")</f>
        <v>EB-SK-11-SF</v>
      </c>
      <c r="E3018" t="str">
        <f>IFERROR(__xludf.DUMMYFUNCTION("""COMPUTED_VALUE"""),"ESSENTIELB")</f>
        <v>ESSENTIELB</v>
      </c>
      <c r="F3018" t="str">
        <f>IFERROR(__xludf.DUMMYFUNCTION("""COMPUTED_VALUE"""),"A")</f>
        <v>A</v>
      </c>
      <c r="G3018" t="str">
        <f>IFERROR(__xludf.DUMMYFUNCTION("""COMPUTED_VALUE"""),"AC")</f>
        <v>AC</v>
      </c>
      <c r="H3018">
        <f>IFERROR(__xludf.DUMMYFUNCTION("""COMPUTED_VALUE"""),39.99)</f>
        <v>39.99</v>
      </c>
      <c r="I3018">
        <f>IFERROR(__xludf.DUMMYFUNCTION("""COMPUTED_VALUE"""),39.99)</f>
        <v>39.99</v>
      </c>
      <c r="BD3018" s="2006"/>
      <c r="LL3018" s="2007"/>
      <c r="LM3018" s="2007"/>
      <c r="MX3018" s="2007"/>
      <c r="ND3018" s="2008"/>
    </row>
    <row r="3019">
      <c r="A3019">
        <f>IFERROR(__xludf.DUMMYFUNCTION("""COMPUTED_VALUE"""),8010797.0)</f>
        <v>8010797</v>
      </c>
      <c r="B3019">
        <f>IFERROR(__xludf.DUMMYFUNCTION("""COMPUTED_VALUE"""),2502015.0)</f>
        <v>2502015</v>
      </c>
      <c r="C3019" t="str">
        <f>IFERROR(__xludf.DUMMYFUNCTION("""COMPUTED_VALUE"""),"Clavier")</f>
        <v>Clavier</v>
      </c>
      <c r="D3019" t="str">
        <f>IFERROR(__xludf.DUMMYFUNCTION("""COMPUTED_VALUE"""),"ECO 2023")</f>
        <v>ECO 2023</v>
      </c>
      <c r="E3019" t="str">
        <f>IFERROR(__xludf.DUMMYFUNCTION("""COMPUTED_VALUE"""),"ESSENTIELB")</f>
        <v>ESSENTIELB</v>
      </c>
      <c r="F3019" t="str">
        <f>IFERROR(__xludf.DUMMYFUNCTION("""COMPUTED_VALUE"""),"A")</f>
        <v>A</v>
      </c>
      <c r="G3019" t="str">
        <f>IFERROR(__xludf.DUMMYFUNCTION("""COMPUTED_VALUE"""),"AC")</f>
        <v>AC</v>
      </c>
      <c r="H3019">
        <f>IFERROR(__xludf.DUMMYFUNCTION("""COMPUTED_VALUE"""),15.99)</f>
        <v>15.99</v>
      </c>
      <c r="I3019">
        <f>IFERROR(__xludf.DUMMYFUNCTION("""COMPUTED_VALUE"""),15.99)</f>
        <v>15.99</v>
      </c>
      <c r="BD3019" s="2006"/>
      <c r="LL3019" s="2008"/>
      <c r="LM3019" s="2007"/>
      <c r="MX3019" s="2007"/>
      <c r="ND3019" s="2008"/>
    </row>
    <row r="3020">
      <c r="A3020">
        <f>IFERROR(__xludf.DUMMYFUNCTION("""COMPUTED_VALUE"""),8010821.0)</f>
        <v>8010821</v>
      </c>
      <c r="B3020">
        <f>IFERROR(__xludf.DUMMYFUNCTION("""COMPUTED_VALUE"""),2503010.0)</f>
        <v>2503010</v>
      </c>
      <c r="C3020" t="str">
        <f>IFERROR(__xludf.DUMMYFUNCTION("""COMPUTED_VALUE"""),"Casque micro")</f>
        <v>Casque micro</v>
      </c>
      <c r="D3020">
        <f>IFERROR(__xludf.DUMMYFUNCTION("""COMPUTED_VALUE"""),2024.0)</f>
        <v>2024</v>
      </c>
      <c r="E3020" t="str">
        <f>IFERROR(__xludf.DUMMYFUNCTION("""COMPUTED_VALUE"""),"ESSENTIELB")</f>
        <v>ESSENTIELB</v>
      </c>
      <c r="F3020" t="str">
        <f>IFERROR(__xludf.DUMMYFUNCTION("""COMPUTED_VALUE"""),"A")</f>
        <v>A</v>
      </c>
      <c r="G3020" t="str">
        <f>IFERROR(__xludf.DUMMYFUNCTION("""COMPUTED_VALUE"""),"AC")</f>
        <v>AC</v>
      </c>
      <c r="H3020">
        <f>IFERROR(__xludf.DUMMYFUNCTION("""COMPUTED_VALUE"""),19.99)</f>
        <v>19.99</v>
      </c>
      <c r="I3020">
        <f>IFERROR(__xludf.DUMMYFUNCTION("""COMPUTED_VALUE"""),19.99)</f>
        <v>19.99</v>
      </c>
      <c r="BD3020" s="2006"/>
      <c r="LL3020" s="2008"/>
      <c r="LM3020" s="2007"/>
      <c r="MX3020" s="2007"/>
      <c r="ND3020" s="2008"/>
    </row>
    <row r="3021">
      <c r="A3021">
        <f>IFERROR(__xludf.DUMMYFUNCTION("""COMPUTED_VALUE"""),8010838.0)</f>
        <v>8010838</v>
      </c>
      <c r="B3021">
        <f>IFERROR(__xludf.DUMMYFUNCTION("""COMPUTED_VALUE"""),2502015.0)</f>
        <v>2502015</v>
      </c>
      <c r="C3021" t="str">
        <f>IFERROR(__xludf.DUMMYFUNCTION("""COMPUTED_VALUE"""),"Clavier+Souris")</f>
        <v>Clavier+Souris</v>
      </c>
      <c r="D3021" t="str">
        <f>IFERROR(__xludf.DUMMYFUNCTION("""COMPUTED_VALUE"""),"Backlight")</f>
        <v>Backlight</v>
      </c>
      <c r="E3021" t="str">
        <f>IFERROR(__xludf.DUMMYFUNCTION("""COMPUTED_VALUE"""),"ESSENTIELB")</f>
        <v>ESSENTIELB</v>
      </c>
      <c r="F3021" t="str">
        <f>IFERROR(__xludf.DUMMYFUNCTION("""COMPUTED_VALUE"""),"A")</f>
        <v>A</v>
      </c>
      <c r="G3021" t="str">
        <f>IFERROR(__xludf.DUMMYFUNCTION("""COMPUTED_VALUE"""),"AC")</f>
        <v>AC</v>
      </c>
      <c r="H3021">
        <f>IFERROR(__xludf.DUMMYFUNCTION("""COMPUTED_VALUE"""),49.99)</f>
        <v>49.99</v>
      </c>
      <c r="I3021">
        <f>IFERROR(__xludf.DUMMYFUNCTION("""COMPUTED_VALUE"""),49.99)</f>
        <v>49.99</v>
      </c>
      <c r="BD3021" s="2006"/>
      <c r="LL3021" s="2008"/>
      <c r="LM3021" s="2008"/>
      <c r="MX3021" s="2007"/>
      <c r="ND3021" s="2008"/>
    </row>
    <row r="3022">
      <c r="A3022">
        <f>IFERROR(__xludf.DUMMYFUNCTION("""COMPUTED_VALUE"""),8010914.0)</f>
        <v>8010914</v>
      </c>
      <c r="B3022">
        <f>IFERROR(__xludf.DUMMYFUNCTION("""COMPUTED_VALUE"""),2502015.0)</f>
        <v>2502015</v>
      </c>
      <c r="C3022" t="str">
        <f>IFERROR(__xludf.DUMMYFUNCTION("""COMPUTED_VALUE"""),"Clavier")</f>
        <v>Clavier</v>
      </c>
      <c r="D3022" t="str">
        <f>IFERROR(__xludf.DUMMYFUNCTION("""COMPUTED_VALUE"""),"Nomad 2024")</f>
        <v>Nomad 2024</v>
      </c>
      <c r="E3022" t="str">
        <f>IFERROR(__xludf.DUMMYFUNCTION("""COMPUTED_VALUE"""),"ESSENTIELB")</f>
        <v>ESSENTIELB</v>
      </c>
      <c r="F3022" t="str">
        <f>IFERROR(__xludf.DUMMYFUNCTION("""COMPUTED_VALUE"""),"B")</f>
        <v>B</v>
      </c>
      <c r="G3022" t="str">
        <f>IFERROR(__xludf.DUMMYFUNCTION("""COMPUTED_VALUE"""),"AC")</f>
        <v>AC</v>
      </c>
      <c r="H3022">
        <f>IFERROR(__xludf.DUMMYFUNCTION("""COMPUTED_VALUE"""),24.99)</f>
        <v>24.99</v>
      </c>
      <c r="I3022">
        <f>IFERROR(__xludf.DUMMYFUNCTION("""COMPUTED_VALUE"""),24.99)</f>
        <v>24.99</v>
      </c>
      <c r="BD3022" s="2006"/>
      <c r="LL3022" s="2008"/>
      <c r="LM3022" s="2008"/>
      <c r="MX3022" s="2007"/>
      <c r="ND3022" s="2008"/>
    </row>
    <row r="3023">
      <c r="A3023">
        <f>IFERROR(__xludf.DUMMYFUNCTION("""COMPUTED_VALUE"""),8010934.0)</f>
        <v>8010934</v>
      </c>
      <c r="B3023">
        <f>IFERROR(__xludf.DUMMYFUNCTION("""COMPUTED_VALUE"""),1103010.0)</f>
        <v>1103010</v>
      </c>
      <c r="C3023" t="str">
        <f>IFERROR(__xludf.DUMMYFUNCTION("""COMPUTED_VALUE"""),"Tél.")</f>
        <v>Tél.</v>
      </c>
      <c r="D3023" t="str">
        <f>IFERROR(__xludf.DUMMYFUNCTION("""COMPUTED_VALUE"""),"Tribu solo V3")</f>
        <v>Tribu solo V3</v>
      </c>
      <c r="E3023" t="str">
        <f>IFERROR(__xludf.DUMMYFUNCTION("""COMPUTED_VALUE"""),"ESSENTIELB")</f>
        <v>ESSENTIELB</v>
      </c>
      <c r="F3023" t="str">
        <f>IFERROR(__xludf.DUMMYFUNCTION("""COMPUTED_VALUE"""),"A")</f>
        <v>A</v>
      </c>
      <c r="G3023" t="str">
        <f>IFERROR(__xludf.DUMMYFUNCTION("""COMPUTED_VALUE"""),"AC")</f>
        <v>AC</v>
      </c>
      <c r="H3023">
        <f>IFERROR(__xludf.DUMMYFUNCTION("""COMPUTED_VALUE"""),29.99)</f>
        <v>29.99</v>
      </c>
      <c r="I3023">
        <f>IFERROR(__xludf.DUMMYFUNCTION("""COMPUTED_VALUE"""),29.99)</f>
        <v>29.99</v>
      </c>
      <c r="BD3023" s="2006"/>
      <c r="LL3023" s="2007"/>
      <c r="LM3023" s="2008"/>
      <c r="MX3023" s="2007"/>
      <c r="ND3023" s="2007"/>
    </row>
    <row r="3024">
      <c r="A3024">
        <f>IFERROR(__xludf.DUMMYFUNCTION("""COMPUTED_VALUE"""),8010935.0)</f>
        <v>8010935</v>
      </c>
      <c r="B3024">
        <f>IFERROR(__xludf.DUMMYFUNCTION("""COMPUTED_VALUE"""),1103010.0)</f>
        <v>1103010</v>
      </c>
      <c r="C3024" t="str">
        <f>IFERROR(__xludf.DUMMYFUNCTION("""COMPUTED_VALUE"""),"Tél.")</f>
        <v>Tél.</v>
      </c>
      <c r="D3024" t="str">
        <f>IFERROR(__xludf.DUMMYFUNCTION("""COMPUTED_VALUE"""),"Tribu duo V3")</f>
        <v>Tribu duo V3</v>
      </c>
      <c r="E3024" t="str">
        <f>IFERROR(__xludf.DUMMYFUNCTION("""COMPUTED_VALUE"""),"ESSENTIELB")</f>
        <v>ESSENTIELB</v>
      </c>
      <c r="F3024" t="str">
        <f>IFERROR(__xludf.DUMMYFUNCTION("""COMPUTED_VALUE"""),"A")</f>
        <v>A</v>
      </c>
      <c r="G3024" t="str">
        <f>IFERROR(__xludf.DUMMYFUNCTION("""COMPUTED_VALUE"""),"AC")</f>
        <v>AC</v>
      </c>
      <c r="H3024">
        <f>IFERROR(__xludf.DUMMYFUNCTION("""COMPUTED_VALUE"""),49.99)</f>
        <v>49.99</v>
      </c>
      <c r="I3024">
        <f>IFERROR(__xludf.DUMMYFUNCTION("""COMPUTED_VALUE"""),49.99)</f>
        <v>49.99</v>
      </c>
      <c r="BD3024" s="2006"/>
      <c r="LL3024" s="2007"/>
      <c r="LM3024" s="2008"/>
      <c r="MX3024" s="2008"/>
      <c r="ND3024" s="2007"/>
    </row>
    <row r="3025">
      <c r="A3025">
        <f>IFERROR(__xludf.DUMMYFUNCTION("""COMPUTED_VALUE"""),8010936.0)</f>
        <v>8010936</v>
      </c>
      <c r="B3025">
        <f>IFERROR(__xludf.DUMMYFUNCTION("""COMPUTED_VALUE"""),1103010.0)</f>
        <v>1103010</v>
      </c>
      <c r="C3025" t="str">
        <f>IFERROR(__xludf.DUMMYFUNCTION("""COMPUTED_VALUE"""),"Tél.")</f>
        <v>Tél.</v>
      </c>
      <c r="D3025" t="str">
        <f>IFERROR(__xludf.DUMMYFUNCTION("""COMPUTED_VALUE"""),"Tribu solo-R V3")</f>
        <v>Tribu solo-R V3</v>
      </c>
      <c r="E3025" t="str">
        <f>IFERROR(__xludf.DUMMYFUNCTION("""COMPUTED_VALUE"""),"ESSENTIELB")</f>
        <v>ESSENTIELB</v>
      </c>
      <c r="F3025" t="str">
        <f>IFERROR(__xludf.DUMMYFUNCTION("""COMPUTED_VALUE"""),"A")</f>
        <v>A</v>
      </c>
      <c r="G3025" t="str">
        <f>IFERROR(__xludf.DUMMYFUNCTION("""COMPUTED_VALUE"""),"AC")</f>
        <v>AC</v>
      </c>
      <c r="H3025">
        <f>IFERROR(__xludf.DUMMYFUNCTION("""COMPUTED_VALUE"""),39.99)</f>
        <v>39.99</v>
      </c>
      <c r="I3025">
        <f>IFERROR(__xludf.DUMMYFUNCTION("""COMPUTED_VALUE"""),39.99)</f>
        <v>39.99</v>
      </c>
      <c r="BD3025" s="2006"/>
      <c r="LL3025" s="2008"/>
      <c r="LM3025" s="2008"/>
      <c r="MX3025" s="2007"/>
      <c r="ND3025" s="2008"/>
    </row>
    <row r="3026">
      <c r="A3026">
        <f>IFERROR(__xludf.DUMMYFUNCTION("""COMPUTED_VALUE"""),8010937.0)</f>
        <v>8010937</v>
      </c>
      <c r="B3026">
        <f>IFERROR(__xludf.DUMMYFUNCTION("""COMPUTED_VALUE"""),1103010.0)</f>
        <v>1103010</v>
      </c>
      <c r="C3026" t="str">
        <f>IFERROR(__xludf.DUMMYFUNCTION("""COMPUTED_VALUE"""),"Tél.")</f>
        <v>Tél.</v>
      </c>
      <c r="D3026" t="str">
        <f>IFERROR(__xludf.DUMMYFUNCTION("""COMPUTED_VALUE"""),"Tribu duo-R V3")</f>
        <v>Tribu duo-R V3</v>
      </c>
      <c r="E3026" t="str">
        <f>IFERROR(__xludf.DUMMYFUNCTION("""COMPUTED_VALUE"""),"ESSENTIELB")</f>
        <v>ESSENTIELB</v>
      </c>
      <c r="F3026" t="str">
        <f>IFERROR(__xludf.DUMMYFUNCTION("""COMPUTED_VALUE"""),"A")</f>
        <v>A</v>
      </c>
      <c r="G3026" t="str">
        <f>IFERROR(__xludf.DUMMYFUNCTION("""COMPUTED_VALUE"""),"AC")</f>
        <v>AC</v>
      </c>
      <c r="H3026">
        <f>IFERROR(__xludf.DUMMYFUNCTION("""COMPUTED_VALUE"""),59.99)</f>
        <v>59.99</v>
      </c>
      <c r="I3026">
        <f>IFERROR(__xludf.DUMMYFUNCTION("""COMPUTED_VALUE"""),59.99)</f>
        <v>59.99</v>
      </c>
      <c r="BD3026" s="2006"/>
      <c r="LL3026" s="2008"/>
      <c r="LM3026" s="2008"/>
      <c r="MX3026" s="2007"/>
      <c r="ND3026" s="2008"/>
    </row>
    <row r="3027">
      <c r="A3027">
        <f>IFERROR(__xludf.DUMMYFUNCTION("""COMPUTED_VALUE"""),8010938.0)</f>
        <v>8010938</v>
      </c>
      <c r="B3027">
        <f>IFERROR(__xludf.DUMMYFUNCTION("""COMPUTED_VALUE"""),1103010.0)</f>
        <v>1103010</v>
      </c>
      <c r="C3027" t="str">
        <f>IFERROR(__xludf.DUMMYFUNCTION("""COMPUTED_VALUE"""),"Tél.")</f>
        <v>Tél.</v>
      </c>
      <c r="D3027" t="str">
        <f>IFERROR(__xludf.DUMMYFUNCTION("""COMPUTED_VALUE"""),"Tribu trio-R V3")</f>
        <v>Tribu trio-R V3</v>
      </c>
      <c r="E3027" t="str">
        <f>IFERROR(__xludf.DUMMYFUNCTION("""COMPUTED_VALUE"""),"ESSENTIELB")</f>
        <v>ESSENTIELB</v>
      </c>
      <c r="F3027" t="str">
        <f>IFERROR(__xludf.DUMMYFUNCTION("""COMPUTED_VALUE"""),"A")</f>
        <v>A</v>
      </c>
      <c r="G3027" t="str">
        <f>IFERROR(__xludf.DUMMYFUNCTION("""COMPUTED_VALUE"""),"AC")</f>
        <v>AC</v>
      </c>
      <c r="H3027">
        <f>IFERROR(__xludf.DUMMYFUNCTION("""COMPUTED_VALUE"""),69.99)</f>
        <v>69.99</v>
      </c>
      <c r="I3027">
        <f>IFERROR(__xludf.DUMMYFUNCTION("""COMPUTED_VALUE"""),69.99)</f>
        <v>69.99</v>
      </c>
      <c r="BD3027" s="2006"/>
      <c r="LL3027" s="2007"/>
      <c r="LM3027" s="2008"/>
      <c r="MX3027" s="2007"/>
      <c r="ND3027" s="2007"/>
    </row>
    <row r="3028">
      <c r="A3028">
        <f>IFERROR(__xludf.DUMMYFUNCTION("""COMPUTED_VALUE"""),8010966.0)</f>
        <v>8010966</v>
      </c>
      <c r="B3028">
        <f>IFERROR(__xludf.DUMMYFUNCTION("""COMPUTED_VALUE"""),2403005.0)</f>
        <v>2403005</v>
      </c>
      <c r="C3028" t="str">
        <f>IFERROR(__xludf.DUMMYFUNCTION("""COMPUTED_VALUE"""),"Cartouches")</f>
        <v>Cartouches</v>
      </c>
      <c r="D3028" t="str">
        <f>IFERROR(__xludf.DUMMYFUNCTION("""COMPUTED_VALUE"""),"C540/C541 Noir + 3 couleurs")</f>
        <v>C540/C541 Noir + 3 couleurs</v>
      </c>
      <c r="E3028" t="str">
        <f>IFERROR(__xludf.DUMMYFUNCTION("""COMPUTED_VALUE"""),"ESSENTIELB")</f>
        <v>ESSENTIELB</v>
      </c>
      <c r="F3028" t="str">
        <f>IFERROR(__xludf.DUMMYFUNCTION("""COMPUTED_VALUE"""),"B")</f>
        <v>B</v>
      </c>
      <c r="G3028" t="str">
        <f>IFERROR(__xludf.DUMMYFUNCTION("""COMPUTED_VALUE"""),"AC")</f>
        <v>AC</v>
      </c>
      <c r="H3028">
        <f>IFERROR(__xludf.DUMMYFUNCTION("""COMPUTED_VALUE"""),39.99)</f>
        <v>39.99</v>
      </c>
      <c r="I3028">
        <f>IFERROR(__xludf.DUMMYFUNCTION("""COMPUTED_VALUE"""),39.99)</f>
        <v>39.99</v>
      </c>
      <c r="BD3028" s="2006"/>
      <c r="LL3028" s="2008"/>
      <c r="LM3028" s="2008"/>
      <c r="MX3028" s="2007"/>
      <c r="ND3028" s="2008"/>
    </row>
    <row r="3029">
      <c r="A3029">
        <f>IFERROR(__xludf.DUMMYFUNCTION("""COMPUTED_VALUE"""),8010967.0)</f>
        <v>8010967</v>
      </c>
      <c r="B3029">
        <f>IFERROR(__xludf.DUMMYFUNCTION("""COMPUTED_VALUE"""),2403005.0)</f>
        <v>2403005</v>
      </c>
      <c r="C3029" t="str">
        <f>IFERROR(__xludf.DUMMYFUNCTION("""COMPUTED_VALUE"""),"Cartouches")</f>
        <v>Cartouches</v>
      </c>
      <c r="D3029" t="str">
        <f>IFERROR(__xludf.DUMMYFUNCTION("""COMPUTED_VALUE"""),"C545/C546 Noir + 3 Couleurs")</f>
        <v>C545/C546 Noir + 3 Couleurs</v>
      </c>
      <c r="E3029" t="str">
        <f>IFERROR(__xludf.DUMMYFUNCTION("""COMPUTED_VALUE"""),"ESSENTIELB")</f>
        <v>ESSENTIELB</v>
      </c>
      <c r="F3029" t="str">
        <f>IFERROR(__xludf.DUMMYFUNCTION("""COMPUTED_VALUE"""),"B")</f>
        <v>B</v>
      </c>
      <c r="G3029" t="str">
        <f>IFERROR(__xludf.DUMMYFUNCTION("""COMPUTED_VALUE"""),"AC")</f>
        <v>AC</v>
      </c>
      <c r="H3029">
        <f>IFERROR(__xludf.DUMMYFUNCTION("""COMPUTED_VALUE"""),34.99)</f>
        <v>34.99</v>
      </c>
      <c r="I3029">
        <f>IFERROR(__xludf.DUMMYFUNCTION("""COMPUTED_VALUE"""),34.99)</f>
        <v>34.99</v>
      </c>
      <c r="BD3029" s="2006"/>
      <c r="LL3029" s="2008"/>
      <c r="LM3029" s="2008"/>
      <c r="MX3029" s="2007"/>
      <c r="ND3029" s="2008"/>
    </row>
    <row r="3030">
      <c r="A3030">
        <f>IFERROR(__xludf.DUMMYFUNCTION("""COMPUTED_VALUE"""),8010968.0)</f>
        <v>8010968</v>
      </c>
      <c r="B3030">
        <f>IFERROR(__xludf.DUMMYFUNCTION("""COMPUTED_VALUE"""),2403005.0)</f>
        <v>2403005</v>
      </c>
      <c r="C3030" t="str">
        <f>IFERROR(__xludf.DUMMYFUNCTION("""COMPUTED_VALUE"""),"Cartouches")</f>
        <v>Cartouches</v>
      </c>
      <c r="D3030" t="str">
        <f>IFERROR(__xludf.DUMMYFUNCTION("""COMPUTED_VALUE"""),"E29 Noir + 3 couleurs")</f>
        <v>E29 Noir + 3 couleurs</v>
      </c>
      <c r="E3030" t="str">
        <f>IFERROR(__xludf.DUMMYFUNCTION("""COMPUTED_VALUE"""),"ESSENTIELB")</f>
        <v>ESSENTIELB</v>
      </c>
      <c r="F3030" t="str">
        <f>IFERROR(__xludf.DUMMYFUNCTION("""COMPUTED_VALUE"""),"E")</f>
        <v>E</v>
      </c>
      <c r="G3030" t="str">
        <f>IFERROR(__xludf.DUMMYFUNCTION("""COMPUTED_VALUE"""),"AC")</f>
        <v>AC</v>
      </c>
      <c r="H3030">
        <f>IFERROR(__xludf.DUMMYFUNCTION("""COMPUTED_VALUE"""),29.99)</f>
        <v>29.99</v>
      </c>
      <c r="I3030">
        <f>IFERROR(__xludf.DUMMYFUNCTION("""COMPUTED_VALUE"""),29.99)</f>
        <v>29.99</v>
      </c>
      <c r="BD3030" s="2006"/>
      <c r="LL3030" s="2007"/>
      <c r="LM3030" s="2008"/>
      <c r="MX3030" s="2007"/>
      <c r="ND3030" s="2007"/>
    </row>
    <row r="3031">
      <c r="A3031">
        <f>IFERROR(__xludf.DUMMYFUNCTION("""COMPUTED_VALUE"""),8010969.0)</f>
        <v>8010969</v>
      </c>
      <c r="B3031">
        <f>IFERROR(__xludf.DUMMYFUNCTION("""COMPUTED_VALUE"""),2403005.0)</f>
        <v>2403005</v>
      </c>
      <c r="C3031" t="str">
        <f>IFERROR(__xludf.DUMMYFUNCTION("""COMPUTED_VALUE"""),"Cartouches")</f>
        <v>Cartouches</v>
      </c>
      <c r="D3031" t="str">
        <f>IFERROR(__xludf.DUMMYFUNCTION("""COMPUTED_VALUE"""),"E603 Noire")</f>
        <v>E603 Noire</v>
      </c>
      <c r="E3031" t="str">
        <f>IFERROR(__xludf.DUMMYFUNCTION("""COMPUTED_VALUE"""),"ESSENTIELB")</f>
        <v>ESSENTIELB</v>
      </c>
      <c r="F3031" t="str">
        <f>IFERROR(__xludf.DUMMYFUNCTION("""COMPUTED_VALUE"""),"E")</f>
        <v>E</v>
      </c>
      <c r="G3031" t="str">
        <f>IFERROR(__xludf.DUMMYFUNCTION("""COMPUTED_VALUE"""),"AC")</f>
        <v>AC</v>
      </c>
      <c r="H3031">
        <f>IFERROR(__xludf.DUMMYFUNCTION("""COMPUTED_VALUE"""),9.99)</f>
        <v>9.99</v>
      </c>
      <c r="I3031">
        <f>IFERROR(__xludf.DUMMYFUNCTION("""COMPUTED_VALUE"""),9.99)</f>
        <v>9.99</v>
      </c>
      <c r="BD3031" s="2006"/>
      <c r="LL3031" s="2007"/>
      <c r="LM3031" s="2008"/>
      <c r="MX3031" s="2007"/>
      <c r="ND3031" s="2007"/>
    </row>
    <row r="3032">
      <c r="A3032">
        <f>IFERROR(__xludf.DUMMYFUNCTION("""COMPUTED_VALUE"""),8010970.0)</f>
        <v>8010970</v>
      </c>
      <c r="B3032">
        <f>IFERROR(__xludf.DUMMYFUNCTION("""COMPUTED_VALUE"""),2403005.0)</f>
        <v>2403005</v>
      </c>
      <c r="C3032" t="str">
        <f>IFERROR(__xludf.DUMMYFUNCTION("""COMPUTED_VALUE"""),"Cartouches")</f>
        <v>Cartouches</v>
      </c>
      <c r="D3032" t="str">
        <f>IFERROR(__xludf.DUMMYFUNCTION("""COMPUTED_VALUE"""),"E603 Noir + 3 couleurs")</f>
        <v>E603 Noir + 3 couleurs</v>
      </c>
      <c r="E3032" t="str">
        <f>IFERROR(__xludf.DUMMYFUNCTION("""COMPUTED_VALUE"""),"ESSENTIELB")</f>
        <v>ESSENTIELB</v>
      </c>
      <c r="F3032" t="str">
        <f>IFERROR(__xludf.DUMMYFUNCTION("""COMPUTED_VALUE"""),"A")</f>
        <v>A</v>
      </c>
      <c r="G3032" t="str">
        <f>IFERROR(__xludf.DUMMYFUNCTION("""COMPUTED_VALUE"""),"AC")</f>
        <v>AC</v>
      </c>
      <c r="H3032">
        <f>IFERROR(__xludf.DUMMYFUNCTION("""COMPUTED_VALUE"""),29.99)</f>
        <v>29.99</v>
      </c>
      <c r="I3032">
        <f>IFERROR(__xludf.DUMMYFUNCTION("""COMPUTED_VALUE"""),29.99)</f>
        <v>29.99</v>
      </c>
      <c r="BD3032" s="2006"/>
      <c r="LM3032" s="2008"/>
    </row>
    <row r="3033">
      <c r="A3033">
        <f>IFERROR(__xludf.DUMMYFUNCTION("""COMPUTED_VALUE"""),8010971.0)</f>
        <v>8010971</v>
      </c>
      <c r="B3033">
        <f>IFERROR(__xludf.DUMMYFUNCTION("""COMPUTED_VALUE"""),2403005.0)</f>
        <v>2403005</v>
      </c>
      <c r="C3033" t="str">
        <f>IFERROR(__xludf.DUMMYFUNCTION("""COMPUTED_VALUE"""),"Cartouches")</f>
        <v>Cartouches</v>
      </c>
      <c r="D3033" t="str">
        <f>IFERROR(__xludf.DUMMYFUNCTION("""COMPUTED_VALUE"""),"E604 Noire")</f>
        <v>E604 Noire</v>
      </c>
      <c r="E3033" t="str">
        <f>IFERROR(__xludf.DUMMYFUNCTION("""COMPUTED_VALUE"""),"ESSENTIELB")</f>
        <v>ESSENTIELB</v>
      </c>
      <c r="F3033" t="str">
        <f>IFERROR(__xludf.DUMMYFUNCTION("""COMPUTED_VALUE"""),"E")</f>
        <v>E</v>
      </c>
      <c r="G3033" t="str">
        <f>IFERROR(__xludf.DUMMYFUNCTION("""COMPUTED_VALUE"""),"AC")</f>
        <v>AC</v>
      </c>
      <c r="H3033">
        <f>IFERROR(__xludf.DUMMYFUNCTION("""COMPUTED_VALUE"""),9.99)</f>
        <v>9.99</v>
      </c>
      <c r="I3033">
        <f>IFERROR(__xludf.DUMMYFUNCTION("""COMPUTED_VALUE"""),9.99)</f>
        <v>9.99</v>
      </c>
      <c r="BD3033" s="2006"/>
      <c r="LL3033" s="2007"/>
      <c r="LM3033" s="2008"/>
      <c r="MX3033" s="2007"/>
      <c r="ND3033" s="2007"/>
    </row>
    <row r="3034">
      <c r="A3034">
        <f>IFERROR(__xludf.DUMMYFUNCTION("""COMPUTED_VALUE"""),8010972.0)</f>
        <v>8010972</v>
      </c>
      <c r="B3034">
        <f>IFERROR(__xludf.DUMMYFUNCTION("""COMPUTED_VALUE"""),2403005.0)</f>
        <v>2403005</v>
      </c>
      <c r="C3034" t="str">
        <f>IFERROR(__xludf.DUMMYFUNCTION("""COMPUTED_VALUE"""),"Cartouches")</f>
        <v>Cartouches</v>
      </c>
      <c r="D3034" t="str">
        <f>IFERROR(__xludf.DUMMYFUNCTION("""COMPUTED_VALUE"""),"E604 Noir + 3 couleurs")</f>
        <v>E604 Noir + 3 couleurs</v>
      </c>
      <c r="E3034" t="str">
        <f>IFERROR(__xludf.DUMMYFUNCTION("""COMPUTED_VALUE"""),"ESSENTIELB")</f>
        <v>ESSENTIELB</v>
      </c>
      <c r="F3034" t="str">
        <f>IFERROR(__xludf.DUMMYFUNCTION("""COMPUTED_VALUE"""),"A")</f>
        <v>A</v>
      </c>
      <c r="G3034" t="str">
        <f>IFERROR(__xludf.DUMMYFUNCTION("""COMPUTED_VALUE"""),"AC")</f>
        <v>AC</v>
      </c>
      <c r="H3034">
        <f>IFERROR(__xludf.DUMMYFUNCTION("""COMPUTED_VALUE"""),29.99)</f>
        <v>29.99</v>
      </c>
      <c r="I3034">
        <f>IFERROR(__xludf.DUMMYFUNCTION("""COMPUTED_VALUE"""),29.99)</f>
        <v>29.99</v>
      </c>
      <c r="BD3034" s="2006"/>
      <c r="LL3034" s="2007"/>
      <c r="LM3034" s="2008"/>
      <c r="MX3034" s="2007"/>
      <c r="ND3034" s="2007"/>
    </row>
    <row r="3035">
      <c r="A3035">
        <f>IFERROR(__xludf.DUMMYFUNCTION("""COMPUTED_VALUE"""),8010973.0)</f>
        <v>8010973</v>
      </c>
      <c r="B3035">
        <f>IFERROR(__xludf.DUMMYFUNCTION("""COMPUTED_VALUE"""),2403005.0)</f>
        <v>2403005</v>
      </c>
      <c r="C3035" t="str">
        <f>IFERROR(__xludf.DUMMYFUNCTION("""COMPUTED_VALUE"""),"Cartouches")</f>
        <v>Cartouches</v>
      </c>
      <c r="D3035" t="str">
        <f>IFERROR(__xludf.DUMMYFUNCTION("""COMPUTED_VALUE"""),"E604 XL Noire")</f>
        <v>E604 XL Noire</v>
      </c>
      <c r="E3035" t="str">
        <f>IFERROR(__xludf.DUMMYFUNCTION("""COMPUTED_VALUE"""),"ESSENTIELB")</f>
        <v>ESSENTIELB</v>
      </c>
      <c r="F3035" t="str">
        <f>IFERROR(__xludf.DUMMYFUNCTION("""COMPUTED_VALUE"""),"E")</f>
        <v>E</v>
      </c>
      <c r="G3035" t="str">
        <f>IFERROR(__xludf.DUMMYFUNCTION("""COMPUTED_VALUE"""),"AC")</f>
        <v>AC</v>
      </c>
      <c r="H3035">
        <f>IFERROR(__xludf.DUMMYFUNCTION("""COMPUTED_VALUE"""),16.99)</f>
        <v>16.99</v>
      </c>
      <c r="I3035">
        <f>IFERROR(__xludf.DUMMYFUNCTION("""COMPUTED_VALUE"""),16.99)</f>
        <v>16.99</v>
      </c>
      <c r="BD3035" s="2006"/>
      <c r="LM3035" s="2008"/>
    </row>
    <row r="3036">
      <c r="A3036">
        <f>IFERROR(__xludf.DUMMYFUNCTION("""COMPUTED_VALUE"""),8010974.0)</f>
        <v>8010974</v>
      </c>
      <c r="B3036">
        <f>IFERROR(__xludf.DUMMYFUNCTION("""COMPUTED_VALUE"""),2403005.0)</f>
        <v>2403005</v>
      </c>
      <c r="C3036" t="str">
        <f>IFERROR(__xludf.DUMMYFUNCTION("""COMPUTED_VALUE"""),"Cartouches")</f>
        <v>Cartouches</v>
      </c>
      <c r="D3036" t="str">
        <f>IFERROR(__xludf.DUMMYFUNCTION("""COMPUTED_VALUE"""),"E604 XL Noire + 3 couleurs")</f>
        <v>E604 XL Noire + 3 couleurs</v>
      </c>
      <c r="E3036" t="str">
        <f>IFERROR(__xludf.DUMMYFUNCTION("""COMPUTED_VALUE"""),"ESSENTIELB")</f>
        <v>ESSENTIELB</v>
      </c>
      <c r="F3036" t="str">
        <f>IFERROR(__xludf.DUMMYFUNCTION("""COMPUTED_VALUE"""),"A")</f>
        <v>A</v>
      </c>
      <c r="G3036" t="str">
        <f>IFERROR(__xludf.DUMMYFUNCTION("""COMPUTED_VALUE"""),"AC")</f>
        <v>AC</v>
      </c>
      <c r="H3036">
        <f>IFERROR(__xludf.DUMMYFUNCTION("""COMPUTED_VALUE"""),42.99)</f>
        <v>42.99</v>
      </c>
      <c r="I3036">
        <f>IFERROR(__xludf.DUMMYFUNCTION("""COMPUTED_VALUE"""),42.99)</f>
        <v>42.99</v>
      </c>
      <c r="BD3036" s="2006"/>
      <c r="LL3036" s="2008"/>
      <c r="LM3036" s="2008"/>
      <c r="MX3036" s="2007"/>
      <c r="ND3036" s="2007"/>
    </row>
    <row r="3037">
      <c r="A3037">
        <f>IFERROR(__xludf.DUMMYFUNCTION("""COMPUTED_VALUE"""),8010975.0)</f>
        <v>8010975</v>
      </c>
      <c r="B3037">
        <f>IFERROR(__xludf.DUMMYFUNCTION("""COMPUTED_VALUE"""),2403005.0)</f>
        <v>2403005</v>
      </c>
      <c r="C3037" t="str">
        <f>IFERROR(__xludf.DUMMYFUNCTION("""COMPUTED_VALUE"""),"Cartouches")</f>
        <v>Cartouches</v>
      </c>
      <c r="D3037" t="str">
        <f>IFERROR(__xludf.DUMMYFUNCTION("""COMPUTED_VALUE"""),"H302 Noire")</f>
        <v>H302 Noire</v>
      </c>
      <c r="E3037" t="str">
        <f>IFERROR(__xludf.DUMMYFUNCTION("""COMPUTED_VALUE"""),"ESSENTIELB")</f>
        <v>ESSENTIELB</v>
      </c>
      <c r="F3037" t="str">
        <f>IFERROR(__xludf.DUMMYFUNCTION("""COMPUTED_VALUE"""),"E")</f>
        <v>E</v>
      </c>
      <c r="G3037" t="str">
        <f>IFERROR(__xludf.DUMMYFUNCTION("""COMPUTED_VALUE"""),"AC")</f>
        <v>AC</v>
      </c>
      <c r="H3037">
        <f>IFERROR(__xludf.DUMMYFUNCTION("""COMPUTED_VALUE"""),17.99)</f>
        <v>17.99</v>
      </c>
      <c r="I3037">
        <f>IFERROR(__xludf.DUMMYFUNCTION("""COMPUTED_VALUE"""),17.99)</f>
        <v>17.99</v>
      </c>
      <c r="BD3037" s="2006"/>
      <c r="LL3037" s="2007"/>
      <c r="LM3037" s="2008"/>
      <c r="MX3037" s="2007"/>
      <c r="ND3037" s="2007"/>
    </row>
    <row r="3038">
      <c r="A3038">
        <f>IFERROR(__xludf.DUMMYFUNCTION("""COMPUTED_VALUE"""),8010976.0)</f>
        <v>8010976</v>
      </c>
      <c r="B3038">
        <f>IFERROR(__xludf.DUMMYFUNCTION("""COMPUTED_VALUE"""),2403005.0)</f>
        <v>2403005</v>
      </c>
      <c r="C3038" t="str">
        <f>IFERROR(__xludf.DUMMYFUNCTION("""COMPUTED_VALUE"""),"Cartouches")</f>
        <v>Cartouches</v>
      </c>
      <c r="D3038" t="str">
        <f>IFERROR(__xludf.DUMMYFUNCTION("""COMPUTED_VALUE"""),"H302 Noir + 3 couleurs")</f>
        <v>H302 Noir + 3 couleurs</v>
      </c>
      <c r="E3038" t="str">
        <f>IFERROR(__xludf.DUMMYFUNCTION("""COMPUTED_VALUE"""),"ESSENTIELB")</f>
        <v>ESSENTIELB</v>
      </c>
      <c r="F3038" t="str">
        <f>IFERROR(__xludf.DUMMYFUNCTION("""COMPUTED_VALUE"""),"E")</f>
        <v>E</v>
      </c>
      <c r="G3038" t="str">
        <f>IFERROR(__xludf.DUMMYFUNCTION("""COMPUTED_VALUE"""),"AC")</f>
        <v>AC</v>
      </c>
      <c r="H3038">
        <f>IFERROR(__xludf.DUMMYFUNCTION("""COMPUTED_VALUE"""),35.99)</f>
        <v>35.99</v>
      </c>
      <c r="I3038">
        <f>IFERROR(__xludf.DUMMYFUNCTION("""COMPUTED_VALUE"""),35.99)</f>
        <v>35.99</v>
      </c>
      <c r="BD3038" s="2006"/>
      <c r="LL3038" s="2007"/>
      <c r="LM3038" s="2008"/>
      <c r="MX3038" s="2007"/>
      <c r="ND3038" s="2007"/>
    </row>
    <row r="3039">
      <c r="A3039">
        <f>IFERROR(__xludf.DUMMYFUNCTION("""COMPUTED_VALUE"""),8010977.0)</f>
        <v>8010977</v>
      </c>
      <c r="B3039">
        <f>IFERROR(__xludf.DUMMYFUNCTION("""COMPUTED_VALUE"""),2403005.0)</f>
        <v>2403005</v>
      </c>
      <c r="C3039" t="str">
        <f>IFERROR(__xludf.DUMMYFUNCTION("""COMPUTED_VALUE"""),"Cartouches")</f>
        <v>Cartouches</v>
      </c>
      <c r="D3039" t="str">
        <f>IFERROR(__xludf.DUMMYFUNCTION("""COMPUTED_VALUE"""),"H304 Noire")</f>
        <v>H304 Noire</v>
      </c>
      <c r="E3039" t="str">
        <f>IFERROR(__xludf.DUMMYFUNCTION("""COMPUTED_VALUE"""),"ESSENTIELB")</f>
        <v>ESSENTIELB</v>
      </c>
      <c r="F3039" t="str">
        <f>IFERROR(__xludf.DUMMYFUNCTION("""COMPUTED_VALUE"""),"E")</f>
        <v>E</v>
      </c>
      <c r="G3039" t="str">
        <f>IFERROR(__xludf.DUMMYFUNCTION("""COMPUTED_VALUE"""),"AC")</f>
        <v>AC</v>
      </c>
      <c r="H3039">
        <f>IFERROR(__xludf.DUMMYFUNCTION("""COMPUTED_VALUE"""),13.99)</f>
        <v>13.99</v>
      </c>
      <c r="I3039">
        <f>IFERROR(__xludf.DUMMYFUNCTION("""COMPUTED_VALUE"""),13.99)</f>
        <v>13.99</v>
      </c>
      <c r="BD3039" s="2006"/>
      <c r="LL3039" s="2008"/>
      <c r="LM3039" s="2008"/>
      <c r="MX3039" s="2007"/>
      <c r="ND3039" s="2008"/>
    </row>
    <row r="3040">
      <c r="A3040">
        <f>IFERROR(__xludf.DUMMYFUNCTION("""COMPUTED_VALUE"""),8010978.0)</f>
        <v>8010978</v>
      </c>
      <c r="B3040">
        <f>IFERROR(__xludf.DUMMYFUNCTION("""COMPUTED_VALUE"""),2403005.0)</f>
        <v>2403005</v>
      </c>
      <c r="C3040" t="str">
        <f>IFERROR(__xludf.DUMMYFUNCTION("""COMPUTED_VALUE"""),"Cartouches")</f>
        <v>Cartouches</v>
      </c>
      <c r="D3040" t="str">
        <f>IFERROR(__xludf.DUMMYFUNCTION("""COMPUTED_VALUE"""),"H304 noir + 3 couleurs")</f>
        <v>H304 noir + 3 couleurs</v>
      </c>
      <c r="E3040" t="str">
        <f>IFERROR(__xludf.DUMMYFUNCTION("""COMPUTED_VALUE"""),"ESSENTIELB")</f>
        <v>ESSENTIELB</v>
      </c>
      <c r="F3040" t="str">
        <f>IFERROR(__xludf.DUMMYFUNCTION("""COMPUTED_VALUE"""),"E")</f>
        <v>E</v>
      </c>
      <c r="G3040" t="str">
        <f>IFERROR(__xludf.DUMMYFUNCTION("""COMPUTED_VALUE"""),"AC")</f>
        <v>AC</v>
      </c>
      <c r="H3040">
        <f>IFERROR(__xludf.DUMMYFUNCTION("""COMPUTED_VALUE"""),27.99)</f>
        <v>27.99</v>
      </c>
      <c r="I3040">
        <f>IFERROR(__xludf.DUMMYFUNCTION("""COMPUTED_VALUE"""),27.99)</f>
        <v>27.99</v>
      </c>
      <c r="BD3040" s="2006"/>
      <c r="LL3040" s="2008"/>
      <c r="LM3040" s="2008"/>
      <c r="MX3040" s="2007"/>
      <c r="ND3040" s="2008"/>
    </row>
    <row r="3041">
      <c r="A3041">
        <f>IFERROR(__xludf.DUMMYFUNCTION("""COMPUTED_VALUE"""),8010979.0)</f>
        <v>8010979</v>
      </c>
      <c r="B3041">
        <f>IFERROR(__xludf.DUMMYFUNCTION("""COMPUTED_VALUE"""),2403005.0)</f>
        <v>2403005</v>
      </c>
      <c r="C3041" t="str">
        <f>IFERROR(__xludf.DUMMYFUNCTION("""COMPUTED_VALUE"""),"Cartouches")</f>
        <v>Cartouches</v>
      </c>
      <c r="D3041" t="str">
        <f>IFERROR(__xludf.DUMMYFUNCTION("""COMPUTED_VALUE"""),"H912 XL Noir + 3 couleurs")</f>
        <v>H912 XL Noir + 3 couleurs</v>
      </c>
      <c r="E3041" t="str">
        <f>IFERROR(__xludf.DUMMYFUNCTION("""COMPUTED_VALUE"""),"ESSENTIELB")</f>
        <v>ESSENTIELB</v>
      </c>
      <c r="F3041" t="str">
        <f>IFERROR(__xludf.DUMMYFUNCTION("""COMPUTED_VALUE"""),"A")</f>
        <v>A</v>
      </c>
      <c r="G3041" t="str">
        <f>IFERROR(__xludf.DUMMYFUNCTION("""COMPUTED_VALUE"""),"NN")</f>
        <v>NN</v>
      </c>
      <c r="H3041">
        <f>IFERROR(__xludf.DUMMYFUNCTION("""COMPUTED_VALUE"""),44.99)</f>
        <v>44.99</v>
      </c>
      <c r="I3041">
        <f>IFERROR(__xludf.DUMMYFUNCTION("""COMPUTED_VALUE"""),44.99)</f>
        <v>44.99</v>
      </c>
      <c r="BD3041" s="2006"/>
      <c r="LL3041" s="2007"/>
      <c r="LM3041" s="2008"/>
      <c r="MX3041" s="2007"/>
      <c r="ND3041" s="2008"/>
    </row>
    <row r="3042">
      <c r="A3042">
        <f>IFERROR(__xludf.DUMMYFUNCTION("""COMPUTED_VALUE"""),8010980.0)</f>
        <v>8010980</v>
      </c>
      <c r="B3042">
        <f>IFERROR(__xludf.DUMMYFUNCTION("""COMPUTED_VALUE"""),2403005.0)</f>
        <v>2403005</v>
      </c>
      <c r="C3042" t="str">
        <f>IFERROR(__xludf.DUMMYFUNCTION("""COMPUTED_VALUE"""),"Cartouches")</f>
        <v>Cartouches</v>
      </c>
      <c r="D3042" t="str">
        <f>IFERROR(__xludf.DUMMYFUNCTION("""COMPUTED_VALUE"""),"H963 XL Noir + 3 couleurs")</f>
        <v>H963 XL Noir + 3 couleurs</v>
      </c>
      <c r="E3042" t="str">
        <f>IFERROR(__xludf.DUMMYFUNCTION("""COMPUTED_VALUE"""),"ESSENTIELB")</f>
        <v>ESSENTIELB</v>
      </c>
      <c r="F3042" t="str">
        <f>IFERROR(__xludf.DUMMYFUNCTION("""COMPUTED_VALUE"""),"A")</f>
        <v>A</v>
      </c>
      <c r="G3042" t="str">
        <f>IFERROR(__xludf.DUMMYFUNCTION("""COMPUTED_VALUE"""),"NN")</f>
        <v>NN</v>
      </c>
      <c r="H3042">
        <f>IFERROR(__xludf.DUMMYFUNCTION("""COMPUTED_VALUE"""),89.99)</f>
        <v>89.99</v>
      </c>
      <c r="I3042">
        <f>IFERROR(__xludf.DUMMYFUNCTION("""COMPUTED_VALUE"""),89.99)</f>
        <v>89.99</v>
      </c>
      <c r="BD3042" s="2006"/>
      <c r="LL3042" s="2008"/>
      <c r="LM3042" s="2008"/>
      <c r="MX3042" s="2007"/>
      <c r="ND3042" s="2008"/>
    </row>
    <row r="3043">
      <c r="BD3043" s="2006"/>
      <c r="LL3043" s="2008"/>
      <c r="LM3043" s="2008"/>
      <c r="MX3043" s="2007"/>
      <c r="ND3043" s="2008"/>
    </row>
    <row r="3044">
      <c r="BD3044" s="2006"/>
      <c r="LL3044" s="2008"/>
      <c r="LM3044" s="2008"/>
      <c r="MX3044" s="2007"/>
      <c r="ND3044" s="2007"/>
    </row>
    <row r="3045">
      <c r="BD3045" s="2006"/>
      <c r="LL3045" s="2007"/>
      <c r="LM3045" s="2008"/>
      <c r="MX3045" s="2007"/>
      <c r="ND3045" s="2007"/>
    </row>
    <row r="3046">
      <c r="BD3046" s="2006"/>
      <c r="LL3046" s="2008"/>
      <c r="LM3046" s="2008"/>
      <c r="MX3046" s="2007"/>
      <c r="ND3046" s="2008"/>
    </row>
    <row r="3047">
      <c r="BD3047" s="2006"/>
      <c r="LL3047" s="2007"/>
      <c r="LM3047" s="2008"/>
      <c r="MX3047" s="2007"/>
      <c r="ND3047" s="2007"/>
    </row>
    <row r="3048">
      <c r="BD3048" s="2006"/>
      <c r="LL3048" s="2007"/>
      <c r="LM3048" s="2008"/>
      <c r="MX3048" s="2007"/>
      <c r="ND3048" s="2007"/>
    </row>
    <row r="3049">
      <c r="BD3049" s="2006"/>
      <c r="LL3049" s="2007"/>
      <c r="LM3049" s="2008"/>
      <c r="MX3049" s="2007"/>
      <c r="ND3049" s="2007"/>
    </row>
    <row r="3050">
      <c r="BD3050" s="2006"/>
      <c r="LM3050" s="2008"/>
      <c r="MX3050" s="2008"/>
      <c r="ND3050" s="2008"/>
    </row>
    <row r="3051">
      <c r="BD3051" s="2006"/>
      <c r="LL3051" s="2008"/>
      <c r="LM3051" s="2008"/>
      <c r="MX3051" s="2007"/>
      <c r="ND3051" s="2008"/>
    </row>
    <row r="3052">
      <c r="BD3052" s="2006"/>
      <c r="LL3052" s="2007"/>
      <c r="LM3052" s="2008"/>
      <c r="MX3052" s="2008"/>
      <c r="ND3052" s="2007"/>
    </row>
    <row r="3053">
      <c r="BD3053" s="2006"/>
      <c r="LL3053" s="2008"/>
      <c r="LM3053" s="2008"/>
      <c r="MX3053" s="2007"/>
      <c r="ND3053" s="2008"/>
    </row>
    <row r="3054">
      <c r="BD3054" s="2006"/>
      <c r="LL3054" s="2008"/>
      <c r="LM3054" s="2008"/>
      <c r="MX3054" s="2007"/>
      <c r="ND3054" s="2008"/>
    </row>
    <row r="3055">
      <c r="BD3055" s="2006"/>
      <c r="LL3055" s="2008"/>
      <c r="LM3055" s="2008"/>
      <c r="MX3055" s="2007"/>
      <c r="ND3055" s="2008"/>
    </row>
    <row r="3056">
      <c r="BD3056" s="2006"/>
      <c r="LL3056" s="2008"/>
      <c r="LM3056" s="2008"/>
      <c r="MX3056" s="2007"/>
      <c r="ND3056" s="2008"/>
    </row>
    <row r="3057">
      <c r="BD3057" s="2006"/>
      <c r="LL3057" s="2008"/>
      <c r="LM3057" s="2008"/>
      <c r="MX3057" s="2007"/>
      <c r="ND3057" s="2008"/>
    </row>
    <row r="3058">
      <c r="BD3058" s="2006"/>
      <c r="LL3058" s="2007"/>
      <c r="LM3058" s="2008"/>
      <c r="MX3058" s="2007"/>
      <c r="ND3058" s="2008"/>
    </row>
    <row r="3059">
      <c r="BD3059" s="2006"/>
      <c r="LL3059" s="2007"/>
      <c r="LM3059" s="2008"/>
      <c r="MX3059" s="2007"/>
      <c r="ND3059" s="2008"/>
    </row>
    <row r="3060">
      <c r="BD3060" s="2006"/>
      <c r="LL3060" s="2008"/>
      <c r="LM3060" s="2008"/>
      <c r="MX3060" s="2007"/>
      <c r="ND3060" s="2008"/>
    </row>
    <row r="3061">
      <c r="BD3061" s="2006"/>
      <c r="LL3061" s="2008"/>
      <c r="LM3061" s="2008"/>
      <c r="MX3061" s="2007"/>
      <c r="ND3061" s="2008"/>
    </row>
    <row r="3062">
      <c r="BD3062" s="2006"/>
      <c r="LL3062" s="2007"/>
      <c r="LM3062" s="2008"/>
      <c r="MX3062" s="2007"/>
      <c r="ND3062" s="2007"/>
    </row>
    <row r="3063">
      <c r="BD3063" s="2006"/>
      <c r="LL3063" s="2007"/>
      <c r="LM3063" s="2008"/>
      <c r="MX3063" s="2007"/>
      <c r="ND3063" s="2007"/>
    </row>
    <row r="3064">
      <c r="BD3064" s="2006"/>
      <c r="LL3064" s="2007"/>
      <c r="LM3064" s="2008"/>
      <c r="MX3064" s="2007"/>
      <c r="ND3064" s="2007"/>
    </row>
    <row r="3065">
      <c r="BD3065" s="2006"/>
      <c r="LL3065" s="2007"/>
      <c r="LM3065" s="2008"/>
      <c r="MX3065" s="2007"/>
      <c r="ND3065" s="2007"/>
    </row>
    <row r="3066">
      <c r="BD3066" s="2006"/>
      <c r="LL3066" s="2007"/>
      <c r="LM3066" s="2008"/>
      <c r="MX3066" s="2007"/>
      <c r="ND3066" s="2007"/>
    </row>
    <row r="3067">
      <c r="BD3067" s="2006"/>
      <c r="LL3067" s="2007"/>
      <c r="LM3067" s="2008"/>
      <c r="MX3067" s="2007"/>
      <c r="ND3067" s="2007"/>
    </row>
    <row r="3068">
      <c r="BD3068" s="2006"/>
      <c r="LL3068" s="2008"/>
      <c r="LM3068" s="2008"/>
      <c r="MX3068" s="2007"/>
      <c r="ND3068" s="2008"/>
    </row>
    <row r="3069">
      <c r="BD3069" s="2006"/>
      <c r="LL3069" s="2007"/>
      <c r="LM3069" s="2008"/>
      <c r="MX3069" s="2007"/>
      <c r="ND3069" s="2007"/>
    </row>
    <row r="3070">
      <c r="BD3070" s="2006"/>
      <c r="LL3070" s="2007"/>
      <c r="LM3070" s="2008"/>
      <c r="MX3070" s="2007"/>
      <c r="ND3070" s="2007"/>
    </row>
    <row r="3071">
      <c r="BD3071" s="2006"/>
      <c r="LL3071" s="2007"/>
      <c r="LM3071" s="2008"/>
      <c r="MX3071" s="2007"/>
      <c r="ND3071" s="2007"/>
    </row>
    <row r="3072">
      <c r="BD3072" s="2006"/>
      <c r="LL3072" s="2007"/>
      <c r="LM3072" s="2008"/>
      <c r="MX3072" s="2007"/>
      <c r="ND3072" s="2007"/>
    </row>
    <row r="3073">
      <c r="BD3073" s="2006"/>
      <c r="LL3073" s="2008"/>
      <c r="LM3073" s="2008"/>
      <c r="MX3073" s="2008"/>
      <c r="ND3073" s="2008"/>
    </row>
    <row r="3074">
      <c r="BD3074" s="2006"/>
      <c r="LL3074" s="2007"/>
      <c r="LM3074" s="2008"/>
      <c r="MX3074" s="2007"/>
      <c r="ND3074" s="2007"/>
    </row>
    <row r="3075">
      <c r="BD3075" s="2006"/>
      <c r="LL3075" s="2007"/>
      <c r="LM3075" s="2008"/>
      <c r="MX3075" s="2007"/>
      <c r="ND3075" s="2007"/>
    </row>
    <row r="3076">
      <c r="BD3076" s="2006"/>
      <c r="LL3076" s="2007"/>
      <c r="LM3076" s="2007"/>
      <c r="MX3076" s="2007"/>
      <c r="ND3076" s="2007"/>
    </row>
    <row r="3077">
      <c r="BD3077" s="2006"/>
      <c r="LL3077" s="2008"/>
      <c r="LM3077" s="2007"/>
      <c r="MX3077" s="2007"/>
      <c r="ND3077" s="2008"/>
    </row>
    <row r="3078">
      <c r="LL3078" s="2007"/>
      <c r="LM3078" s="2007"/>
    </row>
    <row r="3079">
      <c r="LL3079" s="2007"/>
      <c r="LM3079" s="2007"/>
    </row>
    <row r="3080">
      <c r="BD3080" s="2006"/>
      <c r="LL3080" s="2008"/>
      <c r="LM3080" s="2007"/>
      <c r="MX3080" s="2008"/>
      <c r="ND3080" s="2008"/>
    </row>
    <row r="3081">
      <c r="BD3081" s="2006"/>
      <c r="LL3081" s="2008"/>
      <c r="LM3081" s="2007"/>
      <c r="MX3081" s="2008"/>
      <c r="ND3081" s="2008"/>
    </row>
    <row r="3082">
      <c r="BD3082" s="2006"/>
      <c r="LL3082" s="2007"/>
      <c r="LM3082" s="2007"/>
      <c r="MX3082" s="2007"/>
      <c r="ND3082" s="2007"/>
    </row>
    <row r="3083">
      <c r="BD3083" s="2006"/>
      <c r="LL3083" s="2007"/>
      <c r="LM3083" s="2007"/>
      <c r="MX3083" s="2007"/>
      <c r="ND3083" s="2007"/>
    </row>
    <row r="3084">
      <c r="BD3084" s="2006"/>
      <c r="LL3084" s="2008"/>
      <c r="LM3084" s="2007"/>
      <c r="MX3084" s="2008"/>
      <c r="ND3084" s="2008"/>
    </row>
    <row r="3085">
      <c r="BD3085" s="2006"/>
      <c r="LL3085" s="2007"/>
      <c r="LM3085" s="2007"/>
      <c r="MX3085" s="2007"/>
      <c r="ND3085" s="2008"/>
    </row>
    <row r="3086">
      <c r="BD3086" s="2006"/>
      <c r="LM3086" s="2007"/>
      <c r="MX3086" s="2008"/>
      <c r="ND3086" s="2008"/>
    </row>
    <row r="3087">
      <c r="BD3087" s="2006"/>
      <c r="LL3087" s="2007"/>
      <c r="LM3087" s="2007"/>
      <c r="MX3087" s="2007"/>
      <c r="ND3087" s="2007"/>
    </row>
    <row r="3088">
      <c r="BD3088" s="2006"/>
      <c r="LL3088" s="2007"/>
      <c r="LM3088" s="2007"/>
      <c r="MX3088" s="2007"/>
      <c r="ND3088" s="2007"/>
    </row>
    <row r="3089">
      <c r="BD3089" s="2006"/>
      <c r="LL3089" s="2007"/>
      <c r="LM3089" s="2007"/>
      <c r="MX3089" s="2007"/>
      <c r="ND3089" s="2007"/>
    </row>
    <row r="3090">
      <c r="BD3090" s="2006"/>
      <c r="LL3090" s="2007"/>
      <c r="LM3090" s="2007"/>
      <c r="MX3090" s="2007"/>
      <c r="ND3090" s="2007"/>
    </row>
    <row r="3091">
      <c r="BD3091" s="2006"/>
      <c r="LL3091" s="2007"/>
      <c r="LM3091" s="2008"/>
      <c r="MX3091" s="2007"/>
      <c r="ND3091" s="2007"/>
    </row>
    <row r="3092">
      <c r="BD3092" s="2006"/>
      <c r="LL3092" s="2007"/>
      <c r="LM3092" s="2008"/>
      <c r="MX3092" s="2007"/>
      <c r="ND3092" s="2007"/>
    </row>
    <row r="3093">
      <c r="BD3093" s="2006"/>
      <c r="LL3093" s="2007"/>
      <c r="LM3093" s="2008"/>
      <c r="MX3093" s="2007"/>
      <c r="ND3093" s="2007"/>
    </row>
    <row r="3094">
      <c r="BD3094" s="2006"/>
      <c r="LL3094" s="2007"/>
      <c r="LM3094" s="2008"/>
      <c r="MX3094" s="2007"/>
      <c r="ND3094" s="2007"/>
    </row>
    <row r="3095">
      <c r="BD3095" s="2006"/>
      <c r="LL3095" s="2007"/>
      <c r="LM3095" s="2008"/>
      <c r="MX3095" s="2007"/>
      <c r="ND3095" s="2007"/>
    </row>
    <row r="3096">
      <c r="BD3096" s="2006"/>
      <c r="LL3096" s="2007"/>
      <c r="LM3096" s="2008"/>
      <c r="MX3096" s="2007"/>
      <c r="ND3096" s="2007"/>
    </row>
    <row r="3097">
      <c r="BD3097" s="2006"/>
      <c r="LL3097" s="2007"/>
      <c r="LM3097" s="2008"/>
      <c r="MX3097" s="2007"/>
      <c r="ND3097" s="2007"/>
    </row>
    <row r="3098">
      <c r="BD3098" s="2006"/>
      <c r="LL3098" s="2007"/>
      <c r="LM3098" s="2008"/>
      <c r="MX3098" s="2007"/>
      <c r="ND3098" s="2007"/>
    </row>
    <row r="3099">
      <c r="BD3099" s="2006"/>
      <c r="LL3099" s="2007"/>
      <c r="LM3099" s="2008"/>
      <c r="MX3099" s="2007"/>
      <c r="ND3099" s="2007"/>
    </row>
    <row r="3100">
      <c r="BD3100" s="2006"/>
      <c r="LL3100" s="2007"/>
      <c r="LM3100" s="2008"/>
      <c r="MX3100" s="2007"/>
      <c r="ND3100" s="2007"/>
    </row>
    <row r="3101">
      <c r="BD3101" s="2006"/>
      <c r="LM3101" s="2008"/>
      <c r="MX3101" s="2007"/>
      <c r="ND3101" s="2007"/>
    </row>
    <row r="3102">
      <c r="BD3102" s="2006"/>
      <c r="LM3102" s="2008"/>
      <c r="MX3102" s="2007"/>
      <c r="ND3102" s="2007"/>
    </row>
    <row r="3103">
      <c r="BD3103" s="2006"/>
      <c r="LL3103" s="2007"/>
      <c r="LM3103" s="2008"/>
      <c r="MX3103" s="2007"/>
      <c r="ND3103" s="2007"/>
    </row>
    <row r="3104">
      <c r="BD3104" s="2006"/>
      <c r="LM3104" s="2008"/>
    </row>
    <row r="3105">
      <c r="BD3105" s="2006"/>
      <c r="LL3105" s="2007"/>
      <c r="LM3105" s="2008"/>
      <c r="MX3105" s="2007"/>
      <c r="ND3105" s="2007"/>
    </row>
    <row r="3106">
      <c r="BD3106" s="2006"/>
      <c r="LL3106" s="2007"/>
      <c r="LM3106" s="2008"/>
      <c r="MX3106" s="2007"/>
      <c r="ND3106" s="2007"/>
    </row>
    <row r="3107">
      <c r="BD3107" s="2006"/>
      <c r="LL3107" s="2007"/>
      <c r="LM3107" s="2008"/>
      <c r="MX3107" s="2007"/>
      <c r="ND3107" s="2007"/>
    </row>
    <row r="3108">
      <c r="BD3108" s="2006"/>
      <c r="LL3108" s="2007"/>
      <c r="LM3108" s="2008"/>
      <c r="MX3108" s="2007"/>
      <c r="ND3108" s="2007"/>
    </row>
    <row r="3109">
      <c r="BD3109" s="2006"/>
      <c r="LL3109" s="2007"/>
      <c r="LM3109" s="2008"/>
      <c r="MX3109" s="2007"/>
      <c r="ND3109" s="2007"/>
    </row>
    <row r="3110">
      <c r="BD3110" s="2006"/>
      <c r="LL3110" s="2007"/>
      <c r="LM3110" s="2008"/>
      <c r="MX3110" s="2007"/>
      <c r="ND3110" s="2007"/>
    </row>
    <row r="3111">
      <c r="BD3111" s="2006"/>
      <c r="LL3111" s="2008"/>
      <c r="LM3111" s="2008"/>
      <c r="MX3111" s="2008"/>
      <c r="ND3111" s="2008"/>
    </row>
    <row r="3112">
      <c r="BD3112" s="2006"/>
      <c r="LL3112" s="2007"/>
      <c r="LM3112" s="2008"/>
      <c r="MX3112" s="2007"/>
      <c r="ND3112" s="2007"/>
    </row>
    <row r="3113">
      <c r="BD3113" s="2006"/>
      <c r="LL3113" s="2007"/>
      <c r="LM3113" s="2008"/>
      <c r="MX3113" s="2007"/>
      <c r="ND3113" s="2007"/>
    </row>
    <row r="3114">
      <c r="BD3114" s="2006"/>
      <c r="LL3114" s="2007"/>
      <c r="LM3114" s="2008"/>
      <c r="MX3114" s="2007"/>
      <c r="ND3114" s="2007"/>
    </row>
    <row r="3115">
      <c r="BD3115" s="2006"/>
      <c r="LL3115" s="2007"/>
      <c r="LM3115" s="2008"/>
      <c r="MX3115" s="2007"/>
      <c r="ND3115" s="2008"/>
    </row>
    <row r="3116">
      <c r="BD3116" s="2006"/>
      <c r="LM3116" s="2008"/>
      <c r="MX3116" s="2007"/>
      <c r="ND3116" s="2007"/>
    </row>
    <row r="3117">
      <c r="BD3117" s="2006"/>
      <c r="LL3117" s="2007"/>
      <c r="LM3117" s="2007"/>
      <c r="MX3117" s="2007"/>
      <c r="ND3117" s="2007"/>
    </row>
    <row r="3118">
      <c r="BD3118" s="2006"/>
      <c r="LM3118" s="2008"/>
      <c r="MX3118" s="2008"/>
      <c r="ND3118" s="2008"/>
    </row>
    <row r="3119">
      <c r="BD3119" s="2006"/>
      <c r="LL3119" s="2007"/>
      <c r="LM3119" s="2008"/>
      <c r="MX3119" s="2007"/>
      <c r="ND3119" s="2007"/>
    </row>
    <row r="3120">
      <c r="BD3120" s="2006"/>
      <c r="LM3120" s="2008"/>
      <c r="MX3120" s="2007"/>
      <c r="ND3120" s="2007"/>
    </row>
    <row r="3121">
      <c r="BD3121" s="2006"/>
      <c r="LM3121" s="2008"/>
      <c r="MX3121" s="2007"/>
      <c r="ND3121" s="2007"/>
    </row>
    <row r="3122">
      <c r="BD3122" s="2006"/>
      <c r="LM3122" s="2008"/>
      <c r="MX3122" s="2007"/>
      <c r="ND3122" s="2007"/>
    </row>
    <row r="3123">
      <c r="BD3123" s="2006"/>
      <c r="LM3123" s="2008"/>
      <c r="MX3123" s="2007"/>
      <c r="ND3123" s="2007"/>
    </row>
    <row r="3124">
      <c r="BD3124" s="2006"/>
      <c r="LM3124" s="2008"/>
      <c r="MX3124" s="2007"/>
      <c r="ND3124" s="2007"/>
    </row>
    <row r="3125">
      <c r="BD3125" s="2006"/>
      <c r="LL3125" s="2007"/>
      <c r="LM3125" s="2008"/>
      <c r="MX3125" s="2007"/>
      <c r="ND3125" s="2007"/>
    </row>
    <row r="3126">
      <c r="BD3126" s="2006"/>
      <c r="LL3126" s="2007"/>
      <c r="LM3126" s="2007"/>
      <c r="MX3126" s="2007"/>
      <c r="ND3126" s="2007"/>
    </row>
    <row r="3127">
      <c r="BD3127" s="2006"/>
      <c r="LM3127" s="2007"/>
      <c r="MX3127" s="2007"/>
      <c r="ND3127" s="2007"/>
    </row>
    <row r="3128">
      <c r="BD3128" s="2006"/>
      <c r="LL3128" s="2007"/>
      <c r="LM3128" s="2007"/>
      <c r="MX3128" s="2007"/>
      <c r="ND3128" s="2008"/>
    </row>
    <row r="3129">
      <c r="BD3129" s="2006"/>
      <c r="LL3129" s="2007"/>
      <c r="LM3129" s="2007"/>
      <c r="MX3129" s="2007"/>
      <c r="ND3129" s="2007"/>
    </row>
    <row r="3130">
      <c r="BD3130" s="2006"/>
      <c r="LL3130" s="2007"/>
      <c r="LM3130" s="2007"/>
      <c r="MX3130" s="2007"/>
      <c r="ND3130" s="2007"/>
    </row>
    <row r="3131">
      <c r="BD3131" s="2006"/>
      <c r="LL3131" s="2007"/>
      <c r="LM3131" s="2007"/>
      <c r="MX3131" s="2007"/>
      <c r="ND3131" s="2007"/>
    </row>
    <row r="3132">
      <c r="BD3132" s="2006"/>
      <c r="LL3132" s="2007"/>
      <c r="LM3132" s="2007"/>
      <c r="MX3132" s="2007"/>
      <c r="ND3132" s="2007"/>
    </row>
    <row r="3133">
      <c r="BD3133" s="2006"/>
      <c r="LL3133" s="2007"/>
      <c r="LM3133" s="2007"/>
      <c r="MX3133" s="2007"/>
      <c r="ND3133" s="2007"/>
    </row>
    <row r="3134">
      <c r="BD3134" s="2006"/>
      <c r="LL3134" s="2007"/>
      <c r="LM3134" s="2007"/>
      <c r="MX3134" s="2007"/>
      <c r="ND3134" s="2007"/>
    </row>
    <row r="3135">
      <c r="BD3135" s="2006"/>
      <c r="LL3135" s="2007"/>
      <c r="LM3135" s="2007"/>
      <c r="MX3135" s="2007"/>
      <c r="ND3135" s="2007"/>
    </row>
    <row r="3136">
      <c r="BD3136" s="2006"/>
      <c r="LL3136" s="2007"/>
      <c r="LM3136" s="2007"/>
      <c r="MX3136" s="2007"/>
      <c r="ND3136" s="2008"/>
    </row>
    <row r="3137">
      <c r="BD3137" s="2006"/>
      <c r="LL3137" s="2007"/>
      <c r="LM3137" s="2008"/>
      <c r="MX3137" s="2007"/>
      <c r="ND3137" s="2008"/>
    </row>
    <row r="3138">
      <c r="BD3138" s="2006"/>
      <c r="LL3138" s="2007"/>
      <c r="LM3138" s="2008"/>
      <c r="MX3138" s="2007"/>
      <c r="ND3138" s="2007"/>
    </row>
    <row r="3139">
      <c r="BD3139" s="2006"/>
      <c r="LL3139" s="2007"/>
      <c r="LM3139" s="2008"/>
      <c r="MX3139" s="2007"/>
      <c r="ND3139" s="2007"/>
    </row>
    <row r="3140">
      <c r="BD3140" s="2006"/>
      <c r="LL3140" s="2007"/>
      <c r="LM3140" s="2008"/>
      <c r="MX3140" s="2007"/>
      <c r="ND3140" s="2007"/>
    </row>
    <row r="3141">
      <c r="BD3141" s="2006"/>
      <c r="LL3141" s="2007"/>
      <c r="LM3141" s="2008"/>
      <c r="MX3141" s="2007"/>
      <c r="ND3141" s="2007"/>
    </row>
    <row r="3142">
      <c r="BD3142" s="2006"/>
      <c r="LM3142" s="2008"/>
      <c r="MX3142" s="2007"/>
      <c r="ND3142" s="2007"/>
    </row>
    <row r="3143">
      <c r="BD3143" s="2006"/>
      <c r="LL3143" s="2007"/>
      <c r="LM3143" s="2008"/>
      <c r="MX3143" s="2007"/>
      <c r="ND3143" s="2007"/>
    </row>
    <row r="3144">
      <c r="BD3144" s="2006"/>
      <c r="LL3144" s="2007"/>
      <c r="LM3144" s="2007"/>
      <c r="MX3144" s="2007"/>
      <c r="ND3144" s="2007"/>
    </row>
    <row r="3145">
      <c r="BD3145" s="2006"/>
      <c r="LM3145" s="2007"/>
    </row>
    <row r="3146">
      <c r="BD3146" s="2006"/>
      <c r="LL3146" s="2007"/>
      <c r="LM3146" s="2007"/>
      <c r="MX3146" s="2007"/>
      <c r="ND3146" s="2007"/>
    </row>
    <row r="3147">
      <c r="BD3147" s="2006"/>
      <c r="LL3147" s="2007"/>
      <c r="LM3147" s="2007"/>
      <c r="MX3147" s="2007"/>
      <c r="ND3147" s="2007"/>
    </row>
    <row r="3148">
      <c r="BD3148" s="2006"/>
      <c r="LL3148" s="2007"/>
      <c r="LM3148" s="2007"/>
      <c r="MX3148" s="2007"/>
      <c r="ND3148" s="2007"/>
    </row>
    <row r="3149">
      <c r="BD3149" s="2006"/>
      <c r="LL3149" s="2007"/>
      <c r="LM3149" s="2007"/>
      <c r="MX3149" s="2007"/>
      <c r="ND3149" s="2007"/>
    </row>
    <row r="3150">
      <c r="BD3150" s="2006"/>
      <c r="LM3150" s="2007"/>
    </row>
    <row r="3151">
      <c r="BD3151" s="2006"/>
      <c r="LL3151" s="2007"/>
      <c r="LM3151" s="2007"/>
      <c r="MX3151" s="2007"/>
      <c r="ND3151" s="2007"/>
    </row>
    <row r="3152">
      <c r="BD3152" s="2006"/>
      <c r="LL3152" s="2007"/>
      <c r="LM3152" s="2007"/>
      <c r="MX3152" s="2007"/>
      <c r="ND3152" s="2007"/>
    </row>
    <row r="3153">
      <c r="BD3153" s="2006"/>
      <c r="LL3153" s="2007"/>
      <c r="LM3153" s="2007"/>
      <c r="MX3153" s="2007"/>
      <c r="ND3153" s="2007"/>
    </row>
    <row r="3154">
      <c r="BD3154" s="2006"/>
      <c r="LL3154" s="2007"/>
      <c r="LM3154" s="2007"/>
      <c r="MX3154" s="2007"/>
      <c r="ND3154" s="2007"/>
    </row>
    <row r="3155">
      <c r="BD3155" s="2006"/>
      <c r="LL3155" s="2007"/>
      <c r="LM3155" s="2007"/>
      <c r="MX3155" s="2007"/>
      <c r="ND3155" s="2007"/>
    </row>
    <row r="3156">
      <c r="BD3156" s="2006"/>
      <c r="LL3156" s="2007"/>
      <c r="LM3156" s="2007"/>
      <c r="MX3156" s="2007"/>
      <c r="ND3156" s="2007"/>
    </row>
    <row r="3157">
      <c r="BD3157" s="2006"/>
      <c r="LL3157" s="2007"/>
      <c r="LM3157" s="2007"/>
      <c r="MX3157" s="2007"/>
      <c r="ND3157" s="2007"/>
    </row>
    <row r="3158">
      <c r="BD3158" s="2006"/>
      <c r="LL3158" s="2007"/>
      <c r="LM3158" s="2007"/>
      <c r="MX3158" s="2007"/>
      <c r="ND3158" s="2007"/>
    </row>
    <row r="3159">
      <c r="BD3159" s="2006"/>
      <c r="LL3159" s="2007"/>
      <c r="LM3159" s="2007"/>
      <c r="MX3159" s="2007"/>
      <c r="ND3159" s="2007"/>
    </row>
    <row r="3160">
      <c r="BD3160" s="2006"/>
      <c r="LL3160" s="2007"/>
      <c r="LM3160" s="2007"/>
      <c r="MX3160" s="2007"/>
      <c r="ND3160" s="2007"/>
    </row>
    <row r="3161">
      <c r="BD3161" s="2006"/>
      <c r="LL3161" s="2007"/>
      <c r="LM3161" s="2007"/>
      <c r="MX3161" s="2007"/>
      <c r="ND3161" s="2007"/>
    </row>
    <row r="3162">
      <c r="BD3162" s="2006"/>
      <c r="LL3162" s="2007"/>
      <c r="LM3162" s="2007"/>
      <c r="MX3162" s="2007"/>
      <c r="ND3162" s="2007"/>
    </row>
    <row r="3163">
      <c r="BD3163" s="2006"/>
      <c r="LL3163" s="2007"/>
      <c r="LM3163" s="2007"/>
      <c r="MX3163" s="2007"/>
      <c r="ND3163" s="2007"/>
    </row>
    <row r="3164">
      <c r="BD3164" s="2006"/>
      <c r="LL3164" s="2007"/>
      <c r="LM3164" s="2007"/>
      <c r="MX3164" s="2007"/>
      <c r="ND3164" s="2007"/>
    </row>
    <row r="3165">
      <c r="BD3165" s="2006"/>
      <c r="LL3165" s="2007"/>
      <c r="LM3165" s="2007"/>
      <c r="MX3165" s="2007"/>
      <c r="ND3165" s="2007"/>
    </row>
    <row r="3166">
      <c r="BD3166" s="2006"/>
      <c r="LL3166" s="2007"/>
      <c r="LM3166" s="2007"/>
      <c r="MX3166" s="2007"/>
      <c r="ND3166" s="2007"/>
    </row>
    <row r="3167">
      <c r="LM3167" s="2007"/>
    </row>
    <row r="3168">
      <c r="LM3168" s="2007"/>
    </row>
    <row r="3169">
      <c r="BD3169" s="2006"/>
      <c r="LL3169" s="2007"/>
      <c r="LM3169" s="2007"/>
      <c r="MX3169" s="2007"/>
      <c r="ND3169" s="2007"/>
    </row>
    <row r="3170">
      <c r="BD3170" s="2006"/>
      <c r="LL3170" s="2007"/>
      <c r="LM3170" s="2007"/>
      <c r="MX3170" s="2007"/>
      <c r="ND3170" s="2007"/>
    </row>
    <row r="3171">
      <c r="BD3171" s="2006"/>
      <c r="LL3171" s="2007"/>
      <c r="LM3171" s="2007"/>
      <c r="MX3171" s="2007"/>
      <c r="ND3171" s="2007"/>
    </row>
    <row r="3172">
      <c r="BD3172" s="2006"/>
      <c r="LL3172" s="2007"/>
      <c r="LM3172" s="2007"/>
      <c r="MX3172" s="2007"/>
      <c r="ND3172" s="2007"/>
    </row>
    <row r="3173">
      <c r="BD3173" s="2006"/>
      <c r="LL3173" s="2007"/>
      <c r="LM3173" s="2007"/>
      <c r="MX3173" s="2007"/>
      <c r="ND3173" s="2007"/>
    </row>
    <row r="3174">
      <c r="BD3174" s="2006"/>
      <c r="LL3174" s="2007"/>
      <c r="LM3174" s="2007"/>
      <c r="MX3174" s="2007"/>
      <c r="ND3174" s="2007"/>
    </row>
    <row r="3175">
      <c r="BD3175" s="2006"/>
      <c r="LL3175" s="2007"/>
      <c r="LM3175" s="2007"/>
      <c r="MX3175" s="2007"/>
      <c r="ND3175" s="2007"/>
    </row>
    <row r="3176">
      <c r="BD3176" s="2006"/>
      <c r="LL3176" s="2007"/>
      <c r="LM3176" s="2007"/>
      <c r="MX3176" s="2007"/>
      <c r="ND3176" s="2007"/>
    </row>
    <row r="3177">
      <c r="BD3177" s="2006"/>
      <c r="LL3177" s="2007"/>
      <c r="LM3177" s="2007"/>
      <c r="MX3177" s="2007"/>
      <c r="ND3177" s="2007"/>
    </row>
    <row r="3178">
      <c r="BD3178" s="2006"/>
      <c r="LM3178" s="2007"/>
    </row>
    <row r="3179">
      <c r="BD3179" s="2006"/>
      <c r="LL3179" s="2007"/>
      <c r="LM3179" s="2007"/>
      <c r="MX3179" s="2007"/>
      <c r="ND3179" s="2007"/>
    </row>
    <row r="3180">
      <c r="BD3180" s="2006"/>
      <c r="LL3180" s="2007"/>
      <c r="LM3180" s="2007"/>
      <c r="MX3180" s="2007"/>
      <c r="ND3180" s="2007"/>
    </row>
    <row r="3181">
      <c r="BD3181" s="2006"/>
      <c r="LL3181" s="2007"/>
      <c r="LM3181" s="2007"/>
      <c r="MX3181" s="2007"/>
      <c r="ND3181" s="2007"/>
    </row>
    <row r="3182">
      <c r="BD3182" s="2006"/>
      <c r="LL3182" s="2007"/>
      <c r="LM3182" s="2007"/>
      <c r="MX3182" s="2007"/>
      <c r="ND3182" s="2007"/>
    </row>
    <row r="3183">
      <c r="BD3183" s="2006"/>
      <c r="LL3183" s="2007"/>
      <c r="LM3183" s="2007"/>
      <c r="MX3183" s="2007"/>
      <c r="ND3183" s="2007"/>
    </row>
    <row r="3184">
      <c r="BD3184" s="2006"/>
      <c r="LL3184" s="2007"/>
      <c r="LM3184" s="2007"/>
      <c r="MX3184" s="2007"/>
      <c r="ND3184" s="2007"/>
    </row>
    <row r="3185">
      <c r="BD3185" s="2006"/>
      <c r="LL3185" s="2007"/>
      <c r="LM3185" s="2007"/>
      <c r="MX3185" s="2007"/>
      <c r="ND3185" s="2007"/>
    </row>
    <row r="3186">
      <c r="BD3186" s="2006"/>
      <c r="LL3186" s="2007"/>
      <c r="LM3186" s="2007"/>
      <c r="MX3186" s="2007"/>
      <c r="ND3186" s="2007"/>
    </row>
    <row r="3187">
      <c r="BD3187" s="2006"/>
      <c r="LL3187" s="2007"/>
      <c r="LM3187" s="2007"/>
      <c r="MX3187" s="2007"/>
      <c r="ND3187" s="2007"/>
    </row>
    <row r="3188">
      <c r="BD3188" s="2006"/>
      <c r="LL3188" s="2007"/>
      <c r="LM3188" s="2007"/>
      <c r="MX3188" s="2007"/>
      <c r="ND3188" s="2007"/>
    </row>
    <row r="3189">
      <c r="BD3189" s="2006"/>
      <c r="LL3189" s="2007"/>
      <c r="LM3189" s="2007"/>
      <c r="MX3189" s="2007"/>
      <c r="ND3189" s="2007"/>
    </row>
    <row r="3190">
      <c r="BD3190" s="2006"/>
      <c r="LM3190" s="2007"/>
    </row>
    <row r="3191">
      <c r="BD3191" s="2006"/>
      <c r="LM3191" s="2007"/>
    </row>
    <row r="3192">
      <c r="BD3192" s="2006"/>
      <c r="LM3192" s="2007"/>
    </row>
    <row r="3193">
      <c r="BD3193" s="2006"/>
      <c r="LL3193" s="2007"/>
      <c r="LM3193" s="2007"/>
      <c r="MX3193" s="2007"/>
      <c r="ND3193" s="2007"/>
    </row>
    <row r="3194">
      <c r="BD3194" s="2006"/>
      <c r="LL3194" s="2007"/>
      <c r="LM3194" s="2007"/>
      <c r="MX3194" s="2007"/>
      <c r="ND3194" s="2007"/>
    </row>
    <row r="3195">
      <c r="BD3195" s="2006"/>
      <c r="LL3195" s="2007"/>
      <c r="LM3195" s="2007"/>
      <c r="MX3195" s="2007"/>
      <c r="ND3195" s="2007"/>
    </row>
    <row r="3196">
      <c r="BD3196" s="2006"/>
      <c r="LL3196" s="2007"/>
      <c r="LM3196" s="2007"/>
      <c r="MX3196" s="2007"/>
      <c r="ND3196" s="2007"/>
    </row>
    <row r="3197">
      <c r="BD3197" s="2006"/>
      <c r="LL3197" s="2007"/>
      <c r="LM3197" s="2007"/>
      <c r="MX3197" s="2007"/>
      <c r="ND3197" s="2007"/>
    </row>
    <row r="3198">
      <c r="BD3198" s="2006"/>
      <c r="LL3198" s="2007"/>
      <c r="LM3198" s="2007"/>
      <c r="MX3198" s="2007"/>
      <c r="ND3198" s="2007"/>
    </row>
    <row r="3199">
      <c r="BD3199" s="2006"/>
      <c r="LL3199" s="2007"/>
      <c r="LM3199" s="2007"/>
      <c r="MX3199" s="2007"/>
      <c r="ND3199" s="2007"/>
    </row>
    <row r="3200">
      <c r="BD3200" s="2006"/>
      <c r="LL3200" s="2007"/>
      <c r="LM3200" s="2007"/>
      <c r="MX3200" s="2007"/>
      <c r="ND3200" s="2007"/>
    </row>
    <row r="3201">
      <c r="BD3201" s="2006"/>
      <c r="LL3201" s="2007"/>
      <c r="LM3201" s="2007"/>
      <c r="MX3201" s="2007"/>
      <c r="ND3201" s="2007"/>
    </row>
    <row r="3202">
      <c r="BD3202" s="2006"/>
      <c r="LL3202" s="2007"/>
      <c r="LM3202" s="2007"/>
      <c r="MX3202" s="2007"/>
      <c r="ND3202" s="2007"/>
    </row>
    <row r="3203">
      <c r="BD3203" s="2006"/>
      <c r="LL3203" s="2007"/>
      <c r="LM3203" s="2007"/>
      <c r="MX3203" s="2007"/>
      <c r="ND3203" s="2007"/>
    </row>
    <row r="3204">
      <c r="BD3204" s="2006"/>
      <c r="LM3204" s="2007"/>
      <c r="MX3204" s="2007"/>
      <c r="ND3204" s="2007"/>
    </row>
    <row r="3205">
      <c r="BD3205" s="2006"/>
      <c r="LM3205" s="2007"/>
      <c r="MX3205" s="2007"/>
      <c r="ND3205" s="2007"/>
    </row>
    <row r="3206">
      <c r="BD3206" s="2006"/>
      <c r="LL3206" s="2007"/>
      <c r="LM3206" s="2007"/>
      <c r="MX3206" s="2007"/>
      <c r="ND3206" s="2007"/>
    </row>
    <row r="3207">
      <c r="BD3207" s="2006"/>
      <c r="LL3207" s="2007"/>
      <c r="LM3207" s="2007"/>
      <c r="MX3207" s="2007"/>
      <c r="ND3207" s="2007"/>
    </row>
    <row r="3208">
      <c r="BD3208" s="2006"/>
      <c r="LL3208" s="2007"/>
      <c r="LM3208" s="2007"/>
      <c r="MX3208" s="2007"/>
      <c r="ND3208" s="2007"/>
    </row>
    <row r="3209">
      <c r="BD3209" s="2006"/>
      <c r="LL3209" s="2007"/>
      <c r="LM3209" s="2007"/>
      <c r="MX3209" s="2007"/>
      <c r="ND3209" s="2007"/>
    </row>
    <row r="3210">
      <c r="BD3210" s="2006"/>
      <c r="LL3210" s="2007"/>
      <c r="LM3210" s="2007"/>
      <c r="MX3210" s="2007"/>
      <c r="ND3210" s="2007"/>
    </row>
    <row r="3211">
      <c r="BD3211" s="2006"/>
      <c r="LL3211" s="2007"/>
      <c r="LM3211" s="2007"/>
      <c r="MX3211" s="2007"/>
      <c r="ND3211" s="2007"/>
    </row>
    <row r="3212">
      <c r="BD3212" s="2006"/>
      <c r="LL3212" s="2007"/>
      <c r="LM3212" s="2007"/>
      <c r="MX3212" s="2007"/>
      <c r="ND3212" s="2007"/>
    </row>
    <row r="3213">
      <c r="BD3213" s="2006"/>
      <c r="LL3213" s="2007"/>
      <c r="LM3213" s="2007"/>
      <c r="MX3213" s="2007"/>
      <c r="ND3213" s="2007"/>
    </row>
    <row r="3214">
      <c r="BD3214" s="2006"/>
      <c r="LM3214" s="2007"/>
      <c r="MX3214" s="2007"/>
      <c r="ND3214" s="2007"/>
    </row>
    <row r="3215">
      <c r="BD3215" s="2006"/>
      <c r="LL3215" s="2007"/>
      <c r="LM3215" s="2007"/>
      <c r="MX3215" s="2007"/>
      <c r="ND3215" s="2007"/>
    </row>
    <row r="3216">
      <c r="BD3216" s="2006"/>
      <c r="LM3216" s="2007"/>
      <c r="MX3216" s="2007"/>
      <c r="ND3216" s="2007"/>
    </row>
    <row r="3217">
      <c r="BD3217" s="2006"/>
      <c r="LL3217" s="2007"/>
      <c r="LM3217" s="2007"/>
      <c r="MX3217" s="2007"/>
      <c r="ND3217" s="2007"/>
    </row>
    <row r="3218">
      <c r="BD3218" s="2006"/>
      <c r="LL3218" s="2007"/>
      <c r="LM3218" s="2007"/>
      <c r="MX3218" s="2007"/>
      <c r="ND3218" s="2007"/>
    </row>
    <row r="3219">
      <c r="BD3219" s="2006"/>
      <c r="LM3219" s="2007"/>
      <c r="MX3219" s="2007"/>
      <c r="ND3219" s="2007"/>
    </row>
    <row r="3220">
      <c r="BD3220" s="2006"/>
      <c r="LM3220" s="2007"/>
      <c r="MX3220" s="2007"/>
      <c r="ND3220" s="2007"/>
    </row>
    <row r="3221">
      <c r="BD3221" s="2006"/>
      <c r="LL3221" s="2007"/>
      <c r="LM3221" s="2007"/>
      <c r="MX3221" s="2007"/>
      <c r="ND3221" s="2007"/>
    </row>
    <row r="3222">
      <c r="BD3222" s="2006"/>
      <c r="LL3222" s="2007"/>
      <c r="LM3222" s="2007"/>
      <c r="MX3222" s="2007"/>
      <c r="ND3222" s="2007"/>
    </row>
    <row r="3223">
      <c r="BD3223" s="2006"/>
      <c r="LL3223" s="2007"/>
      <c r="LM3223" s="2007"/>
      <c r="MX3223" s="2007"/>
      <c r="ND3223" s="2007"/>
    </row>
    <row r="3224">
      <c r="BD3224" s="2006"/>
      <c r="LL3224" s="2007"/>
      <c r="LM3224" s="2007"/>
      <c r="MX3224" s="2007"/>
      <c r="ND3224" s="2007"/>
    </row>
    <row r="3225">
      <c r="BD3225" s="2006"/>
      <c r="LL3225" s="2007"/>
      <c r="LM3225" s="2007"/>
      <c r="MX3225" s="2007"/>
      <c r="ND3225" s="2007"/>
    </row>
    <row r="3226">
      <c r="BD3226" s="2006"/>
      <c r="LL3226" s="2007"/>
      <c r="LM3226" s="2007"/>
      <c r="MX3226" s="2007"/>
      <c r="ND3226" s="2007"/>
    </row>
    <row r="3227">
      <c r="BD3227" s="2006"/>
      <c r="LL3227" s="2007"/>
      <c r="LM3227" s="2007"/>
      <c r="MX3227" s="2007"/>
      <c r="ND3227" s="2007"/>
    </row>
    <row r="3228">
      <c r="BD3228" s="2006"/>
      <c r="LL3228" s="2007"/>
      <c r="LM3228" s="2007"/>
      <c r="MX3228" s="2007"/>
      <c r="ND3228" s="2007"/>
    </row>
    <row r="3229">
      <c r="BD3229" s="2006"/>
      <c r="LM3229" s="2007"/>
      <c r="MX3229" s="2007"/>
      <c r="ND3229" s="2007"/>
    </row>
    <row r="3230">
      <c r="BD3230" s="2006"/>
      <c r="LM3230" s="2007"/>
    </row>
    <row r="3231">
      <c r="BD3231" s="2006"/>
      <c r="LL3231" s="2007"/>
      <c r="LM3231" s="2007"/>
      <c r="MX3231" s="2007"/>
      <c r="ND3231" s="2007"/>
    </row>
    <row r="3232">
      <c r="BD3232" s="2006"/>
      <c r="LL3232" s="2007"/>
      <c r="LM3232" s="2007"/>
      <c r="MX3232" s="2007"/>
      <c r="ND3232" s="2007"/>
    </row>
    <row r="3233">
      <c r="BD3233" s="2006"/>
      <c r="LL3233" s="2007"/>
      <c r="LM3233" s="2007"/>
      <c r="MX3233" s="2007"/>
      <c r="ND3233" s="2007"/>
    </row>
    <row r="3234">
      <c r="BD3234" s="2006"/>
      <c r="LL3234" s="2007"/>
      <c r="LM3234" s="2007"/>
      <c r="MX3234" s="2007"/>
      <c r="ND3234" s="2007"/>
    </row>
    <row r="3235">
      <c r="BD3235" s="2006"/>
      <c r="LL3235" s="2007"/>
      <c r="LM3235" s="2007"/>
      <c r="MX3235" s="2007"/>
      <c r="ND3235" s="2007"/>
    </row>
    <row r="3236">
      <c r="BD3236" s="2006"/>
      <c r="LM3236" s="2007"/>
    </row>
    <row r="3237">
      <c r="BD3237" s="2006"/>
      <c r="LL3237" s="2007"/>
      <c r="LM3237" s="2007"/>
      <c r="MX3237" s="2007"/>
      <c r="ND3237" s="2007"/>
    </row>
    <row r="3238">
      <c r="BD3238" s="2006"/>
      <c r="LM3238" s="2007"/>
    </row>
    <row r="3239">
      <c r="BD3239" s="2006"/>
      <c r="LL3239" s="2007"/>
      <c r="LM3239" s="2007"/>
      <c r="MX3239" s="2007"/>
      <c r="ND3239" s="2007"/>
    </row>
    <row r="3240">
      <c r="BD3240" s="2006"/>
      <c r="LL3240" s="2007"/>
      <c r="LM3240" s="2007"/>
      <c r="MX3240" s="2007"/>
      <c r="ND3240" s="2007"/>
    </row>
    <row r="3241">
      <c r="BD3241" s="2006"/>
      <c r="LL3241" s="2007"/>
      <c r="LM3241" s="2007"/>
      <c r="MX3241" s="2007"/>
      <c r="ND3241" s="2007"/>
    </row>
    <row r="3242">
      <c r="LL3242" s="2007"/>
      <c r="LM3242" s="2007"/>
      <c r="MX3242" s="2007"/>
      <c r="ND3242" s="2007"/>
    </row>
    <row r="3243">
      <c r="LL3243" s="2007"/>
      <c r="LM3243" s="2007"/>
      <c r="MX3243" s="2007"/>
      <c r="ND3243" s="2007"/>
    </row>
    <row r="3244">
      <c r="LL3244" s="2007"/>
      <c r="LM3244" s="2007"/>
      <c r="MX3244" s="2007"/>
      <c r="ND3244" s="2007"/>
    </row>
    <row r="3245">
      <c r="LL3245" s="2007"/>
      <c r="LM3245" s="2007"/>
      <c r="MX3245" s="2007"/>
      <c r="ND3245" s="2007"/>
    </row>
    <row r="3246">
      <c r="LL3246" s="2007"/>
      <c r="LM3246" s="2007"/>
      <c r="MX3246" s="2007"/>
      <c r="ND3246" s="2007"/>
    </row>
    <row r="3247">
      <c r="LL3247" s="2007"/>
      <c r="LM3247" s="2007"/>
      <c r="MX3247" s="2007"/>
      <c r="ND3247" s="2007"/>
    </row>
    <row r="3248">
      <c r="BD3248" s="2006"/>
      <c r="LL3248" s="2007"/>
      <c r="LM3248" s="2007"/>
      <c r="MX3248" s="2007"/>
      <c r="ND3248" s="2007"/>
    </row>
    <row r="3249">
      <c r="BD3249" s="2006"/>
      <c r="LM3249" s="2007"/>
      <c r="MX3249" s="2007"/>
      <c r="ND3249" s="2007"/>
    </row>
    <row r="3250">
      <c r="BD3250" s="2006"/>
      <c r="LM3250" s="2007"/>
      <c r="MX3250" s="2007"/>
      <c r="ND3250" s="2007"/>
    </row>
    <row r="3251">
      <c r="BD3251" s="2006"/>
      <c r="LL3251" s="2007"/>
      <c r="LM3251" s="2007"/>
      <c r="MX3251" s="2007"/>
      <c r="ND3251" s="2007"/>
    </row>
    <row r="3252">
      <c r="BD3252" s="2006"/>
      <c r="LL3252" s="2007"/>
      <c r="LM3252" s="2007"/>
      <c r="MX3252" s="2007"/>
      <c r="ND3252" s="2007"/>
    </row>
    <row r="3253">
      <c r="BD3253" s="2006"/>
      <c r="LL3253" s="2007"/>
      <c r="LM3253" s="2007"/>
      <c r="MX3253" s="2007"/>
      <c r="ND3253" s="2007"/>
    </row>
    <row r="3254">
      <c r="BD3254" s="2006"/>
      <c r="LL3254" s="2007"/>
      <c r="LM3254" s="2007"/>
      <c r="MX3254" s="2007"/>
      <c r="ND3254" s="2007"/>
    </row>
    <row r="3255">
      <c r="BD3255" s="2006"/>
      <c r="LL3255" s="2007"/>
      <c r="LM3255" s="2007"/>
      <c r="MX3255" s="2007"/>
      <c r="ND3255" s="2007"/>
    </row>
    <row r="3256">
      <c r="BD3256" s="2006"/>
      <c r="LL3256" s="2007"/>
      <c r="LM3256" s="2007"/>
      <c r="MX3256" s="2007"/>
      <c r="ND3256" s="2007"/>
    </row>
    <row r="3257">
      <c r="BD3257" s="2006"/>
      <c r="LL3257" s="2007"/>
      <c r="LM3257" s="2007"/>
      <c r="MX3257" s="2007"/>
      <c r="ND3257" s="2007"/>
    </row>
    <row r="3258">
      <c r="BD3258" s="2006"/>
      <c r="LL3258" s="2007"/>
      <c r="LM3258" s="2007"/>
      <c r="MX3258" s="2007"/>
      <c r="ND3258" s="2007"/>
    </row>
    <row r="3259">
      <c r="BD3259" s="2006"/>
      <c r="LL3259" s="2007"/>
      <c r="LM3259" s="2007"/>
      <c r="MX3259" s="2007"/>
      <c r="ND3259" s="2007"/>
    </row>
    <row r="3260">
      <c r="BD3260" s="2006"/>
      <c r="LL3260" s="2007"/>
      <c r="LM3260" s="2007"/>
      <c r="MX3260" s="2007"/>
      <c r="ND3260" s="2007"/>
    </row>
    <row r="3261">
      <c r="BD3261" s="2006"/>
      <c r="LL3261" s="2007"/>
      <c r="LM3261" s="2007"/>
      <c r="MX3261" s="2007"/>
      <c r="ND3261" s="2007"/>
    </row>
    <row r="3262">
      <c r="BD3262" s="2006"/>
      <c r="LL3262" s="2007"/>
      <c r="LM3262" s="2007"/>
      <c r="MX3262" s="2007"/>
      <c r="ND3262" s="2007"/>
    </row>
    <row r="3263">
      <c r="BD3263" s="2006"/>
      <c r="LL3263" s="2007"/>
      <c r="LM3263" s="2007"/>
      <c r="MX3263" s="2007"/>
      <c r="ND3263" s="2007"/>
    </row>
    <row r="3264">
      <c r="BD3264" s="2006"/>
      <c r="LL3264" s="2007"/>
      <c r="LM3264" s="2007"/>
      <c r="MX3264" s="2007"/>
      <c r="ND3264" s="2007"/>
    </row>
    <row r="3265">
      <c r="BD3265" s="2006"/>
      <c r="LL3265" s="2007"/>
      <c r="LM3265" s="2007"/>
      <c r="MX3265" s="2007"/>
      <c r="ND3265" s="2007"/>
    </row>
    <row r="3266">
      <c r="BD3266" s="2006"/>
      <c r="LL3266" s="2007"/>
      <c r="LM3266" s="2007"/>
      <c r="MX3266" s="2007"/>
      <c r="ND3266" s="2007"/>
    </row>
    <row r="3267">
      <c r="BD3267" s="2006"/>
      <c r="LL3267" s="2007"/>
      <c r="LM3267" s="2007"/>
      <c r="MX3267" s="2007"/>
      <c r="ND3267" s="2007"/>
    </row>
    <row r="3268">
      <c r="BD3268" s="2006"/>
      <c r="LM3268" s="2007"/>
      <c r="MX3268" s="2007"/>
      <c r="ND3268" s="2007"/>
    </row>
    <row r="3269">
      <c r="BD3269" s="2006"/>
      <c r="LL3269" s="2007"/>
      <c r="LM3269" s="2007"/>
      <c r="MX3269" s="2007"/>
      <c r="ND3269" s="2007"/>
    </row>
    <row r="3270">
      <c r="BD3270" s="2006"/>
      <c r="LM3270" s="2007"/>
      <c r="MX3270" s="2007"/>
      <c r="ND3270" s="2007"/>
    </row>
    <row r="3271">
      <c r="BD3271" s="2006"/>
      <c r="LL3271" s="2007"/>
      <c r="LM3271" s="2007"/>
      <c r="MX3271" s="2007"/>
      <c r="ND3271" s="2007"/>
    </row>
    <row r="3272">
      <c r="BD3272" s="2006"/>
      <c r="LL3272" s="2007"/>
      <c r="LM3272" s="2007"/>
      <c r="MX3272" s="2007"/>
      <c r="ND3272" s="2007"/>
    </row>
    <row r="3273">
      <c r="BD3273" s="2006"/>
      <c r="LL3273" s="2007"/>
      <c r="LM3273" s="2007"/>
      <c r="MX3273" s="2007"/>
      <c r="ND3273" s="2007"/>
    </row>
    <row r="3274">
      <c r="BD3274" s="2006"/>
      <c r="LL3274" s="2007"/>
      <c r="LM3274" s="2007"/>
      <c r="MX3274" s="2007"/>
      <c r="ND3274" s="2007"/>
    </row>
    <row r="3275">
      <c r="BD3275" s="2006"/>
      <c r="LL3275" s="2007"/>
      <c r="LM3275" s="2007"/>
      <c r="MX3275" s="2007"/>
      <c r="ND3275" s="2007"/>
    </row>
    <row r="3276">
      <c r="BD3276" s="2006"/>
      <c r="LL3276" s="2007"/>
      <c r="LM3276" s="2007"/>
      <c r="MX3276" s="2007"/>
      <c r="ND3276" s="2007"/>
    </row>
    <row r="3277">
      <c r="BD3277" s="2006"/>
      <c r="LL3277" s="2007"/>
      <c r="LM3277" s="2007"/>
      <c r="MX3277" s="2007"/>
      <c r="ND3277" s="2007"/>
    </row>
    <row r="3278">
      <c r="BD3278" s="2006"/>
      <c r="LL3278" s="2007"/>
      <c r="LM3278" s="2007"/>
      <c r="MX3278" s="2007"/>
      <c r="ND3278" s="2007"/>
    </row>
    <row r="3279">
      <c r="BD3279" s="2006"/>
      <c r="LL3279" s="2007"/>
      <c r="LM3279" s="2007"/>
      <c r="MX3279" s="2007"/>
      <c r="ND3279" s="2007"/>
    </row>
    <row r="3280">
      <c r="BD3280" s="2006"/>
      <c r="LL3280" s="2007"/>
      <c r="LM3280" s="2007"/>
      <c r="MX3280" s="2007"/>
      <c r="ND3280" s="2007"/>
    </row>
    <row r="3281">
      <c r="BD3281" s="2006"/>
      <c r="LL3281" s="2007"/>
      <c r="LM3281" s="2007"/>
      <c r="MX3281" s="2007"/>
      <c r="ND3281" s="2007"/>
    </row>
    <row r="3282">
      <c r="BD3282" s="2006"/>
      <c r="LL3282" s="2007"/>
      <c r="LM3282" s="2007"/>
      <c r="MX3282" s="2007"/>
      <c r="ND3282" s="2007"/>
    </row>
    <row r="3283">
      <c r="BD3283" s="2006"/>
      <c r="LL3283" s="2007"/>
      <c r="LM3283" s="2007"/>
      <c r="MX3283" s="2007"/>
      <c r="ND3283" s="2007"/>
    </row>
    <row r="3284">
      <c r="BD3284" s="2006"/>
      <c r="LM3284" s="2007"/>
      <c r="MX3284" s="2007"/>
      <c r="ND3284" s="2007"/>
    </row>
    <row r="3285">
      <c r="BD3285" s="2006"/>
      <c r="LL3285" s="2007"/>
      <c r="LM3285" s="2007"/>
      <c r="MX3285" s="2007"/>
      <c r="ND3285" s="2007"/>
    </row>
    <row r="3286">
      <c r="BD3286" s="2006"/>
      <c r="LM3286" s="2007"/>
      <c r="MX3286" s="2007"/>
      <c r="ND3286" s="2007"/>
    </row>
    <row r="3287">
      <c r="BD3287" s="2006"/>
      <c r="LL3287" s="2007"/>
      <c r="LM3287" s="2007"/>
      <c r="MX3287" s="2007"/>
      <c r="ND3287" s="2007"/>
    </row>
    <row r="3288">
      <c r="BD3288" s="2006"/>
      <c r="LL3288" s="2007"/>
      <c r="LM3288" s="2007"/>
      <c r="MX3288" s="2007"/>
      <c r="ND3288" s="2007"/>
    </row>
    <row r="3289">
      <c r="BD3289" s="2006"/>
      <c r="LL3289" s="2007"/>
      <c r="LM3289" s="2007"/>
      <c r="MX3289" s="2007"/>
      <c r="ND3289" s="2007"/>
    </row>
    <row r="3290">
      <c r="BD3290" s="2006"/>
      <c r="LM3290" s="2007"/>
    </row>
    <row r="3291">
      <c r="BD3291" s="2006"/>
      <c r="LL3291" s="2007"/>
      <c r="LM3291" s="2007"/>
      <c r="MX3291" s="2007"/>
      <c r="ND3291" s="2007"/>
    </row>
    <row r="3292">
      <c r="BD3292" s="2006"/>
      <c r="LL3292" s="2007"/>
      <c r="LM3292" s="2007"/>
      <c r="MX3292" s="2007"/>
      <c r="ND3292" s="2007"/>
    </row>
    <row r="3293">
      <c r="BD3293" s="2006"/>
      <c r="LL3293" s="2007"/>
      <c r="LM3293" s="2007"/>
      <c r="MX3293" s="2007"/>
      <c r="ND3293" s="2007"/>
    </row>
    <row r="3294">
      <c r="BD3294" s="2006"/>
      <c r="LM3294" s="2007"/>
      <c r="MX3294" s="2007"/>
      <c r="ND3294" s="2007"/>
    </row>
    <row r="3295">
      <c r="BD3295" s="2006"/>
      <c r="LL3295" s="2007"/>
      <c r="LM3295" s="2007"/>
      <c r="MX3295" s="2007"/>
      <c r="ND3295" s="2007"/>
    </row>
    <row r="3296">
      <c r="BD3296" s="2006"/>
      <c r="LL3296" s="2007"/>
      <c r="LM3296" s="2007"/>
      <c r="MX3296" s="2007"/>
      <c r="ND3296" s="2007"/>
    </row>
    <row r="3297">
      <c r="BD3297" s="2006"/>
      <c r="LL3297" s="2007"/>
      <c r="LM3297" s="2007"/>
      <c r="MX3297" s="2007"/>
      <c r="ND3297" s="2007"/>
    </row>
    <row r="3298">
      <c r="BD3298" s="2006"/>
      <c r="LM3298" s="2007"/>
      <c r="MX3298" s="2007"/>
      <c r="ND3298" s="2007"/>
    </row>
    <row r="3299">
      <c r="BD3299" s="2006"/>
      <c r="LL3299" s="2007"/>
      <c r="LM3299" s="2007"/>
      <c r="MX3299" s="2007"/>
      <c r="ND3299" s="2007"/>
    </row>
    <row r="3300">
      <c r="BD3300" s="2006"/>
      <c r="LL3300" s="2007"/>
      <c r="LM3300" s="2007"/>
      <c r="MX3300" s="2007"/>
      <c r="ND3300" s="2007"/>
    </row>
    <row r="3301">
      <c r="BD3301" s="2006"/>
      <c r="LL3301" s="2007"/>
      <c r="LM3301" s="2007"/>
      <c r="MX3301" s="2007"/>
      <c r="ND3301" s="2007"/>
    </row>
    <row r="3302">
      <c r="BD3302" s="2006"/>
      <c r="LL3302" s="2007"/>
      <c r="LM3302" s="2007"/>
      <c r="MX3302" s="2007"/>
      <c r="ND3302" s="2007"/>
    </row>
    <row r="3303">
      <c r="BD3303" s="2006"/>
      <c r="LL3303" s="2007"/>
      <c r="LM3303" s="2007"/>
      <c r="MX3303" s="2007"/>
      <c r="ND3303" s="2007"/>
    </row>
    <row r="3304">
      <c r="BD3304" s="2006"/>
      <c r="LL3304" s="2007"/>
      <c r="LM3304" s="2007"/>
      <c r="MX3304" s="2007"/>
      <c r="ND3304" s="2007"/>
    </row>
    <row r="3305">
      <c r="BD3305" s="2006"/>
      <c r="LL3305" s="2007"/>
      <c r="LM3305" s="2007"/>
      <c r="MX3305" s="2007"/>
      <c r="ND3305" s="2007"/>
    </row>
    <row r="3306">
      <c r="BD3306" s="2006"/>
      <c r="LM3306" s="2007"/>
    </row>
    <row r="3307">
      <c r="BD3307" s="2006"/>
      <c r="LL3307" s="2007"/>
      <c r="LM3307" s="2007"/>
      <c r="MX3307" s="2007"/>
      <c r="ND3307" s="2007"/>
    </row>
    <row r="3308">
      <c r="BD3308" s="2006"/>
      <c r="LL3308" s="2007"/>
      <c r="LM3308" s="2007"/>
      <c r="MX3308" s="2007"/>
      <c r="ND3308" s="2007"/>
    </row>
    <row r="3309">
      <c r="BD3309" s="2006"/>
      <c r="LM3309" s="2007"/>
    </row>
    <row r="3310">
      <c r="BD3310" s="2006"/>
      <c r="LL3310" s="2007"/>
      <c r="LM3310" s="2007"/>
      <c r="MX3310" s="2007"/>
      <c r="ND3310" s="2007"/>
    </row>
    <row r="3311">
      <c r="BD3311" s="2006"/>
      <c r="LL3311" s="2007"/>
      <c r="LM3311" s="2007"/>
      <c r="MX3311" s="2007"/>
      <c r="ND3311" s="2007"/>
    </row>
    <row r="3312">
      <c r="BD3312" s="2006"/>
      <c r="LL3312" s="2007"/>
      <c r="LM3312" s="2007"/>
      <c r="MX3312" s="2007"/>
      <c r="ND3312" s="2007"/>
    </row>
    <row r="3313">
      <c r="BD3313" s="2006"/>
      <c r="LL3313" s="2007"/>
      <c r="LM3313" s="2007"/>
      <c r="MX3313" s="2007"/>
      <c r="ND3313" s="2007"/>
    </row>
    <row r="3314">
      <c r="BD3314" s="2006"/>
      <c r="LM3314" s="2007"/>
      <c r="MX3314" s="2007"/>
      <c r="ND3314" s="2007"/>
    </row>
    <row r="3315">
      <c r="BD3315" s="2006"/>
      <c r="LL3315" s="2007"/>
      <c r="LM3315" s="2007"/>
      <c r="MX3315" s="2007"/>
      <c r="ND3315" s="2007"/>
    </row>
    <row r="3316">
      <c r="BD3316" s="2006"/>
      <c r="LM3316" s="2007"/>
      <c r="MX3316" s="2007"/>
      <c r="ND3316" s="2007"/>
    </row>
    <row r="3317">
      <c r="BD3317" s="2006"/>
      <c r="LM3317" s="2007"/>
      <c r="MX3317" s="2007"/>
      <c r="ND3317" s="2007"/>
    </row>
    <row r="3318">
      <c r="BD3318" s="2006"/>
      <c r="LM3318" s="2007"/>
      <c r="MX3318" s="2007"/>
      <c r="ND3318" s="2007"/>
    </row>
    <row r="3319">
      <c r="BD3319" s="2006"/>
      <c r="LL3319" s="2007"/>
      <c r="LM3319" s="2007"/>
      <c r="MX3319" s="2007"/>
      <c r="ND3319" s="2007"/>
    </row>
    <row r="3320">
      <c r="BD3320" s="2006"/>
      <c r="LL3320" s="2007"/>
      <c r="LM3320" s="2007"/>
      <c r="MX3320" s="2007"/>
      <c r="ND3320" s="2007"/>
    </row>
    <row r="3321">
      <c r="BD3321" s="2006"/>
      <c r="LL3321" s="2007"/>
      <c r="LM3321" s="2007"/>
      <c r="MX3321" s="2007"/>
      <c r="ND3321" s="2007"/>
    </row>
    <row r="3322">
      <c r="BD3322" s="2006"/>
      <c r="LL3322" s="2007"/>
      <c r="LM3322" s="2007"/>
      <c r="MX3322" s="2007"/>
      <c r="ND3322" s="2007"/>
    </row>
    <row r="3323">
      <c r="BD3323" s="2006"/>
      <c r="LL3323" s="2007"/>
      <c r="LM3323" s="2007"/>
      <c r="MX3323" s="2007"/>
      <c r="ND3323" s="2007"/>
    </row>
    <row r="3324">
      <c r="BD3324" s="2006"/>
      <c r="LL3324" s="2007"/>
      <c r="LM3324" s="2007"/>
      <c r="MX3324" s="2007"/>
      <c r="ND3324" s="2007"/>
    </row>
    <row r="3325">
      <c r="BD3325" s="2006"/>
      <c r="LL3325" s="2007"/>
      <c r="LM3325" s="2007"/>
      <c r="MX3325" s="2007"/>
      <c r="ND3325" s="2007"/>
    </row>
    <row r="3326">
      <c r="BD3326" s="2006"/>
      <c r="LM3326" s="2007"/>
    </row>
    <row r="3327">
      <c r="BD3327" s="2006"/>
      <c r="LL3327" s="2007"/>
      <c r="LM3327" s="2007"/>
      <c r="MX3327" s="2007"/>
      <c r="ND3327" s="2007"/>
    </row>
    <row r="3328">
      <c r="BD3328" s="2006"/>
      <c r="LM3328" s="2007"/>
    </row>
    <row r="3329">
      <c r="BD3329" s="2006"/>
      <c r="LL3329" s="2007"/>
      <c r="LM3329" s="2007"/>
      <c r="MX3329" s="2007"/>
      <c r="ND3329" s="2007"/>
    </row>
    <row r="3330">
      <c r="BD3330" s="2006"/>
      <c r="LL3330" s="2007"/>
      <c r="LM3330" s="2007"/>
      <c r="MX3330" s="2007"/>
      <c r="ND3330" s="2007"/>
    </row>
    <row r="3331">
      <c r="BD3331" s="2006"/>
      <c r="LL3331" s="2007"/>
      <c r="LM3331" s="2007"/>
      <c r="MX3331" s="2007"/>
      <c r="ND3331" s="2007"/>
    </row>
    <row r="3332">
      <c r="BD3332" s="2006"/>
      <c r="LL3332" s="2007"/>
      <c r="LM3332" s="2007"/>
      <c r="MX3332" s="2007"/>
      <c r="ND3332" s="2007"/>
    </row>
    <row r="3333">
      <c r="BD3333" s="2006"/>
      <c r="LM3333" s="2007"/>
    </row>
    <row r="3334">
      <c r="BD3334" s="2006"/>
      <c r="LL3334" s="2007"/>
      <c r="LM3334" s="2007"/>
      <c r="MX3334" s="2007"/>
      <c r="ND3334" s="2007"/>
    </row>
    <row r="3335">
      <c r="BD3335" s="2006"/>
      <c r="LL3335" s="2007"/>
      <c r="LM3335" s="2007"/>
      <c r="MX3335" s="2007"/>
      <c r="ND3335" s="2007"/>
    </row>
    <row r="3336">
      <c r="BD3336" s="2006"/>
      <c r="LM3336" s="2007"/>
      <c r="MX3336" s="2007"/>
      <c r="ND3336" s="2007"/>
    </row>
    <row r="3337">
      <c r="BD3337" s="2006"/>
      <c r="LM3337" s="2007"/>
      <c r="MX3337" s="2007"/>
      <c r="ND3337" s="2007"/>
    </row>
    <row r="3338">
      <c r="BD3338" s="2006"/>
      <c r="LL3338" s="2007"/>
      <c r="LM3338" s="2007"/>
      <c r="MX3338" s="2007"/>
      <c r="ND3338" s="2007"/>
    </row>
    <row r="3339">
      <c r="BD3339" s="2006"/>
      <c r="LL3339" s="2007"/>
      <c r="LM3339" s="2007"/>
      <c r="MX3339" s="2007"/>
      <c r="ND3339" s="2007"/>
    </row>
    <row r="3340">
      <c r="BD3340" s="2006"/>
      <c r="LM3340" s="2007"/>
      <c r="MX3340" s="2007"/>
      <c r="ND3340" s="2007"/>
    </row>
    <row r="3341">
      <c r="BD3341" s="2006"/>
      <c r="LL3341" s="2007"/>
      <c r="LM3341" s="2007"/>
      <c r="MX3341" s="2007"/>
      <c r="ND3341" s="2007"/>
    </row>
    <row r="3342">
      <c r="BD3342" s="2006"/>
      <c r="LM3342" s="2007"/>
      <c r="MX3342" s="2007"/>
      <c r="ND3342" s="2007"/>
    </row>
    <row r="3343">
      <c r="BD3343" s="2006"/>
      <c r="LM3343" s="2007"/>
    </row>
    <row r="3344">
      <c r="BD3344" s="2006"/>
      <c r="LL3344" s="2007"/>
      <c r="LM3344" s="2007"/>
      <c r="MX3344" s="2007"/>
      <c r="ND3344" s="2007"/>
    </row>
    <row r="3345">
      <c r="BD3345" s="2006"/>
      <c r="LM3345" s="2007"/>
      <c r="MX3345" s="2007"/>
      <c r="ND3345" s="2007"/>
    </row>
    <row r="3346">
      <c r="BD3346" s="2006"/>
      <c r="LM3346" s="2007"/>
    </row>
    <row r="3347">
      <c r="BD3347" s="2006"/>
      <c r="LM3347" s="2007"/>
    </row>
    <row r="3348">
      <c r="BD3348" s="2006"/>
      <c r="LM3348" s="2007"/>
    </row>
    <row r="3349">
      <c r="BD3349" s="2006"/>
      <c r="LM3349" s="2007"/>
    </row>
    <row r="3350">
      <c r="BD3350" s="2006"/>
      <c r="LM3350" s="2007"/>
    </row>
    <row r="3351">
      <c r="BD3351" s="2006"/>
      <c r="LM3351" s="2007"/>
    </row>
    <row r="3352">
      <c r="BD3352" s="2006"/>
      <c r="LM3352" s="2007"/>
    </row>
    <row r="3353">
      <c r="BD3353" s="2006"/>
      <c r="LL3353" s="2007"/>
      <c r="LM3353" s="2007"/>
      <c r="MX3353" s="2007"/>
      <c r="ND3353" s="2007"/>
    </row>
    <row r="3354">
      <c r="BD3354" s="2006"/>
      <c r="LL3354" s="2007"/>
      <c r="LM3354" s="2007"/>
      <c r="MX3354" s="2007"/>
      <c r="ND3354" s="2007"/>
    </row>
    <row r="3355">
      <c r="BD3355" s="2006"/>
      <c r="LL3355" s="2007"/>
      <c r="LM3355" s="2007"/>
      <c r="MX3355" s="2007"/>
      <c r="ND3355" s="2007"/>
    </row>
    <row r="3356">
      <c r="BD3356" s="2006"/>
      <c r="LM3356" s="2007"/>
      <c r="MX3356" s="2007"/>
      <c r="ND3356" s="2007"/>
    </row>
    <row r="3357">
      <c r="BD3357" s="2006"/>
      <c r="LL3357" s="2007"/>
      <c r="LM3357" s="2007"/>
      <c r="MX3357" s="2007"/>
      <c r="ND3357" s="2007"/>
    </row>
    <row r="3358">
      <c r="BD3358" s="2006"/>
      <c r="LM3358" s="2007"/>
    </row>
    <row r="3359">
      <c r="BD3359" s="2006"/>
      <c r="LL3359" s="2007"/>
      <c r="LM3359" s="2007"/>
      <c r="MX3359" s="2007"/>
      <c r="ND3359" s="2007"/>
    </row>
    <row r="3360">
      <c r="BD3360" s="2006"/>
      <c r="LL3360" s="2007"/>
      <c r="LM3360" s="2007"/>
      <c r="MX3360" s="2007"/>
      <c r="ND3360" s="2007"/>
    </row>
    <row r="3361">
      <c r="BD3361" s="2006"/>
      <c r="LL3361" s="2007"/>
      <c r="LM3361" s="2007"/>
      <c r="MX3361" s="2007"/>
      <c r="ND3361" s="2007"/>
    </row>
    <row r="3362">
      <c r="BD3362" s="2006"/>
      <c r="LL3362" s="2007"/>
      <c r="LM3362" s="2007"/>
      <c r="MX3362" s="2007"/>
      <c r="ND3362" s="2007"/>
    </row>
    <row r="3363">
      <c r="BD3363" s="2006"/>
      <c r="LL3363" s="2007"/>
      <c r="LM3363" s="2007"/>
      <c r="MX3363" s="2007"/>
      <c r="ND3363" s="2007"/>
    </row>
    <row r="3364">
      <c r="BD3364" s="2006"/>
      <c r="LL3364" s="2007"/>
      <c r="LM3364" s="2007"/>
      <c r="MX3364" s="2007"/>
      <c r="ND3364" s="2007"/>
    </row>
    <row r="3365">
      <c r="BD3365" s="2006"/>
      <c r="LL3365" s="2007"/>
      <c r="LM3365" s="2007"/>
      <c r="MX3365" s="2007"/>
      <c r="ND3365" s="2007"/>
    </row>
    <row r="3366">
      <c r="BD3366" s="2006"/>
      <c r="LL3366" s="2007"/>
      <c r="LM3366" s="2007"/>
      <c r="MX3366" s="2007"/>
      <c r="ND3366" s="2007"/>
    </row>
    <row r="3367">
      <c r="BD3367" s="2006"/>
      <c r="LL3367" s="2007"/>
      <c r="LM3367" s="2007"/>
      <c r="MX3367" s="2007"/>
      <c r="ND3367" s="2007"/>
    </row>
    <row r="3368">
      <c r="BD3368" s="2006"/>
      <c r="LL3368" s="2007"/>
      <c r="LM3368" s="2007"/>
      <c r="MX3368" s="2007"/>
      <c r="ND3368" s="2007"/>
    </row>
    <row r="3369">
      <c r="BD3369" s="2006"/>
      <c r="LL3369" s="2007"/>
      <c r="LM3369" s="2007"/>
      <c r="MX3369" s="2007"/>
      <c r="ND3369" s="2007"/>
    </row>
    <row r="3370">
      <c r="BD3370" s="2006"/>
      <c r="LL3370" s="2007"/>
      <c r="LM3370" s="2007"/>
      <c r="MX3370" s="2007"/>
      <c r="ND3370" s="2007"/>
    </row>
    <row r="3371">
      <c r="BD3371" s="2006"/>
      <c r="LL3371" s="2007"/>
      <c r="LM3371" s="2007"/>
      <c r="MX3371" s="2007"/>
      <c r="ND3371" s="2007"/>
    </row>
    <row r="3372">
      <c r="BD3372" s="2006"/>
      <c r="LL3372" s="2007"/>
      <c r="LM3372" s="2007"/>
      <c r="MX3372" s="2007"/>
      <c r="ND3372" s="2007"/>
    </row>
    <row r="3373">
      <c r="BD3373" s="2006"/>
      <c r="LL3373" s="2007"/>
      <c r="LM3373" s="2007"/>
      <c r="MX3373" s="2007"/>
      <c r="ND3373" s="2007"/>
    </row>
    <row r="3374">
      <c r="BD3374" s="2006"/>
      <c r="LM3374" s="2007"/>
      <c r="MX3374" s="2007"/>
      <c r="ND3374" s="2007"/>
    </row>
    <row r="3375">
      <c r="BD3375" s="2006"/>
      <c r="LM3375" s="2007"/>
      <c r="MX3375" s="2007"/>
      <c r="ND3375" s="2007"/>
    </row>
    <row r="3376">
      <c r="LM3376" s="2007"/>
    </row>
    <row r="3377">
      <c r="LM3377" s="2007"/>
    </row>
    <row r="3378">
      <c r="BD3378" s="2006"/>
      <c r="LM3378" s="2007"/>
    </row>
    <row r="3379">
      <c r="BD3379" s="2006"/>
      <c r="LL3379" s="2007"/>
      <c r="LM3379" s="2007"/>
      <c r="MX3379" s="2007"/>
      <c r="ND3379" s="2007"/>
    </row>
    <row r="3380">
      <c r="BD3380" s="2006"/>
      <c r="LL3380" s="2007"/>
      <c r="LM3380" s="2007"/>
      <c r="MX3380" s="2007"/>
      <c r="ND3380" s="2007"/>
    </row>
    <row r="3381">
      <c r="BD3381" s="2006"/>
      <c r="LL3381" s="2007"/>
      <c r="LM3381" s="2007"/>
      <c r="MX3381" s="2007"/>
      <c r="ND3381" s="2007"/>
    </row>
    <row r="3382">
      <c r="BD3382" s="2006"/>
      <c r="LL3382" s="2007"/>
      <c r="LM3382" s="2007"/>
      <c r="MX3382" s="2007"/>
      <c r="ND3382" s="2007"/>
    </row>
    <row r="3383">
      <c r="BD3383" s="2006"/>
      <c r="LL3383" s="2007"/>
      <c r="LM3383" s="2007"/>
      <c r="MX3383" s="2007"/>
      <c r="ND3383" s="2007"/>
    </row>
    <row r="3384">
      <c r="BD3384" s="2006"/>
      <c r="LM3384" s="2007"/>
    </row>
    <row r="3385">
      <c r="BD3385" s="2006"/>
      <c r="LM3385" s="2007"/>
    </row>
    <row r="3386">
      <c r="BD3386" s="2006"/>
      <c r="LM3386" s="2007"/>
    </row>
    <row r="3387">
      <c r="BD3387" s="2006"/>
      <c r="LM3387" s="2007"/>
    </row>
    <row r="3388">
      <c r="BD3388" s="2006"/>
      <c r="LM3388" s="2007"/>
    </row>
    <row r="3389">
      <c r="BD3389" s="2006"/>
      <c r="LM3389" s="2007"/>
    </row>
    <row r="3390">
      <c r="BD3390" s="2006"/>
      <c r="LM3390" s="2007"/>
    </row>
    <row r="3391">
      <c r="BD3391" s="2006"/>
      <c r="LM3391" s="2007"/>
    </row>
    <row r="3392">
      <c r="BD3392" s="2006"/>
      <c r="LM3392" s="2007"/>
    </row>
    <row r="3393">
      <c r="BD3393" s="2006"/>
      <c r="LM3393" s="2007"/>
    </row>
    <row r="3394">
      <c r="BD3394" s="2006"/>
      <c r="LL3394" s="2007"/>
      <c r="LM3394" s="2007"/>
      <c r="MX3394" s="2007"/>
      <c r="ND3394" s="2007"/>
    </row>
    <row r="3395">
      <c r="BD3395" s="2006"/>
      <c r="LM3395" s="2007"/>
    </row>
    <row r="3396">
      <c r="BD3396" s="2006"/>
      <c r="LM3396" s="2007"/>
    </row>
    <row r="3397">
      <c r="BD3397" s="2006"/>
      <c r="LM3397" s="2007"/>
      <c r="MX3397" s="2007"/>
      <c r="ND3397" s="2007"/>
    </row>
    <row r="3398">
      <c r="BD3398" s="2006"/>
      <c r="LL3398" s="2007"/>
      <c r="LM3398" s="2007"/>
      <c r="MX3398" s="2007"/>
      <c r="ND3398" s="2007"/>
    </row>
    <row r="3399">
      <c r="BD3399" s="2006"/>
      <c r="LL3399" s="2007"/>
      <c r="LM3399" s="2007"/>
      <c r="MX3399" s="2007"/>
      <c r="ND3399" s="2007"/>
    </row>
    <row r="3400">
      <c r="BD3400" s="2006"/>
      <c r="LM3400" s="2007"/>
    </row>
    <row r="3401">
      <c r="LL3401" s="2007"/>
      <c r="LM3401" s="2007"/>
    </row>
    <row r="3402">
      <c r="LL3402" s="2007"/>
      <c r="LM3402" s="2007"/>
    </row>
    <row r="3403">
      <c r="LL3403" s="2007"/>
      <c r="LM3403" s="2007"/>
    </row>
    <row r="3404">
      <c r="BD3404" s="2006"/>
      <c r="LL3404" s="2007"/>
      <c r="LM3404" s="2007"/>
      <c r="MX3404" s="2007"/>
      <c r="ND3404" s="2007"/>
    </row>
    <row r="3405">
      <c r="BD3405" s="2006"/>
      <c r="LL3405" s="2007"/>
      <c r="LM3405" s="2007"/>
      <c r="MX3405" s="2007"/>
      <c r="ND3405" s="2007"/>
    </row>
    <row r="3406">
      <c r="BD3406" s="2006"/>
      <c r="LL3406" s="2007"/>
      <c r="LM3406" s="2007"/>
      <c r="MX3406" s="2007"/>
      <c r="ND3406" s="2007"/>
    </row>
    <row r="3407">
      <c r="LM3407" s="2007"/>
    </row>
    <row r="3408">
      <c r="LL3408" s="2007"/>
      <c r="LM3408" s="2007"/>
    </row>
    <row r="3409">
      <c r="LL3409" s="2007"/>
      <c r="LM3409" s="2007"/>
    </row>
    <row r="3410">
      <c r="LM3410" s="2007"/>
    </row>
    <row r="3411">
      <c r="BD3411" s="2006"/>
      <c r="LM3411" s="2007"/>
      <c r="MX3411" s="2007"/>
      <c r="ND3411" s="2007"/>
    </row>
    <row r="3412">
      <c r="LM3412" s="2007"/>
    </row>
    <row r="3413">
      <c r="LM3413" s="2007"/>
    </row>
    <row r="3414">
      <c r="LM3414" s="2007"/>
    </row>
    <row r="3415">
      <c r="LM3415" s="2007"/>
    </row>
    <row r="3416">
      <c r="LM3416" s="2007"/>
    </row>
    <row r="3417">
      <c r="LM3417" s="2007"/>
    </row>
    <row r="3418">
      <c r="BD3418" s="2006"/>
      <c r="LM3418" s="2007"/>
    </row>
    <row r="3419">
      <c r="BD3419" s="2006"/>
      <c r="LM3419" s="2007"/>
      <c r="MX3419" s="2007"/>
      <c r="ND3419" s="2007"/>
    </row>
    <row r="3420">
      <c r="BD3420" s="2006"/>
      <c r="LM3420" s="2007"/>
      <c r="MX3420" s="2007"/>
      <c r="ND3420" s="2007"/>
    </row>
    <row r="3421">
      <c r="BD3421" s="2006"/>
      <c r="LM3421" s="2007"/>
      <c r="MX3421" s="2007"/>
      <c r="ND3421" s="2007"/>
    </row>
    <row r="3422">
      <c r="BD3422" s="2006"/>
      <c r="LM3422" s="2007"/>
      <c r="MX3422" s="2007"/>
      <c r="ND3422" s="2007"/>
    </row>
    <row r="3423">
      <c r="BD3423" s="2006"/>
      <c r="LM3423" s="2007"/>
      <c r="MX3423" s="2007"/>
      <c r="ND3423" s="2007"/>
    </row>
    <row r="3424">
      <c r="LM3424" s="2007"/>
    </row>
    <row r="3425">
      <c r="LM3425" s="2007"/>
    </row>
    <row r="3426">
      <c r="BD3426" s="2006"/>
      <c r="LM3426" s="2007"/>
    </row>
    <row r="3427">
      <c r="LM3427" s="2007"/>
    </row>
    <row r="3428">
      <c r="LM3428" s="2007"/>
    </row>
    <row r="3429">
      <c r="LM3429" s="2007"/>
    </row>
    <row r="3430">
      <c r="LL3430" s="2007"/>
      <c r="LM3430" s="2007"/>
    </row>
    <row r="3431">
      <c r="BD3431" s="2006"/>
      <c r="LM3431" s="2007"/>
    </row>
    <row r="3432">
      <c r="BD3432" s="2006"/>
      <c r="LM3432" s="2007"/>
    </row>
    <row r="3433">
      <c r="BD3433" s="2006"/>
      <c r="LM3433" s="2007"/>
    </row>
    <row r="3434">
      <c r="BD3434" s="2006"/>
      <c r="LM3434" s="2007"/>
    </row>
    <row r="3435">
      <c r="BD3435" s="2006"/>
      <c r="LM3435" s="2007"/>
    </row>
    <row r="3436">
      <c r="BD3436" s="2006"/>
      <c r="LM3436" s="2007"/>
    </row>
    <row r="3437">
      <c r="BD3437" s="2006"/>
      <c r="LM3437" s="2007"/>
    </row>
    <row r="3438">
      <c r="BD3438" s="2006"/>
      <c r="LM3438" s="2007"/>
    </row>
    <row r="3439">
      <c r="BD3439" s="2006"/>
      <c r="LM3439" s="2007"/>
    </row>
    <row r="3440">
      <c r="BD3440" s="2006"/>
      <c r="LM3440" s="2007"/>
    </row>
    <row r="3441">
      <c r="BD3441" s="2006"/>
      <c r="LM3441" s="2007"/>
    </row>
    <row r="3442">
      <c r="BD3442" s="2006"/>
      <c r="LM3442" s="2007"/>
    </row>
    <row r="3443">
      <c r="BD3443" s="2006"/>
      <c r="LM3443" s="2007"/>
    </row>
    <row r="3444">
      <c r="BD3444" s="2006"/>
      <c r="LM3444" s="2007"/>
    </row>
    <row r="3445">
      <c r="BD3445" s="2006"/>
      <c r="LM3445" s="2007"/>
    </row>
    <row r="3446">
      <c r="BD3446" s="2006"/>
      <c r="LM3446" s="2007"/>
    </row>
    <row r="3447">
      <c r="BD3447" s="2006"/>
      <c r="LM3447" s="2007"/>
    </row>
    <row r="3448">
      <c r="BD3448" s="2006"/>
      <c r="LM3448" s="2007"/>
    </row>
    <row r="3449">
      <c r="BD3449" s="2006"/>
      <c r="LM3449" s="2007"/>
    </row>
    <row r="3450">
      <c r="BD3450" s="2006"/>
      <c r="LM3450" s="2007"/>
    </row>
    <row r="3451">
      <c r="BD3451" s="2006"/>
      <c r="LM3451" s="2007"/>
    </row>
    <row r="3452">
      <c r="BD3452" s="2006"/>
      <c r="LM3452" s="2007"/>
      <c r="MX3452" s="2007"/>
      <c r="ND3452" s="2007"/>
    </row>
    <row r="3453">
      <c r="BD3453" s="2006"/>
      <c r="LM3453" s="2007"/>
      <c r="MX3453" s="2007"/>
      <c r="ND3453" s="2007"/>
    </row>
    <row r="3454">
      <c r="BD3454" s="2006"/>
      <c r="LM3454" s="2007"/>
    </row>
    <row r="3455">
      <c r="BD3455" s="2006"/>
      <c r="LM3455" s="2007"/>
    </row>
    <row r="3456">
      <c r="LM3456" s="2007"/>
    </row>
    <row r="3457">
      <c r="LM3457" s="2007"/>
    </row>
    <row r="3458">
      <c r="BD3458" s="2006"/>
      <c r="LM3458" s="2007"/>
    </row>
    <row r="3459">
      <c r="BD3459" s="2006"/>
      <c r="LM3459" s="2007"/>
    </row>
    <row r="3460">
      <c r="BD3460" s="2006"/>
      <c r="LM3460" s="2007"/>
    </row>
    <row r="3461">
      <c r="BD3461" s="2006"/>
      <c r="LM3461" s="2007"/>
    </row>
    <row r="3462">
      <c r="BD3462" s="2006"/>
      <c r="LM3462" s="2007"/>
    </row>
    <row r="3463">
      <c r="BD3463" s="2006"/>
      <c r="LM3463" s="2007"/>
    </row>
    <row r="3464">
      <c r="BD3464" s="2006"/>
      <c r="LM3464" s="2007"/>
    </row>
    <row r="3465">
      <c r="BD3465" s="2006"/>
      <c r="LM3465" s="2007"/>
    </row>
    <row r="3466">
      <c r="BD3466" s="2006"/>
      <c r="LM3466" s="2007"/>
    </row>
    <row r="3467">
      <c r="BD3467" s="2006"/>
      <c r="LM3467" s="2007"/>
    </row>
    <row r="3468">
      <c r="BD3468" s="2006"/>
      <c r="LM3468" s="2007"/>
    </row>
    <row r="3469">
      <c r="BD3469" s="2006"/>
      <c r="LM3469" s="2007"/>
    </row>
    <row r="3470">
      <c r="BD3470" s="2006"/>
      <c r="LM3470" s="2007"/>
    </row>
    <row r="3471">
      <c r="BD3471" s="2006"/>
      <c r="LM3471" s="2007"/>
    </row>
    <row r="3472">
      <c r="BD3472" s="2006"/>
      <c r="LM3472" s="2007"/>
    </row>
    <row r="3473">
      <c r="BD3473" s="2006"/>
      <c r="LM3473" s="2007"/>
    </row>
    <row r="3474">
      <c r="BD3474" s="2006"/>
      <c r="LM3474" s="2007"/>
    </row>
    <row r="3475">
      <c r="BD3475" s="2006"/>
      <c r="LM3475" s="2007"/>
    </row>
    <row r="3476">
      <c r="BD3476" s="2006"/>
      <c r="LM3476" s="2007"/>
    </row>
    <row r="3477">
      <c r="BD3477" s="2006"/>
      <c r="LM3477" s="2007"/>
    </row>
    <row r="3478">
      <c r="BD3478" s="2006"/>
      <c r="LM3478" s="2007"/>
    </row>
    <row r="3479">
      <c r="BD3479" s="2006"/>
      <c r="LM3479" s="2007"/>
    </row>
    <row r="3480">
      <c r="BD3480" s="2006"/>
      <c r="LM3480" s="2007"/>
    </row>
    <row r="3481">
      <c r="BD3481" s="2006"/>
      <c r="LM3481" s="2007"/>
    </row>
    <row r="3482">
      <c r="BD3482" s="2006"/>
      <c r="LM3482" s="2007"/>
    </row>
    <row r="3483">
      <c r="BD3483" s="2006"/>
      <c r="LM3483" s="2007"/>
    </row>
    <row r="3484">
      <c r="BD3484" s="2006"/>
      <c r="LM3484" s="2007"/>
    </row>
    <row r="3485">
      <c r="BD3485" s="2006"/>
      <c r="LM3485" s="2007"/>
    </row>
    <row r="3486">
      <c r="BD3486" s="2006"/>
      <c r="LM3486" s="2007"/>
    </row>
    <row r="3487">
      <c r="BD3487" s="2006"/>
      <c r="LM3487" s="2007"/>
    </row>
    <row r="3488">
      <c r="BD3488" s="2006"/>
      <c r="LM3488" s="2007"/>
    </row>
    <row r="3489">
      <c r="BD3489" s="2006"/>
      <c r="LM3489" s="2007"/>
    </row>
    <row r="3490">
      <c r="BD3490" s="2006"/>
      <c r="LM3490" s="2007"/>
    </row>
    <row r="3491">
      <c r="BD3491" s="2006"/>
      <c r="LM3491" s="2007"/>
    </row>
    <row r="3492">
      <c r="BD3492" s="2006"/>
      <c r="LM3492" s="2007"/>
    </row>
    <row r="3493">
      <c r="BD3493" s="2006"/>
      <c r="LM3493" s="2007"/>
    </row>
    <row r="3494">
      <c r="BD3494" s="2006"/>
      <c r="LM3494" s="2007"/>
    </row>
    <row r="3495">
      <c r="BD3495" s="2006"/>
      <c r="LM3495" s="2007"/>
    </row>
    <row r="3496">
      <c r="BD3496" s="2006"/>
      <c r="LM3496" s="2007"/>
    </row>
    <row r="3497">
      <c r="BD3497" s="2006"/>
      <c r="LM3497" s="2007"/>
    </row>
    <row r="3498">
      <c r="BD3498" s="2006"/>
      <c r="LM3498" s="2007"/>
    </row>
    <row r="3499">
      <c r="BD3499" s="2006"/>
      <c r="LM3499" s="2007"/>
      <c r="MX3499" s="2007"/>
      <c r="ND3499" s="2007"/>
    </row>
    <row r="3500">
      <c r="BD3500" s="2006"/>
      <c r="LM3500" s="2007"/>
      <c r="MX3500" s="2007"/>
      <c r="ND3500" s="2008"/>
    </row>
    <row r="3501">
      <c r="BD3501" s="2006"/>
      <c r="LM3501" s="2007"/>
      <c r="MX3501" s="2007"/>
      <c r="ND3501" s="2008"/>
    </row>
    <row r="3502">
      <c r="BD3502" s="2006"/>
      <c r="LM3502" s="2007"/>
      <c r="MX3502" s="2007"/>
      <c r="ND3502" s="2008"/>
    </row>
    <row r="3503">
      <c r="BD3503" s="2006"/>
      <c r="LM3503" s="2007"/>
      <c r="MX3503" s="2007"/>
      <c r="ND3503" s="2008"/>
    </row>
    <row r="3504">
      <c r="BD3504" s="2006"/>
      <c r="LM3504" s="2008"/>
      <c r="MX3504" s="2007"/>
      <c r="ND3504" s="2007"/>
    </row>
    <row r="3505">
      <c r="BD3505" s="2006"/>
      <c r="LM3505" s="2008"/>
      <c r="MX3505" s="2007"/>
      <c r="ND3505" s="2007"/>
    </row>
    <row r="3506">
      <c r="BD3506" s="2006"/>
      <c r="LM3506" s="2008"/>
      <c r="MX3506" s="2007"/>
      <c r="ND3506" s="2007"/>
    </row>
    <row r="3507">
      <c r="BD3507" s="2006"/>
      <c r="LM3507" s="2008"/>
      <c r="MX3507" s="2007"/>
      <c r="ND3507" s="2007"/>
    </row>
    <row r="3508">
      <c r="BD3508" s="2006"/>
      <c r="LM3508" s="2008"/>
      <c r="MX3508" s="2007"/>
      <c r="ND3508" s="2007"/>
    </row>
    <row r="3509">
      <c r="BD3509" s="2006"/>
      <c r="LM3509" s="2007"/>
      <c r="MX3509" s="2007"/>
      <c r="ND3509" s="2008"/>
    </row>
    <row r="3510">
      <c r="BD3510" s="2006"/>
      <c r="LM3510" s="2007"/>
      <c r="MX3510" s="2007"/>
      <c r="ND3510" s="2008"/>
    </row>
    <row r="3511">
      <c r="BD3511" s="2006"/>
      <c r="LM3511" s="2007"/>
      <c r="MX3511" s="2007"/>
      <c r="ND3511" s="2007"/>
    </row>
    <row r="3512">
      <c r="BD3512" s="2006"/>
      <c r="LM3512" s="2007"/>
      <c r="MX3512" s="2007"/>
      <c r="ND3512" s="2007"/>
    </row>
    <row r="3513">
      <c r="BD3513" s="2006"/>
      <c r="LM3513" s="2007"/>
      <c r="MX3513" s="2007"/>
      <c r="ND3513" s="2007"/>
    </row>
    <row r="3514">
      <c r="BD3514" s="2006"/>
      <c r="LM3514" s="2007"/>
      <c r="MX3514" s="2007"/>
      <c r="ND3514" s="2007"/>
    </row>
    <row r="3515">
      <c r="BD3515" s="2006"/>
      <c r="LM3515" s="2007"/>
      <c r="MX3515" s="2007"/>
      <c r="ND3515" s="2007"/>
    </row>
    <row r="3516">
      <c r="BD3516" s="2006"/>
      <c r="LM3516" s="2007"/>
      <c r="MX3516" s="2007"/>
      <c r="ND3516" s="2007"/>
    </row>
    <row r="3517">
      <c r="BD3517" s="2006"/>
      <c r="LM3517" s="2007"/>
      <c r="MX3517" s="2007"/>
      <c r="ND3517" s="2007"/>
    </row>
    <row r="3518">
      <c r="BD3518" s="2006"/>
      <c r="LM3518" s="2007"/>
      <c r="MX3518" s="2007"/>
      <c r="ND3518" s="2007"/>
    </row>
    <row r="3519">
      <c r="BD3519" s="2006"/>
      <c r="LM3519" s="2007"/>
      <c r="MX3519" s="2007"/>
      <c r="ND3519" s="2007"/>
    </row>
    <row r="3520">
      <c r="BD3520" s="2006"/>
      <c r="LM3520" s="2007"/>
      <c r="MX3520" s="2008"/>
      <c r="ND3520" s="2007"/>
    </row>
    <row r="3521">
      <c r="BD3521" s="2006"/>
      <c r="LM3521" s="2007"/>
      <c r="MX3521" s="2007"/>
      <c r="ND3521" s="2007"/>
    </row>
    <row r="3522">
      <c r="BD3522" s="2006"/>
      <c r="LM3522" s="2007"/>
      <c r="MX3522" s="2007"/>
      <c r="ND3522" s="2007"/>
    </row>
    <row r="3523">
      <c r="BD3523" s="2006"/>
      <c r="LM3523" s="2007"/>
      <c r="MX3523" s="2007"/>
      <c r="ND3523" s="2007"/>
    </row>
    <row r="3524">
      <c r="BD3524" s="2006"/>
      <c r="LM3524" s="2007"/>
      <c r="MX3524" s="2007"/>
      <c r="ND3524" s="2007"/>
    </row>
    <row r="3525">
      <c r="BD3525" s="2006"/>
      <c r="LM3525" s="2007"/>
      <c r="MX3525" s="2007"/>
      <c r="NB3525" s="2009"/>
      <c r="ND3525" s="2007"/>
    </row>
    <row r="3526">
      <c r="BD3526" s="2006"/>
      <c r="LM3526" s="2007"/>
      <c r="MX3526" s="2007"/>
      <c r="ND3526" s="2007"/>
    </row>
    <row r="3527">
      <c r="BD3527" s="2006"/>
      <c r="LM3527" s="2008"/>
      <c r="MX3527" s="2007"/>
      <c r="ND3527" s="2007"/>
    </row>
    <row r="3528">
      <c r="BD3528" s="2006"/>
      <c r="LM3528" s="2008"/>
      <c r="MX3528" s="2007"/>
      <c r="ND3528" s="2007"/>
    </row>
    <row r="3529">
      <c r="BD3529" s="2006"/>
      <c r="LM3529" s="2008"/>
      <c r="MX3529" s="2007"/>
      <c r="ND3529" s="2007"/>
    </row>
    <row r="3530">
      <c r="BD3530" s="2006"/>
      <c r="LM3530" s="2007"/>
      <c r="MX3530" s="2007"/>
      <c r="ND3530" s="2007"/>
    </row>
    <row r="3531">
      <c r="BD3531" s="2006"/>
      <c r="LM3531" s="2008"/>
      <c r="MX3531" s="2007"/>
      <c r="ND3531" s="2007"/>
    </row>
    <row r="3532">
      <c r="BD3532" s="2006"/>
      <c r="LM3532" s="2008"/>
      <c r="MX3532" s="2007"/>
      <c r="ND3532" s="2007"/>
    </row>
    <row r="3533">
      <c r="BD3533" s="2006"/>
      <c r="LM3533" s="2008"/>
      <c r="MX3533" s="2007"/>
      <c r="ND3533" s="2007"/>
    </row>
    <row r="3534">
      <c r="BD3534" s="2006"/>
      <c r="LM3534" s="2008"/>
      <c r="MX3534" s="2007"/>
      <c r="ND3534" s="2007"/>
    </row>
    <row r="3535">
      <c r="BD3535" s="2006"/>
      <c r="LM3535" s="2008"/>
      <c r="MX3535" s="2007"/>
      <c r="ND3535" s="2007"/>
    </row>
    <row r="3536">
      <c r="BD3536" s="2006"/>
      <c r="LM3536" s="2008"/>
      <c r="MX3536" s="2007"/>
      <c r="ND3536" s="2007"/>
    </row>
    <row r="3537">
      <c r="BD3537" s="2006"/>
      <c r="LM3537" s="2008"/>
      <c r="MX3537" s="2007"/>
      <c r="ND3537" s="2007"/>
    </row>
    <row r="3538">
      <c r="BD3538" s="2006"/>
      <c r="LM3538" s="2008"/>
      <c r="MX3538" s="2007"/>
      <c r="ND3538" s="2007"/>
    </row>
    <row r="3539">
      <c r="BD3539" s="2006"/>
      <c r="LM3539" s="2008"/>
      <c r="MX3539" s="2007"/>
      <c r="ND3539" s="2007"/>
    </row>
    <row r="3540">
      <c r="BD3540" s="2006"/>
      <c r="LM3540" s="2008"/>
      <c r="MX3540" s="2007"/>
      <c r="ND3540" s="2007"/>
    </row>
    <row r="3541">
      <c r="BD3541" s="2006"/>
      <c r="LM3541" s="2008"/>
      <c r="MX3541" s="2007"/>
      <c r="ND3541" s="2007"/>
    </row>
    <row r="3542">
      <c r="BD3542" s="2006"/>
      <c r="LM3542" s="2008"/>
      <c r="MX3542" s="2007"/>
      <c r="ND3542" s="2007"/>
    </row>
    <row r="3543">
      <c r="BD3543" s="2006"/>
      <c r="LM3543" s="2008"/>
      <c r="MX3543" s="2007"/>
      <c r="ND3543" s="2007"/>
    </row>
    <row r="3544">
      <c r="BD3544" s="2006"/>
      <c r="LM3544" s="2008"/>
      <c r="MX3544" s="2007"/>
      <c r="ND3544" s="2007"/>
    </row>
    <row r="3545">
      <c r="BD3545" s="2006"/>
      <c r="LM3545" s="2008"/>
      <c r="MX3545" s="2007"/>
      <c r="ND3545" s="2007"/>
    </row>
    <row r="3546">
      <c r="BD3546" s="2006"/>
      <c r="LM3546" s="2008"/>
      <c r="MX3546" s="2007"/>
      <c r="ND3546" s="2007"/>
    </row>
    <row r="3547">
      <c r="BD3547" s="2006"/>
      <c r="LM3547" s="2008"/>
      <c r="MX3547" s="2007"/>
      <c r="ND3547" s="2007"/>
    </row>
    <row r="3548">
      <c r="BD3548" s="2006"/>
      <c r="LM3548" s="2008"/>
      <c r="MX3548" s="2007"/>
      <c r="ND3548" s="2007"/>
    </row>
    <row r="3549">
      <c r="BD3549" s="2006"/>
      <c r="LM3549" s="2008"/>
      <c r="MX3549" s="2007"/>
      <c r="ND3549" s="2007"/>
    </row>
    <row r="3550">
      <c r="BD3550" s="2006"/>
      <c r="LM3550" s="2008"/>
      <c r="MX3550" s="2007"/>
      <c r="ND3550" s="2007"/>
    </row>
    <row r="3551">
      <c r="BD3551" s="2006"/>
      <c r="LM3551" s="2008"/>
      <c r="MX3551" s="2008"/>
      <c r="ND3551" s="2007"/>
    </row>
    <row r="3552">
      <c r="BD3552" s="2006"/>
      <c r="LM3552" s="2008"/>
      <c r="MX3552" s="2007"/>
      <c r="ND3552" s="2007"/>
    </row>
    <row r="3553">
      <c r="BD3553" s="2006"/>
      <c r="LM3553" s="2007"/>
      <c r="MX3553" s="2007"/>
      <c r="ND3553" s="2008"/>
    </row>
    <row r="3554">
      <c r="BD3554" s="2006"/>
      <c r="LM3554" s="2007"/>
      <c r="MX3554" s="2007"/>
      <c r="ND3554" s="2007"/>
    </row>
    <row r="3555">
      <c r="BD3555" s="2006"/>
      <c r="LM3555" s="2007"/>
      <c r="MX3555" s="2007"/>
      <c r="ND3555" s="2007"/>
    </row>
    <row r="3556">
      <c r="BD3556" s="2006"/>
      <c r="LM3556" s="2007"/>
      <c r="MX3556" s="2007"/>
      <c r="ND3556" s="2007"/>
    </row>
    <row r="3557">
      <c r="BD3557" s="2006"/>
      <c r="LM3557" s="2007"/>
      <c r="MX3557" s="2008"/>
      <c r="ND3557" s="2007"/>
    </row>
    <row r="3558">
      <c r="BD3558" s="2006"/>
      <c r="LM3558" s="2007"/>
      <c r="MX3558" s="2007"/>
      <c r="ND3558" s="2007"/>
    </row>
    <row r="3559">
      <c r="BD3559" s="2006"/>
      <c r="LM3559" s="2007"/>
      <c r="MX3559" s="2007"/>
      <c r="ND3559" s="2007"/>
    </row>
    <row r="3560">
      <c r="BD3560" s="2006"/>
      <c r="LM3560" s="2007"/>
      <c r="MX3560" s="2007"/>
      <c r="ND3560" s="2007"/>
    </row>
    <row r="3561">
      <c r="BD3561" s="2006"/>
      <c r="LM3561" s="2007"/>
      <c r="MX3561" s="2007"/>
      <c r="ND3561" s="2007"/>
    </row>
    <row r="3562">
      <c r="BD3562" s="2006"/>
      <c r="LM3562" s="2007"/>
      <c r="MX3562" s="2007"/>
      <c r="ND3562" s="2007"/>
    </row>
    <row r="3563">
      <c r="BD3563" s="2006"/>
      <c r="LM3563" s="2007"/>
      <c r="MX3563" s="2007"/>
      <c r="ND3563" s="2007"/>
    </row>
    <row r="3564">
      <c r="BD3564" s="2006"/>
      <c r="LM3564" s="2007"/>
      <c r="MX3564" s="2007"/>
      <c r="ND3564" s="2007"/>
    </row>
    <row r="3565">
      <c r="BD3565" s="2006"/>
      <c r="LM3565" s="2007"/>
      <c r="MX3565" s="2007"/>
      <c r="ND3565" s="2007"/>
    </row>
    <row r="3566">
      <c r="BD3566" s="2006"/>
      <c r="LM3566" s="2007"/>
      <c r="MX3566" s="2007"/>
      <c r="ND3566" s="2007"/>
    </row>
    <row r="3567">
      <c r="BD3567" s="2006"/>
      <c r="LM3567" s="2007"/>
      <c r="MX3567" s="2007"/>
      <c r="ND3567" s="2007"/>
    </row>
    <row r="3568">
      <c r="BD3568" s="2006"/>
      <c r="LM3568" s="2007"/>
      <c r="MX3568" s="2008"/>
      <c r="ND3568" s="2008"/>
    </row>
    <row r="3569">
      <c r="BD3569" s="2006"/>
      <c r="LM3569" s="2007"/>
      <c r="MX3569" s="2007"/>
      <c r="ND3569" s="2007"/>
    </row>
    <row r="3570">
      <c r="BD3570" s="2006"/>
      <c r="LM3570" s="2007"/>
      <c r="MX3570" s="2007"/>
      <c r="ND3570" s="2007"/>
    </row>
    <row r="3571">
      <c r="BD3571" s="2006"/>
      <c r="LM3571" s="2007"/>
      <c r="MX3571" s="2007"/>
      <c r="ND3571" s="2008"/>
    </row>
    <row r="3572">
      <c r="BD3572" s="2006"/>
      <c r="LM3572" s="2007"/>
      <c r="MX3572" s="2007"/>
      <c r="ND3572" s="2008"/>
    </row>
    <row r="3573">
      <c r="BD3573" s="2006"/>
      <c r="LM3573" s="2007"/>
      <c r="MX3573" s="2007"/>
      <c r="ND3573" s="2007"/>
    </row>
    <row r="3574">
      <c r="BD3574" s="2006"/>
      <c r="LM3574" s="2007"/>
      <c r="MX3574" s="2007"/>
      <c r="ND3574" s="2008"/>
    </row>
    <row r="3575">
      <c r="BD3575" s="2006"/>
      <c r="LM3575" s="2007"/>
      <c r="MX3575" s="2007"/>
      <c r="ND3575" s="2008"/>
    </row>
    <row r="3576">
      <c r="BD3576" s="2006"/>
      <c r="LM3576" s="2007"/>
      <c r="MX3576" s="2007"/>
      <c r="ND3576" s="2007"/>
    </row>
    <row r="3577">
      <c r="BD3577" s="2006"/>
      <c r="LM3577" s="2008"/>
      <c r="MX3577" s="2007"/>
      <c r="ND3577" s="2007"/>
    </row>
    <row r="3578">
      <c r="BD3578" s="2006"/>
      <c r="LM3578" s="2008"/>
      <c r="MX3578" s="2007"/>
      <c r="ND3578" s="2007"/>
    </row>
    <row r="3579">
      <c r="BD3579" s="2006"/>
      <c r="LM3579" s="2008"/>
      <c r="MX3579" s="2007"/>
      <c r="ND3579" s="2007"/>
    </row>
    <row r="3580">
      <c r="BD3580" s="2006"/>
      <c r="LM3580" s="2008"/>
      <c r="MX3580" s="2007"/>
      <c r="ND3580" s="2007"/>
    </row>
    <row r="3581">
      <c r="BD3581" s="2006"/>
      <c r="LM3581" s="2008"/>
      <c r="MX3581" s="2007"/>
      <c r="ND3581" s="2007"/>
    </row>
    <row r="3582">
      <c r="BD3582" s="2006"/>
      <c r="LM3582" s="2008"/>
      <c r="MX3582" s="2007"/>
      <c r="ND3582" s="2007"/>
    </row>
    <row r="3583">
      <c r="BD3583" s="2006"/>
      <c r="LM3583" s="2008"/>
      <c r="MX3583" s="2007"/>
      <c r="ND3583" s="2007"/>
    </row>
    <row r="3584">
      <c r="BD3584" s="2006"/>
      <c r="LM3584" s="2007"/>
      <c r="MX3584" s="2007"/>
      <c r="ND3584" s="2007"/>
    </row>
    <row r="3585">
      <c r="BD3585" s="2006"/>
      <c r="LM3585" s="2007"/>
      <c r="MX3585" s="2007"/>
      <c r="ND3585" s="2007"/>
    </row>
    <row r="3586">
      <c r="BD3586" s="2006"/>
      <c r="LM3586" s="2007"/>
      <c r="MX3586" s="2007"/>
      <c r="ND3586" s="2007"/>
    </row>
    <row r="3587">
      <c r="BD3587" s="2006"/>
      <c r="LM3587" s="2007"/>
      <c r="MX3587" s="2007"/>
      <c r="ND3587" s="2007"/>
    </row>
    <row r="3588">
      <c r="BD3588" s="2006"/>
      <c r="LM3588" s="2007"/>
      <c r="MX3588" s="2007"/>
      <c r="ND3588" s="2007"/>
    </row>
    <row r="3589">
      <c r="BD3589" s="2006"/>
      <c r="LM3589" s="2007"/>
      <c r="MX3589" s="2007"/>
      <c r="ND3589" s="2007"/>
    </row>
    <row r="3590">
      <c r="BD3590" s="2006"/>
      <c r="LM3590" s="2007"/>
      <c r="MX3590" s="2007"/>
      <c r="ND3590" s="2007"/>
    </row>
    <row r="3591">
      <c r="BD3591" s="2006"/>
      <c r="LM3591" s="2007"/>
      <c r="MX3591" s="2007"/>
      <c r="ND3591" s="2008"/>
    </row>
    <row r="3592">
      <c r="BD3592" s="2006"/>
      <c r="LM3592" s="2007"/>
      <c r="MX3592" s="2007"/>
      <c r="ND3592" s="2008"/>
    </row>
    <row r="3593">
      <c r="BD3593" s="2006"/>
      <c r="LM3593" s="2007"/>
      <c r="MX3593" s="2008"/>
      <c r="ND3593" s="2008"/>
    </row>
    <row r="3594">
      <c r="BD3594" s="2006"/>
      <c r="LM3594" s="2007"/>
      <c r="MX3594" s="2007"/>
      <c r="ND3594" s="2007"/>
    </row>
    <row r="3595">
      <c r="BD3595" s="2006"/>
      <c r="LM3595" s="2007"/>
      <c r="MX3595" s="2008"/>
      <c r="ND3595" s="2007"/>
    </row>
    <row r="3596">
      <c r="BD3596" s="2006"/>
      <c r="LM3596" s="2007"/>
      <c r="MX3596" s="2007"/>
      <c r="ND3596" s="2007"/>
    </row>
    <row r="3597">
      <c r="BD3597" s="2006"/>
      <c r="LM3597" s="2007"/>
      <c r="MX3597" s="2007"/>
      <c r="ND3597" s="2007"/>
    </row>
    <row r="3598">
      <c r="BD3598" s="2006"/>
      <c r="LM3598" s="2007"/>
      <c r="MX3598" s="2007"/>
      <c r="ND3598" s="2007"/>
    </row>
    <row r="3599">
      <c r="BD3599" s="2006"/>
      <c r="LM3599" s="2007"/>
      <c r="MX3599" s="2007"/>
      <c r="ND3599" s="2007"/>
    </row>
    <row r="3600">
      <c r="BD3600" s="2006"/>
      <c r="LM3600" s="2007"/>
      <c r="MX3600" s="2007"/>
      <c r="ND3600" s="2007"/>
    </row>
    <row r="3601">
      <c r="BD3601" s="2006"/>
      <c r="LM3601" s="2007"/>
      <c r="MX3601" s="2007"/>
      <c r="ND3601" s="2007"/>
    </row>
    <row r="3602">
      <c r="BD3602" s="2006"/>
      <c r="LM3602" s="2007"/>
      <c r="MX3602" s="2007"/>
      <c r="ND3602" s="2007"/>
    </row>
    <row r="3603">
      <c r="BD3603" s="2006"/>
      <c r="LM3603" s="2007"/>
      <c r="MX3603" s="2007"/>
      <c r="ND3603" s="2007"/>
    </row>
    <row r="3604">
      <c r="BD3604" s="2006"/>
      <c r="LM3604" s="2007"/>
      <c r="MX3604" s="2007"/>
      <c r="ND3604" s="2007"/>
    </row>
    <row r="3605">
      <c r="BD3605" s="2006"/>
      <c r="LM3605" s="2007"/>
      <c r="MX3605" s="2007"/>
      <c r="ND3605" s="2007"/>
    </row>
    <row r="3606">
      <c r="BD3606" s="2006"/>
      <c r="LM3606" s="2007"/>
      <c r="MX3606" s="2007"/>
      <c r="ND3606" s="2007"/>
    </row>
    <row r="3607">
      <c r="BD3607" s="2006"/>
      <c r="LM3607" s="2007"/>
      <c r="MX3607" s="2007"/>
      <c r="ND3607" s="2007"/>
    </row>
    <row r="3608">
      <c r="BD3608" s="2006"/>
      <c r="LM3608" s="2007"/>
      <c r="MX3608" s="2007"/>
      <c r="ND3608" s="2008"/>
    </row>
    <row r="3609">
      <c r="BD3609" s="2006"/>
      <c r="LM3609" s="2007"/>
      <c r="MX3609" s="2007"/>
      <c r="ND3609" s="2007"/>
    </row>
    <row r="3610">
      <c r="BD3610" s="2006"/>
      <c r="LM3610" s="2007"/>
      <c r="MX3610" s="2007"/>
      <c r="ND3610" s="2008"/>
    </row>
    <row r="3611">
      <c r="BD3611" s="2006"/>
      <c r="LM3611" s="2007"/>
      <c r="MX3611" s="2007"/>
      <c r="ND3611" s="2008"/>
    </row>
    <row r="3612">
      <c r="BD3612" s="2006"/>
      <c r="LM3612" s="2007"/>
      <c r="MX3612" s="2007"/>
      <c r="ND3612" s="2007"/>
    </row>
    <row r="3613">
      <c r="BD3613" s="2006"/>
      <c r="LM3613" s="2007"/>
      <c r="MX3613" s="2007"/>
      <c r="ND3613" s="2008"/>
    </row>
    <row r="3614">
      <c r="BD3614" s="2006"/>
      <c r="LM3614" s="2007"/>
      <c r="MX3614" s="2008"/>
      <c r="ND3614" s="2008"/>
    </row>
    <row r="3615">
      <c r="BD3615" s="2006"/>
      <c r="LM3615" s="2007"/>
      <c r="MX3615" s="2007"/>
      <c r="ND3615" s="2008"/>
    </row>
    <row r="3616">
      <c r="BD3616" s="2006"/>
      <c r="LM3616" s="2007"/>
      <c r="MX3616" s="2007"/>
      <c r="ND3616" s="2007"/>
    </row>
    <row r="3617">
      <c r="BD3617" s="2006"/>
      <c r="LM3617" s="2007"/>
      <c r="MX3617" s="2007"/>
      <c r="ND3617" s="2008"/>
    </row>
    <row r="3618">
      <c r="BD3618" s="2006"/>
      <c r="LM3618" s="2007"/>
      <c r="MX3618" s="2007"/>
      <c r="ND3618" s="2007"/>
    </row>
    <row r="3619">
      <c r="BD3619" s="2006"/>
      <c r="LM3619" s="2007"/>
      <c r="MX3619" s="2007"/>
      <c r="ND3619" s="2007"/>
    </row>
    <row r="3620">
      <c r="BD3620" s="2006"/>
      <c r="BG3620" s="2010"/>
      <c r="LM3620" s="2007"/>
      <c r="MX3620" s="2007"/>
      <c r="ND3620" s="2007"/>
    </row>
    <row r="3621">
      <c r="BD3621" s="2006"/>
      <c r="LM3621" s="2007"/>
      <c r="MX3621" s="2007"/>
      <c r="ND3621" s="2007"/>
    </row>
    <row r="3622">
      <c r="BD3622" s="2006"/>
      <c r="LM3622" s="2007"/>
      <c r="MX3622" s="2007"/>
      <c r="ND3622" s="2007"/>
    </row>
    <row r="3623">
      <c r="BD3623" s="2006"/>
      <c r="LM3623" s="2007"/>
      <c r="MX3623" s="2007"/>
      <c r="ND3623" s="2007"/>
    </row>
    <row r="3624">
      <c r="BD3624" s="2006"/>
      <c r="LM3624" s="2007"/>
      <c r="MX3624" s="2007"/>
      <c r="ND3624" s="2007"/>
    </row>
    <row r="3625">
      <c r="BD3625" s="2006"/>
      <c r="LM3625" s="2007"/>
      <c r="MX3625" s="2007"/>
      <c r="ND3625" s="2007"/>
    </row>
    <row r="3626">
      <c r="BD3626" s="2006"/>
      <c r="LM3626" s="2007"/>
      <c r="MX3626" s="2007"/>
      <c r="ND3626" s="2007"/>
    </row>
    <row r="3627">
      <c r="BD3627" s="2006"/>
      <c r="LM3627" s="2007"/>
      <c r="MX3627" s="2007"/>
      <c r="ND3627" s="2007"/>
    </row>
    <row r="3628">
      <c r="BD3628" s="2006"/>
      <c r="LM3628" s="2007"/>
      <c r="MX3628" s="2008"/>
      <c r="ND3628" s="2008"/>
    </row>
    <row r="3629">
      <c r="BD3629" s="2006"/>
      <c r="LM3629" s="2007"/>
      <c r="MX3629" s="2007"/>
      <c r="ND3629" s="2008"/>
    </row>
    <row r="3630">
      <c r="BD3630" s="2006"/>
      <c r="LM3630" s="2007"/>
      <c r="MX3630" s="2007"/>
      <c r="ND3630" s="2007"/>
    </row>
    <row r="3631">
      <c r="BD3631" s="2006"/>
      <c r="LM3631" s="2007"/>
      <c r="MX3631" s="2007"/>
      <c r="ND3631" s="2007"/>
    </row>
    <row r="3632">
      <c r="BD3632" s="2006"/>
      <c r="LM3632" s="2007"/>
      <c r="MX3632" s="2007"/>
      <c r="ND3632" s="2007"/>
    </row>
    <row r="3633">
      <c r="BD3633" s="2006"/>
      <c r="LM3633" s="2007"/>
      <c r="MX3633" s="2007"/>
      <c r="ND3633" s="2007"/>
    </row>
    <row r="3634">
      <c r="BD3634" s="2006"/>
      <c r="LM3634" s="2007"/>
      <c r="MX3634" s="2007"/>
      <c r="ND3634" s="2007"/>
    </row>
    <row r="3635">
      <c r="BD3635" s="2006"/>
      <c r="LM3635" s="2007"/>
      <c r="MX3635" s="2007"/>
      <c r="ND3635" s="2008"/>
    </row>
    <row r="3636">
      <c r="BD3636" s="2006"/>
      <c r="LM3636" s="2007"/>
      <c r="MX3636" s="2007"/>
      <c r="ND3636" s="2008"/>
    </row>
    <row r="3637">
      <c r="BD3637" s="2006"/>
      <c r="LM3637" s="2007"/>
      <c r="MX3637" s="2007"/>
      <c r="ND3637" s="2007"/>
    </row>
    <row r="3638">
      <c r="BD3638" s="2006"/>
      <c r="LM3638" s="2008"/>
      <c r="MX3638" s="2007"/>
      <c r="ND3638" s="2008"/>
    </row>
    <row r="3639">
      <c r="BD3639" s="2006"/>
      <c r="LM3639" s="2007"/>
      <c r="MX3639" s="2007"/>
      <c r="ND3639" s="2007"/>
    </row>
    <row r="3640">
      <c r="BD3640" s="2006"/>
      <c r="LM3640" s="2008"/>
      <c r="MX3640" s="2008"/>
      <c r="ND3640" s="2007"/>
    </row>
    <row r="3641">
      <c r="BD3641" s="2006"/>
      <c r="LM3641" s="2007"/>
      <c r="MX3641" s="2007"/>
      <c r="ND3641" s="2007"/>
    </row>
    <row r="3642">
      <c r="BD3642" s="2006"/>
      <c r="LM3642" s="2007"/>
      <c r="MX3642" s="2007"/>
      <c r="ND3642" s="2007"/>
    </row>
    <row r="3643">
      <c r="BD3643" s="2006"/>
      <c r="LM3643" s="2007"/>
      <c r="MX3643" s="2007"/>
      <c r="ND3643" s="2007"/>
    </row>
    <row r="3644">
      <c r="BD3644" s="2006"/>
      <c r="LM3644" s="2007"/>
      <c r="MX3644" s="2007"/>
      <c r="ND3644" s="2008"/>
    </row>
    <row r="3645">
      <c r="BD3645" s="2006"/>
      <c r="LM3645" s="2007"/>
      <c r="MX3645" s="2007"/>
      <c r="ND3645" s="2008"/>
    </row>
    <row r="3646">
      <c r="BD3646" s="2006"/>
      <c r="LM3646" s="2007"/>
      <c r="MX3646" s="2007"/>
      <c r="ND3646" s="2008"/>
    </row>
    <row r="3647">
      <c r="BD3647" s="2006"/>
      <c r="LM3647" s="2007"/>
      <c r="MX3647" s="2007"/>
      <c r="ND3647" s="2008"/>
    </row>
    <row r="3648">
      <c r="BD3648" s="2006"/>
      <c r="LM3648" s="2007"/>
      <c r="MX3648" s="2007"/>
      <c r="ND3648" s="2008"/>
    </row>
    <row r="3649">
      <c r="BD3649" s="2006"/>
      <c r="LM3649" s="2007"/>
      <c r="MX3649" s="2007"/>
      <c r="ND3649" s="2008"/>
    </row>
    <row r="3650">
      <c r="BD3650" s="2006"/>
      <c r="LM3650" s="2007"/>
      <c r="MX3650" s="2007"/>
      <c r="ND3650" s="2008"/>
    </row>
    <row r="3651">
      <c r="BD3651" s="2006"/>
      <c r="LM3651" s="2007"/>
      <c r="MX3651" s="2007"/>
      <c r="ND3651" s="2008"/>
    </row>
    <row r="3652">
      <c r="BD3652" s="2006"/>
      <c r="LM3652" s="2007"/>
      <c r="MX3652" s="2007"/>
      <c r="ND3652" s="2008"/>
    </row>
    <row r="3653">
      <c r="BD3653" s="2006"/>
      <c r="LM3653" s="2007"/>
      <c r="MX3653" s="2007"/>
      <c r="ND3653" s="2008"/>
    </row>
    <row r="3654">
      <c r="BD3654" s="2006"/>
      <c r="LM3654" s="2007"/>
      <c r="MX3654" s="2007"/>
      <c r="ND3654" s="2008"/>
    </row>
    <row r="3655">
      <c r="BD3655" s="2006"/>
      <c r="LM3655" s="2007"/>
      <c r="MX3655" s="2007"/>
      <c r="ND3655" s="2007"/>
    </row>
    <row r="3656">
      <c r="BD3656" s="2006"/>
      <c r="LM3656" s="2007"/>
      <c r="MX3656" s="2007"/>
      <c r="ND3656" s="2007"/>
    </row>
    <row r="3657">
      <c r="BD3657" s="2006"/>
      <c r="LM3657" s="2007"/>
      <c r="MX3657" s="2007"/>
      <c r="ND3657" s="2007"/>
    </row>
    <row r="3658">
      <c r="BD3658" s="2006"/>
      <c r="LM3658" s="2007"/>
      <c r="MX3658" s="2007"/>
      <c r="ND3658" s="2007"/>
    </row>
    <row r="3659">
      <c r="BD3659" s="2006"/>
      <c r="LM3659" s="2007"/>
      <c r="MX3659" s="2007"/>
      <c r="ND3659" s="2007"/>
    </row>
    <row r="3660">
      <c r="BD3660" s="2006"/>
      <c r="LM3660" s="2007"/>
      <c r="MX3660" s="2007"/>
      <c r="ND3660" s="2007"/>
    </row>
    <row r="3661">
      <c r="BD3661" s="2006"/>
      <c r="LM3661" s="2007"/>
      <c r="MX3661" s="2007"/>
      <c r="ND3661" s="2007"/>
    </row>
    <row r="3662">
      <c r="BD3662" s="2006"/>
      <c r="LM3662" s="2007"/>
      <c r="MX3662" s="2007"/>
      <c r="ND3662" s="2007"/>
    </row>
    <row r="3663">
      <c r="BD3663" s="2006"/>
      <c r="LM3663" s="2007"/>
      <c r="MX3663" s="2007"/>
      <c r="ND3663" s="2007"/>
    </row>
    <row r="3664">
      <c r="BD3664" s="2006"/>
      <c r="LM3664" s="2007"/>
      <c r="MX3664" s="2007"/>
      <c r="ND3664" s="2008"/>
    </row>
    <row r="3665">
      <c r="BD3665" s="2006"/>
      <c r="LM3665" s="2007"/>
      <c r="MX3665" s="2007"/>
      <c r="ND3665" s="2007"/>
    </row>
    <row r="3666">
      <c r="BD3666" s="2006"/>
      <c r="LM3666" s="2007"/>
      <c r="MX3666" s="2007"/>
      <c r="ND3666" s="2007"/>
    </row>
    <row r="3667">
      <c r="BD3667" s="2006"/>
      <c r="LM3667" s="2007"/>
      <c r="MX3667" s="2007"/>
      <c r="ND3667" s="2007"/>
    </row>
    <row r="3668">
      <c r="BD3668" s="2006"/>
      <c r="LM3668" s="2007"/>
      <c r="MX3668" s="2007"/>
      <c r="ND3668" s="2007"/>
    </row>
    <row r="3669">
      <c r="BD3669" s="2006"/>
      <c r="LM3669" s="2007"/>
      <c r="MX3669" s="2007"/>
      <c r="ND3669" s="2008"/>
    </row>
    <row r="3670">
      <c r="BD3670" s="2006"/>
      <c r="LM3670" s="2007"/>
      <c r="MX3670" s="2007"/>
      <c r="ND3670" s="2007"/>
    </row>
    <row r="3671">
      <c r="BD3671" s="2006"/>
      <c r="LM3671" s="2007"/>
      <c r="MX3671" s="2007"/>
      <c r="ND3671" s="2008"/>
    </row>
    <row r="3672">
      <c r="BD3672" s="2006"/>
      <c r="LM3672" s="2008"/>
      <c r="MX3672" s="2007"/>
      <c r="ND3672" s="2007"/>
    </row>
    <row r="3673">
      <c r="BD3673" s="2006"/>
      <c r="LM3673" s="2008"/>
      <c r="MX3673" s="2007"/>
      <c r="ND3673" s="2007"/>
    </row>
    <row r="3674">
      <c r="BD3674" s="2006"/>
      <c r="LM3674" s="2008"/>
      <c r="MX3674" s="2007"/>
      <c r="ND3674" s="2007"/>
    </row>
    <row r="3675">
      <c r="BD3675" s="2006"/>
      <c r="LM3675" s="2008"/>
      <c r="MX3675" s="2007"/>
      <c r="ND3675" s="2007"/>
    </row>
    <row r="3676">
      <c r="BD3676" s="2006"/>
      <c r="LM3676" s="2008"/>
      <c r="MX3676" s="2007"/>
      <c r="ND3676" s="2007"/>
    </row>
    <row r="3677">
      <c r="BD3677" s="2006"/>
      <c r="LM3677" s="2007"/>
      <c r="MX3677" s="2007"/>
      <c r="ND3677" s="2007"/>
    </row>
    <row r="3678">
      <c r="BD3678" s="2006"/>
      <c r="LM3678" s="2007"/>
      <c r="MX3678" s="2007"/>
      <c r="ND3678" s="2007"/>
    </row>
    <row r="3679">
      <c r="BD3679" s="2006"/>
      <c r="LM3679" s="2007"/>
      <c r="MX3679" s="2007"/>
      <c r="ND3679" s="2007"/>
    </row>
    <row r="3680">
      <c r="BD3680" s="2006"/>
      <c r="LM3680" s="2008"/>
      <c r="MX3680" s="2007"/>
      <c r="ND3680" s="2007"/>
    </row>
    <row r="3681">
      <c r="BD3681" s="2006"/>
      <c r="LM3681" s="2007"/>
      <c r="MX3681" s="2007"/>
      <c r="ND3681" s="2007"/>
    </row>
    <row r="3682">
      <c r="BD3682" s="2006"/>
      <c r="LM3682" s="2007"/>
      <c r="MX3682" s="2007"/>
      <c r="ND3682" s="2007"/>
    </row>
    <row r="3683">
      <c r="BD3683" s="2006"/>
      <c r="LM3683" s="2007"/>
    </row>
    <row r="3684">
      <c r="BD3684" s="2006"/>
      <c r="LM3684" s="2007"/>
    </row>
    <row r="3685">
      <c r="BD3685" s="2006"/>
      <c r="LM3685" s="2007"/>
    </row>
    <row r="3686">
      <c r="BD3686" s="2006"/>
      <c r="LM3686" s="2007"/>
    </row>
    <row r="3687">
      <c r="BD3687" s="2006"/>
      <c r="LM3687" s="2007"/>
    </row>
    <row r="3688">
      <c r="BD3688" s="2006"/>
      <c r="LM3688" s="2007"/>
    </row>
    <row r="3689">
      <c r="BD3689" s="2006"/>
      <c r="LM3689" s="2007"/>
    </row>
    <row r="3690">
      <c r="BD3690" s="2006"/>
      <c r="LM3690" s="2007"/>
    </row>
    <row r="3691">
      <c r="BD3691" s="2006"/>
      <c r="LM3691" s="2007"/>
    </row>
    <row r="3692">
      <c r="BD3692" s="2006"/>
      <c r="LM3692" s="2007"/>
    </row>
    <row r="3693">
      <c r="BD3693" s="2006"/>
      <c r="LM3693" s="2007"/>
    </row>
    <row r="3694">
      <c r="BD3694" s="2006"/>
      <c r="LM3694" s="2007"/>
    </row>
    <row r="3695">
      <c r="BD3695" s="2006"/>
      <c r="LM3695" s="2007"/>
    </row>
    <row r="3696">
      <c r="BD3696" s="2006"/>
      <c r="LM3696" s="2007"/>
    </row>
    <row r="3697">
      <c r="BD3697" s="2006"/>
      <c r="LM3697" s="2007"/>
    </row>
    <row r="3698">
      <c r="BD3698" s="2006"/>
      <c r="LM3698" s="2007"/>
    </row>
    <row r="3699">
      <c r="BD3699" s="2006"/>
      <c r="LM3699" s="2007"/>
    </row>
    <row r="3700">
      <c r="BD3700" s="2006"/>
      <c r="LM3700" s="2007"/>
    </row>
    <row r="3701">
      <c r="BD3701" s="2006"/>
      <c r="LM3701" s="2007"/>
    </row>
    <row r="3702">
      <c r="BD3702" s="2006"/>
      <c r="LM3702" s="2007"/>
    </row>
    <row r="3703">
      <c r="BD3703" s="2006"/>
      <c r="LM3703" s="2007"/>
    </row>
    <row r="3704">
      <c r="BD3704" s="2006"/>
      <c r="LM3704" s="2007"/>
    </row>
    <row r="3705">
      <c r="LK3705" s="2008"/>
      <c r="MV3705" s="2008"/>
      <c r="NB3705" s="2007"/>
    </row>
    <row r="3706">
      <c r="LK3706" s="2007"/>
      <c r="MV3706" s="2007"/>
      <c r="NB3706" s="2007"/>
    </row>
    <row r="3707">
      <c r="LK3707" s="2007"/>
      <c r="MV3707" s="2007"/>
      <c r="NB3707" s="2007"/>
    </row>
    <row r="3708">
      <c r="LK3708" s="2007"/>
      <c r="MV3708" s="2007"/>
      <c r="NB3708" s="2007"/>
    </row>
    <row r="3709">
      <c r="LK3709" s="2007"/>
      <c r="MV3709" s="2008"/>
      <c r="NB3709" s="2008"/>
    </row>
    <row r="3710">
      <c r="LK3710" s="2007"/>
      <c r="MV3710" s="2007"/>
      <c r="NB3710" s="2008"/>
    </row>
    <row r="3711">
      <c r="LK3711" s="2007"/>
      <c r="MV3711" s="2007"/>
      <c r="NB3711" s="2008"/>
    </row>
    <row r="3712">
      <c r="LK3712" s="2007"/>
      <c r="MV3712" s="2007"/>
      <c r="NB3712" s="2008"/>
    </row>
    <row r="3713">
      <c r="LK3713" s="2007"/>
      <c r="MV3713" s="2007"/>
      <c r="NB3713" s="2008"/>
    </row>
    <row r="3714">
      <c r="LK3714" s="2007"/>
      <c r="MV3714" s="2007"/>
      <c r="NB3714" s="2008"/>
    </row>
    <row r="3715">
      <c r="LK3715" s="2007"/>
      <c r="MV3715" s="2007"/>
      <c r="NB3715" s="2008"/>
    </row>
    <row r="3716">
      <c r="LK3716" s="2007"/>
      <c r="MV3716" s="2007"/>
      <c r="NB3716" s="2008"/>
    </row>
    <row r="3717">
      <c r="LK3717" s="2007"/>
      <c r="MV3717" s="2007"/>
      <c r="NB3717" s="2008"/>
    </row>
    <row r="3718">
      <c r="LK3718" s="2007"/>
      <c r="MV3718" s="2007"/>
      <c r="NB3718" s="2008"/>
    </row>
    <row r="3719">
      <c r="LK3719" s="2007"/>
      <c r="MV3719" s="2007"/>
      <c r="NB3719" s="2008"/>
    </row>
    <row r="3720">
      <c r="LK3720" s="2007"/>
      <c r="MV3720" s="2007"/>
      <c r="NB3720" s="2007"/>
    </row>
    <row r="3721">
      <c r="LK3721" s="2007"/>
      <c r="MV3721" s="2007"/>
      <c r="NB3721" s="2007"/>
    </row>
    <row r="3722">
      <c r="LK3722" s="2007"/>
      <c r="MV3722" s="2007"/>
      <c r="NB3722" s="2007"/>
    </row>
    <row r="3723">
      <c r="LK3723" s="2007"/>
      <c r="MV3723" s="2007"/>
      <c r="NB3723" s="2007"/>
    </row>
    <row r="3724">
      <c r="LK3724" s="2007"/>
      <c r="MV3724" s="2007"/>
      <c r="NB3724" s="2007"/>
    </row>
    <row r="3725">
      <c r="LK3725" s="2007"/>
      <c r="MV3725" s="2007"/>
      <c r="NB3725" s="2007"/>
    </row>
    <row r="3726">
      <c r="LK3726" s="2007"/>
      <c r="MV3726" s="2007"/>
      <c r="NB3726" s="2007"/>
    </row>
    <row r="3727">
      <c r="LK3727" s="2007"/>
      <c r="MV3727" s="2007"/>
      <c r="NB3727" s="2007"/>
    </row>
    <row r="3728">
      <c r="LK3728" s="2007"/>
      <c r="MV3728" s="2007"/>
      <c r="NB3728" s="2007"/>
    </row>
    <row r="3729">
      <c r="LK3729" s="2007"/>
      <c r="MV3729" s="2008"/>
      <c r="NB3729" s="2008"/>
    </row>
    <row r="3730">
      <c r="LK3730" s="2007"/>
      <c r="MV3730" s="2007"/>
      <c r="NB3730" s="2007"/>
    </row>
    <row r="3731">
      <c r="LK3731" s="2007"/>
      <c r="MV3731" s="2008"/>
      <c r="NB3731" s="2007"/>
    </row>
    <row r="3732">
      <c r="LK3732" s="2007"/>
      <c r="MV3732" s="2008"/>
      <c r="NB3732" s="2007"/>
    </row>
    <row r="3733">
      <c r="LK3733" s="2007"/>
      <c r="MV3733" s="2008"/>
      <c r="NB3733" s="2007"/>
    </row>
    <row r="3734">
      <c r="LK3734" s="2007"/>
      <c r="MV3734" s="2008"/>
      <c r="NB3734" s="2008"/>
    </row>
    <row r="3735">
      <c r="LK3735" s="2007"/>
    </row>
    <row r="3736">
      <c r="LK3736" s="2007"/>
      <c r="MV3736" s="2008"/>
      <c r="NB3736" s="2008"/>
    </row>
    <row r="3737">
      <c r="LK3737" s="2008"/>
    </row>
    <row r="3738">
      <c r="LK3738" s="2008"/>
    </row>
    <row r="3739">
      <c r="LK3739" s="2008"/>
    </row>
    <row r="3740">
      <c r="LK3740" s="2008"/>
    </row>
    <row r="3741">
      <c r="LK3741" s="2008"/>
    </row>
    <row r="3742">
      <c r="LK3742" s="2007"/>
    </row>
    <row r="3743">
      <c r="LK3743" s="2007"/>
    </row>
    <row r="3744">
      <c r="LK3744" s="2007"/>
    </row>
    <row r="3745">
      <c r="LK3745" s="2008"/>
    </row>
    <row r="3746">
      <c r="LK3746" s="2007"/>
    </row>
    <row r="3747">
      <c r="LK3747" s="2007"/>
    </row>
    <row r="3748">
      <c r="LK3748" s="2007"/>
    </row>
    <row r="3749">
      <c r="LK3749" s="2007"/>
    </row>
    <row r="3750">
      <c r="LK3750" s="2007"/>
    </row>
    <row r="3751">
      <c r="LK3751" s="2007"/>
    </row>
    <row r="3752">
      <c r="LK3752" s="2007"/>
    </row>
    <row r="3753">
      <c r="LK3753" s="2007"/>
    </row>
    <row r="3754">
      <c r="LK3754" s="2007"/>
    </row>
    <row r="3755">
      <c r="LK3755" s="2007"/>
    </row>
    <row r="3756">
      <c r="LK3756" s="2007"/>
    </row>
    <row r="3757">
      <c r="LK3757" s="2007"/>
    </row>
    <row r="3758">
      <c r="LK3758" s="2007"/>
    </row>
    <row r="3759">
      <c r="LK3759" s="2007"/>
    </row>
    <row r="3760">
      <c r="LK3760" s="2007"/>
    </row>
    <row r="3761">
      <c r="LK3761" s="2007"/>
    </row>
    <row r="3762">
      <c r="LK3762" s="2007"/>
    </row>
    <row r="3763">
      <c r="LK3763" s="2007"/>
    </row>
    <row r="3764">
      <c r="LK3764" s="2007"/>
    </row>
    <row r="3765">
      <c r="LK3765" s="2007"/>
    </row>
    <row r="3766">
      <c r="LK3766" s="2007"/>
    </row>
    <row r="3767">
      <c r="LK3767" s="2007"/>
    </row>
    <row r="3768">
      <c r="LK3768" s="2007"/>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4.38"/>
    <col customWidth="1" min="2" max="2" width="25.38"/>
    <col customWidth="1" min="3" max="3" width="69.38"/>
    <col customWidth="1" min="4" max="4" width="37.63"/>
    <col customWidth="1" min="7" max="8" width="16.25"/>
    <col customWidth="1" min="9" max="9" width="47.13"/>
    <col customWidth="1" min="10" max="10" width="26.88"/>
    <col customWidth="1" min="11" max="11" width="53.0"/>
    <col customWidth="1" min="12" max="12" width="23.88"/>
  </cols>
  <sheetData>
    <row r="1" ht="21.0" customHeight="1">
      <c r="A1" s="48" t="s">
        <v>0</v>
      </c>
      <c r="B1" s="48" t="s">
        <v>123</v>
      </c>
      <c r="C1" s="48" t="s">
        <v>3</v>
      </c>
      <c r="D1" s="49" t="s">
        <v>124</v>
      </c>
      <c r="E1" s="48" t="s">
        <v>125</v>
      </c>
      <c r="F1" s="48" t="s">
        <v>126</v>
      </c>
      <c r="G1" s="50" t="s">
        <v>127</v>
      </c>
      <c r="H1" s="50" t="s">
        <v>128</v>
      </c>
      <c r="I1" s="51" t="s">
        <v>129</v>
      </c>
      <c r="J1" s="48" t="s">
        <v>130</v>
      </c>
      <c r="K1" s="48" t="s">
        <v>131</v>
      </c>
      <c r="L1" s="48" t="s">
        <v>132</v>
      </c>
    </row>
    <row r="2" ht="24.75" customHeight="1">
      <c r="A2" s="52" t="s">
        <v>133</v>
      </c>
      <c r="B2" s="53"/>
      <c r="C2" s="53"/>
      <c r="D2" s="53"/>
      <c r="E2" s="53"/>
      <c r="F2" s="53"/>
      <c r="G2" s="53"/>
      <c r="H2" s="53"/>
      <c r="I2" s="53"/>
      <c r="J2" s="53"/>
      <c r="K2" s="53"/>
      <c r="L2" s="54"/>
    </row>
    <row r="3" ht="24.75" customHeight="1">
      <c r="A3" s="55" t="s">
        <v>134</v>
      </c>
      <c r="B3" s="56"/>
      <c r="C3" s="56"/>
      <c r="D3" s="56"/>
      <c r="E3" s="56"/>
      <c r="F3" s="56"/>
      <c r="G3" s="56"/>
      <c r="H3" s="56"/>
      <c r="I3" s="56"/>
      <c r="J3" s="56"/>
      <c r="K3" s="56"/>
      <c r="L3" s="57"/>
    </row>
    <row r="4">
      <c r="A4" s="58"/>
      <c r="B4" s="59"/>
      <c r="C4" s="60"/>
      <c r="D4" s="61"/>
      <c r="E4" s="62"/>
      <c r="F4" s="63"/>
      <c r="G4" s="64"/>
      <c r="H4" s="64"/>
      <c r="I4" s="65"/>
      <c r="J4" s="66"/>
      <c r="K4" s="67"/>
      <c r="L4" s="68"/>
    </row>
    <row r="5">
      <c r="A5" s="69"/>
      <c r="B5" s="59"/>
      <c r="C5" s="70"/>
      <c r="D5" s="71"/>
      <c r="E5" s="72"/>
      <c r="F5" s="73"/>
      <c r="G5" s="74"/>
      <c r="H5" s="74"/>
      <c r="I5" s="75"/>
      <c r="J5" s="76"/>
      <c r="K5" s="77"/>
      <c r="L5" s="78"/>
    </row>
    <row r="6">
      <c r="A6" s="79"/>
      <c r="B6" s="59"/>
      <c r="C6" s="60"/>
      <c r="D6" s="79"/>
      <c r="E6" s="79"/>
      <c r="F6" s="79"/>
      <c r="G6" s="64"/>
      <c r="H6" s="64"/>
      <c r="I6" s="79"/>
      <c r="J6" s="79"/>
      <c r="K6" s="67"/>
      <c r="L6" s="68"/>
    </row>
    <row r="7" ht="24.75" customHeight="1">
      <c r="A7" s="55" t="s">
        <v>135</v>
      </c>
      <c r="B7" s="80"/>
      <c r="C7" s="80"/>
      <c r="D7" s="80"/>
      <c r="E7" s="80"/>
      <c r="F7" s="80"/>
      <c r="G7" s="80"/>
      <c r="H7" s="80"/>
      <c r="I7" s="80"/>
      <c r="J7" s="80"/>
      <c r="K7" s="80"/>
      <c r="L7" s="81"/>
    </row>
    <row r="8">
      <c r="A8" s="82"/>
      <c r="B8" s="83"/>
      <c r="C8" s="83"/>
      <c r="D8" s="84"/>
      <c r="E8" s="85"/>
      <c r="F8" s="86"/>
      <c r="G8" s="87"/>
      <c r="H8" s="87"/>
      <c r="I8" s="88"/>
      <c r="J8" s="89"/>
      <c r="K8" s="90"/>
      <c r="L8" s="90"/>
    </row>
    <row r="9" ht="24.75" customHeight="1">
      <c r="A9" s="55" t="s">
        <v>136</v>
      </c>
      <c r="B9" s="56"/>
      <c r="C9" s="56"/>
      <c r="D9" s="56"/>
      <c r="E9" s="56"/>
      <c r="F9" s="56"/>
      <c r="G9" s="56"/>
      <c r="H9" s="56"/>
      <c r="I9" s="56"/>
      <c r="J9" s="56"/>
      <c r="K9" s="56"/>
      <c r="L9" s="57"/>
    </row>
    <row r="10">
      <c r="A10" s="82" t="s">
        <v>137</v>
      </c>
      <c r="B10" s="83" t="s">
        <v>138</v>
      </c>
      <c r="C10" s="83" t="s">
        <v>139</v>
      </c>
      <c r="D10" s="84" t="s">
        <v>140</v>
      </c>
      <c r="E10" s="85">
        <v>45931.0</v>
      </c>
      <c r="F10" s="86">
        <v>45961.0</v>
      </c>
      <c r="G10" s="87" t="s">
        <v>141</v>
      </c>
      <c r="H10" s="87" t="s">
        <v>141</v>
      </c>
      <c r="I10" s="88" t="s">
        <v>142</v>
      </c>
      <c r="J10" s="91" t="s">
        <v>143</v>
      </c>
      <c r="K10" s="92" t="s">
        <v>144</v>
      </c>
      <c r="L10" s="90"/>
    </row>
    <row r="11" ht="24.75" customHeight="1">
      <c r="A11" s="55" t="s">
        <v>145</v>
      </c>
      <c r="B11" s="31"/>
      <c r="C11" s="31"/>
      <c r="D11" s="31"/>
      <c r="E11" s="31"/>
      <c r="F11" s="31"/>
      <c r="G11" s="31"/>
      <c r="H11" s="31"/>
      <c r="I11" s="31"/>
      <c r="J11" s="31"/>
      <c r="K11" s="31"/>
      <c r="L11" s="32"/>
    </row>
    <row r="12">
      <c r="A12" s="82"/>
      <c r="B12" s="83"/>
      <c r="C12" s="83"/>
      <c r="D12" s="84"/>
      <c r="E12" s="85"/>
      <c r="F12" s="86"/>
      <c r="G12" s="87"/>
      <c r="H12" s="87"/>
      <c r="I12" s="88"/>
      <c r="J12" s="89"/>
      <c r="K12" s="88"/>
      <c r="L12" s="90"/>
    </row>
    <row r="13" ht="27.0" customHeight="1">
      <c r="A13" s="55" t="s">
        <v>146</v>
      </c>
      <c r="B13" s="56"/>
      <c r="C13" s="56"/>
      <c r="D13" s="56"/>
      <c r="E13" s="56"/>
      <c r="F13" s="56"/>
      <c r="G13" s="56"/>
      <c r="H13" s="56"/>
      <c r="I13" s="56"/>
      <c r="J13" s="56"/>
      <c r="K13" s="56"/>
      <c r="L13" s="57"/>
    </row>
    <row r="14">
      <c r="A14" s="82" t="s">
        <v>147</v>
      </c>
      <c r="B14" s="83" t="s">
        <v>148</v>
      </c>
      <c r="C14" s="83" t="s">
        <v>149</v>
      </c>
      <c r="D14" s="84" t="s">
        <v>150</v>
      </c>
      <c r="E14" s="85">
        <v>45931.0</v>
      </c>
      <c r="F14" s="86">
        <v>45961.0</v>
      </c>
      <c r="G14" s="87">
        <v>349.99</v>
      </c>
      <c r="H14" s="87">
        <v>299.99</v>
      </c>
      <c r="I14" s="83" t="s">
        <v>151</v>
      </c>
      <c r="J14" s="91" t="s">
        <v>143</v>
      </c>
      <c r="K14" s="93" t="s">
        <v>152</v>
      </c>
    </row>
    <row r="15" ht="27.0" customHeight="1">
      <c r="A15" s="55"/>
      <c r="B15" s="56"/>
      <c r="C15" s="56"/>
      <c r="D15" s="56"/>
      <c r="E15" s="56"/>
      <c r="F15" s="56"/>
      <c r="G15" s="56"/>
      <c r="H15" s="56"/>
      <c r="I15" s="56"/>
      <c r="J15" s="56"/>
      <c r="K15" s="56"/>
      <c r="L15" s="57"/>
    </row>
    <row r="16">
      <c r="A16" s="58"/>
      <c r="B16" s="60"/>
      <c r="C16" s="60"/>
      <c r="D16" s="61"/>
      <c r="E16" s="63"/>
      <c r="F16" s="63"/>
      <c r="G16" s="62"/>
      <c r="H16" s="62"/>
      <c r="I16" s="64"/>
      <c r="J16" s="94"/>
      <c r="K16" s="62"/>
      <c r="L16" s="95"/>
    </row>
    <row r="17">
      <c r="A17" s="96"/>
      <c r="B17" s="70"/>
      <c r="C17" s="70"/>
      <c r="D17" s="97"/>
      <c r="E17" s="98"/>
      <c r="F17" s="98"/>
      <c r="G17" s="99"/>
      <c r="H17" s="99"/>
      <c r="I17" s="74"/>
      <c r="J17" s="100"/>
      <c r="K17" s="99"/>
      <c r="L17" s="101"/>
    </row>
    <row r="18">
      <c r="A18" s="82"/>
      <c r="B18" s="83"/>
      <c r="C18" s="83"/>
      <c r="D18" s="83"/>
      <c r="E18" s="102"/>
      <c r="F18" s="102"/>
      <c r="G18" s="88"/>
      <c r="H18" s="88"/>
      <c r="I18" s="87"/>
      <c r="J18" s="87"/>
      <c r="K18" s="88"/>
      <c r="L18" s="90"/>
    </row>
    <row r="19">
      <c r="A19" s="82"/>
      <c r="B19" s="83"/>
      <c r="C19" s="83"/>
      <c r="D19" s="83"/>
      <c r="E19" s="102"/>
      <c r="F19" s="102"/>
      <c r="G19" s="88"/>
      <c r="H19" s="88"/>
      <c r="I19" s="87"/>
      <c r="J19" s="87"/>
      <c r="K19" s="88"/>
      <c r="L19" s="90"/>
    </row>
    <row r="20">
      <c r="A20" s="82"/>
      <c r="B20" s="83"/>
      <c r="C20" s="83"/>
      <c r="D20" s="83"/>
      <c r="E20" s="102"/>
      <c r="F20" s="102"/>
      <c r="G20" s="88"/>
      <c r="H20" s="88"/>
      <c r="I20" s="87"/>
      <c r="J20" s="87"/>
      <c r="K20" s="88"/>
      <c r="L20" s="90"/>
    </row>
    <row r="21">
      <c r="A21" s="82"/>
      <c r="B21" s="83"/>
      <c r="C21" s="83"/>
      <c r="D21" s="83"/>
      <c r="E21" s="102"/>
      <c r="F21" s="102"/>
      <c r="G21" s="88"/>
      <c r="H21" s="88"/>
      <c r="I21" s="87"/>
      <c r="J21" s="87"/>
      <c r="K21" s="88"/>
      <c r="L21" s="90"/>
    </row>
    <row r="22">
      <c r="A22" s="82"/>
      <c r="B22" s="83"/>
      <c r="C22" s="83"/>
      <c r="D22" s="83"/>
      <c r="E22" s="102"/>
      <c r="F22" s="102"/>
      <c r="G22" s="88"/>
      <c r="H22" s="88"/>
      <c r="I22" s="87"/>
      <c r="J22" s="87"/>
      <c r="K22" s="88"/>
      <c r="L22" s="90"/>
    </row>
    <row r="23">
      <c r="A23" s="82"/>
      <c r="B23" s="83"/>
      <c r="C23" s="83"/>
      <c r="D23" s="83"/>
      <c r="E23" s="102"/>
      <c r="F23" s="102"/>
      <c r="G23" s="88"/>
      <c r="H23" s="88"/>
      <c r="I23" s="87"/>
      <c r="J23" s="87"/>
      <c r="K23" s="88"/>
      <c r="L23" s="90"/>
    </row>
    <row r="24">
      <c r="A24" s="82"/>
      <c r="B24" s="83"/>
      <c r="C24" s="83"/>
      <c r="D24" s="83"/>
      <c r="E24" s="102"/>
      <c r="F24" s="102"/>
      <c r="G24" s="88"/>
      <c r="H24" s="88"/>
      <c r="I24" s="87"/>
      <c r="J24" s="87"/>
      <c r="K24" s="88"/>
      <c r="L24" s="90"/>
    </row>
    <row r="25">
      <c r="A25" s="82"/>
      <c r="B25" s="83"/>
      <c r="C25" s="83"/>
      <c r="D25" s="83"/>
      <c r="E25" s="102"/>
      <c r="F25" s="102"/>
      <c r="G25" s="88"/>
      <c r="H25" s="88"/>
      <c r="I25" s="87"/>
      <c r="J25" s="87"/>
      <c r="K25" s="88"/>
      <c r="L25" s="90"/>
    </row>
    <row r="26">
      <c r="A26" s="82"/>
      <c r="B26" s="83"/>
      <c r="C26" s="83"/>
      <c r="D26" s="83"/>
      <c r="E26" s="102"/>
      <c r="F26" s="102"/>
      <c r="G26" s="88"/>
      <c r="H26" s="88"/>
      <c r="I26" s="87"/>
      <c r="J26" s="87"/>
      <c r="K26" s="88"/>
      <c r="L26" s="90"/>
    </row>
    <row r="27">
      <c r="A27" s="82"/>
      <c r="B27" s="83"/>
      <c r="C27" s="83"/>
      <c r="D27" s="83"/>
      <c r="E27" s="102"/>
      <c r="F27" s="102"/>
      <c r="G27" s="88"/>
      <c r="H27" s="88"/>
      <c r="I27" s="87"/>
      <c r="J27" s="87"/>
      <c r="K27" s="88"/>
      <c r="L27" s="90"/>
    </row>
    <row r="28">
      <c r="A28" s="82"/>
      <c r="B28" s="83"/>
      <c r="C28" s="83"/>
      <c r="D28" s="83"/>
      <c r="E28" s="102"/>
      <c r="F28" s="102"/>
      <c r="G28" s="88"/>
      <c r="H28" s="88"/>
      <c r="I28" s="87"/>
      <c r="J28" s="87"/>
      <c r="K28" s="88"/>
      <c r="L28" s="90"/>
    </row>
    <row r="29">
      <c r="A29" s="82"/>
      <c r="B29" s="83"/>
      <c r="C29" s="83"/>
      <c r="D29" s="83"/>
      <c r="E29" s="102"/>
      <c r="F29" s="102"/>
      <c r="G29" s="88"/>
      <c r="H29" s="88"/>
      <c r="I29" s="87"/>
      <c r="J29" s="87"/>
      <c r="K29" s="88"/>
      <c r="L29" s="90"/>
    </row>
    <row r="30">
      <c r="A30" s="82"/>
      <c r="B30" s="83"/>
      <c r="C30" s="83"/>
      <c r="D30" s="83"/>
      <c r="E30" s="102"/>
      <c r="F30" s="102"/>
      <c r="G30" s="88"/>
      <c r="H30" s="88"/>
      <c r="I30" s="87"/>
      <c r="J30" s="87"/>
      <c r="K30" s="88"/>
      <c r="L30" s="90"/>
    </row>
    <row r="31">
      <c r="A31" s="82"/>
      <c r="B31" s="83"/>
      <c r="C31" s="83"/>
      <c r="D31" s="83"/>
      <c r="E31" s="102"/>
      <c r="F31" s="102"/>
      <c r="G31" s="88"/>
      <c r="H31" s="88"/>
      <c r="I31" s="87"/>
      <c r="J31" s="87"/>
      <c r="K31" s="88"/>
      <c r="L31" s="90"/>
    </row>
    <row r="32">
      <c r="A32" s="82"/>
      <c r="B32" s="83"/>
      <c r="C32" s="83"/>
      <c r="D32" s="83"/>
      <c r="E32" s="102"/>
      <c r="F32" s="102"/>
      <c r="G32" s="88"/>
      <c r="H32" s="88"/>
      <c r="I32" s="87"/>
      <c r="J32" s="87"/>
      <c r="K32" s="88"/>
      <c r="L32" s="90"/>
    </row>
    <row r="33">
      <c r="A33" s="82"/>
      <c r="B33" s="83"/>
      <c r="C33" s="83"/>
      <c r="D33" s="83"/>
      <c r="E33" s="102"/>
      <c r="F33" s="102"/>
      <c r="G33" s="88"/>
      <c r="H33" s="88"/>
      <c r="I33" s="87"/>
      <c r="J33" s="87"/>
      <c r="K33" s="88"/>
      <c r="L33" s="90"/>
    </row>
    <row r="34">
      <c r="A34" s="82"/>
      <c r="B34" s="83"/>
      <c r="C34" s="83"/>
      <c r="D34" s="83"/>
      <c r="E34" s="102"/>
      <c r="F34" s="102"/>
      <c r="G34" s="88"/>
      <c r="H34" s="88"/>
      <c r="I34" s="87"/>
      <c r="J34" s="87"/>
      <c r="K34" s="88"/>
      <c r="L34" s="90"/>
    </row>
    <row r="35">
      <c r="A35" s="82"/>
      <c r="B35" s="83"/>
      <c r="C35" s="83"/>
      <c r="D35" s="83"/>
      <c r="E35" s="102"/>
      <c r="F35" s="102"/>
      <c r="G35" s="88"/>
      <c r="H35" s="88"/>
      <c r="I35" s="87"/>
      <c r="J35" s="87"/>
      <c r="K35" s="88"/>
      <c r="L35" s="90"/>
    </row>
    <row r="36">
      <c r="A36" s="82"/>
      <c r="B36" s="83"/>
      <c r="C36" s="83"/>
      <c r="D36" s="83"/>
      <c r="E36" s="102"/>
      <c r="F36" s="102"/>
      <c r="G36" s="88"/>
      <c r="H36" s="88"/>
      <c r="I36" s="87"/>
      <c r="J36" s="87"/>
      <c r="K36" s="88"/>
      <c r="L36" s="90"/>
    </row>
    <row r="37">
      <c r="A37" s="82"/>
      <c r="B37" s="83"/>
      <c r="C37" s="83"/>
      <c r="D37" s="83"/>
      <c r="E37" s="102"/>
      <c r="F37" s="102"/>
      <c r="G37" s="88"/>
      <c r="H37" s="88"/>
      <c r="I37" s="87"/>
      <c r="J37" s="87"/>
      <c r="K37" s="88"/>
      <c r="L37" s="90"/>
    </row>
    <row r="38">
      <c r="A38" s="82"/>
      <c r="B38" s="83"/>
      <c r="C38" s="83"/>
      <c r="D38" s="83"/>
      <c r="E38" s="102"/>
      <c r="F38" s="102"/>
      <c r="G38" s="88"/>
      <c r="H38" s="88"/>
      <c r="I38" s="87"/>
      <c r="J38" s="87"/>
      <c r="K38" s="88"/>
      <c r="L38" s="90"/>
    </row>
    <row r="39">
      <c r="A39" s="82"/>
      <c r="B39" s="83"/>
      <c r="C39" s="83"/>
      <c r="D39" s="83"/>
      <c r="E39" s="102"/>
      <c r="F39" s="102"/>
      <c r="G39" s="88"/>
      <c r="H39" s="88"/>
      <c r="I39" s="87"/>
      <c r="J39" s="87"/>
      <c r="K39" s="88"/>
      <c r="L39" s="90"/>
    </row>
    <row r="40">
      <c r="A40" s="82"/>
      <c r="B40" s="83"/>
      <c r="C40" s="83"/>
      <c r="D40" s="83"/>
      <c r="E40" s="102"/>
      <c r="F40" s="102"/>
      <c r="G40" s="88"/>
      <c r="H40" s="88"/>
      <c r="I40" s="87"/>
      <c r="J40" s="87"/>
      <c r="K40" s="88"/>
      <c r="L40" s="90"/>
    </row>
    <row r="41">
      <c r="A41" s="82"/>
      <c r="B41" s="83"/>
      <c r="C41" s="83"/>
      <c r="D41" s="83"/>
      <c r="E41" s="102"/>
      <c r="F41" s="102"/>
      <c r="G41" s="88"/>
      <c r="H41" s="88"/>
      <c r="I41" s="87"/>
      <c r="J41" s="87"/>
      <c r="K41" s="88"/>
      <c r="L41" s="90"/>
    </row>
    <row r="42">
      <c r="A42" s="82"/>
      <c r="B42" s="83"/>
      <c r="C42" s="83"/>
      <c r="D42" s="83"/>
      <c r="E42" s="102"/>
      <c r="F42" s="102"/>
      <c r="G42" s="88"/>
      <c r="H42" s="88"/>
      <c r="I42" s="87"/>
      <c r="J42" s="87"/>
      <c r="K42" s="88"/>
      <c r="L42" s="90"/>
    </row>
    <row r="43">
      <c r="A43" s="82"/>
      <c r="B43" s="83"/>
      <c r="C43" s="83"/>
      <c r="D43" s="83"/>
      <c r="E43" s="102"/>
      <c r="F43" s="102"/>
      <c r="G43" s="88"/>
      <c r="H43" s="88"/>
      <c r="I43" s="87"/>
      <c r="J43" s="87"/>
      <c r="K43" s="88"/>
      <c r="L43" s="90"/>
    </row>
    <row r="44">
      <c r="A44" s="82"/>
      <c r="B44" s="83"/>
      <c r="C44" s="83"/>
      <c r="D44" s="83"/>
      <c r="E44" s="102"/>
      <c r="F44" s="102"/>
      <c r="G44" s="88"/>
      <c r="H44" s="88"/>
      <c r="I44" s="87"/>
      <c r="J44" s="87"/>
      <c r="K44" s="88"/>
      <c r="L44" s="90"/>
    </row>
    <row r="45">
      <c r="A45" s="82"/>
      <c r="B45" s="83"/>
      <c r="C45" s="83"/>
      <c r="D45" s="83"/>
      <c r="E45" s="102"/>
      <c r="F45" s="102"/>
      <c r="G45" s="88"/>
      <c r="H45" s="88"/>
      <c r="I45" s="87"/>
      <c r="J45" s="87"/>
      <c r="K45" s="88"/>
      <c r="L45" s="90"/>
    </row>
    <row r="46">
      <c r="A46" s="82"/>
      <c r="B46" s="83"/>
      <c r="C46" s="83"/>
      <c r="D46" s="83"/>
      <c r="E46" s="102"/>
      <c r="F46" s="102"/>
      <c r="G46" s="88"/>
      <c r="H46" s="88"/>
      <c r="I46" s="87"/>
      <c r="J46" s="87"/>
      <c r="K46" s="88"/>
      <c r="L46" s="90"/>
    </row>
    <row r="47">
      <c r="A47" s="82"/>
      <c r="B47" s="83"/>
      <c r="C47" s="83"/>
      <c r="D47" s="83"/>
      <c r="E47" s="102"/>
      <c r="F47" s="102"/>
      <c r="G47" s="88"/>
      <c r="H47" s="88"/>
      <c r="I47" s="87"/>
      <c r="J47" s="87"/>
      <c r="K47" s="88"/>
      <c r="L47" s="90"/>
    </row>
    <row r="48">
      <c r="A48" s="82"/>
      <c r="B48" s="83"/>
      <c r="C48" s="83"/>
      <c r="D48" s="83"/>
      <c r="E48" s="102"/>
      <c r="F48" s="102"/>
      <c r="G48" s="88"/>
      <c r="H48" s="88"/>
      <c r="I48" s="87"/>
      <c r="J48" s="87"/>
      <c r="K48" s="88"/>
      <c r="L48" s="90"/>
    </row>
    <row r="49">
      <c r="A49" s="82"/>
      <c r="B49" s="83"/>
      <c r="C49" s="83"/>
      <c r="D49" s="83"/>
      <c r="E49" s="102"/>
      <c r="F49" s="102"/>
      <c r="G49" s="88"/>
      <c r="H49" s="88"/>
      <c r="I49" s="87"/>
      <c r="J49" s="87"/>
      <c r="K49" s="88"/>
      <c r="L49" s="90"/>
    </row>
    <row r="50">
      <c r="A50" s="82"/>
      <c r="B50" s="83"/>
      <c r="C50" s="83"/>
      <c r="D50" s="83"/>
      <c r="E50" s="102"/>
      <c r="F50" s="102"/>
      <c r="G50" s="88"/>
      <c r="H50" s="88"/>
      <c r="I50" s="87"/>
      <c r="J50" s="87"/>
      <c r="K50" s="88"/>
      <c r="L50" s="90"/>
    </row>
    <row r="51">
      <c r="A51" s="82"/>
      <c r="B51" s="83"/>
      <c r="C51" s="83"/>
      <c r="D51" s="83"/>
      <c r="E51" s="102"/>
      <c r="F51" s="102"/>
      <c r="G51" s="88"/>
      <c r="H51" s="88"/>
      <c r="I51" s="87"/>
      <c r="J51" s="87"/>
      <c r="K51" s="88"/>
      <c r="L51" s="90"/>
    </row>
    <row r="52">
      <c r="A52" s="82"/>
      <c r="B52" s="83"/>
      <c r="C52" s="83"/>
      <c r="D52" s="83"/>
      <c r="E52" s="102"/>
      <c r="F52" s="102"/>
      <c r="G52" s="88"/>
      <c r="H52" s="88"/>
      <c r="I52" s="87"/>
      <c r="J52" s="87"/>
      <c r="K52" s="88"/>
      <c r="L52" s="90"/>
    </row>
    <row r="53">
      <c r="A53" s="82"/>
      <c r="B53" s="83"/>
      <c r="C53" s="83"/>
      <c r="D53" s="83"/>
      <c r="E53" s="102"/>
      <c r="F53" s="102"/>
      <c r="G53" s="88"/>
      <c r="H53" s="88"/>
      <c r="I53" s="87"/>
      <c r="J53" s="87"/>
      <c r="K53" s="88"/>
      <c r="L53" s="90"/>
    </row>
    <row r="54">
      <c r="A54" s="82"/>
      <c r="B54" s="83"/>
      <c r="C54" s="83"/>
      <c r="D54" s="83"/>
      <c r="E54" s="102"/>
      <c r="F54" s="102"/>
      <c r="G54" s="88"/>
      <c r="H54" s="88"/>
      <c r="I54" s="87"/>
      <c r="J54" s="87"/>
      <c r="K54" s="88"/>
      <c r="L54" s="90"/>
    </row>
    <row r="55">
      <c r="A55" s="82"/>
      <c r="B55" s="83"/>
      <c r="C55" s="83"/>
      <c r="D55" s="83"/>
      <c r="E55" s="102"/>
      <c r="F55" s="102"/>
      <c r="G55" s="88"/>
      <c r="H55" s="88"/>
      <c r="I55" s="87"/>
      <c r="J55" s="87"/>
      <c r="K55" s="88"/>
      <c r="L55" s="90"/>
    </row>
    <row r="56">
      <c r="A56" s="82"/>
      <c r="B56" s="83"/>
      <c r="C56" s="83"/>
      <c r="D56" s="83"/>
      <c r="E56" s="102"/>
      <c r="F56" s="102"/>
      <c r="G56" s="88"/>
      <c r="H56" s="88"/>
      <c r="I56" s="87"/>
      <c r="J56" s="87"/>
      <c r="K56" s="88"/>
      <c r="L56" s="90"/>
    </row>
    <row r="57">
      <c r="A57" s="82"/>
      <c r="B57" s="83"/>
      <c r="C57" s="83"/>
      <c r="D57" s="83"/>
      <c r="E57" s="102"/>
      <c r="F57" s="102"/>
      <c r="G57" s="88"/>
      <c r="H57" s="88"/>
      <c r="I57" s="87"/>
      <c r="J57" s="87"/>
      <c r="K57" s="88"/>
      <c r="L57" s="90"/>
    </row>
    <row r="58">
      <c r="A58" s="82"/>
      <c r="B58" s="83"/>
      <c r="C58" s="83"/>
      <c r="D58" s="83"/>
      <c r="E58" s="102"/>
      <c r="F58" s="102"/>
      <c r="G58" s="88"/>
      <c r="H58" s="88"/>
      <c r="I58" s="87"/>
      <c r="J58" s="87"/>
      <c r="K58" s="88"/>
      <c r="L58" s="90"/>
    </row>
    <row r="59">
      <c r="A59" s="82"/>
      <c r="B59" s="83"/>
      <c r="C59" s="83"/>
      <c r="D59" s="83"/>
      <c r="E59" s="102"/>
      <c r="F59" s="102"/>
      <c r="G59" s="88"/>
      <c r="H59" s="88"/>
      <c r="I59" s="87"/>
      <c r="J59" s="87"/>
      <c r="K59" s="88"/>
      <c r="L59" s="90"/>
    </row>
    <row r="60">
      <c r="A60" s="82"/>
      <c r="B60" s="83"/>
      <c r="C60" s="83"/>
      <c r="D60" s="83"/>
      <c r="E60" s="102"/>
      <c r="F60" s="102"/>
      <c r="G60" s="88"/>
      <c r="H60" s="88"/>
      <c r="I60" s="87"/>
      <c r="J60" s="87"/>
      <c r="K60" s="88"/>
      <c r="L60" s="90"/>
    </row>
    <row r="61">
      <c r="A61" s="82"/>
      <c r="B61" s="83"/>
      <c r="C61" s="83"/>
      <c r="D61" s="83"/>
      <c r="E61" s="102"/>
      <c r="F61" s="102"/>
      <c r="G61" s="88"/>
      <c r="H61" s="88"/>
      <c r="I61" s="87"/>
      <c r="J61" s="87"/>
      <c r="K61" s="88"/>
      <c r="L61" s="90"/>
    </row>
    <row r="62">
      <c r="A62" s="82"/>
      <c r="B62" s="83"/>
      <c r="C62" s="83"/>
      <c r="D62" s="83"/>
      <c r="E62" s="102"/>
      <c r="F62" s="102"/>
      <c r="G62" s="88"/>
      <c r="H62" s="88"/>
      <c r="I62" s="87"/>
      <c r="J62" s="87"/>
      <c r="K62" s="88"/>
      <c r="L62" s="90"/>
    </row>
    <row r="63">
      <c r="A63" s="82"/>
      <c r="B63" s="83"/>
      <c r="C63" s="83"/>
      <c r="D63" s="83"/>
      <c r="E63" s="102"/>
      <c r="F63" s="102"/>
      <c r="G63" s="88"/>
      <c r="H63" s="88"/>
      <c r="I63" s="87"/>
      <c r="J63" s="87"/>
      <c r="K63" s="88"/>
      <c r="L63" s="90"/>
    </row>
    <row r="64">
      <c r="A64" s="82"/>
      <c r="B64" s="83"/>
      <c r="C64" s="83"/>
      <c r="D64" s="83"/>
      <c r="E64" s="102"/>
      <c r="F64" s="102"/>
      <c r="G64" s="88"/>
      <c r="H64" s="88"/>
      <c r="I64" s="87"/>
      <c r="J64" s="87"/>
      <c r="K64" s="88"/>
      <c r="L64" s="90"/>
    </row>
    <row r="65">
      <c r="A65" s="82"/>
      <c r="B65" s="83"/>
      <c r="C65" s="83"/>
      <c r="D65" s="83"/>
      <c r="E65" s="102"/>
      <c r="F65" s="102"/>
      <c r="G65" s="88"/>
      <c r="H65" s="88"/>
      <c r="I65" s="87"/>
      <c r="J65" s="87"/>
      <c r="K65" s="88"/>
      <c r="L65" s="90"/>
    </row>
    <row r="66">
      <c r="A66" s="82"/>
      <c r="B66" s="83"/>
      <c r="C66" s="83"/>
      <c r="D66" s="83"/>
      <c r="E66" s="102"/>
      <c r="F66" s="102"/>
      <c r="G66" s="88"/>
      <c r="H66" s="88"/>
      <c r="I66" s="87"/>
      <c r="J66" s="87"/>
      <c r="K66" s="88"/>
      <c r="L66" s="90"/>
    </row>
    <row r="67">
      <c r="A67" s="82"/>
      <c r="B67" s="83"/>
      <c r="C67" s="83"/>
      <c r="D67" s="83"/>
      <c r="E67" s="102"/>
      <c r="F67" s="102"/>
      <c r="G67" s="88"/>
      <c r="H67" s="88"/>
      <c r="I67" s="87"/>
      <c r="J67" s="87"/>
      <c r="K67" s="88"/>
      <c r="L67" s="90"/>
    </row>
    <row r="68">
      <c r="A68" s="82"/>
      <c r="B68" s="83"/>
      <c r="C68" s="83"/>
      <c r="D68" s="83"/>
      <c r="E68" s="102"/>
      <c r="F68" s="102"/>
      <c r="G68" s="88"/>
      <c r="H68" s="88"/>
      <c r="I68" s="87"/>
      <c r="J68" s="87"/>
      <c r="K68" s="88"/>
      <c r="L68" s="90"/>
    </row>
    <row r="69">
      <c r="A69" s="82"/>
      <c r="B69" s="83"/>
      <c r="C69" s="83"/>
      <c r="D69" s="83"/>
      <c r="E69" s="102"/>
      <c r="F69" s="102"/>
      <c r="G69" s="88"/>
      <c r="H69" s="88"/>
      <c r="I69" s="87"/>
      <c r="J69" s="87"/>
      <c r="K69" s="88"/>
      <c r="L69" s="90"/>
    </row>
    <row r="70">
      <c r="A70" s="82"/>
      <c r="B70" s="83"/>
      <c r="C70" s="83"/>
      <c r="D70" s="83"/>
      <c r="E70" s="102"/>
      <c r="F70" s="102"/>
      <c r="G70" s="88"/>
      <c r="H70" s="88"/>
      <c r="I70" s="87"/>
      <c r="J70" s="87"/>
      <c r="K70" s="88"/>
      <c r="L70" s="90"/>
    </row>
    <row r="71">
      <c r="A71" s="82"/>
      <c r="B71" s="83"/>
      <c r="C71" s="83"/>
      <c r="D71" s="83"/>
      <c r="E71" s="102"/>
      <c r="F71" s="102"/>
      <c r="G71" s="88"/>
      <c r="H71" s="88"/>
      <c r="I71" s="87"/>
      <c r="J71" s="87"/>
      <c r="K71" s="88"/>
      <c r="L71" s="90"/>
    </row>
    <row r="72">
      <c r="A72" s="82"/>
      <c r="B72" s="83"/>
      <c r="C72" s="83"/>
      <c r="D72" s="83"/>
      <c r="E72" s="102"/>
      <c r="F72" s="102"/>
      <c r="G72" s="88"/>
      <c r="H72" s="88"/>
      <c r="I72" s="87"/>
      <c r="J72" s="87"/>
      <c r="K72" s="88"/>
      <c r="L72" s="90"/>
    </row>
    <row r="73">
      <c r="A73" s="82"/>
      <c r="B73" s="83"/>
      <c r="C73" s="83"/>
      <c r="D73" s="83"/>
      <c r="E73" s="102"/>
      <c r="F73" s="102"/>
      <c r="G73" s="88"/>
      <c r="H73" s="88"/>
      <c r="I73" s="87"/>
      <c r="J73" s="87"/>
      <c r="K73" s="88"/>
      <c r="L73" s="90"/>
    </row>
    <row r="74">
      <c r="A74" s="82"/>
      <c r="B74" s="83"/>
      <c r="C74" s="83"/>
      <c r="D74" s="83"/>
      <c r="E74" s="102"/>
      <c r="F74" s="102"/>
      <c r="G74" s="88"/>
      <c r="H74" s="88"/>
      <c r="I74" s="87"/>
      <c r="J74" s="87"/>
      <c r="K74" s="88"/>
      <c r="L74" s="90"/>
    </row>
    <row r="75">
      <c r="A75" s="82"/>
      <c r="B75" s="83"/>
      <c r="C75" s="83"/>
      <c r="D75" s="83"/>
      <c r="E75" s="102"/>
      <c r="F75" s="102"/>
      <c r="G75" s="88"/>
      <c r="H75" s="88"/>
      <c r="I75" s="87"/>
      <c r="J75" s="87"/>
      <c r="K75" s="88"/>
      <c r="L75" s="90"/>
    </row>
    <row r="76">
      <c r="A76" s="82"/>
      <c r="B76" s="83"/>
      <c r="C76" s="83"/>
      <c r="D76" s="83"/>
      <c r="E76" s="102"/>
      <c r="F76" s="102"/>
      <c r="G76" s="88"/>
      <c r="H76" s="88"/>
      <c r="I76" s="87"/>
      <c r="J76" s="87"/>
      <c r="K76" s="88"/>
      <c r="L76" s="90"/>
    </row>
    <row r="77">
      <c r="A77" s="82"/>
      <c r="B77" s="83"/>
      <c r="C77" s="83"/>
      <c r="D77" s="83"/>
      <c r="E77" s="102"/>
      <c r="F77" s="102"/>
      <c r="G77" s="88"/>
      <c r="H77" s="88"/>
      <c r="I77" s="87"/>
      <c r="J77" s="87"/>
      <c r="K77" s="88"/>
      <c r="L77" s="90"/>
    </row>
    <row r="78">
      <c r="A78" s="82"/>
      <c r="B78" s="83"/>
      <c r="C78" s="83"/>
      <c r="D78" s="83"/>
      <c r="E78" s="102"/>
      <c r="F78" s="102"/>
      <c r="G78" s="88"/>
      <c r="H78" s="88"/>
      <c r="I78" s="87"/>
      <c r="J78" s="87"/>
      <c r="K78" s="88"/>
      <c r="L78" s="90"/>
    </row>
    <row r="79">
      <c r="A79" s="82"/>
      <c r="B79" s="83"/>
      <c r="C79" s="83"/>
      <c r="D79" s="83"/>
      <c r="E79" s="102"/>
      <c r="F79" s="102"/>
      <c r="G79" s="88"/>
      <c r="H79" s="88"/>
      <c r="I79" s="87"/>
      <c r="J79" s="87"/>
      <c r="K79" s="88"/>
      <c r="L79" s="90"/>
    </row>
    <row r="80">
      <c r="A80" s="82"/>
      <c r="B80" s="83"/>
      <c r="C80" s="83"/>
      <c r="D80" s="83"/>
      <c r="E80" s="102"/>
      <c r="F80" s="102"/>
      <c r="G80" s="88"/>
      <c r="H80" s="88"/>
      <c r="I80" s="87"/>
      <c r="J80" s="87"/>
      <c r="K80" s="88"/>
      <c r="L80" s="90"/>
    </row>
    <row r="81">
      <c r="A81" s="82"/>
      <c r="B81" s="83"/>
      <c r="C81" s="83"/>
      <c r="D81" s="83"/>
      <c r="E81" s="102"/>
      <c r="F81" s="102"/>
      <c r="G81" s="88"/>
      <c r="H81" s="88"/>
      <c r="I81" s="87"/>
      <c r="J81" s="87"/>
      <c r="K81" s="88"/>
      <c r="L81" s="90"/>
    </row>
    <row r="82">
      <c r="A82" s="82"/>
      <c r="B82" s="83"/>
      <c r="C82" s="83"/>
      <c r="D82" s="83"/>
      <c r="E82" s="102"/>
      <c r="F82" s="102"/>
      <c r="G82" s="88"/>
      <c r="H82" s="88"/>
      <c r="I82" s="87"/>
      <c r="J82" s="87"/>
      <c r="K82" s="88"/>
      <c r="L82" s="90"/>
    </row>
    <row r="83">
      <c r="A83" s="82"/>
      <c r="B83" s="83"/>
      <c r="C83" s="83"/>
      <c r="D83" s="83"/>
      <c r="E83" s="102"/>
      <c r="F83" s="102"/>
      <c r="G83" s="88"/>
      <c r="H83" s="88"/>
      <c r="I83" s="87"/>
      <c r="J83" s="87"/>
      <c r="K83" s="88"/>
      <c r="L83" s="90"/>
    </row>
    <row r="84">
      <c r="A84" s="82"/>
      <c r="B84" s="83"/>
      <c r="C84" s="83"/>
      <c r="D84" s="83"/>
      <c r="E84" s="102"/>
      <c r="F84" s="102"/>
      <c r="G84" s="88"/>
      <c r="H84" s="88"/>
      <c r="I84" s="87"/>
      <c r="J84" s="87"/>
      <c r="K84" s="88"/>
      <c r="L84" s="90"/>
    </row>
    <row r="85">
      <c r="A85" s="82"/>
      <c r="B85" s="83"/>
      <c r="C85" s="83"/>
      <c r="D85" s="83"/>
      <c r="E85" s="102"/>
      <c r="F85" s="102"/>
      <c r="G85" s="88"/>
      <c r="H85" s="88"/>
      <c r="I85" s="87"/>
      <c r="J85" s="87"/>
      <c r="K85" s="88"/>
      <c r="L85" s="90"/>
    </row>
    <row r="86">
      <c r="A86" s="82"/>
      <c r="B86" s="83"/>
      <c r="C86" s="83"/>
      <c r="D86" s="83"/>
      <c r="E86" s="102"/>
      <c r="F86" s="102"/>
      <c r="G86" s="88"/>
      <c r="H86" s="88"/>
      <c r="I86" s="87"/>
      <c r="J86" s="87"/>
      <c r="K86" s="88"/>
      <c r="L86" s="90"/>
    </row>
    <row r="87">
      <c r="A87" s="82"/>
      <c r="B87" s="83"/>
      <c r="C87" s="83"/>
      <c r="D87" s="83"/>
      <c r="E87" s="102"/>
      <c r="F87" s="102"/>
      <c r="G87" s="88"/>
      <c r="H87" s="88"/>
      <c r="I87" s="87"/>
      <c r="J87" s="87"/>
      <c r="K87" s="88"/>
      <c r="L87" s="90"/>
    </row>
    <row r="88">
      <c r="A88" s="82"/>
      <c r="B88" s="83"/>
      <c r="C88" s="83"/>
      <c r="D88" s="83"/>
      <c r="E88" s="102"/>
      <c r="F88" s="102"/>
      <c r="G88" s="88"/>
      <c r="H88" s="88"/>
      <c r="I88" s="87"/>
      <c r="J88" s="87"/>
      <c r="K88" s="88"/>
      <c r="L88" s="90"/>
    </row>
    <row r="89">
      <c r="A89" s="82"/>
      <c r="B89" s="83"/>
      <c r="C89" s="83"/>
      <c r="D89" s="83"/>
      <c r="E89" s="102"/>
      <c r="F89" s="102"/>
      <c r="G89" s="88"/>
      <c r="H89" s="88"/>
      <c r="I89" s="87"/>
      <c r="J89" s="87"/>
      <c r="K89" s="88"/>
      <c r="L89" s="90"/>
    </row>
    <row r="90">
      <c r="A90" s="82"/>
      <c r="B90" s="83"/>
      <c r="C90" s="83"/>
      <c r="D90" s="83"/>
      <c r="E90" s="102"/>
      <c r="F90" s="102"/>
      <c r="G90" s="88"/>
      <c r="H90" s="88"/>
      <c r="I90" s="87"/>
      <c r="J90" s="87"/>
      <c r="K90" s="88"/>
      <c r="L90" s="90"/>
    </row>
    <row r="91">
      <c r="A91" s="82"/>
      <c r="B91" s="83"/>
      <c r="C91" s="83"/>
      <c r="D91" s="83"/>
      <c r="E91" s="102"/>
      <c r="F91" s="102"/>
      <c r="G91" s="88"/>
      <c r="H91" s="88"/>
      <c r="I91" s="87"/>
      <c r="J91" s="87"/>
      <c r="K91" s="88"/>
      <c r="L91" s="90"/>
    </row>
    <row r="92">
      <c r="A92" s="82"/>
      <c r="B92" s="83"/>
      <c r="C92" s="83"/>
      <c r="D92" s="83"/>
      <c r="E92" s="102"/>
      <c r="F92" s="102"/>
      <c r="G92" s="88"/>
      <c r="H92" s="88"/>
      <c r="I92" s="87"/>
      <c r="J92" s="87"/>
      <c r="K92" s="88"/>
      <c r="L92" s="90"/>
    </row>
    <row r="93">
      <c r="A93" s="82"/>
      <c r="B93" s="83"/>
      <c r="C93" s="83"/>
      <c r="D93" s="83"/>
      <c r="E93" s="102"/>
      <c r="F93" s="102"/>
      <c r="G93" s="88"/>
      <c r="H93" s="88"/>
      <c r="I93" s="87"/>
      <c r="J93" s="87"/>
      <c r="K93" s="88"/>
      <c r="L93" s="90"/>
    </row>
    <row r="94">
      <c r="A94" s="82"/>
      <c r="B94" s="83"/>
      <c r="C94" s="83"/>
      <c r="D94" s="83"/>
      <c r="E94" s="102"/>
      <c r="F94" s="102"/>
      <c r="G94" s="88"/>
      <c r="H94" s="88"/>
      <c r="I94" s="87"/>
      <c r="J94" s="87"/>
      <c r="K94" s="88"/>
      <c r="L94" s="90"/>
    </row>
    <row r="95">
      <c r="A95" s="82"/>
      <c r="B95" s="83"/>
      <c r="C95" s="83"/>
      <c r="D95" s="83"/>
      <c r="E95" s="102"/>
      <c r="F95" s="102"/>
      <c r="G95" s="88"/>
      <c r="H95" s="88"/>
      <c r="I95" s="87"/>
      <c r="J95" s="87"/>
      <c r="K95" s="88"/>
      <c r="L95" s="90"/>
    </row>
    <row r="96">
      <c r="A96" s="82"/>
      <c r="B96" s="83"/>
      <c r="C96" s="83"/>
      <c r="D96" s="83"/>
      <c r="E96" s="102"/>
      <c r="F96" s="102"/>
      <c r="G96" s="88"/>
      <c r="H96" s="88"/>
      <c r="I96" s="87"/>
      <c r="J96" s="87"/>
      <c r="K96" s="88"/>
      <c r="L96" s="90"/>
    </row>
    <row r="97">
      <c r="A97" s="82"/>
      <c r="B97" s="83"/>
      <c r="C97" s="83"/>
      <c r="D97" s="83"/>
      <c r="E97" s="102"/>
      <c r="F97" s="102"/>
      <c r="G97" s="88"/>
      <c r="H97" s="88"/>
      <c r="I97" s="87"/>
      <c r="J97" s="87"/>
      <c r="K97" s="88"/>
      <c r="L97" s="90"/>
    </row>
    <row r="98">
      <c r="A98" s="82"/>
      <c r="B98" s="83"/>
      <c r="C98" s="83"/>
      <c r="D98" s="83"/>
      <c r="E98" s="102"/>
      <c r="F98" s="102"/>
      <c r="G98" s="88"/>
      <c r="H98" s="88"/>
      <c r="I98" s="87"/>
      <c r="J98" s="87"/>
      <c r="K98" s="88"/>
      <c r="L98" s="90"/>
    </row>
    <row r="99">
      <c r="A99" s="82"/>
      <c r="B99" s="83"/>
      <c r="C99" s="83"/>
      <c r="D99" s="83"/>
      <c r="E99" s="102"/>
      <c r="F99" s="102"/>
      <c r="G99" s="88"/>
      <c r="H99" s="88"/>
      <c r="I99" s="87"/>
      <c r="J99" s="87"/>
      <c r="K99" s="88"/>
      <c r="L99" s="90"/>
    </row>
    <row r="100">
      <c r="A100" s="82"/>
      <c r="B100" s="83"/>
      <c r="C100" s="83"/>
      <c r="D100" s="83"/>
      <c r="E100" s="102"/>
      <c r="F100" s="102"/>
      <c r="G100" s="88"/>
      <c r="H100" s="88"/>
      <c r="I100" s="87"/>
      <c r="J100" s="87"/>
      <c r="K100" s="88"/>
      <c r="L100" s="90"/>
    </row>
    <row r="101">
      <c r="A101" s="82"/>
      <c r="B101" s="83"/>
      <c r="C101" s="83"/>
      <c r="D101" s="83"/>
      <c r="E101" s="102"/>
      <c r="F101" s="102"/>
      <c r="G101" s="88"/>
      <c r="H101" s="88"/>
      <c r="I101" s="87"/>
      <c r="J101" s="87"/>
      <c r="K101" s="88"/>
      <c r="L101" s="90"/>
    </row>
    <row r="102">
      <c r="A102" s="82"/>
      <c r="B102" s="83"/>
      <c r="C102" s="83"/>
      <c r="D102" s="83"/>
      <c r="E102" s="102"/>
      <c r="F102" s="102"/>
      <c r="G102" s="88"/>
      <c r="H102" s="88"/>
      <c r="I102" s="87"/>
      <c r="J102" s="87"/>
      <c r="K102" s="88"/>
      <c r="L102" s="90"/>
    </row>
    <row r="103">
      <c r="A103" s="82"/>
      <c r="B103" s="83"/>
      <c r="C103" s="83"/>
      <c r="D103" s="83"/>
      <c r="E103" s="102"/>
      <c r="F103" s="102"/>
      <c r="G103" s="88"/>
      <c r="H103" s="88"/>
      <c r="I103" s="87"/>
      <c r="J103" s="87"/>
      <c r="K103" s="88"/>
      <c r="L103" s="90"/>
    </row>
    <row r="104">
      <c r="A104" s="82"/>
      <c r="B104" s="83"/>
      <c r="C104" s="83"/>
      <c r="D104" s="83"/>
      <c r="E104" s="102"/>
      <c r="F104" s="102"/>
      <c r="G104" s="88"/>
      <c r="H104" s="88"/>
      <c r="I104" s="87"/>
      <c r="J104" s="87"/>
      <c r="K104" s="88"/>
      <c r="L104" s="90"/>
    </row>
    <row r="105">
      <c r="A105" s="82"/>
      <c r="B105" s="83"/>
      <c r="C105" s="83"/>
      <c r="D105" s="83"/>
      <c r="E105" s="102"/>
      <c r="F105" s="102"/>
      <c r="G105" s="88"/>
      <c r="H105" s="88"/>
      <c r="I105" s="87"/>
      <c r="J105" s="87"/>
      <c r="K105" s="88"/>
      <c r="L105" s="90"/>
    </row>
    <row r="106">
      <c r="A106" s="82"/>
      <c r="B106" s="83"/>
      <c r="C106" s="83"/>
      <c r="D106" s="83"/>
      <c r="E106" s="102"/>
      <c r="F106" s="102"/>
      <c r="G106" s="88"/>
      <c r="H106" s="88"/>
      <c r="I106" s="87"/>
      <c r="J106" s="87"/>
      <c r="K106" s="88"/>
      <c r="L106" s="90"/>
    </row>
    <row r="107">
      <c r="A107" s="82"/>
      <c r="B107" s="83"/>
      <c r="C107" s="83"/>
      <c r="D107" s="83"/>
      <c r="E107" s="102"/>
      <c r="F107" s="102"/>
      <c r="G107" s="88"/>
      <c r="H107" s="88"/>
      <c r="I107" s="87"/>
      <c r="J107" s="87"/>
      <c r="K107" s="88"/>
      <c r="L107" s="90"/>
    </row>
    <row r="108">
      <c r="A108" s="82"/>
      <c r="B108" s="83"/>
      <c r="C108" s="83"/>
      <c r="D108" s="83"/>
      <c r="E108" s="102"/>
      <c r="F108" s="102"/>
      <c r="G108" s="88"/>
      <c r="H108" s="88"/>
      <c r="I108" s="87"/>
      <c r="J108" s="87"/>
      <c r="K108" s="88"/>
      <c r="L108" s="90"/>
    </row>
    <row r="109">
      <c r="A109" s="82"/>
      <c r="B109" s="83"/>
      <c r="C109" s="83"/>
      <c r="D109" s="83"/>
      <c r="E109" s="102"/>
      <c r="F109" s="102"/>
      <c r="G109" s="88"/>
      <c r="H109" s="88"/>
      <c r="I109" s="87"/>
      <c r="J109" s="87"/>
      <c r="K109" s="88"/>
      <c r="L109" s="90"/>
    </row>
    <row r="110">
      <c r="A110" s="82"/>
      <c r="B110" s="83"/>
      <c r="C110" s="83"/>
      <c r="D110" s="83"/>
      <c r="E110" s="102"/>
      <c r="F110" s="102"/>
      <c r="G110" s="88"/>
      <c r="H110" s="88"/>
      <c r="I110" s="87"/>
      <c r="J110" s="87"/>
      <c r="K110" s="88"/>
      <c r="L110" s="90"/>
    </row>
    <row r="111">
      <c r="A111" s="82"/>
      <c r="B111" s="83"/>
      <c r="C111" s="83"/>
      <c r="D111" s="83"/>
      <c r="E111" s="102"/>
      <c r="F111" s="102"/>
      <c r="G111" s="88"/>
      <c r="H111" s="88"/>
      <c r="I111" s="87"/>
      <c r="J111" s="87"/>
      <c r="K111" s="88"/>
      <c r="L111" s="90"/>
    </row>
    <row r="112">
      <c r="A112" s="82"/>
      <c r="B112" s="83"/>
      <c r="C112" s="83"/>
      <c r="D112" s="83"/>
      <c r="E112" s="102"/>
      <c r="F112" s="102"/>
      <c r="G112" s="88"/>
      <c r="H112" s="88"/>
      <c r="I112" s="87"/>
      <c r="J112" s="87"/>
      <c r="K112" s="88"/>
      <c r="L112" s="90"/>
    </row>
    <row r="113">
      <c r="A113" s="82"/>
      <c r="B113" s="83"/>
      <c r="C113" s="83"/>
      <c r="D113" s="83"/>
      <c r="E113" s="102"/>
      <c r="F113" s="102"/>
      <c r="G113" s="88"/>
      <c r="H113" s="88"/>
      <c r="I113" s="87"/>
      <c r="J113" s="87"/>
      <c r="K113" s="88"/>
      <c r="L113" s="90"/>
    </row>
    <row r="114">
      <c r="A114" s="82"/>
      <c r="B114" s="83"/>
      <c r="C114" s="83"/>
      <c r="D114" s="83"/>
      <c r="E114" s="102"/>
      <c r="F114" s="102"/>
      <c r="G114" s="88"/>
      <c r="H114" s="88"/>
      <c r="I114" s="87"/>
      <c r="J114" s="87"/>
      <c r="K114" s="88"/>
      <c r="L114" s="90"/>
    </row>
    <row r="115">
      <c r="A115" s="82"/>
      <c r="B115" s="83"/>
      <c r="C115" s="83"/>
      <c r="D115" s="83"/>
      <c r="E115" s="102"/>
      <c r="F115" s="102"/>
      <c r="G115" s="88"/>
      <c r="H115" s="88"/>
      <c r="I115" s="87"/>
      <c r="J115" s="87"/>
      <c r="K115" s="88"/>
      <c r="L115" s="90"/>
    </row>
    <row r="116">
      <c r="A116" s="82"/>
      <c r="B116" s="83"/>
      <c r="C116" s="83"/>
      <c r="D116" s="83"/>
      <c r="E116" s="102"/>
      <c r="F116" s="102"/>
      <c r="G116" s="88"/>
      <c r="H116" s="88"/>
      <c r="I116" s="87"/>
      <c r="J116" s="87"/>
      <c r="K116" s="88"/>
      <c r="L116" s="90"/>
    </row>
    <row r="117">
      <c r="A117" s="82"/>
      <c r="B117" s="83"/>
      <c r="C117" s="83"/>
      <c r="D117" s="83"/>
      <c r="E117" s="102"/>
      <c r="F117" s="102"/>
      <c r="G117" s="88"/>
      <c r="H117" s="88"/>
      <c r="I117" s="87"/>
      <c r="J117" s="87"/>
      <c r="K117" s="88"/>
      <c r="L117" s="90"/>
    </row>
    <row r="118">
      <c r="A118" s="82"/>
      <c r="B118" s="83"/>
      <c r="C118" s="83"/>
      <c r="D118" s="83"/>
      <c r="E118" s="102"/>
      <c r="F118" s="102"/>
      <c r="G118" s="88"/>
      <c r="H118" s="88"/>
      <c r="I118" s="87"/>
      <c r="J118" s="87"/>
      <c r="K118" s="88"/>
      <c r="L118" s="90"/>
    </row>
    <row r="119">
      <c r="A119" s="82"/>
      <c r="B119" s="83"/>
      <c r="C119" s="83"/>
      <c r="D119" s="83"/>
      <c r="E119" s="102"/>
      <c r="F119" s="102"/>
      <c r="G119" s="88"/>
      <c r="H119" s="88"/>
      <c r="I119" s="87"/>
      <c r="J119" s="87"/>
      <c r="K119" s="88"/>
      <c r="L119" s="90"/>
    </row>
    <row r="120">
      <c r="A120" s="82"/>
      <c r="B120" s="83"/>
      <c r="C120" s="83"/>
      <c r="D120" s="83"/>
      <c r="E120" s="102"/>
      <c r="F120" s="102"/>
      <c r="G120" s="88"/>
      <c r="H120" s="88"/>
      <c r="I120" s="87"/>
      <c r="J120" s="87"/>
      <c r="K120" s="88"/>
      <c r="L120" s="90"/>
    </row>
    <row r="121">
      <c r="A121" s="82"/>
      <c r="B121" s="83"/>
      <c r="C121" s="83"/>
      <c r="D121" s="83"/>
      <c r="E121" s="102"/>
      <c r="F121" s="102"/>
      <c r="G121" s="88"/>
      <c r="H121" s="88"/>
      <c r="I121" s="87"/>
      <c r="J121" s="87"/>
      <c r="K121" s="88"/>
      <c r="L121" s="90"/>
    </row>
    <row r="122">
      <c r="A122" s="82"/>
      <c r="B122" s="83"/>
      <c r="C122" s="83"/>
      <c r="D122" s="83"/>
      <c r="E122" s="102"/>
      <c r="F122" s="102"/>
      <c r="G122" s="88"/>
      <c r="H122" s="88"/>
      <c r="I122" s="87"/>
      <c r="J122" s="87"/>
      <c r="K122" s="88"/>
      <c r="L122" s="90"/>
    </row>
    <row r="123">
      <c r="A123" s="82"/>
      <c r="B123" s="83"/>
      <c r="C123" s="83"/>
      <c r="D123" s="83"/>
      <c r="E123" s="102"/>
      <c r="F123" s="102"/>
      <c r="G123" s="88"/>
      <c r="H123" s="88"/>
      <c r="I123" s="87"/>
      <c r="J123" s="87"/>
      <c r="K123" s="88"/>
      <c r="L123" s="90"/>
    </row>
    <row r="124">
      <c r="A124" s="82"/>
      <c r="B124" s="83"/>
      <c r="C124" s="83"/>
      <c r="D124" s="83"/>
      <c r="E124" s="102"/>
      <c r="F124" s="102"/>
      <c r="G124" s="88"/>
      <c r="H124" s="88"/>
      <c r="I124" s="87"/>
      <c r="J124" s="87"/>
      <c r="K124" s="88"/>
      <c r="L124" s="90"/>
    </row>
    <row r="125">
      <c r="A125" s="82"/>
      <c r="B125" s="83"/>
      <c r="C125" s="83"/>
      <c r="D125" s="83"/>
      <c r="E125" s="102"/>
      <c r="F125" s="102"/>
      <c r="G125" s="88"/>
      <c r="H125" s="88"/>
      <c r="I125" s="87"/>
      <c r="J125" s="87"/>
      <c r="K125" s="88"/>
      <c r="L125" s="90"/>
    </row>
    <row r="126">
      <c r="A126" s="82"/>
      <c r="B126" s="83"/>
      <c r="C126" s="83"/>
      <c r="D126" s="83"/>
      <c r="E126" s="102"/>
      <c r="F126" s="102"/>
      <c r="G126" s="88"/>
      <c r="H126" s="88"/>
      <c r="I126" s="87"/>
      <c r="J126" s="87"/>
      <c r="K126" s="88"/>
      <c r="L126" s="90"/>
    </row>
    <row r="127">
      <c r="A127" s="82"/>
      <c r="B127" s="83"/>
      <c r="C127" s="83"/>
      <c r="D127" s="83"/>
      <c r="E127" s="102"/>
      <c r="F127" s="102"/>
      <c r="G127" s="88"/>
      <c r="H127" s="88"/>
      <c r="I127" s="87"/>
      <c r="J127" s="87"/>
      <c r="K127" s="88"/>
      <c r="L127" s="90"/>
    </row>
    <row r="128">
      <c r="A128" s="82"/>
      <c r="B128" s="83"/>
      <c r="C128" s="83"/>
      <c r="D128" s="83"/>
      <c r="E128" s="102"/>
      <c r="F128" s="102"/>
      <c r="G128" s="88"/>
      <c r="H128" s="88"/>
      <c r="I128" s="87"/>
      <c r="J128" s="87"/>
      <c r="K128" s="88"/>
      <c r="L128" s="90"/>
    </row>
    <row r="129">
      <c r="A129" s="82"/>
      <c r="B129" s="83"/>
      <c r="C129" s="83"/>
      <c r="D129" s="83"/>
      <c r="E129" s="102"/>
      <c r="F129" s="102"/>
      <c r="G129" s="88"/>
      <c r="H129" s="88"/>
      <c r="I129" s="87"/>
      <c r="J129" s="87"/>
      <c r="K129" s="88"/>
      <c r="L129" s="90"/>
    </row>
    <row r="130">
      <c r="A130" s="82"/>
      <c r="B130" s="83"/>
      <c r="C130" s="83"/>
      <c r="D130" s="83"/>
      <c r="E130" s="102"/>
      <c r="F130" s="102"/>
      <c r="G130" s="88"/>
      <c r="H130" s="88"/>
      <c r="I130" s="87"/>
      <c r="J130" s="87"/>
      <c r="K130" s="88"/>
      <c r="L130" s="90"/>
    </row>
    <row r="131">
      <c r="A131" s="82"/>
      <c r="B131" s="83"/>
      <c r="C131" s="83"/>
      <c r="D131" s="83"/>
      <c r="E131" s="102"/>
      <c r="F131" s="102"/>
      <c r="G131" s="88"/>
      <c r="H131" s="88"/>
      <c r="I131" s="87"/>
      <c r="J131" s="87"/>
      <c r="K131" s="88"/>
      <c r="L131" s="90"/>
    </row>
    <row r="132">
      <c r="A132" s="82"/>
      <c r="B132" s="83"/>
      <c r="C132" s="83"/>
      <c r="D132" s="83"/>
      <c r="E132" s="102"/>
      <c r="F132" s="102"/>
      <c r="G132" s="88"/>
      <c r="H132" s="88"/>
      <c r="I132" s="87"/>
      <c r="J132" s="87"/>
      <c r="K132" s="88"/>
      <c r="L132" s="90"/>
    </row>
    <row r="133">
      <c r="A133" s="82"/>
      <c r="B133" s="83"/>
      <c r="C133" s="83"/>
      <c r="D133" s="83"/>
      <c r="E133" s="102"/>
      <c r="F133" s="102"/>
      <c r="G133" s="88"/>
      <c r="H133" s="88"/>
      <c r="I133" s="87"/>
      <c r="J133" s="87"/>
      <c r="K133" s="88"/>
      <c r="L133" s="90"/>
    </row>
    <row r="134">
      <c r="A134" s="82"/>
      <c r="B134" s="83"/>
      <c r="C134" s="83"/>
      <c r="D134" s="83"/>
      <c r="E134" s="102"/>
      <c r="F134" s="102"/>
      <c r="G134" s="88"/>
      <c r="H134" s="88"/>
      <c r="I134" s="87"/>
      <c r="J134" s="87"/>
      <c r="K134" s="88"/>
      <c r="L134" s="90"/>
    </row>
    <row r="135">
      <c r="A135" s="82"/>
      <c r="B135" s="83"/>
      <c r="C135" s="83"/>
      <c r="D135" s="83"/>
      <c r="E135" s="102"/>
      <c r="F135" s="102"/>
      <c r="G135" s="88"/>
      <c r="H135" s="88"/>
      <c r="I135" s="87"/>
      <c r="J135" s="87"/>
      <c r="K135" s="88"/>
      <c r="L135" s="90"/>
    </row>
    <row r="136">
      <c r="A136" s="82"/>
      <c r="B136" s="83"/>
      <c r="C136" s="83"/>
      <c r="D136" s="83"/>
      <c r="E136" s="102"/>
      <c r="F136" s="102"/>
      <c r="G136" s="88"/>
      <c r="H136" s="88"/>
      <c r="I136" s="87"/>
      <c r="J136" s="87"/>
      <c r="K136" s="88"/>
      <c r="L136" s="90"/>
    </row>
    <row r="137">
      <c r="A137" s="82"/>
      <c r="B137" s="83"/>
      <c r="C137" s="83"/>
      <c r="D137" s="83"/>
      <c r="E137" s="102"/>
      <c r="F137" s="102"/>
      <c r="G137" s="88"/>
      <c r="H137" s="88"/>
      <c r="I137" s="87"/>
      <c r="J137" s="87"/>
      <c r="K137" s="88"/>
      <c r="L137" s="90"/>
    </row>
    <row r="138">
      <c r="A138" s="82"/>
      <c r="B138" s="83"/>
      <c r="C138" s="83"/>
      <c r="D138" s="83"/>
      <c r="E138" s="102"/>
      <c r="F138" s="102"/>
      <c r="G138" s="88"/>
      <c r="H138" s="88"/>
      <c r="I138" s="87"/>
      <c r="J138" s="87"/>
      <c r="K138" s="88"/>
      <c r="L138" s="90"/>
    </row>
    <row r="139">
      <c r="A139" s="82"/>
      <c r="B139" s="83"/>
      <c r="C139" s="83"/>
      <c r="D139" s="83"/>
      <c r="E139" s="102"/>
      <c r="F139" s="102"/>
      <c r="G139" s="88"/>
      <c r="H139" s="88"/>
      <c r="I139" s="87"/>
      <c r="J139" s="87"/>
      <c r="K139" s="88"/>
      <c r="L139" s="90"/>
    </row>
    <row r="140">
      <c r="A140" s="82"/>
      <c r="B140" s="83"/>
      <c r="C140" s="83"/>
      <c r="D140" s="83"/>
      <c r="E140" s="102"/>
      <c r="F140" s="102"/>
      <c r="G140" s="88"/>
      <c r="H140" s="88"/>
      <c r="I140" s="87"/>
      <c r="J140" s="87"/>
      <c r="K140" s="88"/>
      <c r="L140" s="90"/>
    </row>
    <row r="141">
      <c r="A141" s="82"/>
      <c r="B141" s="83"/>
      <c r="C141" s="83"/>
      <c r="D141" s="83"/>
      <c r="E141" s="102"/>
      <c r="F141" s="102"/>
      <c r="G141" s="88"/>
      <c r="H141" s="88"/>
      <c r="I141" s="87"/>
      <c r="J141" s="87"/>
      <c r="K141" s="88"/>
      <c r="L141" s="90"/>
    </row>
    <row r="142">
      <c r="A142" s="82"/>
      <c r="B142" s="83"/>
      <c r="C142" s="83"/>
      <c r="D142" s="83"/>
      <c r="E142" s="102"/>
      <c r="F142" s="102"/>
      <c r="G142" s="88"/>
      <c r="H142" s="88"/>
      <c r="I142" s="87"/>
      <c r="J142" s="87"/>
      <c r="K142" s="88"/>
      <c r="L142" s="90"/>
    </row>
    <row r="143">
      <c r="A143" s="82"/>
      <c r="B143" s="83"/>
      <c r="C143" s="83"/>
      <c r="D143" s="83"/>
      <c r="E143" s="102"/>
      <c r="F143" s="102"/>
      <c r="G143" s="88"/>
      <c r="H143" s="88"/>
      <c r="I143" s="87"/>
      <c r="J143" s="87"/>
      <c r="K143" s="88"/>
      <c r="L143" s="90"/>
    </row>
    <row r="144">
      <c r="A144" s="82"/>
      <c r="B144" s="83"/>
      <c r="C144" s="83"/>
      <c r="D144" s="83"/>
      <c r="E144" s="102"/>
      <c r="F144" s="102"/>
      <c r="G144" s="88"/>
      <c r="H144" s="88"/>
      <c r="I144" s="87"/>
      <c r="J144" s="87"/>
      <c r="K144" s="88"/>
      <c r="L144" s="90"/>
    </row>
    <row r="145">
      <c r="A145" s="82"/>
      <c r="B145" s="83"/>
      <c r="C145" s="83"/>
      <c r="D145" s="83"/>
      <c r="E145" s="102"/>
      <c r="F145" s="102"/>
      <c r="G145" s="88"/>
      <c r="H145" s="88"/>
      <c r="I145" s="87"/>
      <c r="J145" s="87"/>
      <c r="K145" s="88"/>
      <c r="L145" s="90"/>
    </row>
    <row r="146">
      <c r="A146" s="82"/>
      <c r="B146" s="83"/>
      <c r="C146" s="83"/>
      <c r="D146" s="83"/>
      <c r="E146" s="102"/>
      <c r="F146" s="102"/>
      <c r="G146" s="88"/>
      <c r="H146" s="88"/>
      <c r="I146" s="87"/>
      <c r="J146" s="87"/>
      <c r="K146" s="88"/>
      <c r="L146" s="90"/>
    </row>
    <row r="147">
      <c r="A147" s="82"/>
      <c r="B147" s="83"/>
      <c r="C147" s="83"/>
      <c r="D147" s="83"/>
      <c r="E147" s="102"/>
      <c r="F147" s="102"/>
      <c r="G147" s="88"/>
      <c r="H147" s="88"/>
      <c r="I147" s="87"/>
      <c r="J147" s="87"/>
      <c r="K147" s="88"/>
      <c r="L147" s="90"/>
    </row>
    <row r="148">
      <c r="A148" s="82"/>
      <c r="B148" s="83"/>
      <c r="C148" s="83"/>
      <c r="D148" s="83"/>
      <c r="E148" s="102"/>
      <c r="F148" s="102"/>
      <c r="G148" s="88"/>
      <c r="H148" s="88"/>
      <c r="I148" s="87"/>
      <c r="J148" s="87"/>
      <c r="K148" s="88"/>
      <c r="L148" s="90"/>
    </row>
    <row r="149">
      <c r="A149" s="82"/>
      <c r="B149" s="83"/>
      <c r="C149" s="83"/>
      <c r="D149" s="83"/>
      <c r="E149" s="102"/>
      <c r="F149" s="102"/>
      <c r="G149" s="88"/>
      <c r="H149" s="88"/>
      <c r="I149" s="87"/>
      <c r="J149" s="87"/>
      <c r="K149" s="88"/>
      <c r="L149" s="90"/>
    </row>
    <row r="150">
      <c r="A150" s="82"/>
      <c r="B150" s="83"/>
      <c r="C150" s="83"/>
      <c r="D150" s="83"/>
      <c r="E150" s="102"/>
      <c r="F150" s="102"/>
      <c r="G150" s="88"/>
      <c r="H150" s="88"/>
      <c r="I150" s="87"/>
      <c r="J150" s="87"/>
      <c r="K150" s="88"/>
      <c r="L150" s="90"/>
    </row>
    <row r="151">
      <c r="A151" s="82"/>
      <c r="B151" s="83"/>
      <c r="C151" s="83"/>
      <c r="D151" s="83"/>
      <c r="E151" s="102"/>
      <c r="F151" s="102"/>
      <c r="G151" s="88"/>
      <c r="H151" s="88"/>
      <c r="I151" s="87"/>
      <c r="J151" s="87"/>
      <c r="K151" s="88"/>
      <c r="L151" s="90"/>
    </row>
    <row r="152">
      <c r="A152" s="82"/>
      <c r="B152" s="83"/>
      <c r="C152" s="83"/>
      <c r="D152" s="83"/>
      <c r="E152" s="102"/>
      <c r="F152" s="102"/>
      <c r="G152" s="88"/>
      <c r="H152" s="88"/>
      <c r="I152" s="87"/>
      <c r="J152" s="87"/>
      <c r="K152" s="88"/>
      <c r="L152" s="90"/>
    </row>
    <row r="153">
      <c r="A153" s="82"/>
      <c r="B153" s="83"/>
      <c r="C153" s="83"/>
      <c r="D153" s="83"/>
      <c r="E153" s="102"/>
      <c r="F153" s="102"/>
      <c r="G153" s="88"/>
      <c r="H153" s="88"/>
      <c r="I153" s="87"/>
      <c r="J153" s="87"/>
      <c r="K153" s="88"/>
      <c r="L153" s="90"/>
    </row>
    <row r="154">
      <c r="A154" s="82"/>
      <c r="B154" s="83"/>
      <c r="C154" s="83"/>
      <c r="D154" s="83"/>
      <c r="E154" s="102"/>
      <c r="F154" s="102"/>
      <c r="G154" s="88"/>
      <c r="H154" s="88"/>
      <c r="I154" s="87"/>
      <c r="J154" s="87"/>
      <c r="K154" s="88"/>
      <c r="L154" s="90"/>
    </row>
    <row r="155">
      <c r="A155" s="82"/>
      <c r="B155" s="83"/>
      <c r="C155" s="83"/>
      <c r="D155" s="83"/>
      <c r="E155" s="102"/>
      <c r="F155" s="102"/>
      <c r="G155" s="88"/>
      <c r="H155" s="88"/>
      <c r="I155" s="87"/>
      <c r="J155" s="87"/>
      <c r="K155" s="88"/>
      <c r="L155" s="90"/>
    </row>
    <row r="156">
      <c r="A156" s="82"/>
      <c r="B156" s="83"/>
      <c r="C156" s="83"/>
      <c r="D156" s="83"/>
      <c r="E156" s="102"/>
      <c r="F156" s="102"/>
      <c r="G156" s="88"/>
      <c r="H156" s="88"/>
      <c r="I156" s="87"/>
      <c r="J156" s="87"/>
      <c r="K156" s="88"/>
      <c r="L156" s="90"/>
    </row>
    <row r="157">
      <c r="A157" s="82"/>
      <c r="B157" s="83"/>
      <c r="C157" s="83"/>
      <c r="D157" s="83"/>
      <c r="E157" s="102"/>
      <c r="F157" s="102"/>
      <c r="G157" s="88"/>
      <c r="H157" s="88"/>
      <c r="I157" s="87"/>
      <c r="J157" s="87"/>
      <c r="K157" s="88"/>
      <c r="L157" s="90"/>
    </row>
    <row r="158">
      <c r="A158" s="82"/>
      <c r="B158" s="83"/>
      <c r="C158" s="83"/>
      <c r="D158" s="83"/>
      <c r="E158" s="102"/>
      <c r="F158" s="102"/>
      <c r="G158" s="88"/>
      <c r="H158" s="88"/>
      <c r="I158" s="87"/>
      <c r="J158" s="87"/>
      <c r="K158" s="88"/>
      <c r="L158" s="90"/>
    </row>
    <row r="159">
      <c r="A159" s="82"/>
      <c r="B159" s="83"/>
      <c r="C159" s="83"/>
      <c r="D159" s="83"/>
      <c r="E159" s="102"/>
      <c r="F159" s="102"/>
      <c r="G159" s="88"/>
      <c r="H159" s="88"/>
      <c r="I159" s="87"/>
      <c r="J159" s="87"/>
      <c r="K159" s="88"/>
      <c r="L159" s="90"/>
    </row>
    <row r="160">
      <c r="A160" s="82"/>
      <c r="B160" s="83"/>
      <c r="C160" s="83"/>
      <c r="D160" s="83"/>
      <c r="E160" s="102"/>
      <c r="F160" s="102"/>
      <c r="G160" s="88"/>
      <c r="H160" s="88"/>
      <c r="I160" s="87"/>
      <c r="J160" s="87"/>
      <c r="K160" s="88"/>
      <c r="L160" s="90"/>
    </row>
    <row r="161">
      <c r="A161" s="82"/>
      <c r="B161" s="83"/>
      <c r="C161" s="83"/>
      <c r="D161" s="83"/>
      <c r="E161" s="102"/>
      <c r="F161" s="102"/>
      <c r="G161" s="88"/>
      <c r="H161" s="88"/>
      <c r="I161" s="87"/>
      <c r="J161" s="87"/>
      <c r="K161" s="88"/>
      <c r="L161" s="90"/>
    </row>
    <row r="162">
      <c r="A162" s="82"/>
      <c r="B162" s="83"/>
      <c r="C162" s="83"/>
      <c r="D162" s="83"/>
      <c r="E162" s="102"/>
      <c r="F162" s="102"/>
      <c r="G162" s="88"/>
      <c r="H162" s="88"/>
      <c r="I162" s="87"/>
      <c r="J162" s="87"/>
      <c r="K162" s="88"/>
      <c r="L162" s="90"/>
    </row>
    <row r="163">
      <c r="A163" s="82"/>
      <c r="B163" s="83"/>
      <c r="C163" s="83"/>
      <c r="D163" s="83"/>
      <c r="E163" s="102"/>
      <c r="F163" s="102"/>
      <c r="G163" s="88"/>
      <c r="H163" s="88"/>
      <c r="I163" s="87"/>
      <c r="J163" s="87"/>
      <c r="K163" s="88"/>
      <c r="L163" s="90"/>
    </row>
    <row r="164">
      <c r="A164" s="82"/>
      <c r="B164" s="83"/>
      <c r="C164" s="83"/>
      <c r="D164" s="83"/>
      <c r="E164" s="102"/>
      <c r="F164" s="102"/>
      <c r="G164" s="88"/>
      <c r="H164" s="88"/>
      <c r="I164" s="87"/>
      <c r="J164" s="87"/>
      <c r="K164" s="88"/>
      <c r="L164" s="90"/>
    </row>
    <row r="165">
      <c r="A165" s="82"/>
      <c r="B165" s="83"/>
      <c r="C165" s="83"/>
      <c r="D165" s="83"/>
      <c r="E165" s="102"/>
      <c r="F165" s="102"/>
      <c r="G165" s="88"/>
      <c r="H165" s="88"/>
      <c r="I165" s="87"/>
      <c r="J165" s="87"/>
      <c r="K165" s="88"/>
      <c r="L165" s="90"/>
    </row>
    <row r="166">
      <c r="A166" s="82"/>
      <c r="B166" s="83"/>
      <c r="C166" s="83"/>
      <c r="D166" s="83"/>
      <c r="E166" s="102"/>
      <c r="F166" s="102"/>
      <c r="G166" s="88"/>
      <c r="H166" s="88"/>
      <c r="I166" s="87"/>
      <c r="J166" s="87"/>
      <c r="K166" s="88"/>
      <c r="L166" s="90"/>
    </row>
    <row r="167">
      <c r="A167" s="82"/>
      <c r="B167" s="83"/>
      <c r="C167" s="83"/>
      <c r="D167" s="83"/>
      <c r="E167" s="102"/>
      <c r="F167" s="102"/>
      <c r="G167" s="88"/>
      <c r="H167" s="88"/>
      <c r="I167" s="87"/>
      <c r="J167" s="87"/>
      <c r="K167" s="88"/>
      <c r="L167" s="90"/>
    </row>
    <row r="168">
      <c r="A168" s="82"/>
      <c r="B168" s="83"/>
      <c r="C168" s="83"/>
      <c r="D168" s="83"/>
      <c r="E168" s="102"/>
      <c r="F168" s="102"/>
      <c r="G168" s="88"/>
      <c r="H168" s="88"/>
      <c r="I168" s="87"/>
      <c r="J168" s="87"/>
      <c r="K168" s="88"/>
      <c r="L168" s="90"/>
    </row>
    <row r="169">
      <c r="A169" s="82"/>
      <c r="B169" s="83"/>
      <c r="C169" s="83"/>
      <c r="D169" s="83"/>
      <c r="E169" s="102"/>
      <c r="F169" s="102"/>
      <c r="G169" s="88"/>
      <c r="H169" s="88"/>
      <c r="I169" s="87"/>
      <c r="J169" s="87"/>
      <c r="K169" s="88"/>
      <c r="L169" s="90"/>
    </row>
    <row r="170">
      <c r="A170" s="82"/>
      <c r="B170" s="83"/>
      <c r="C170" s="83"/>
      <c r="D170" s="83"/>
      <c r="E170" s="102"/>
      <c r="F170" s="102"/>
      <c r="G170" s="88"/>
      <c r="H170" s="88"/>
      <c r="I170" s="87"/>
      <c r="J170" s="87"/>
      <c r="K170" s="88"/>
      <c r="L170" s="90"/>
    </row>
    <row r="171">
      <c r="A171" s="82"/>
      <c r="B171" s="83"/>
      <c r="C171" s="83"/>
      <c r="D171" s="83"/>
      <c r="E171" s="102"/>
      <c r="F171" s="102"/>
      <c r="G171" s="88"/>
      <c r="H171" s="88"/>
      <c r="I171" s="87"/>
      <c r="J171" s="87"/>
      <c r="K171" s="88"/>
      <c r="L171" s="90"/>
    </row>
    <row r="172">
      <c r="A172" s="82"/>
      <c r="B172" s="83"/>
      <c r="C172" s="83"/>
      <c r="D172" s="83"/>
      <c r="E172" s="102"/>
      <c r="F172" s="102"/>
      <c r="G172" s="88"/>
      <c r="H172" s="88"/>
      <c r="I172" s="87"/>
      <c r="J172" s="87"/>
      <c r="K172" s="88"/>
      <c r="L172" s="90"/>
    </row>
    <row r="173">
      <c r="A173" s="82"/>
      <c r="B173" s="83"/>
      <c r="C173" s="83"/>
      <c r="D173" s="83"/>
      <c r="E173" s="102"/>
      <c r="F173" s="102"/>
      <c r="G173" s="88"/>
      <c r="H173" s="88"/>
      <c r="I173" s="87"/>
      <c r="J173" s="87"/>
      <c r="K173" s="88"/>
      <c r="L173" s="90"/>
    </row>
    <row r="174">
      <c r="A174" s="82"/>
      <c r="B174" s="83"/>
      <c r="C174" s="83"/>
      <c r="D174" s="83"/>
      <c r="E174" s="102"/>
      <c r="F174" s="102"/>
      <c r="G174" s="88"/>
      <c r="H174" s="88"/>
      <c r="I174" s="87"/>
      <c r="J174" s="87"/>
      <c r="K174" s="88"/>
      <c r="L174" s="90"/>
    </row>
    <row r="175">
      <c r="A175" s="82"/>
      <c r="B175" s="83"/>
      <c r="C175" s="83"/>
      <c r="D175" s="83"/>
      <c r="E175" s="102"/>
      <c r="F175" s="102"/>
      <c r="G175" s="88"/>
      <c r="H175" s="88"/>
      <c r="I175" s="87"/>
      <c r="J175" s="87"/>
      <c r="K175" s="88"/>
      <c r="L175" s="90"/>
    </row>
    <row r="176">
      <c r="A176" s="82"/>
      <c r="B176" s="83"/>
      <c r="C176" s="83"/>
      <c r="D176" s="83"/>
      <c r="E176" s="102"/>
      <c r="F176" s="102"/>
      <c r="G176" s="88"/>
      <c r="H176" s="88"/>
      <c r="I176" s="87"/>
      <c r="J176" s="87"/>
      <c r="K176" s="88"/>
      <c r="L176" s="90"/>
    </row>
    <row r="177">
      <c r="A177" s="82"/>
      <c r="B177" s="83"/>
      <c r="C177" s="83"/>
      <c r="D177" s="83"/>
      <c r="E177" s="102"/>
      <c r="F177" s="102"/>
      <c r="G177" s="88"/>
      <c r="H177" s="88"/>
      <c r="I177" s="87"/>
      <c r="J177" s="87"/>
      <c r="K177" s="88"/>
      <c r="L177" s="90"/>
    </row>
    <row r="178">
      <c r="A178" s="82"/>
      <c r="B178" s="83"/>
      <c r="C178" s="83"/>
      <c r="D178" s="83"/>
      <c r="E178" s="102"/>
      <c r="F178" s="102"/>
      <c r="G178" s="88"/>
      <c r="H178" s="88"/>
      <c r="I178" s="87"/>
      <c r="J178" s="87"/>
      <c r="K178" s="88"/>
      <c r="L178" s="90"/>
    </row>
    <row r="179">
      <c r="A179" s="82"/>
      <c r="B179" s="83"/>
      <c r="C179" s="83"/>
      <c r="D179" s="83"/>
      <c r="E179" s="102"/>
      <c r="F179" s="102"/>
      <c r="G179" s="88"/>
      <c r="H179" s="88"/>
      <c r="I179" s="87"/>
      <c r="J179" s="87"/>
      <c r="K179" s="88"/>
      <c r="L179" s="90"/>
    </row>
    <row r="180">
      <c r="A180" s="82"/>
      <c r="B180" s="83"/>
      <c r="C180" s="83"/>
      <c r="D180" s="83"/>
      <c r="E180" s="102"/>
      <c r="F180" s="102"/>
      <c r="G180" s="88"/>
      <c r="H180" s="88"/>
      <c r="I180" s="87"/>
      <c r="J180" s="87"/>
      <c r="K180" s="88"/>
      <c r="L180" s="90"/>
    </row>
    <row r="181">
      <c r="A181" s="82"/>
      <c r="B181" s="83"/>
      <c r="C181" s="83"/>
      <c r="D181" s="83"/>
      <c r="E181" s="102"/>
      <c r="F181" s="102"/>
      <c r="G181" s="88"/>
      <c r="H181" s="88"/>
      <c r="I181" s="87"/>
      <c r="J181" s="87"/>
      <c r="K181" s="88"/>
      <c r="L181" s="90"/>
    </row>
    <row r="182">
      <c r="A182" s="82"/>
      <c r="B182" s="83"/>
      <c r="C182" s="83"/>
      <c r="D182" s="83"/>
      <c r="E182" s="102"/>
      <c r="F182" s="102"/>
      <c r="G182" s="88"/>
      <c r="H182" s="88"/>
      <c r="I182" s="87"/>
      <c r="J182" s="87"/>
      <c r="K182" s="88"/>
      <c r="L182" s="90"/>
    </row>
    <row r="183">
      <c r="A183" s="82"/>
      <c r="B183" s="83"/>
      <c r="C183" s="83"/>
      <c r="D183" s="83"/>
      <c r="E183" s="102"/>
      <c r="F183" s="102"/>
      <c r="G183" s="88"/>
      <c r="H183" s="88"/>
      <c r="I183" s="87"/>
      <c r="J183" s="87"/>
      <c r="K183" s="88"/>
      <c r="L183" s="90"/>
    </row>
    <row r="184">
      <c r="A184" s="82"/>
      <c r="B184" s="83"/>
      <c r="C184" s="83"/>
      <c r="D184" s="83"/>
      <c r="E184" s="102"/>
      <c r="F184" s="102"/>
      <c r="G184" s="88"/>
      <c r="H184" s="88"/>
      <c r="I184" s="87"/>
      <c r="J184" s="87"/>
      <c r="K184" s="88"/>
      <c r="L184" s="90"/>
    </row>
    <row r="185">
      <c r="A185" s="82"/>
      <c r="B185" s="83"/>
      <c r="C185" s="83"/>
      <c r="D185" s="83"/>
      <c r="E185" s="102"/>
      <c r="F185" s="102"/>
      <c r="G185" s="88"/>
      <c r="H185" s="88"/>
      <c r="I185" s="87"/>
      <c r="J185" s="87"/>
      <c r="K185" s="88"/>
      <c r="L185" s="90"/>
    </row>
    <row r="186">
      <c r="A186" s="82"/>
      <c r="B186" s="83"/>
      <c r="C186" s="83"/>
      <c r="D186" s="83"/>
      <c r="E186" s="102"/>
      <c r="F186" s="102"/>
      <c r="G186" s="88"/>
      <c r="H186" s="88"/>
      <c r="I186" s="87"/>
      <c r="J186" s="87"/>
      <c r="K186" s="88"/>
      <c r="L186" s="90"/>
    </row>
    <row r="187">
      <c r="A187" s="82"/>
      <c r="B187" s="83"/>
      <c r="C187" s="83"/>
      <c r="D187" s="83"/>
      <c r="E187" s="102"/>
      <c r="F187" s="102"/>
      <c r="G187" s="88"/>
      <c r="H187" s="88"/>
      <c r="I187" s="87"/>
      <c r="J187" s="87"/>
      <c r="K187" s="88"/>
      <c r="L187" s="90"/>
    </row>
    <row r="188">
      <c r="A188" s="82"/>
      <c r="B188" s="83"/>
      <c r="C188" s="83"/>
      <c r="D188" s="83"/>
      <c r="E188" s="102"/>
      <c r="F188" s="102"/>
      <c r="G188" s="88"/>
      <c r="H188" s="88"/>
      <c r="I188" s="87"/>
      <c r="J188" s="87"/>
      <c r="K188" s="88"/>
      <c r="L188" s="90"/>
    </row>
    <row r="189">
      <c r="A189" s="82"/>
      <c r="B189" s="83"/>
      <c r="C189" s="83"/>
      <c r="D189" s="83"/>
      <c r="E189" s="102"/>
      <c r="F189" s="102"/>
      <c r="G189" s="88"/>
      <c r="H189" s="88"/>
      <c r="I189" s="87"/>
      <c r="J189" s="87"/>
      <c r="K189" s="88"/>
      <c r="L189" s="90"/>
    </row>
    <row r="190">
      <c r="A190" s="82"/>
      <c r="B190" s="83"/>
      <c r="C190" s="83"/>
      <c r="D190" s="83"/>
      <c r="E190" s="102"/>
      <c r="F190" s="102"/>
      <c r="G190" s="88"/>
      <c r="H190" s="88"/>
      <c r="I190" s="87"/>
      <c r="J190" s="87"/>
      <c r="K190" s="88"/>
      <c r="L190" s="90"/>
    </row>
    <row r="191">
      <c r="A191" s="82"/>
      <c r="B191" s="83"/>
      <c r="C191" s="83"/>
      <c r="D191" s="83"/>
      <c r="E191" s="102"/>
      <c r="F191" s="102"/>
      <c r="G191" s="88"/>
      <c r="H191" s="88"/>
      <c r="I191" s="87"/>
      <c r="J191" s="87"/>
      <c r="K191" s="88"/>
      <c r="L191" s="90"/>
    </row>
    <row r="192">
      <c r="A192" s="82"/>
      <c r="B192" s="83"/>
      <c r="C192" s="83"/>
      <c r="D192" s="83"/>
      <c r="E192" s="102"/>
      <c r="F192" s="102"/>
      <c r="G192" s="88"/>
      <c r="H192" s="88"/>
      <c r="I192" s="87"/>
      <c r="J192" s="87"/>
      <c r="K192" s="88"/>
      <c r="L192" s="90"/>
    </row>
    <row r="193">
      <c r="A193" s="82"/>
      <c r="B193" s="83"/>
      <c r="C193" s="83"/>
      <c r="D193" s="83"/>
      <c r="E193" s="102"/>
      <c r="F193" s="102"/>
      <c r="G193" s="88"/>
      <c r="H193" s="88"/>
      <c r="I193" s="87"/>
      <c r="J193" s="87"/>
      <c r="K193" s="88"/>
      <c r="L193" s="90"/>
    </row>
    <row r="194">
      <c r="A194" s="82"/>
      <c r="B194" s="83"/>
      <c r="C194" s="83"/>
      <c r="D194" s="83"/>
      <c r="E194" s="102"/>
      <c r="F194" s="102"/>
      <c r="G194" s="88"/>
      <c r="H194" s="88"/>
      <c r="I194" s="87"/>
      <c r="J194" s="87"/>
      <c r="K194" s="88"/>
      <c r="L194" s="90"/>
    </row>
    <row r="195">
      <c r="A195" s="82"/>
      <c r="B195" s="83"/>
      <c r="C195" s="83"/>
      <c r="D195" s="83"/>
      <c r="E195" s="102"/>
      <c r="F195" s="102"/>
      <c r="G195" s="88"/>
      <c r="H195" s="88"/>
      <c r="I195" s="87"/>
      <c r="J195" s="87"/>
      <c r="K195" s="88"/>
      <c r="L195" s="90"/>
    </row>
    <row r="196">
      <c r="A196" s="82"/>
      <c r="B196" s="83"/>
      <c r="C196" s="83"/>
      <c r="D196" s="83"/>
      <c r="E196" s="102"/>
      <c r="F196" s="102"/>
      <c r="G196" s="88"/>
      <c r="H196" s="88"/>
      <c r="I196" s="87"/>
      <c r="J196" s="87"/>
      <c r="K196" s="88"/>
      <c r="L196" s="90"/>
    </row>
    <row r="197">
      <c r="A197" s="82"/>
      <c r="B197" s="83"/>
      <c r="C197" s="83"/>
      <c r="D197" s="83"/>
      <c r="E197" s="102"/>
      <c r="F197" s="102"/>
      <c r="G197" s="88"/>
      <c r="H197" s="88"/>
      <c r="I197" s="87"/>
      <c r="J197" s="87"/>
      <c r="K197" s="88"/>
      <c r="L197" s="90"/>
    </row>
    <row r="198">
      <c r="A198" s="82"/>
      <c r="B198" s="83"/>
      <c r="C198" s="83"/>
      <c r="D198" s="83"/>
      <c r="E198" s="102"/>
      <c r="F198" s="102"/>
      <c r="G198" s="88"/>
      <c r="H198" s="88"/>
      <c r="I198" s="87"/>
      <c r="J198" s="87"/>
      <c r="K198" s="88"/>
      <c r="L198" s="90"/>
    </row>
    <row r="199">
      <c r="A199" s="82"/>
      <c r="B199" s="83"/>
      <c r="C199" s="83"/>
      <c r="D199" s="83"/>
      <c r="E199" s="102"/>
      <c r="F199" s="102"/>
      <c r="G199" s="88"/>
      <c r="H199" s="88"/>
      <c r="I199" s="87"/>
      <c r="J199" s="87"/>
      <c r="K199" s="88"/>
      <c r="L199" s="90"/>
    </row>
    <row r="200">
      <c r="A200" s="82"/>
      <c r="B200" s="83"/>
      <c r="C200" s="83"/>
      <c r="D200" s="83"/>
      <c r="E200" s="102"/>
      <c r="F200" s="102"/>
      <c r="G200" s="88"/>
      <c r="H200" s="88"/>
      <c r="I200" s="87"/>
      <c r="J200" s="87"/>
      <c r="K200" s="88"/>
      <c r="L200" s="90"/>
    </row>
    <row r="201">
      <c r="A201" s="82"/>
      <c r="B201" s="83"/>
      <c r="C201" s="83"/>
      <c r="D201" s="83"/>
      <c r="E201" s="102"/>
      <c r="F201" s="102"/>
      <c r="G201" s="88"/>
      <c r="H201" s="88"/>
      <c r="I201" s="87"/>
      <c r="J201" s="87"/>
      <c r="K201" s="88"/>
      <c r="L201" s="90"/>
    </row>
    <row r="202">
      <c r="A202" s="82"/>
      <c r="B202" s="83"/>
      <c r="C202" s="83"/>
      <c r="D202" s="83"/>
      <c r="E202" s="102"/>
      <c r="F202" s="102"/>
      <c r="G202" s="88"/>
      <c r="H202" s="88"/>
      <c r="I202" s="87"/>
      <c r="J202" s="87"/>
      <c r="K202" s="88"/>
      <c r="L202" s="90"/>
    </row>
    <row r="203">
      <c r="A203" s="82"/>
      <c r="B203" s="83"/>
      <c r="C203" s="83"/>
      <c r="D203" s="83"/>
      <c r="E203" s="102"/>
      <c r="F203" s="102"/>
      <c r="G203" s="88"/>
      <c r="H203" s="88"/>
      <c r="I203" s="87"/>
      <c r="J203" s="87"/>
      <c r="K203" s="88"/>
      <c r="L203" s="90"/>
    </row>
    <row r="204">
      <c r="A204" s="82"/>
      <c r="B204" s="83"/>
      <c r="C204" s="83"/>
      <c r="D204" s="83"/>
      <c r="E204" s="102"/>
      <c r="F204" s="102"/>
      <c r="G204" s="88"/>
      <c r="H204" s="88"/>
      <c r="I204" s="87"/>
      <c r="J204" s="87"/>
      <c r="K204" s="88"/>
      <c r="L204" s="90"/>
    </row>
    <row r="205">
      <c r="A205" s="82"/>
      <c r="B205" s="83"/>
      <c r="C205" s="83"/>
      <c r="D205" s="83"/>
      <c r="E205" s="102"/>
      <c r="F205" s="102"/>
      <c r="G205" s="88"/>
      <c r="H205" s="88"/>
      <c r="I205" s="87"/>
      <c r="J205" s="87"/>
      <c r="K205" s="88"/>
      <c r="L205" s="90"/>
    </row>
    <row r="206">
      <c r="A206" s="82"/>
      <c r="B206" s="83"/>
      <c r="C206" s="83"/>
      <c r="D206" s="83"/>
      <c r="E206" s="102"/>
      <c r="F206" s="102"/>
      <c r="G206" s="88"/>
      <c r="H206" s="88"/>
      <c r="I206" s="87"/>
      <c r="J206" s="87"/>
      <c r="K206" s="88"/>
      <c r="L206" s="90"/>
    </row>
    <row r="207">
      <c r="A207" s="82"/>
      <c r="B207" s="83"/>
      <c r="C207" s="83"/>
      <c r="D207" s="83"/>
      <c r="E207" s="102"/>
      <c r="F207" s="102"/>
      <c r="G207" s="88"/>
      <c r="H207" s="88"/>
      <c r="I207" s="87"/>
      <c r="J207" s="87"/>
      <c r="K207" s="88"/>
      <c r="L207" s="90"/>
    </row>
    <row r="208">
      <c r="A208" s="82"/>
      <c r="B208" s="83"/>
      <c r="C208" s="83"/>
      <c r="D208" s="83"/>
      <c r="E208" s="102"/>
      <c r="F208" s="102"/>
      <c r="G208" s="88"/>
      <c r="H208" s="88"/>
      <c r="I208" s="87"/>
      <c r="J208" s="87"/>
      <c r="K208" s="88"/>
      <c r="L208" s="90"/>
    </row>
    <row r="209">
      <c r="A209" s="82"/>
      <c r="B209" s="83"/>
      <c r="C209" s="83"/>
      <c r="D209" s="83"/>
      <c r="E209" s="102"/>
      <c r="F209" s="102"/>
      <c r="G209" s="88"/>
      <c r="H209" s="88"/>
      <c r="I209" s="87"/>
      <c r="J209" s="87"/>
      <c r="K209" s="88"/>
      <c r="L209" s="90"/>
    </row>
    <row r="210">
      <c r="A210" s="82"/>
      <c r="B210" s="83"/>
      <c r="C210" s="83"/>
      <c r="D210" s="83"/>
      <c r="E210" s="102"/>
      <c r="F210" s="102"/>
      <c r="G210" s="88"/>
      <c r="H210" s="88"/>
      <c r="I210" s="87"/>
      <c r="J210" s="87"/>
      <c r="K210" s="88"/>
      <c r="L210" s="90"/>
    </row>
    <row r="211">
      <c r="A211" s="82"/>
      <c r="B211" s="83"/>
      <c r="C211" s="83"/>
      <c r="D211" s="83"/>
      <c r="E211" s="102"/>
      <c r="F211" s="102"/>
      <c r="G211" s="88"/>
      <c r="H211" s="88"/>
      <c r="I211" s="87"/>
      <c r="J211" s="87"/>
      <c r="K211" s="88"/>
      <c r="L211" s="90"/>
    </row>
    <row r="212">
      <c r="A212" s="82"/>
      <c r="B212" s="83"/>
      <c r="C212" s="83"/>
      <c r="D212" s="83"/>
      <c r="E212" s="102"/>
      <c r="F212" s="102"/>
      <c r="G212" s="88"/>
      <c r="H212" s="88"/>
      <c r="I212" s="87"/>
      <c r="J212" s="87"/>
      <c r="K212" s="88"/>
      <c r="L212" s="90"/>
    </row>
    <row r="213">
      <c r="A213" s="82"/>
      <c r="B213" s="83"/>
      <c r="C213" s="83"/>
      <c r="D213" s="83"/>
      <c r="E213" s="102"/>
      <c r="F213" s="102"/>
      <c r="G213" s="88"/>
      <c r="H213" s="88"/>
      <c r="I213" s="87"/>
      <c r="J213" s="87"/>
      <c r="K213" s="88"/>
      <c r="L213" s="90"/>
    </row>
    <row r="214">
      <c r="A214" s="82"/>
      <c r="B214" s="83"/>
      <c r="C214" s="83"/>
      <c r="D214" s="83"/>
      <c r="E214" s="102"/>
      <c r="F214" s="102"/>
      <c r="G214" s="88"/>
      <c r="H214" s="88"/>
      <c r="I214" s="87"/>
      <c r="J214" s="87"/>
      <c r="K214" s="88"/>
      <c r="L214" s="90"/>
    </row>
    <row r="215">
      <c r="A215" s="82"/>
      <c r="B215" s="83"/>
      <c r="C215" s="83"/>
      <c r="D215" s="83"/>
      <c r="E215" s="102"/>
      <c r="F215" s="102"/>
      <c r="G215" s="88"/>
      <c r="H215" s="88"/>
      <c r="I215" s="87"/>
      <c r="J215" s="87"/>
      <c r="K215" s="88"/>
      <c r="L215" s="90"/>
    </row>
    <row r="216">
      <c r="A216" s="82"/>
      <c r="B216" s="83"/>
      <c r="C216" s="83"/>
      <c r="D216" s="83"/>
      <c r="E216" s="102"/>
      <c r="F216" s="102"/>
      <c r="G216" s="88"/>
      <c r="H216" s="88"/>
      <c r="I216" s="87"/>
      <c r="J216" s="87"/>
      <c r="K216" s="88"/>
      <c r="L216" s="90"/>
    </row>
    <row r="217">
      <c r="A217" s="82"/>
      <c r="B217" s="83"/>
      <c r="C217" s="83"/>
      <c r="D217" s="83"/>
      <c r="E217" s="102"/>
      <c r="F217" s="102"/>
      <c r="G217" s="88"/>
      <c r="H217" s="88"/>
      <c r="I217" s="87"/>
      <c r="J217" s="87"/>
      <c r="K217" s="88"/>
      <c r="L217" s="90"/>
    </row>
    <row r="218">
      <c r="A218" s="82"/>
      <c r="B218" s="83"/>
      <c r="C218" s="83"/>
      <c r="D218" s="83"/>
      <c r="E218" s="102"/>
      <c r="F218" s="102"/>
      <c r="G218" s="88"/>
      <c r="H218" s="88"/>
      <c r="I218" s="87"/>
      <c r="J218" s="87"/>
      <c r="K218" s="88"/>
      <c r="L218" s="90"/>
    </row>
    <row r="219">
      <c r="A219" s="82"/>
      <c r="B219" s="83"/>
      <c r="C219" s="83"/>
      <c r="D219" s="83"/>
      <c r="E219" s="102"/>
      <c r="F219" s="102"/>
      <c r="G219" s="88"/>
      <c r="H219" s="88"/>
      <c r="I219" s="87"/>
      <c r="J219" s="87"/>
      <c r="K219" s="88"/>
      <c r="L219" s="90"/>
    </row>
    <row r="220">
      <c r="A220" s="82"/>
      <c r="B220" s="83"/>
      <c r="C220" s="83"/>
      <c r="D220" s="83"/>
      <c r="E220" s="102"/>
      <c r="F220" s="102"/>
      <c r="G220" s="88"/>
      <c r="H220" s="88"/>
      <c r="I220" s="87"/>
      <c r="J220" s="87"/>
      <c r="K220" s="88"/>
      <c r="L220" s="90"/>
    </row>
    <row r="221">
      <c r="A221" s="82"/>
      <c r="B221" s="83"/>
      <c r="C221" s="83"/>
      <c r="D221" s="83"/>
      <c r="E221" s="102"/>
      <c r="F221" s="102"/>
      <c r="G221" s="88"/>
      <c r="H221" s="88"/>
      <c r="I221" s="87"/>
      <c r="J221" s="87"/>
      <c r="K221" s="88"/>
      <c r="L221" s="90"/>
    </row>
    <row r="222">
      <c r="A222" s="82"/>
      <c r="B222" s="83"/>
      <c r="C222" s="83"/>
      <c r="D222" s="83"/>
      <c r="E222" s="102"/>
      <c r="F222" s="102"/>
      <c r="G222" s="88"/>
      <c r="H222" s="88"/>
      <c r="I222" s="87"/>
      <c r="J222" s="87"/>
      <c r="K222" s="88"/>
      <c r="L222" s="90"/>
    </row>
    <row r="223">
      <c r="A223" s="82"/>
      <c r="B223" s="83"/>
      <c r="C223" s="83"/>
      <c r="D223" s="83"/>
      <c r="E223" s="102"/>
      <c r="F223" s="102"/>
      <c r="G223" s="88"/>
      <c r="H223" s="88"/>
      <c r="I223" s="87"/>
      <c r="J223" s="87"/>
      <c r="K223" s="88"/>
      <c r="L223" s="90"/>
    </row>
    <row r="224">
      <c r="A224" s="82"/>
      <c r="B224" s="83"/>
      <c r="C224" s="83"/>
      <c r="D224" s="83"/>
      <c r="E224" s="102"/>
      <c r="F224" s="102"/>
      <c r="G224" s="88"/>
      <c r="H224" s="88"/>
      <c r="I224" s="87"/>
      <c r="J224" s="87"/>
      <c r="K224" s="88"/>
      <c r="L224" s="90"/>
    </row>
    <row r="225">
      <c r="A225" s="82"/>
      <c r="B225" s="83"/>
      <c r="C225" s="83"/>
      <c r="D225" s="83"/>
      <c r="E225" s="102"/>
      <c r="F225" s="102"/>
      <c r="G225" s="88"/>
      <c r="H225" s="88"/>
      <c r="I225" s="87"/>
      <c r="J225" s="87"/>
      <c r="K225" s="88"/>
      <c r="L225" s="90"/>
    </row>
    <row r="226">
      <c r="A226" s="82"/>
      <c r="B226" s="83"/>
      <c r="C226" s="83"/>
      <c r="D226" s="83"/>
      <c r="E226" s="102"/>
      <c r="F226" s="102"/>
      <c r="G226" s="88"/>
      <c r="H226" s="88"/>
      <c r="I226" s="87"/>
      <c r="J226" s="87"/>
      <c r="K226" s="88"/>
      <c r="L226" s="90"/>
    </row>
    <row r="227">
      <c r="A227" s="82"/>
      <c r="B227" s="83"/>
      <c r="C227" s="83"/>
      <c r="D227" s="83"/>
      <c r="E227" s="102"/>
      <c r="F227" s="102"/>
      <c r="G227" s="88"/>
      <c r="H227" s="88"/>
      <c r="I227" s="87"/>
      <c r="J227" s="87"/>
      <c r="K227" s="88"/>
      <c r="L227" s="90"/>
    </row>
    <row r="228">
      <c r="A228" s="82"/>
      <c r="B228" s="83"/>
      <c r="C228" s="83"/>
      <c r="D228" s="83"/>
      <c r="E228" s="102"/>
      <c r="F228" s="102"/>
      <c r="G228" s="88"/>
      <c r="H228" s="88"/>
      <c r="I228" s="87"/>
      <c r="J228" s="87"/>
      <c r="K228" s="88"/>
      <c r="L228" s="90"/>
    </row>
    <row r="229">
      <c r="A229" s="82"/>
      <c r="B229" s="83"/>
      <c r="C229" s="83"/>
      <c r="D229" s="83"/>
      <c r="E229" s="102"/>
      <c r="F229" s="102"/>
      <c r="G229" s="88"/>
      <c r="H229" s="88"/>
      <c r="I229" s="87"/>
      <c r="J229" s="87"/>
      <c r="K229" s="88"/>
      <c r="L229" s="90"/>
    </row>
    <row r="230">
      <c r="A230" s="82"/>
      <c r="B230" s="83"/>
      <c r="C230" s="83"/>
      <c r="D230" s="83"/>
      <c r="E230" s="102"/>
      <c r="F230" s="102"/>
      <c r="G230" s="88"/>
      <c r="H230" s="88"/>
      <c r="I230" s="87"/>
      <c r="J230" s="87"/>
      <c r="K230" s="88"/>
      <c r="L230" s="90"/>
    </row>
    <row r="231">
      <c r="A231" s="82"/>
      <c r="B231" s="83"/>
      <c r="C231" s="83"/>
      <c r="D231" s="83"/>
      <c r="E231" s="102"/>
      <c r="F231" s="102"/>
      <c r="G231" s="88"/>
      <c r="H231" s="88"/>
      <c r="I231" s="87"/>
      <c r="J231" s="87"/>
      <c r="K231" s="88"/>
      <c r="L231" s="90"/>
    </row>
    <row r="232">
      <c r="A232" s="82"/>
      <c r="B232" s="83"/>
      <c r="C232" s="83"/>
      <c r="D232" s="83"/>
      <c r="E232" s="102"/>
      <c r="F232" s="102"/>
      <c r="G232" s="88"/>
      <c r="H232" s="88"/>
      <c r="I232" s="87"/>
      <c r="J232" s="87"/>
      <c r="K232" s="88"/>
      <c r="L232" s="90"/>
    </row>
    <row r="233">
      <c r="A233" s="82"/>
      <c r="B233" s="83"/>
      <c r="C233" s="83"/>
      <c r="D233" s="83"/>
      <c r="E233" s="102"/>
      <c r="F233" s="102"/>
      <c r="G233" s="88"/>
      <c r="H233" s="88"/>
      <c r="I233" s="87"/>
      <c r="J233" s="87"/>
      <c r="K233" s="88"/>
      <c r="L233" s="90"/>
    </row>
    <row r="234">
      <c r="A234" s="82"/>
      <c r="B234" s="83"/>
      <c r="C234" s="83"/>
      <c r="D234" s="83"/>
      <c r="E234" s="102"/>
      <c r="F234" s="102"/>
      <c r="G234" s="88"/>
      <c r="H234" s="88"/>
      <c r="I234" s="87"/>
      <c r="J234" s="87"/>
      <c r="K234" s="88"/>
      <c r="L234" s="90"/>
    </row>
    <row r="235">
      <c r="A235" s="82"/>
      <c r="B235" s="83"/>
      <c r="C235" s="83"/>
      <c r="D235" s="83"/>
      <c r="E235" s="102"/>
      <c r="F235" s="102"/>
      <c r="G235" s="88"/>
      <c r="H235" s="88"/>
      <c r="I235" s="87"/>
      <c r="J235" s="87"/>
      <c r="K235" s="88"/>
      <c r="L235" s="90"/>
    </row>
    <row r="236">
      <c r="A236" s="82"/>
      <c r="B236" s="83"/>
      <c r="C236" s="83"/>
      <c r="D236" s="83"/>
      <c r="E236" s="102"/>
      <c r="F236" s="102"/>
      <c r="G236" s="88"/>
      <c r="H236" s="88"/>
      <c r="I236" s="87"/>
      <c r="J236" s="87"/>
      <c r="K236" s="88"/>
      <c r="L236" s="90"/>
    </row>
    <row r="237">
      <c r="A237" s="82"/>
      <c r="B237" s="83"/>
      <c r="C237" s="83"/>
      <c r="D237" s="83"/>
      <c r="E237" s="102"/>
      <c r="F237" s="102"/>
      <c r="G237" s="88"/>
      <c r="H237" s="88"/>
      <c r="I237" s="87"/>
      <c r="J237" s="87"/>
      <c r="K237" s="88"/>
      <c r="L237" s="90"/>
    </row>
    <row r="238">
      <c r="A238" s="82"/>
      <c r="B238" s="83"/>
      <c r="C238" s="83"/>
      <c r="D238" s="83"/>
      <c r="E238" s="102"/>
      <c r="F238" s="102"/>
      <c r="G238" s="88"/>
      <c r="H238" s="88"/>
      <c r="I238" s="87"/>
      <c r="J238" s="87"/>
      <c r="K238" s="88"/>
      <c r="L238" s="90"/>
    </row>
    <row r="239">
      <c r="A239" s="82"/>
      <c r="B239" s="83"/>
      <c r="C239" s="83"/>
      <c r="D239" s="83"/>
      <c r="E239" s="102"/>
      <c r="F239" s="102"/>
      <c r="G239" s="88"/>
      <c r="H239" s="88"/>
      <c r="I239" s="87"/>
      <c r="J239" s="87"/>
      <c r="K239" s="88"/>
      <c r="L239" s="90"/>
    </row>
    <row r="240">
      <c r="A240" s="82"/>
      <c r="B240" s="83"/>
      <c r="C240" s="83"/>
      <c r="D240" s="83"/>
      <c r="E240" s="102"/>
      <c r="F240" s="102"/>
      <c r="G240" s="88"/>
      <c r="H240" s="88"/>
      <c r="I240" s="87"/>
      <c r="J240" s="87"/>
      <c r="K240" s="88"/>
      <c r="L240" s="90"/>
    </row>
    <row r="241">
      <c r="A241" s="82"/>
      <c r="B241" s="83"/>
      <c r="C241" s="83"/>
      <c r="D241" s="83"/>
      <c r="E241" s="102"/>
      <c r="F241" s="102"/>
      <c r="G241" s="88"/>
      <c r="H241" s="88"/>
      <c r="I241" s="87"/>
      <c r="J241" s="87"/>
      <c r="K241" s="88"/>
      <c r="L241" s="90"/>
    </row>
    <row r="242">
      <c r="A242" s="82"/>
      <c r="B242" s="83"/>
      <c r="C242" s="83"/>
      <c r="D242" s="83"/>
      <c r="E242" s="102"/>
      <c r="F242" s="102"/>
      <c r="G242" s="88"/>
      <c r="H242" s="88"/>
      <c r="I242" s="87"/>
      <c r="J242" s="87"/>
      <c r="K242" s="88"/>
      <c r="L242" s="90"/>
    </row>
    <row r="243">
      <c r="A243" s="82"/>
      <c r="B243" s="83"/>
      <c r="C243" s="83"/>
      <c r="D243" s="83"/>
      <c r="E243" s="102"/>
      <c r="F243" s="102"/>
      <c r="G243" s="88"/>
      <c r="H243" s="88"/>
      <c r="I243" s="87"/>
      <c r="J243" s="87"/>
      <c r="K243" s="88"/>
      <c r="L243" s="90"/>
    </row>
    <row r="244">
      <c r="A244" s="82"/>
      <c r="B244" s="83"/>
      <c r="C244" s="83"/>
      <c r="D244" s="83"/>
      <c r="E244" s="102"/>
      <c r="F244" s="102"/>
      <c r="G244" s="88"/>
      <c r="H244" s="88"/>
      <c r="I244" s="87"/>
      <c r="J244" s="87"/>
      <c r="K244" s="88"/>
      <c r="L244" s="90"/>
    </row>
    <row r="245">
      <c r="A245" s="82"/>
      <c r="B245" s="83"/>
      <c r="C245" s="83"/>
      <c r="D245" s="83"/>
      <c r="E245" s="102"/>
      <c r="F245" s="102"/>
      <c r="G245" s="88"/>
      <c r="H245" s="88"/>
      <c r="I245" s="87"/>
      <c r="J245" s="87"/>
      <c r="K245" s="88"/>
      <c r="L245" s="90"/>
    </row>
    <row r="246">
      <c r="A246" s="82"/>
      <c r="B246" s="83"/>
      <c r="C246" s="83"/>
      <c r="D246" s="83"/>
      <c r="E246" s="102"/>
      <c r="F246" s="102"/>
      <c r="G246" s="88"/>
      <c r="H246" s="88"/>
      <c r="I246" s="87"/>
      <c r="J246" s="87"/>
      <c r="K246" s="88"/>
      <c r="L246" s="90"/>
    </row>
    <row r="247">
      <c r="A247" s="82"/>
      <c r="B247" s="83"/>
      <c r="C247" s="83"/>
      <c r="D247" s="83"/>
      <c r="E247" s="102"/>
      <c r="F247" s="102"/>
      <c r="G247" s="88"/>
      <c r="H247" s="88"/>
      <c r="I247" s="87"/>
      <c r="J247" s="87"/>
      <c r="K247" s="88"/>
      <c r="L247" s="90"/>
    </row>
    <row r="248">
      <c r="A248" s="82"/>
      <c r="B248" s="83"/>
      <c r="C248" s="83"/>
      <c r="D248" s="83"/>
      <c r="E248" s="102"/>
      <c r="F248" s="102"/>
      <c r="G248" s="88"/>
      <c r="H248" s="88"/>
      <c r="I248" s="87"/>
      <c r="J248" s="87"/>
      <c r="K248" s="88"/>
      <c r="L248" s="90"/>
    </row>
    <row r="249">
      <c r="A249" s="82"/>
      <c r="B249" s="83"/>
      <c r="C249" s="83"/>
      <c r="D249" s="83"/>
      <c r="E249" s="102"/>
      <c r="F249" s="102"/>
      <c r="G249" s="88"/>
      <c r="H249" s="88"/>
      <c r="I249" s="87"/>
      <c r="J249" s="87"/>
      <c r="K249" s="88"/>
      <c r="L249" s="90"/>
    </row>
    <row r="250">
      <c r="A250" s="82"/>
      <c r="B250" s="83"/>
      <c r="C250" s="83"/>
      <c r="D250" s="83"/>
      <c r="E250" s="102"/>
      <c r="F250" s="102"/>
      <c r="G250" s="88"/>
      <c r="H250" s="88"/>
      <c r="I250" s="87"/>
      <c r="J250" s="87"/>
      <c r="K250" s="88"/>
      <c r="L250" s="90"/>
    </row>
    <row r="251">
      <c r="A251" s="82"/>
      <c r="B251" s="83"/>
      <c r="C251" s="83"/>
      <c r="D251" s="83"/>
      <c r="E251" s="102"/>
      <c r="F251" s="102"/>
      <c r="G251" s="88"/>
      <c r="H251" s="88"/>
      <c r="I251" s="87"/>
      <c r="J251" s="87"/>
      <c r="K251" s="88"/>
      <c r="L251" s="90"/>
    </row>
    <row r="252">
      <c r="A252" s="82"/>
      <c r="B252" s="83"/>
      <c r="C252" s="83"/>
      <c r="D252" s="83"/>
      <c r="E252" s="102"/>
      <c r="F252" s="102"/>
      <c r="G252" s="88"/>
      <c r="H252" s="88"/>
      <c r="I252" s="87"/>
      <c r="J252" s="87"/>
      <c r="K252" s="88"/>
      <c r="L252" s="90"/>
    </row>
    <row r="253">
      <c r="A253" s="82"/>
      <c r="B253" s="83"/>
      <c r="C253" s="83"/>
      <c r="D253" s="83"/>
      <c r="E253" s="102"/>
      <c r="F253" s="102"/>
      <c r="G253" s="88"/>
      <c r="H253" s="88"/>
      <c r="I253" s="87"/>
      <c r="J253" s="87"/>
      <c r="K253" s="88"/>
      <c r="L253" s="90"/>
    </row>
    <row r="254">
      <c r="A254" s="82"/>
      <c r="B254" s="83"/>
      <c r="C254" s="83"/>
      <c r="D254" s="83"/>
      <c r="E254" s="102"/>
      <c r="F254" s="102"/>
      <c r="G254" s="88"/>
      <c r="H254" s="88"/>
      <c r="I254" s="87"/>
      <c r="J254" s="87"/>
      <c r="K254" s="88"/>
      <c r="L254" s="90"/>
    </row>
    <row r="255">
      <c r="A255" s="82"/>
      <c r="B255" s="83"/>
      <c r="C255" s="83"/>
      <c r="D255" s="83"/>
      <c r="E255" s="102"/>
      <c r="F255" s="102"/>
      <c r="G255" s="88"/>
      <c r="H255" s="88"/>
      <c r="I255" s="87"/>
      <c r="J255" s="87"/>
      <c r="K255" s="88"/>
      <c r="L255" s="90"/>
    </row>
    <row r="256">
      <c r="A256" s="82"/>
      <c r="B256" s="83"/>
      <c r="C256" s="83"/>
      <c r="D256" s="83"/>
      <c r="E256" s="102"/>
      <c r="F256" s="102"/>
      <c r="G256" s="88"/>
      <c r="H256" s="88"/>
      <c r="I256" s="87"/>
      <c r="J256" s="87"/>
      <c r="K256" s="88"/>
      <c r="L256" s="90"/>
    </row>
    <row r="257">
      <c r="A257" s="82"/>
      <c r="B257" s="83"/>
      <c r="C257" s="83"/>
      <c r="D257" s="83"/>
      <c r="E257" s="102"/>
      <c r="F257" s="102"/>
      <c r="G257" s="88"/>
      <c r="H257" s="88"/>
      <c r="I257" s="87"/>
      <c r="J257" s="87"/>
      <c r="K257" s="88"/>
      <c r="L257" s="90"/>
    </row>
    <row r="258">
      <c r="A258" s="82"/>
      <c r="B258" s="83"/>
      <c r="C258" s="83"/>
      <c r="D258" s="83"/>
      <c r="E258" s="102"/>
      <c r="F258" s="102"/>
      <c r="G258" s="88"/>
      <c r="H258" s="88"/>
      <c r="I258" s="87"/>
      <c r="J258" s="87"/>
      <c r="K258" s="88"/>
      <c r="L258" s="90"/>
    </row>
    <row r="259">
      <c r="A259" s="82"/>
      <c r="B259" s="83"/>
      <c r="C259" s="83"/>
      <c r="D259" s="83"/>
      <c r="E259" s="102"/>
      <c r="F259" s="102"/>
      <c r="G259" s="88"/>
      <c r="H259" s="88"/>
      <c r="I259" s="87"/>
      <c r="J259" s="87"/>
      <c r="K259" s="88"/>
      <c r="L259" s="90"/>
    </row>
    <row r="260">
      <c r="A260" s="82"/>
      <c r="B260" s="83"/>
      <c r="C260" s="83"/>
      <c r="D260" s="83"/>
      <c r="E260" s="102"/>
      <c r="F260" s="102"/>
      <c r="G260" s="88"/>
      <c r="H260" s="88"/>
      <c r="I260" s="87"/>
      <c r="J260" s="87"/>
      <c r="K260" s="88"/>
      <c r="L260" s="90"/>
    </row>
    <row r="261">
      <c r="A261" s="82"/>
      <c r="B261" s="83"/>
      <c r="C261" s="83"/>
      <c r="D261" s="83"/>
      <c r="E261" s="102"/>
      <c r="F261" s="102"/>
      <c r="G261" s="88"/>
      <c r="H261" s="88"/>
      <c r="I261" s="87"/>
      <c r="J261" s="87"/>
      <c r="K261" s="88"/>
      <c r="L261" s="90"/>
    </row>
    <row r="262">
      <c r="A262" s="82"/>
      <c r="B262" s="83"/>
      <c r="C262" s="83"/>
      <c r="D262" s="83"/>
      <c r="E262" s="102"/>
      <c r="F262" s="102"/>
      <c r="G262" s="88"/>
      <c r="H262" s="88"/>
      <c r="I262" s="87"/>
      <c r="J262" s="87"/>
      <c r="K262" s="88"/>
      <c r="L262" s="90"/>
    </row>
    <row r="263">
      <c r="A263" s="82"/>
      <c r="B263" s="83"/>
      <c r="C263" s="83"/>
      <c r="D263" s="83"/>
      <c r="E263" s="102"/>
      <c r="F263" s="102"/>
      <c r="G263" s="88"/>
      <c r="H263" s="88"/>
      <c r="I263" s="87"/>
      <c r="J263" s="87"/>
      <c r="K263" s="88"/>
      <c r="L263" s="90"/>
    </row>
    <row r="264">
      <c r="A264" s="82"/>
      <c r="B264" s="83"/>
      <c r="C264" s="83"/>
      <c r="D264" s="83"/>
      <c r="E264" s="102"/>
      <c r="F264" s="102"/>
      <c r="G264" s="88"/>
      <c r="H264" s="88"/>
      <c r="I264" s="87"/>
      <c r="J264" s="87"/>
      <c r="K264" s="88"/>
      <c r="L264" s="90"/>
    </row>
    <row r="265">
      <c r="A265" s="82"/>
      <c r="B265" s="83"/>
      <c r="C265" s="83"/>
      <c r="D265" s="83"/>
      <c r="E265" s="102"/>
      <c r="F265" s="102"/>
      <c r="G265" s="88"/>
      <c r="H265" s="88"/>
      <c r="I265" s="87"/>
      <c r="J265" s="87"/>
      <c r="K265" s="88"/>
      <c r="L265" s="90"/>
    </row>
    <row r="266">
      <c r="A266" s="82"/>
      <c r="B266" s="83"/>
      <c r="C266" s="83"/>
      <c r="D266" s="83"/>
      <c r="E266" s="102"/>
      <c r="F266" s="102"/>
      <c r="G266" s="88"/>
      <c r="H266" s="88"/>
      <c r="I266" s="87"/>
      <c r="J266" s="87"/>
      <c r="K266" s="88"/>
      <c r="L266" s="90"/>
    </row>
    <row r="267">
      <c r="A267" s="82"/>
      <c r="B267" s="83"/>
      <c r="C267" s="83"/>
      <c r="D267" s="83"/>
      <c r="E267" s="102"/>
      <c r="F267" s="102"/>
      <c r="G267" s="88"/>
      <c r="H267" s="88"/>
      <c r="I267" s="87"/>
      <c r="J267" s="87"/>
      <c r="K267" s="88"/>
      <c r="L267" s="90"/>
    </row>
    <row r="268">
      <c r="A268" s="82"/>
      <c r="B268" s="83"/>
      <c r="C268" s="83"/>
      <c r="D268" s="83"/>
      <c r="E268" s="102"/>
      <c r="F268" s="102"/>
      <c r="G268" s="88"/>
      <c r="H268" s="88"/>
      <c r="I268" s="87"/>
      <c r="J268" s="87"/>
      <c r="K268" s="88"/>
      <c r="L268" s="90"/>
    </row>
    <row r="269">
      <c r="A269" s="82"/>
      <c r="B269" s="83"/>
      <c r="C269" s="83"/>
      <c r="D269" s="83"/>
      <c r="E269" s="102"/>
      <c r="F269" s="102"/>
      <c r="G269" s="88"/>
      <c r="H269" s="88"/>
      <c r="I269" s="87"/>
      <c r="J269" s="87"/>
      <c r="K269" s="88"/>
      <c r="L269" s="90"/>
    </row>
    <row r="270">
      <c r="A270" s="82"/>
      <c r="B270" s="83"/>
      <c r="C270" s="83"/>
      <c r="D270" s="83"/>
      <c r="E270" s="102"/>
      <c r="F270" s="102"/>
      <c r="G270" s="88"/>
      <c r="H270" s="88"/>
      <c r="I270" s="87"/>
      <c r="J270" s="87"/>
      <c r="K270" s="88"/>
      <c r="L270" s="90"/>
    </row>
    <row r="271">
      <c r="A271" s="82"/>
      <c r="B271" s="83"/>
      <c r="C271" s="83"/>
      <c r="D271" s="83"/>
      <c r="E271" s="102"/>
      <c r="F271" s="102"/>
      <c r="G271" s="88"/>
      <c r="H271" s="88"/>
      <c r="I271" s="87"/>
      <c r="J271" s="87"/>
      <c r="K271" s="88"/>
      <c r="L271" s="90"/>
    </row>
    <row r="272">
      <c r="A272" s="82"/>
      <c r="B272" s="83"/>
      <c r="C272" s="83"/>
      <c r="D272" s="83"/>
      <c r="E272" s="102"/>
      <c r="F272" s="102"/>
      <c r="G272" s="88"/>
      <c r="H272" s="88"/>
      <c r="I272" s="87"/>
      <c r="J272" s="87"/>
      <c r="K272" s="88"/>
      <c r="L272" s="90"/>
    </row>
    <row r="273">
      <c r="A273" s="82"/>
      <c r="B273" s="83"/>
      <c r="C273" s="83"/>
      <c r="D273" s="83"/>
      <c r="E273" s="102"/>
      <c r="F273" s="102"/>
      <c r="G273" s="88"/>
      <c r="H273" s="88"/>
      <c r="I273" s="87"/>
      <c r="J273" s="87"/>
      <c r="K273" s="88"/>
      <c r="L273" s="90"/>
    </row>
    <row r="274">
      <c r="A274" s="82"/>
      <c r="B274" s="83"/>
      <c r="C274" s="83"/>
      <c r="D274" s="83"/>
      <c r="E274" s="102"/>
      <c r="F274" s="102"/>
      <c r="G274" s="88"/>
      <c r="H274" s="88"/>
      <c r="I274" s="87"/>
      <c r="J274" s="87"/>
      <c r="K274" s="88"/>
      <c r="L274" s="90"/>
    </row>
    <row r="275">
      <c r="A275" s="82"/>
      <c r="B275" s="83"/>
      <c r="C275" s="83"/>
      <c r="D275" s="83"/>
      <c r="E275" s="102"/>
      <c r="F275" s="102"/>
      <c r="G275" s="88"/>
      <c r="H275" s="88"/>
      <c r="I275" s="87"/>
      <c r="J275" s="87"/>
      <c r="K275" s="88"/>
      <c r="L275" s="90"/>
    </row>
    <row r="276">
      <c r="A276" s="82"/>
      <c r="B276" s="83"/>
      <c r="C276" s="83"/>
      <c r="D276" s="83"/>
      <c r="E276" s="102"/>
      <c r="F276" s="102"/>
      <c r="G276" s="88"/>
      <c r="H276" s="88"/>
      <c r="I276" s="87"/>
      <c r="J276" s="87"/>
      <c r="K276" s="88"/>
      <c r="L276" s="90"/>
    </row>
    <row r="277">
      <c r="A277" s="82"/>
      <c r="B277" s="83"/>
      <c r="C277" s="83"/>
      <c r="D277" s="83"/>
      <c r="E277" s="102"/>
      <c r="F277" s="102"/>
      <c r="G277" s="88"/>
      <c r="H277" s="88"/>
      <c r="I277" s="87"/>
      <c r="J277" s="87"/>
      <c r="K277" s="88"/>
      <c r="L277" s="90"/>
    </row>
    <row r="278">
      <c r="A278" s="82"/>
      <c r="B278" s="83"/>
      <c r="C278" s="83"/>
      <c r="D278" s="83"/>
      <c r="E278" s="102"/>
      <c r="F278" s="102"/>
      <c r="G278" s="88"/>
      <c r="H278" s="88"/>
      <c r="I278" s="87"/>
      <c r="J278" s="87"/>
      <c r="K278" s="88"/>
      <c r="L278" s="90"/>
    </row>
    <row r="279">
      <c r="A279" s="82"/>
      <c r="B279" s="83"/>
      <c r="C279" s="83"/>
      <c r="D279" s="83"/>
      <c r="E279" s="102"/>
      <c r="F279" s="102"/>
      <c r="G279" s="88"/>
      <c r="H279" s="88"/>
      <c r="I279" s="87"/>
      <c r="J279" s="87"/>
      <c r="K279" s="88"/>
      <c r="L279" s="90"/>
    </row>
    <row r="280">
      <c r="A280" s="82"/>
      <c r="B280" s="83"/>
      <c r="C280" s="83"/>
      <c r="D280" s="83"/>
      <c r="E280" s="102"/>
      <c r="F280" s="102"/>
      <c r="G280" s="88"/>
      <c r="H280" s="88"/>
      <c r="I280" s="87"/>
      <c r="J280" s="87"/>
      <c r="K280" s="88"/>
      <c r="L280" s="90"/>
    </row>
    <row r="281">
      <c r="A281" s="82"/>
      <c r="B281" s="83"/>
      <c r="C281" s="83"/>
      <c r="D281" s="83"/>
      <c r="E281" s="102"/>
      <c r="F281" s="102"/>
      <c r="G281" s="88"/>
      <c r="H281" s="88"/>
      <c r="I281" s="87"/>
      <c r="J281" s="87"/>
      <c r="K281" s="88"/>
      <c r="L281" s="90"/>
    </row>
    <row r="282">
      <c r="A282" s="82"/>
      <c r="B282" s="83"/>
      <c r="C282" s="83"/>
      <c r="D282" s="83"/>
      <c r="E282" s="102"/>
      <c r="F282" s="102"/>
      <c r="G282" s="88"/>
      <c r="H282" s="88"/>
      <c r="I282" s="87"/>
      <c r="J282" s="87"/>
      <c r="K282" s="88"/>
      <c r="L282" s="90"/>
    </row>
    <row r="283">
      <c r="A283" s="82"/>
      <c r="B283" s="83"/>
      <c r="C283" s="83"/>
      <c r="D283" s="83"/>
      <c r="E283" s="102"/>
      <c r="F283" s="102"/>
      <c r="G283" s="88"/>
      <c r="H283" s="88"/>
      <c r="I283" s="87"/>
      <c r="J283" s="87"/>
      <c r="K283" s="88"/>
      <c r="L283" s="90"/>
    </row>
    <row r="284">
      <c r="A284" s="82"/>
      <c r="B284" s="83"/>
      <c r="C284" s="83"/>
      <c r="D284" s="83"/>
      <c r="E284" s="102"/>
      <c r="F284" s="102"/>
      <c r="G284" s="88"/>
      <c r="H284" s="88"/>
      <c r="I284" s="87"/>
      <c r="J284" s="87"/>
      <c r="K284" s="88"/>
      <c r="L284" s="90"/>
    </row>
    <row r="285">
      <c r="A285" s="82"/>
      <c r="B285" s="83"/>
      <c r="C285" s="83"/>
      <c r="D285" s="83"/>
      <c r="E285" s="102"/>
      <c r="F285" s="102"/>
      <c r="G285" s="88"/>
      <c r="H285" s="88"/>
      <c r="I285" s="87"/>
      <c r="J285" s="87"/>
      <c r="K285" s="88"/>
      <c r="L285" s="90"/>
    </row>
    <row r="286">
      <c r="A286" s="82"/>
      <c r="B286" s="83"/>
      <c r="C286" s="83"/>
      <c r="D286" s="83"/>
      <c r="E286" s="102"/>
      <c r="F286" s="102"/>
      <c r="G286" s="88"/>
      <c r="H286" s="88"/>
      <c r="I286" s="87"/>
      <c r="J286" s="87"/>
      <c r="K286" s="88"/>
      <c r="L286" s="90"/>
    </row>
    <row r="287">
      <c r="A287" s="82"/>
      <c r="B287" s="83"/>
      <c r="C287" s="83"/>
      <c r="D287" s="83"/>
      <c r="E287" s="102"/>
      <c r="F287" s="102"/>
      <c r="G287" s="88"/>
      <c r="H287" s="88"/>
      <c r="I287" s="87"/>
      <c r="J287" s="87"/>
      <c r="K287" s="88"/>
      <c r="L287" s="90"/>
    </row>
    <row r="288">
      <c r="A288" s="82"/>
      <c r="B288" s="83"/>
      <c r="C288" s="83"/>
      <c r="D288" s="83"/>
      <c r="E288" s="102"/>
      <c r="F288" s="102"/>
      <c r="G288" s="88"/>
      <c r="H288" s="88"/>
      <c r="I288" s="87"/>
      <c r="J288" s="87"/>
      <c r="K288" s="88"/>
      <c r="L288" s="90"/>
    </row>
    <row r="289">
      <c r="A289" s="82"/>
      <c r="B289" s="83"/>
      <c r="C289" s="83"/>
      <c r="D289" s="83"/>
      <c r="E289" s="102"/>
      <c r="F289" s="102"/>
      <c r="G289" s="88"/>
      <c r="H289" s="88"/>
      <c r="I289" s="87"/>
      <c r="J289" s="87"/>
      <c r="K289" s="88"/>
      <c r="L289" s="90"/>
    </row>
    <row r="290">
      <c r="A290" s="82"/>
      <c r="B290" s="83"/>
      <c r="C290" s="83"/>
      <c r="D290" s="83"/>
      <c r="E290" s="102"/>
      <c r="F290" s="102"/>
      <c r="G290" s="88"/>
      <c r="H290" s="88"/>
      <c r="I290" s="87"/>
      <c r="J290" s="87"/>
      <c r="K290" s="88"/>
      <c r="L290" s="90"/>
    </row>
    <row r="291">
      <c r="A291" s="82"/>
      <c r="B291" s="83"/>
      <c r="C291" s="83"/>
      <c r="D291" s="83"/>
      <c r="E291" s="102"/>
      <c r="F291" s="102"/>
      <c r="G291" s="88"/>
      <c r="H291" s="88"/>
      <c r="I291" s="87"/>
      <c r="J291" s="87"/>
      <c r="K291" s="88"/>
      <c r="L291" s="90"/>
    </row>
    <row r="292">
      <c r="A292" s="82"/>
      <c r="B292" s="83"/>
      <c r="C292" s="83"/>
      <c r="D292" s="83"/>
      <c r="E292" s="102"/>
      <c r="F292" s="102"/>
      <c r="G292" s="88"/>
      <c r="H292" s="88"/>
      <c r="I292" s="87"/>
      <c r="J292" s="87"/>
      <c r="K292" s="88"/>
      <c r="L292" s="90"/>
    </row>
    <row r="293">
      <c r="A293" s="82"/>
      <c r="B293" s="83"/>
      <c r="C293" s="83"/>
      <c r="D293" s="83"/>
      <c r="E293" s="102"/>
      <c r="F293" s="102"/>
      <c r="G293" s="88"/>
      <c r="H293" s="88"/>
      <c r="I293" s="87"/>
      <c r="J293" s="87"/>
      <c r="K293" s="88"/>
      <c r="L293" s="90"/>
    </row>
    <row r="294">
      <c r="A294" s="82"/>
      <c r="B294" s="83"/>
      <c r="C294" s="83"/>
      <c r="D294" s="83"/>
      <c r="E294" s="102"/>
      <c r="F294" s="102"/>
      <c r="G294" s="88"/>
      <c r="H294" s="88"/>
      <c r="I294" s="87"/>
      <c r="J294" s="87"/>
      <c r="K294" s="88"/>
      <c r="L294" s="90"/>
    </row>
    <row r="295">
      <c r="A295" s="82"/>
      <c r="B295" s="83"/>
      <c r="C295" s="83"/>
      <c r="D295" s="83"/>
      <c r="E295" s="102"/>
      <c r="F295" s="102"/>
      <c r="G295" s="88"/>
      <c r="H295" s="88"/>
      <c r="I295" s="87"/>
      <c r="J295" s="87"/>
      <c r="K295" s="88"/>
      <c r="L295" s="90"/>
    </row>
    <row r="296">
      <c r="A296" s="82"/>
      <c r="B296" s="83"/>
      <c r="C296" s="83"/>
      <c r="D296" s="83"/>
      <c r="E296" s="102"/>
      <c r="F296" s="102"/>
      <c r="G296" s="88"/>
      <c r="H296" s="88"/>
      <c r="I296" s="87"/>
      <c r="J296" s="87"/>
      <c r="K296" s="88"/>
      <c r="L296" s="90"/>
    </row>
    <row r="297">
      <c r="A297" s="82"/>
      <c r="B297" s="83"/>
      <c r="C297" s="83"/>
      <c r="D297" s="83"/>
      <c r="E297" s="102"/>
      <c r="F297" s="102"/>
      <c r="G297" s="88"/>
      <c r="H297" s="88"/>
      <c r="I297" s="87"/>
      <c r="J297" s="87"/>
      <c r="K297" s="88"/>
      <c r="L297" s="90"/>
    </row>
    <row r="298">
      <c r="A298" s="82"/>
      <c r="B298" s="83"/>
      <c r="C298" s="83"/>
      <c r="D298" s="83"/>
      <c r="E298" s="102"/>
      <c r="F298" s="102"/>
      <c r="G298" s="88"/>
      <c r="H298" s="88"/>
      <c r="I298" s="87"/>
      <c r="J298" s="87"/>
      <c r="K298" s="88"/>
      <c r="L298" s="90"/>
    </row>
    <row r="299">
      <c r="A299" s="82"/>
      <c r="B299" s="83"/>
      <c r="C299" s="83"/>
      <c r="D299" s="83"/>
      <c r="E299" s="102"/>
      <c r="F299" s="102"/>
      <c r="G299" s="88"/>
      <c r="H299" s="88"/>
      <c r="I299" s="87"/>
      <c r="J299" s="87"/>
      <c r="K299" s="88"/>
      <c r="L299" s="90"/>
    </row>
    <row r="300">
      <c r="A300" s="82"/>
      <c r="B300" s="83"/>
      <c r="C300" s="83"/>
      <c r="D300" s="83"/>
      <c r="E300" s="102"/>
      <c r="F300" s="102"/>
      <c r="G300" s="88"/>
      <c r="H300" s="88"/>
      <c r="I300" s="87"/>
      <c r="J300" s="87"/>
      <c r="K300" s="88"/>
      <c r="L300" s="90"/>
    </row>
    <row r="301">
      <c r="A301" s="82"/>
      <c r="B301" s="83"/>
      <c r="C301" s="83"/>
      <c r="D301" s="83"/>
      <c r="E301" s="102"/>
      <c r="F301" s="102"/>
      <c r="G301" s="88"/>
      <c r="H301" s="88"/>
      <c r="I301" s="87"/>
      <c r="J301" s="87"/>
      <c r="K301" s="88"/>
      <c r="L301" s="90"/>
    </row>
    <row r="302">
      <c r="A302" s="82"/>
      <c r="B302" s="83"/>
      <c r="C302" s="83"/>
      <c r="D302" s="83"/>
      <c r="E302" s="102"/>
      <c r="F302" s="102"/>
      <c r="G302" s="88"/>
      <c r="H302" s="88"/>
      <c r="I302" s="87"/>
      <c r="J302" s="87"/>
      <c r="K302" s="88"/>
      <c r="L302" s="90"/>
    </row>
    <row r="303">
      <c r="A303" s="82"/>
      <c r="B303" s="83"/>
      <c r="C303" s="83"/>
      <c r="D303" s="83"/>
      <c r="E303" s="102"/>
      <c r="F303" s="102"/>
      <c r="G303" s="88"/>
      <c r="H303" s="88"/>
      <c r="I303" s="87"/>
      <c r="J303" s="87"/>
      <c r="K303" s="88"/>
      <c r="L303" s="90"/>
    </row>
    <row r="304">
      <c r="A304" s="82"/>
      <c r="B304" s="83"/>
      <c r="C304" s="83"/>
      <c r="D304" s="83"/>
      <c r="E304" s="102"/>
      <c r="F304" s="102"/>
      <c r="G304" s="88"/>
      <c r="H304" s="88"/>
      <c r="I304" s="87"/>
      <c r="J304" s="87"/>
      <c r="K304" s="88"/>
      <c r="L304" s="90"/>
    </row>
    <row r="305">
      <c r="A305" s="82"/>
      <c r="B305" s="83"/>
      <c r="C305" s="83"/>
      <c r="D305" s="83"/>
      <c r="E305" s="102"/>
      <c r="F305" s="102"/>
      <c r="G305" s="88"/>
      <c r="H305" s="88"/>
      <c r="I305" s="87"/>
      <c r="J305" s="87"/>
      <c r="K305" s="88"/>
      <c r="L305" s="90"/>
    </row>
    <row r="306">
      <c r="A306" s="82"/>
      <c r="B306" s="83"/>
      <c r="C306" s="83"/>
      <c r="D306" s="83"/>
      <c r="E306" s="102"/>
      <c r="F306" s="102"/>
      <c r="G306" s="88"/>
      <c r="H306" s="88"/>
      <c r="I306" s="87"/>
      <c r="J306" s="87"/>
      <c r="K306" s="88"/>
      <c r="L306" s="90"/>
    </row>
    <row r="307">
      <c r="A307" s="82"/>
      <c r="B307" s="83"/>
      <c r="C307" s="83"/>
      <c r="D307" s="83"/>
      <c r="E307" s="102"/>
      <c r="F307" s="102"/>
      <c r="G307" s="88"/>
      <c r="H307" s="88"/>
      <c r="I307" s="87"/>
      <c r="J307" s="87"/>
      <c r="K307" s="88"/>
      <c r="L307" s="90"/>
    </row>
    <row r="308">
      <c r="A308" s="82"/>
      <c r="B308" s="83"/>
      <c r="C308" s="83"/>
      <c r="D308" s="83"/>
      <c r="E308" s="102"/>
      <c r="F308" s="102"/>
      <c r="G308" s="88"/>
      <c r="H308" s="88"/>
      <c r="I308" s="87"/>
      <c r="J308" s="87"/>
      <c r="K308" s="88"/>
      <c r="L308" s="90"/>
    </row>
    <row r="309">
      <c r="A309" s="82"/>
      <c r="B309" s="83"/>
      <c r="C309" s="83"/>
      <c r="D309" s="83"/>
      <c r="E309" s="102"/>
      <c r="F309" s="102"/>
      <c r="G309" s="88"/>
      <c r="H309" s="88"/>
      <c r="I309" s="87"/>
      <c r="J309" s="87"/>
      <c r="K309" s="88"/>
      <c r="L309" s="90"/>
    </row>
    <row r="310">
      <c r="A310" s="82"/>
      <c r="B310" s="83"/>
      <c r="C310" s="83"/>
      <c r="D310" s="83"/>
      <c r="E310" s="102"/>
      <c r="F310" s="102"/>
      <c r="G310" s="88"/>
      <c r="H310" s="88"/>
      <c r="I310" s="87"/>
      <c r="J310" s="87"/>
      <c r="K310" s="88"/>
      <c r="L310" s="90"/>
    </row>
    <row r="311">
      <c r="A311" s="82"/>
      <c r="B311" s="83"/>
      <c r="C311" s="83"/>
      <c r="D311" s="83"/>
      <c r="E311" s="102"/>
      <c r="F311" s="102"/>
      <c r="G311" s="88"/>
      <c r="H311" s="88"/>
      <c r="I311" s="87"/>
      <c r="J311" s="87"/>
      <c r="K311" s="88"/>
      <c r="L311" s="90"/>
    </row>
    <row r="312">
      <c r="A312" s="82"/>
      <c r="B312" s="83"/>
      <c r="C312" s="83"/>
      <c r="D312" s="83"/>
      <c r="E312" s="102"/>
      <c r="F312" s="102"/>
      <c r="G312" s="88"/>
      <c r="H312" s="88"/>
      <c r="I312" s="87"/>
      <c r="J312" s="87"/>
      <c r="K312" s="88"/>
      <c r="L312" s="90"/>
    </row>
    <row r="313">
      <c r="A313" s="82"/>
      <c r="B313" s="83"/>
      <c r="C313" s="83"/>
      <c r="D313" s="83"/>
      <c r="E313" s="102"/>
      <c r="F313" s="102"/>
      <c r="G313" s="88"/>
      <c r="H313" s="88"/>
      <c r="I313" s="87"/>
      <c r="J313" s="87"/>
      <c r="K313" s="88"/>
      <c r="L313" s="90"/>
    </row>
    <row r="314">
      <c r="A314" s="82"/>
      <c r="B314" s="83"/>
      <c r="C314" s="83"/>
      <c r="D314" s="83"/>
      <c r="E314" s="102"/>
      <c r="F314" s="102"/>
      <c r="G314" s="88"/>
      <c r="H314" s="88"/>
      <c r="I314" s="87"/>
      <c r="J314" s="87"/>
      <c r="K314" s="88"/>
      <c r="L314" s="90"/>
    </row>
    <row r="315">
      <c r="A315" s="82"/>
      <c r="B315" s="83"/>
      <c r="C315" s="83"/>
      <c r="D315" s="83"/>
      <c r="E315" s="102"/>
      <c r="F315" s="102"/>
      <c r="G315" s="88"/>
      <c r="H315" s="88"/>
      <c r="I315" s="87"/>
      <c r="J315" s="87"/>
      <c r="K315" s="88"/>
      <c r="L315" s="90"/>
    </row>
    <row r="316">
      <c r="A316" s="82"/>
      <c r="B316" s="83"/>
      <c r="C316" s="83"/>
      <c r="D316" s="83"/>
      <c r="E316" s="102"/>
      <c r="F316" s="102"/>
      <c r="G316" s="88"/>
      <c r="H316" s="88"/>
      <c r="I316" s="87"/>
      <c r="J316" s="87"/>
      <c r="K316" s="88"/>
      <c r="L316" s="90"/>
    </row>
    <row r="317">
      <c r="A317" s="82"/>
      <c r="B317" s="83"/>
      <c r="C317" s="83"/>
      <c r="D317" s="83"/>
      <c r="E317" s="102"/>
      <c r="F317" s="102"/>
      <c r="G317" s="88"/>
      <c r="H317" s="88"/>
      <c r="I317" s="87"/>
      <c r="J317" s="87"/>
      <c r="K317" s="88"/>
      <c r="L317" s="90"/>
    </row>
    <row r="318">
      <c r="A318" s="82"/>
      <c r="B318" s="83"/>
      <c r="C318" s="83"/>
      <c r="D318" s="83"/>
      <c r="E318" s="102"/>
      <c r="F318" s="102"/>
      <c r="G318" s="88"/>
      <c r="H318" s="88"/>
      <c r="I318" s="87"/>
      <c r="J318" s="87"/>
      <c r="K318" s="88"/>
      <c r="L318" s="90"/>
    </row>
    <row r="319">
      <c r="A319" s="82"/>
      <c r="B319" s="83"/>
      <c r="C319" s="83"/>
      <c r="D319" s="83"/>
      <c r="E319" s="102"/>
      <c r="F319" s="102"/>
      <c r="G319" s="88"/>
      <c r="H319" s="88"/>
      <c r="I319" s="87"/>
      <c r="J319" s="87"/>
      <c r="K319" s="88"/>
      <c r="L319" s="90"/>
    </row>
    <row r="320">
      <c r="A320" s="82"/>
      <c r="B320" s="83"/>
      <c r="C320" s="83"/>
      <c r="D320" s="83"/>
      <c r="E320" s="102"/>
      <c r="F320" s="102"/>
      <c r="G320" s="88"/>
      <c r="H320" s="88"/>
      <c r="I320" s="87"/>
      <c r="J320" s="87"/>
      <c r="K320" s="88"/>
      <c r="L320" s="90"/>
    </row>
    <row r="321">
      <c r="A321" s="82"/>
      <c r="B321" s="83"/>
      <c r="C321" s="83"/>
      <c r="D321" s="83"/>
      <c r="E321" s="102"/>
      <c r="F321" s="102"/>
      <c r="G321" s="88"/>
      <c r="H321" s="88"/>
      <c r="I321" s="87"/>
      <c r="J321" s="87"/>
      <c r="K321" s="88"/>
      <c r="L321" s="90"/>
    </row>
    <row r="322">
      <c r="A322" s="82"/>
      <c r="B322" s="83"/>
      <c r="C322" s="83"/>
      <c r="D322" s="83"/>
      <c r="E322" s="102"/>
      <c r="F322" s="102"/>
      <c r="G322" s="88"/>
      <c r="H322" s="88"/>
      <c r="I322" s="87"/>
      <c r="J322" s="87"/>
      <c r="K322" s="88"/>
      <c r="L322" s="90"/>
    </row>
    <row r="323">
      <c r="A323" s="82"/>
      <c r="B323" s="83"/>
      <c r="C323" s="83"/>
      <c r="D323" s="83"/>
      <c r="E323" s="102"/>
      <c r="F323" s="102"/>
      <c r="G323" s="88"/>
      <c r="H323" s="88"/>
      <c r="I323" s="87"/>
      <c r="J323" s="87"/>
      <c r="K323" s="88"/>
      <c r="L323" s="90"/>
    </row>
    <row r="324">
      <c r="A324" s="82"/>
      <c r="B324" s="83"/>
      <c r="C324" s="83"/>
      <c r="D324" s="83"/>
      <c r="E324" s="102"/>
      <c r="F324" s="102"/>
      <c r="G324" s="88"/>
      <c r="H324" s="88"/>
      <c r="I324" s="87"/>
      <c r="J324" s="87"/>
      <c r="K324" s="88"/>
      <c r="L324" s="90"/>
    </row>
    <row r="325">
      <c r="A325" s="82"/>
      <c r="B325" s="83"/>
      <c r="C325" s="83"/>
      <c r="D325" s="83"/>
      <c r="E325" s="102"/>
      <c r="F325" s="102"/>
      <c r="G325" s="88"/>
      <c r="H325" s="88"/>
      <c r="I325" s="87"/>
      <c r="J325" s="87"/>
      <c r="K325" s="88"/>
      <c r="L325" s="90"/>
    </row>
    <row r="326">
      <c r="A326" s="82"/>
      <c r="B326" s="83"/>
      <c r="C326" s="83"/>
      <c r="D326" s="83"/>
      <c r="E326" s="102"/>
      <c r="F326" s="102"/>
      <c r="G326" s="88"/>
      <c r="H326" s="88"/>
      <c r="I326" s="87"/>
      <c r="J326" s="87"/>
      <c r="K326" s="88"/>
      <c r="L326" s="90"/>
    </row>
    <row r="327">
      <c r="A327" s="82"/>
      <c r="B327" s="83"/>
      <c r="C327" s="83"/>
      <c r="D327" s="83"/>
      <c r="E327" s="102"/>
      <c r="F327" s="102"/>
      <c r="G327" s="88"/>
      <c r="H327" s="88"/>
      <c r="I327" s="87"/>
      <c r="J327" s="87"/>
      <c r="K327" s="88"/>
      <c r="L327" s="90"/>
    </row>
    <row r="328">
      <c r="A328" s="82"/>
      <c r="B328" s="83"/>
      <c r="C328" s="83"/>
      <c r="D328" s="83"/>
      <c r="E328" s="102"/>
      <c r="F328" s="102"/>
      <c r="G328" s="88"/>
      <c r="H328" s="88"/>
      <c r="I328" s="87"/>
      <c r="J328" s="87"/>
      <c r="K328" s="88"/>
      <c r="L328" s="90"/>
    </row>
    <row r="329">
      <c r="A329" s="82"/>
      <c r="B329" s="83"/>
      <c r="C329" s="83"/>
      <c r="D329" s="83"/>
      <c r="E329" s="102"/>
      <c r="F329" s="102"/>
      <c r="G329" s="88"/>
      <c r="H329" s="88"/>
      <c r="I329" s="87"/>
      <c r="J329" s="87"/>
      <c r="K329" s="88"/>
      <c r="L329" s="90"/>
    </row>
    <row r="330">
      <c r="A330" s="82"/>
      <c r="B330" s="83"/>
      <c r="C330" s="83"/>
      <c r="D330" s="83"/>
      <c r="E330" s="102"/>
      <c r="F330" s="102"/>
      <c r="G330" s="88"/>
      <c r="H330" s="88"/>
      <c r="I330" s="87"/>
      <c r="J330" s="87"/>
      <c r="K330" s="88"/>
      <c r="L330" s="90"/>
    </row>
    <row r="331">
      <c r="A331" s="82"/>
      <c r="B331" s="83"/>
      <c r="C331" s="83"/>
      <c r="D331" s="83"/>
      <c r="E331" s="102"/>
      <c r="F331" s="102"/>
      <c r="G331" s="88"/>
      <c r="H331" s="88"/>
      <c r="I331" s="87"/>
      <c r="J331" s="87"/>
      <c r="K331" s="88"/>
      <c r="L331" s="90"/>
    </row>
    <row r="332">
      <c r="A332" s="82"/>
      <c r="B332" s="83"/>
      <c r="C332" s="83"/>
      <c r="D332" s="83"/>
      <c r="E332" s="102"/>
      <c r="F332" s="102"/>
      <c r="G332" s="88"/>
      <c r="H332" s="88"/>
      <c r="I332" s="87"/>
      <c r="J332" s="87"/>
      <c r="K332" s="88"/>
      <c r="L332" s="90"/>
    </row>
    <row r="333">
      <c r="A333" s="82"/>
      <c r="B333" s="83"/>
      <c r="C333" s="83"/>
      <c r="D333" s="83"/>
      <c r="E333" s="102"/>
      <c r="F333" s="102"/>
      <c r="G333" s="88"/>
      <c r="H333" s="88"/>
      <c r="I333" s="87"/>
      <c r="J333" s="87"/>
      <c r="K333" s="88"/>
      <c r="L333" s="90"/>
    </row>
    <row r="334">
      <c r="A334" s="82"/>
      <c r="B334" s="83"/>
      <c r="C334" s="83"/>
      <c r="D334" s="83"/>
      <c r="E334" s="102"/>
      <c r="F334" s="102"/>
      <c r="G334" s="88"/>
      <c r="H334" s="88"/>
      <c r="I334" s="87"/>
      <c r="J334" s="87"/>
      <c r="K334" s="88"/>
      <c r="L334" s="90"/>
    </row>
    <row r="335">
      <c r="A335" s="82"/>
      <c r="B335" s="83"/>
      <c r="C335" s="83"/>
      <c r="D335" s="83"/>
      <c r="E335" s="102"/>
      <c r="F335" s="102"/>
      <c r="G335" s="88"/>
      <c r="H335" s="88"/>
      <c r="I335" s="87"/>
      <c r="J335" s="87"/>
      <c r="K335" s="88"/>
      <c r="L335" s="90"/>
    </row>
    <row r="336">
      <c r="A336" s="82"/>
      <c r="B336" s="83"/>
      <c r="C336" s="83"/>
      <c r="D336" s="83"/>
      <c r="E336" s="102"/>
      <c r="F336" s="102"/>
      <c r="G336" s="88"/>
      <c r="H336" s="88"/>
      <c r="I336" s="87"/>
      <c r="J336" s="87"/>
      <c r="K336" s="88"/>
      <c r="L336" s="90"/>
    </row>
    <row r="337">
      <c r="A337" s="82"/>
      <c r="B337" s="83"/>
      <c r="C337" s="83"/>
      <c r="D337" s="83"/>
      <c r="E337" s="102"/>
      <c r="F337" s="102"/>
      <c r="G337" s="88"/>
      <c r="H337" s="88"/>
      <c r="I337" s="87"/>
      <c r="J337" s="87"/>
      <c r="K337" s="88"/>
      <c r="L337" s="90"/>
    </row>
    <row r="338">
      <c r="A338" s="82"/>
      <c r="B338" s="83"/>
      <c r="C338" s="83"/>
      <c r="D338" s="83"/>
      <c r="E338" s="102"/>
      <c r="F338" s="102"/>
      <c r="G338" s="88"/>
      <c r="H338" s="88"/>
      <c r="I338" s="87"/>
      <c r="J338" s="87"/>
      <c r="K338" s="88"/>
      <c r="L338" s="90"/>
    </row>
    <row r="339">
      <c r="A339" s="82"/>
      <c r="B339" s="83"/>
      <c r="C339" s="83"/>
      <c r="D339" s="83"/>
      <c r="E339" s="102"/>
      <c r="F339" s="102"/>
      <c r="G339" s="88"/>
      <c r="H339" s="88"/>
      <c r="I339" s="87"/>
      <c r="J339" s="87"/>
      <c r="K339" s="88"/>
      <c r="L339" s="90"/>
    </row>
    <row r="340">
      <c r="A340" s="82"/>
      <c r="B340" s="83"/>
      <c r="C340" s="83"/>
      <c r="D340" s="83"/>
      <c r="E340" s="102"/>
      <c r="F340" s="102"/>
      <c r="G340" s="88"/>
      <c r="H340" s="88"/>
      <c r="I340" s="87"/>
      <c r="J340" s="87"/>
      <c r="K340" s="88"/>
      <c r="L340" s="90"/>
    </row>
    <row r="341">
      <c r="A341" s="82"/>
      <c r="B341" s="83"/>
      <c r="C341" s="83"/>
      <c r="D341" s="83"/>
      <c r="E341" s="102"/>
      <c r="F341" s="102"/>
      <c r="G341" s="88"/>
      <c r="H341" s="88"/>
      <c r="I341" s="87"/>
      <c r="J341" s="87"/>
      <c r="K341" s="88"/>
      <c r="L341" s="90"/>
    </row>
    <row r="342">
      <c r="A342" s="82"/>
      <c r="B342" s="83"/>
      <c r="C342" s="83"/>
      <c r="D342" s="83"/>
      <c r="E342" s="102"/>
      <c r="F342" s="102"/>
      <c r="G342" s="88"/>
      <c r="H342" s="88"/>
      <c r="I342" s="87"/>
      <c r="J342" s="87"/>
      <c r="K342" s="88"/>
      <c r="L342" s="90"/>
    </row>
    <row r="343">
      <c r="A343" s="82"/>
      <c r="B343" s="83"/>
      <c r="C343" s="83"/>
      <c r="D343" s="83"/>
      <c r="E343" s="102"/>
      <c r="F343" s="102"/>
      <c r="G343" s="88"/>
      <c r="H343" s="88"/>
      <c r="I343" s="87"/>
      <c r="J343" s="87"/>
      <c r="K343" s="88"/>
      <c r="L343" s="90"/>
    </row>
    <row r="344">
      <c r="A344" s="82"/>
      <c r="B344" s="83"/>
      <c r="C344" s="83"/>
      <c r="D344" s="83"/>
      <c r="E344" s="102"/>
      <c r="F344" s="102"/>
      <c r="G344" s="88"/>
      <c r="H344" s="88"/>
      <c r="I344" s="87"/>
      <c r="J344" s="87"/>
      <c r="K344" s="88"/>
      <c r="L344" s="90"/>
    </row>
    <row r="345">
      <c r="A345" s="82"/>
      <c r="B345" s="83"/>
      <c r="C345" s="83"/>
      <c r="D345" s="83"/>
      <c r="E345" s="102"/>
      <c r="F345" s="102"/>
      <c r="G345" s="88"/>
      <c r="H345" s="88"/>
      <c r="I345" s="87"/>
      <c r="J345" s="87"/>
      <c r="K345" s="88"/>
      <c r="L345" s="90"/>
    </row>
    <row r="346">
      <c r="A346" s="82"/>
      <c r="B346" s="83"/>
      <c r="C346" s="83"/>
      <c r="D346" s="83"/>
      <c r="E346" s="102"/>
      <c r="F346" s="102"/>
      <c r="G346" s="88"/>
      <c r="H346" s="88"/>
      <c r="I346" s="87"/>
      <c r="J346" s="87"/>
      <c r="K346" s="88"/>
      <c r="L346" s="90"/>
    </row>
    <row r="347">
      <c r="A347" s="82"/>
      <c r="B347" s="83"/>
      <c r="C347" s="83"/>
      <c r="D347" s="83"/>
      <c r="E347" s="102"/>
      <c r="F347" s="102"/>
      <c r="G347" s="88"/>
      <c r="H347" s="88"/>
      <c r="I347" s="87"/>
      <c r="J347" s="87"/>
      <c r="K347" s="88"/>
      <c r="L347" s="90"/>
    </row>
    <row r="348">
      <c r="A348" s="82"/>
      <c r="B348" s="83"/>
      <c r="C348" s="83"/>
      <c r="D348" s="83"/>
      <c r="E348" s="102"/>
      <c r="F348" s="102"/>
      <c r="G348" s="88"/>
      <c r="H348" s="88"/>
      <c r="I348" s="87"/>
      <c r="J348" s="87"/>
      <c r="K348" s="88"/>
      <c r="L348" s="90"/>
    </row>
    <row r="349">
      <c r="A349" s="82"/>
      <c r="B349" s="83"/>
      <c r="C349" s="83"/>
      <c r="D349" s="83"/>
      <c r="E349" s="102"/>
      <c r="F349" s="102"/>
      <c r="G349" s="88"/>
      <c r="H349" s="88"/>
      <c r="I349" s="87"/>
      <c r="J349" s="87"/>
      <c r="K349" s="88"/>
      <c r="L349" s="90"/>
    </row>
    <row r="350">
      <c r="A350" s="82"/>
      <c r="B350" s="83"/>
      <c r="C350" s="83"/>
      <c r="D350" s="83"/>
      <c r="E350" s="102"/>
      <c r="F350" s="102"/>
      <c r="G350" s="88"/>
      <c r="H350" s="88"/>
      <c r="I350" s="87"/>
      <c r="J350" s="87"/>
      <c r="K350" s="88"/>
      <c r="L350" s="90"/>
    </row>
    <row r="351">
      <c r="A351" s="82"/>
      <c r="B351" s="83"/>
      <c r="C351" s="83"/>
      <c r="D351" s="83"/>
      <c r="E351" s="102"/>
      <c r="F351" s="102"/>
      <c r="G351" s="88"/>
      <c r="H351" s="88"/>
      <c r="I351" s="87"/>
      <c r="J351" s="87"/>
      <c r="K351" s="88"/>
      <c r="L351" s="90"/>
    </row>
    <row r="352">
      <c r="A352" s="82"/>
      <c r="B352" s="83"/>
      <c r="C352" s="83"/>
      <c r="D352" s="83"/>
      <c r="E352" s="102"/>
      <c r="F352" s="102"/>
      <c r="G352" s="88"/>
      <c r="H352" s="88"/>
      <c r="I352" s="87"/>
      <c r="J352" s="87"/>
      <c r="K352" s="88"/>
      <c r="L352" s="90"/>
    </row>
    <row r="353">
      <c r="A353" s="82"/>
      <c r="B353" s="83"/>
      <c r="C353" s="83"/>
      <c r="D353" s="83"/>
      <c r="E353" s="102"/>
      <c r="F353" s="102"/>
      <c r="G353" s="88"/>
      <c r="H353" s="88"/>
      <c r="I353" s="87"/>
      <c r="J353" s="87"/>
      <c r="K353" s="88"/>
      <c r="L353" s="90"/>
    </row>
    <row r="354">
      <c r="A354" s="82"/>
      <c r="B354" s="83"/>
      <c r="C354" s="83"/>
      <c r="D354" s="83"/>
      <c r="E354" s="102"/>
      <c r="F354" s="102"/>
      <c r="G354" s="88"/>
      <c r="H354" s="88"/>
      <c r="I354" s="87"/>
      <c r="J354" s="87"/>
      <c r="K354" s="88"/>
      <c r="L354" s="90"/>
    </row>
    <row r="355">
      <c r="A355" s="82"/>
      <c r="B355" s="83"/>
      <c r="C355" s="83"/>
      <c r="D355" s="83"/>
      <c r="E355" s="102"/>
      <c r="F355" s="102"/>
      <c r="G355" s="88"/>
      <c r="H355" s="88"/>
      <c r="I355" s="87"/>
      <c r="J355" s="87"/>
      <c r="K355" s="88"/>
      <c r="L355" s="90"/>
    </row>
    <row r="356">
      <c r="A356" s="82"/>
      <c r="B356" s="83"/>
      <c r="C356" s="83"/>
      <c r="D356" s="83"/>
      <c r="E356" s="102"/>
      <c r="F356" s="102"/>
      <c r="G356" s="88"/>
      <c r="H356" s="88"/>
      <c r="I356" s="87"/>
      <c r="J356" s="87"/>
      <c r="K356" s="88"/>
      <c r="L356" s="90"/>
    </row>
    <row r="357">
      <c r="A357" s="82"/>
      <c r="B357" s="83"/>
      <c r="C357" s="83"/>
      <c r="D357" s="83"/>
      <c r="E357" s="102"/>
      <c r="F357" s="102"/>
      <c r="G357" s="88"/>
      <c r="H357" s="88"/>
      <c r="I357" s="87"/>
      <c r="J357" s="87"/>
      <c r="K357" s="88"/>
      <c r="L357" s="90"/>
    </row>
    <row r="358">
      <c r="A358" s="82"/>
      <c r="B358" s="83"/>
      <c r="C358" s="83"/>
      <c r="D358" s="83"/>
      <c r="E358" s="102"/>
      <c r="F358" s="102"/>
      <c r="G358" s="88"/>
      <c r="H358" s="88"/>
      <c r="I358" s="87"/>
      <c r="J358" s="87"/>
      <c r="K358" s="88"/>
      <c r="L358" s="90"/>
    </row>
    <row r="359">
      <c r="A359" s="82"/>
      <c r="B359" s="83"/>
      <c r="C359" s="83"/>
      <c r="D359" s="83"/>
      <c r="E359" s="102"/>
      <c r="F359" s="102"/>
      <c r="G359" s="88"/>
      <c r="H359" s="88"/>
      <c r="I359" s="87"/>
      <c r="J359" s="87"/>
      <c r="K359" s="88"/>
      <c r="L359" s="90"/>
    </row>
    <row r="360">
      <c r="A360" s="82"/>
      <c r="B360" s="83"/>
      <c r="C360" s="83"/>
      <c r="D360" s="83"/>
      <c r="E360" s="102"/>
      <c r="F360" s="102"/>
      <c r="G360" s="88"/>
      <c r="H360" s="88"/>
      <c r="I360" s="87"/>
      <c r="J360" s="87"/>
      <c r="K360" s="88"/>
      <c r="L360" s="90"/>
    </row>
    <row r="361">
      <c r="A361" s="82"/>
      <c r="B361" s="83"/>
      <c r="C361" s="83"/>
      <c r="D361" s="83"/>
      <c r="E361" s="102"/>
      <c r="F361" s="102"/>
      <c r="G361" s="88"/>
      <c r="H361" s="88"/>
      <c r="I361" s="87"/>
      <c r="J361" s="87"/>
      <c r="K361" s="88"/>
      <c r="L361" s="90"/>
    </row>
    <row r="362">
      <c r="A362" s="82"/>
      <c r="B362" s="83"/>
      <c r="C362" s="83"/>
      <c r="D362" s="83"/>
      <c r="E362" s="102"/>
      <c r="F362" s="102"/>
      <c r="G362" s="88"/>
      <c r="H362" s="88"/>
      <c r="I362" s="87"/>
      <c r="J362" s="87"/>
      <c r="K362" s="88"/>
      <c r="L362" s="90"/>
    </row>
    <row r="363">
      <c r="A363" s="82"/>
      <c r="B363" s="83"/>
      <c r="C363" s="83"/>
      <c r="D363" s="83"/>
      <c r="E363" s="102"/>
      <c r="F363" s="102"/>
      <c r="G363" s="88"/>
      <c r="H363" s="88"/>
      <c r="I363" s="87"/>
      <c r="J363" s="87"/>
      <c r="K363" s="88"/>
      <c r="L363" s="90"/>
    </row>
    <row r="364">
      <c r="A364" s="82"/>
      <c r="B364" s="83"/>
      <c r="C364" s="83"/>
      <c r="D364" s="83"/>
      <c r="E364" s="102"/>
      <c r="F364" s="102"/>
      <c r="G364" s="88"/>
      <c r="H364" s="88"/>
      <c r="I364" s="87"/>
      <c r="J364" s="87"/>
      <c r="K364" s="88"/>
      <c r="L364" s="90"/>
    </row>
    <row r="365">
      <c r="A365" s="82"/>
      <c r="B365" s="83"/>
      <c r="C365" s="83"/>
      <c r="D365" s="83"/>
      <c r="E365" s="102"/>
      <c r="F365" s="102"/>
      <c r="G365" s="88"/>
      <c r="H365" s="88"/>
      <c r="I365" s="87"/>
      <c r="J365" s="87"/>
      <c r="K365" s="88"/>
      <c r="L365" s="90"/>
    </row>
    <row r="366">
      <c r="A366" s="82"/>
      <c r="B366" s="83"/>
      <c r="C366" s="83"/>
      <c r="D366" s="83"/>
      <c r="E366" s="102"/>
      <c r="F366" s="102"/>
      <c r="G366" s="88"/>
      <c r="H366" s="88"/>
      <c r="I366" s="87"/>
      <c r="J366" s="87"/>
      <c r="K366" s="88"/>
      <c r="L366" s="90"/>
    </row>
    <row r="367">
      <c r="A367" s="82"/>
      <c r="B367" s="83"/>
      <c r="C367" s="83"/>
      <c r="D367" s="83"/>
      <c r="E367" s="102"/>
      <c r="F367" s="102"/>
      <c r="G367" s="88"/>
      <c r="H367" s="88"/>
      <c r="I367" s="87"/>
      <c r="J367" s="87"/>
      <c r="K367" s="88"/>
      <c r="L367" s="90"/>
    </row>
    <row r="368">
      <c r="A368" s="82"/>
      <c r="B368" s="83"/>
      <c r="C368" s="83"/>
      <c r="D368" s="83"/>
      <c r="E368" s="102"/>
      <c r="F368" s="102"/>
      <c r="G368" s="88"/>
      <c r="H368" s="88"/>
      <c r="I368" s="87"/>
      <c r="J368" s="87"/>
      <c r="K368" s="88"/>
      <c r="L368" s="90"/>
    </row>
    <row r="369">
      <c r="A369" s="82"/>
      <c r="B369" s="83"/>
      <c r="C369" s="83"/>
      <c r="D369" s="83"/>
      <c r="E369" s="102"/>
      <c r="F369" s="102"/>
      <c r="G369" s="88"/>
      <c r="H369" s="88"/>
      <c r="I369" s="87"/>
      <c r="J369" s="87"/>
      <c r="K369" s="88"/>
      <c r="L369" s="90"/>
    </row>
    <row r="370">
      <c r="A370" s="82"/>
      <c r="B370" s="83"/>
      <c r="C370" s="83"/>
      <c r="D370" s="83"/>
      <c r="E370" s="102"/>
      <c r="F370" s="102"/>
      <c r="G370" s="88"/>
      <c r="H370" s="88"/>
      <c r="I370" s="87"/>
      <c r="J370" s="87"/>
      <c r="K370" s="88"/>
      <c r="L370" s="90"/>
    </row>
    <row r="371">
      <c r="A371" s="82"/>
      <c r="B371" s="83"/>
      <c r="C371" s="83"/>
      <c r="D371" s="83"/>
      <c r="E371" s="102"/>
      <c r="F371" s="102"/>
      <c r="G371" s="88"/>
      <c r="H371" s="88"/>
      <c r="I371" s="87"/>
      <c r="J371" s="87"/>
      <c r="K371" s="88"/>
      <c r="L371" s="90"/>
    </row>
    <row r="372">
      <c r="A372" s="82"/>
      <c r="B372" s="83"/>
      <c r="C372" s="83"/>
      <c r="D372" s="83"/>
      <c r="E372" s="102"/>
      <c r="F372" s="102"/>
      <c r="G372" s="88"/>
      <c r="H372" s="88"/>
      <c r="I372" s="87"/>
      <c r="J372" s="87"/>
      <c r="K372" s="88"/>
      <c r="L372" s="90"/>
    </row>
    <row r="373">
      <c r="A373" s="82"/>
      <c r="B373" s="83"/>
      <c r="C373" s="83"/>
      <c r="D373" s="83"/>
      <c r="E373" s="102"/>
      <c r="F373" s="102"/>
      <c r="G373" s="88"/>
      <c r="H373" s="88"/>
      <c r="I373" s="87"/>
      <c r="J373" s="87"/>
      <c r="K373" s="88"/>
      <c r="L373" s="90"/>
    </row>
    <row r="374">
      <c r="A374" s="82"/>
      <c r="B374" s="83"/>
      <c r="C374" s="83"/>
      <c r="D374" s="83"/>
      <c r="E374" s="102"/>
      <c r="F374" s="102"/>
      <c r="G374" s="88"/>
      <c r="H374" s="88"/>
      <c r="I374" s="87"/>
      <c r="J374" s="87"/>
      <c r="K374" s="88"/>
      <c r="L374" s="90"/>
    </row>
    <row r="375">
      <c r="A375" s="82"/>
      <c r="B375" s="83"/>
      <c r="C375" s="83"/>
      <c r="D375" s="83"/>
      <c r="E375" s="102"/>
      <c r="F375" s="102"/>
      <c r="G375" s="88"/>
      <c r="H375" s="88"/>
      <c r="I375" s="87"/>
      <c r="J375" s="87"/>
      <c r="K375" s="88"/>
      <c r="L375" s="90"/>
    </row>
    <row r="376">
      <c r="A376" s="82"/>
      <c r="B376" s="83"/>
      <c r="C376" s="83"/>
      <c r="D376" s="83"/>
      <c r="E376" s="102"/>
      <c r="F376" s="102"/>
      <c r="G376" s="88"/>
      <c r="H376" s="88"/>
      <c r="I376" s="87"/>
      <c r="J376" s="87"/>
      <c r="K376" s="88"/>
      <c r="L376" s="90"/>
    </row>
    <row r="377">
      <c r="A377" s="82"/>
      <c r="B377" s="83"/>
      <c r="C377" s="83"/>
      <c r="D377" s="83"/>
      <c r="E377" s="102"/>
      <c r="F377" s="102"/>
      <c r="G377" s="88"/>
      <c r="H377" s="88"/>
      <c r="I377" s="87"/>
      <c r="J377" s="87"/>
      <c r="K377" s="88"/>
      <c r="L377" s="90"/>
    </row>
    <row r="378">
      <c r="A378" s="82"/>
      <c r="B378" s="83"/>
      <c r="C378" s="83"/>
      <c r="D378" s="83"/>
      <c r="E378" s="102"/>
      <c r="F378" s="102"/>
      <c r="G378" s="88"/>
      <c r="H378" s="88"/>
      <c r="I378" s="87"/>
      <c r="J378" s="87"/>
      <c r="K378" s="88"/>
      <c r="L378" s="90"/>
    </row>
    <row r="379">
      <c r="A379" s="82"/>
      <c r="B379" s="83"/>
      <c r="C379" s="83"/>
      <c r="D379" s="83"/>
      <c r="E379" s="102"/>
      <c r="F379" s="102"/>
      <c r="G379" s="88"/>
      <c r="H379" s="88"/>
      <c r="I379" s="87"/>
      <c r="J379" s="87"/>
      <c r="K379" s="88"/>
      <c r="L379" s="90"/>
    </row>
    <row r="380">
      <c r="A380" s="82"/>
      <c r="B380" s="83"/>
      <c r="C380" s="83"/>
      <c r="D380" s="83"/>
      <c r="E380" s="102"/>
      <c r="F380" s="102"/>
      <c r="G380" s="88"/>
      <c r="H380" s="88"/>
      <c r="I380" s="87"/>
      <c r="J380" s="87"/>
      <c r="K380" s="88"/>
      <c r="L380" s="90"/>
    </row>
    <row r="381">
      <c r="A381" s="82"/>
      <c r="B381" s="83"/>
      <c r="C381" s="83"/>
      <c r="D381" s="83"/>
      <c r="E381" s="102"/>
      <c r="F381" s="102"/>
      <c r="G381" s="88"/>
      <c r="H381" s="88"/>
      <c r="I381" s="87"/>
      <c r="J381" s="87"/>
      <c r="K381" s="88"/>
      <c r="L381" s="90"/>
    </row>
    <row r="382">
      <c r="A382" s="82"/>
      <c r="B382" s="83"/>
      <c r="C382" s="83"/>
      <c r="D382" s="83"/>
      <c r="E382" s="102"/>
      <c r="F382" s="102"/>
      <c r="G382" s="88"/>
      <c r="H382" s="88"/>
      <c r="I382" s="87"/>
      <c r="J382" s="87"/>
      <c r="K382" s="88"/>
      <c r="L382" s="90"/>
    </row>
    <row r="383">
      <c r="A383" s="82"/>
      <c r="B383" s="83"/>
      <c r="C383" s="83"/>
      <c r="D383" s="83"/>
      <c r="E383" s="102"/>
      <c r="F383" s="102"/>
      <c r="G383" s="88"/>
      <c r="H383" s="88"/>
      <c r="I383" s="87"/>
      <c r="J383" s="87"/>
      <c r="K383" s="88"/>
      <c r="L383" s="90"/>
    </row>
    <row r="384">
      <c r="A384" s="82"/>
      <c r="B384" s="83"/>
      <c r="C384" s="83"/>
      <c r="D384" s="83"/>
      <c r="E384" s="102"/>
      <c r="F384" s="102"/>
      <c r="G384" s="88"/>
      <c r="H384" s="88"/>
      <c r="I384" s="87"/>
      <c r="J384" s="87"/>
      <c r="K384" s="88"/>
      <c r="L384" s="90"/>
    </row>
    <row r="385">
      <c r="A385" s="82"/>
      <c r="B385" s="83"/>
      <c r="C385" s="83"/>
      <c r="D385" s="83"/>
      <c r="E385" s="102"/>
      <c r="F385" s="102"/>
      <c r="G385" s="88"/>
      <c r="H385" s="88"/>
      <c r="I385" s="87"/>
      <c r="J385" s="87"/>
      <c r="K385" s="88"/>
      <c r="L385" s="90"/>
    </row>
    <row r="386">
      <c r="A386" s="82"/>
      <c r="B386" s="83"/>
      <c r="C386" s="83"/>
      <c r="D386" s="83"/>
      <c r="E386" s="102"/>
      <c r="F386" s="102"/>
      <c r="G386" s="88"/>
      <c r="H386" s="88"/>
      <c r="I386" s="87"/>
      <c r="J386" s="87"/>
      <c r="K386" s="88"/>
      <c r="L386" s="90"/>
    </row>
    <row r="387">
      <c r="A387" s="82"/>
      <c r="B387" s="83"/>
      <c r="C387" s="83"/>
      <c r="D387" s="83"/>
      <c r="E387" s="102"/>
      <c r="F387" s="102"/>
      <c r="G387" s="88"/>
      <c r="H387" s="88"/>
      <c r="I387" s="87"/>
      <c r="J387" s="87"/>
      <c r="K387" s="88"/>
      <c r="L387" s="90"/>
    </row>
    <row r="388">
      <c r="A388" s="82"/>
      <c r="B388" s="83"/>
      <c r="C388" s="83"/>
      <c r="D388" s="83"/>
      <c r="E388" s="102"/>
      <c r="F388" s="102"/>
      <c r="G388" s="88"/>
      <c r="H388" s="88"/>
      <c r="I388" s="87"/>
      <c r="J388" s="87"/>
      <c r="K388" s="88"/>
      <c r="L388" s="90"/>
    </row>
    <row r="389">
      <c r="A389" s="82"/>
      <c r="B389" s="83"/>
      <c r="C389" s="83"/>
      <c r="D389" s="83"/>
      <c r="E389" s="102"/>
      <c r="F389" s="102"/>
      <c r="G389" s="88"/>
      <c r="H389" s="88"/>
      <c r="I389" s="87"/>
      <c r="J389" s="87"/>
      <c r="K389" s="88"/>
      <c r="L389" s="90"/>
    </row>
    <row r="390">
      <c r="A390" s="82"/>
      <c r="B390" s="83"/>
      <c r="C390" s="83"/>
      <c r="D390" s="83"/>
      <c r="E390" s="102"/>
      <c r="F390" s="102"/>
      <c r="G390" s="88"/>
      <c r="H390" s="88"/>
      <c r="I390" s="87"/>
      <c r="J390" s="87"/>
      <c r="K390" s="88"/>
      <c r="L390" s="90"/>
    </row>
    <row r="391">
      <c r="A391" s="82"/>
      <c r="B391" s="83"/>
      <c r="C391" s="83"/>
      <c r="D391" s="83"/>
      <c r="E391" s="102"/>
      <c r="F391" s="102"/>
      <c r="G391" s="88"/>
      <c r="H391" s="88"/>
      <c r="I391" s="87"/>
      <c r="J391" s="87"/>
      <c r="K391" s="88"/>
      <c r="L391" s="90"/>
    </row>
    <row r="392">
      <c r="A392" s="82"/>
      <c r="B392" s="83"/>
      <c r="C392" s="83"/>
      <c r="D392" s="83"/>
      <c r="E392" s="102"/>
      <c r="F392" s="102"/>
      <c r="G392" s="88"/>
      <c r="H392" s="88"/>
      <c r="I392" s="87"/>
      <c r="J392" s="87"/>
      <c r="K392" s="88"/>
      <c r="L392" s="90"/>
    </row>
    <row r="393">
      <c r="A393" s="82"/>
      <c r="B393" s="83"/>
      <c r="C393" s="83"/>
      <c r="D393" s="83"/>
      <c r="E393" s="102"/>
      <c r="F393" s="102"/>
      <c r="G393" s="88"/>
      <c r="H393" s="88"/>
      <c r="I393" s="87"/>
      <c r="J393" s="87"/>
      <c r="K393" s="88"/>
      <c r="L393" s="90"/>
    </row>
    <row r="394">
      <c r="A394" s="82"/>
      <c r="B394" s="83"/>
      <c r="C394" s="83"/>
      <c r="D394" s="83"/>
      <c r="E394" s="102"/>
      <c r="F394" s="102"/>
      <c r="G394" s="88"/>
      <c r="H394" s="88"/>
      <c r="I394" s="87"/>
      <c r="J394" s="87"/>
      <c r="K394" s="88"/>
      <c r="L394" s="90"/>
    </row>
    <row r="395">
      <c r="A395" s="82"/>
      <c r="B395" s="83"/>
      <c r="C395" s="83"/>
      <c r="D395" s="83"/>
      <c r="E395" s="102"/>
      <c r="F395" s="102"/>
      <c r="G395" s="88"/>
      <c r="H395" s="88"/>
      <c r="I395" s="87"/>
      <c r="J395" s="87"/>
      <c r="K395" s="88"/>
      <c r="L395" s="90"/>
    </row>
    <row r="396">
      <c r="A396" s="82"/>
      <c r="B396" s="83"/>
      <c r="C396" s="83"/>
      <c r="D396" s="83"/>
      <c r="E396" s="102"/>
      <c r="F396" s="102"/>
      <c r="G396" s="88"/>
      <c r="H396" s="88"/>
      <c r="I396" s="87"/>
      <c r="J396" s="87"/>
      <c r="K396" s="88"/>
      <c r="L396" s="90"/>
    </row>
    <row r="397">
      <c r="A397" s="82"/>
      <c r="B397" s="83"/>
      <c r="C397" s="83"/>
      <c r="D397" s="83"/>
      <c r="E397" s="102"/>
      <c r="F397" s="102"/>
      <c r="G397" s="88"/>
      <c r="H397" s="88"/>
      <c r="I397" s="87"/>
      <c r="J397" s="87"/>
      <c r="K397" s="88"/>
      <c r="L397" s="90"/>
    </row>
    <row r="398">
      <c r="A398" s="82"/>
      <c r="B398" s="83"/>
      <c r="C398" s="83"/>
      <c r="D398" s="83"/>
      <c r="E398" s="102"/>
      <c r="F398" s="102"/>
      <c r="G398" s="88"/>
      <c r="H398" s="88"/>
      <c r="I398" s="87"/>
      <c r="J398" s="87"/>
      <c r="K398" s="88"/>
      <c r="L398" s="90"/>
    </row>
    <row r="399">
      <c r="A399" s="82"/>
      <c r="B399" s="83"/>
      <c r="C399" s="83"/>
      <c r="D399" s="83"/>
      <c r="E399" s="102"/>
      <c r="F399" s="102"/>
      <c r="G399" s="88"/>
      <c r="H399" s="88"/>
      <c r="I399" s="87"/>
      <c r="J399" s="87"/>
      <c r="K399" s="88"/>
      <c r="L399" s="90"/>
    </row>
    <row r="400">
      <c r="A400" s="82"/>
      <c r="B400" s="83"/>
      <c r="C400" s="83"/>
      <c r="D400" s="83"/>
      <c r="E400" s="102"/>
      <c r="F400" s="102"/>
      <c r="G400" s="88"/>
      <c r="H400" s="88"/>
      <c r="I400" s="87"/>
      <c r="J400" s="87"/>
      <c r="K400" s="88"/>
      <c r="L400" s="90"/>
    </row>
    <row r="401">
      <c r="A401" s="82"/>
      <c r="B401" s="83"/>
      <c r="C401" s="83"/>
      <c r="D401" s="83"/>
      <c r="E401" s="102"/>
      <c r="F401" s="102"/>
      <c r="G401" s="88"/>
      <c r="H401" s="88"/>
      <c r="I401" s="87"/>
      <c r="J401" s="87"/>
      <c r="K401" s="88"/>
      <c r="L401" s="90"/>
    </row>
    <row r="402">
      <c r="A402" s="82"/>
      <c r="B402" s="83"/>
      <c r="C402" s="83"/>
      <c r="D402" s="83"/>
      <c r="E402" s="102"/>
      <c r="F402" s="102"/>
      <c r="G402" s="88"/>
      <c r="H402" s="88"/>
      <c r="I402" s="87"/>
      <c r="J402" s="87"/>
      <c r="K402" s="88"/>
      <c r="L402" s="90"/>
    </row>
    <row r="403">
      <c r="A403" s="82"/>
      <c r="B403" s="83"/>
      <c r="C403" s="83"/>
      <c r="D403" s="83"/>
      <c r="E403" s="102"/>
      <c r="F403" s="102"/>
      <c r="G403" s="88"/>
      <c r="H403" s="88"/>
      <c r="I403" s="87"/>
      <c r="J403" s="87"/>
      <c r="K403" s="88"/>
      <c r="L403" s="90"/>
    </row>
    <row r="404">
      <c r="A404" s="82"/>
      <c r="B404" s="83"/>
      <c r="C404" s="83"/>
      <c r="D404" s="83"/>
      <c r="E404" s="102"/>
      <c r="F404" s="102"/>
      <c r="G404" s="88"/>
      <c r="H404" s="88"/>
      <c r="I404" s="87"/>
      <c r="J404" s="87"/>
      <c r="K404" s="88"/>
      <c r="L404" s="90"/>
    </row>
    <row r="405">
      <c r="A405" s="82"/>
      <c r="B405" s="83"/>
      <c r="C405" s="83"/>
      <c r="D405" s="83"/>
      <c r="E405" s="102"/>
      <c r="F405" s="102"/>
      <c r="G405" s="88"/>
      <c r="H405" s="88"/>
      <c r="I405" s="87"/>
      <c r="J405" s="87"/>
      <c r="K405" s="88"/>
      <c r="L405" s="90"/>
    </row>
    <row r="406">
      <c r="A406" s="82"/>
      <c r="B406" s="83"/>
      <c r="C406" s="83"/>
      <c r="D406" s="83"/>
      <c r="E406" s="102"/>
      <c r="F406" s="102"/>
      <c r="G406" s="88"/>
      <c r="H406" s="88"/>
      <c r="I406" s="87"/>
      <c r="J406" s="87"/>
      <c r="K406" s="88"/>
      <c r="L406" s="90"/>
    </row>
    <row r="407">
      <c r="A407" s="82"/>
      <c r="B407" s="83"/>
      <c r="C407" s="83"/>
      <c r="D407" s="83"/>
      <c r="E407" s="102"/>
      <c r="F407" s="102"/>
      <c r="G407" s="88"/>
      <c r="H407" s="88"/>
      <c r="I407" s="87"/>
      <c r="J407" s="87"/>
      <c r="K407" s="88"/>
      <c r="L407" s="90"/>
    </row>
    <row r="408">
      <c r="A408" s="82"/>
      <c r="B408" s="83"/>
      <c r="C408" s="83"/>
      <c r="D408" s="83"/>
      <c r="E408" s="102"/>
      <c r="F408" s="102"/>
      <c r="G408" s="88"/>
      <c r="H408" s="88"/>
      <c r="I408" s="87"/>
      <c r="J408" s="87"/>
      <c r="K408" s="88"/>
      <c r="L408" s="90"/>
    </row>
    <row r="409">
      <c r="A409" s="82"/>
      <c r="B409" s="83"/>
      <c r="C409" s="83"/>
      <c r="D409" s="83"/>
      <c r="E409" s="102"/>
      <c r="F409" s="102"/>
      <c r="G409" s="88"/>
      <c r="H409" s="88"/>
      <c r="I409" s="87"/>
      <c r="J409" s="87"/>
      <c r="K409" s="88"/>
      <c r="L409" s="90"/>
    </row>
    <row r="410">
      <c r="A410" s="82"/>
      <c r="B410" s="83"/>
      <c r="C410" s="83"/>
      <c r="D410" s="83"/>
      <c r="E410" s="102"/>
      <c r="F410" s="102"/>
      <c r="G410" s="88"/>
      <c r="H410" s="88"/>
      <c r="I410" s="87"/>
      <c r="J410" s="87"/>
      <c r="K410" s="88"/>
      <c r="L410" s="90"/>
    </row>
    <row r="411">
      <c r="A411" s="82"/>
      <c r="B411" s="83"/>
      <c r="C411" s="83"/>
      <c r="D411" s="83"/>
      <c r="E411" s="102"/>
      <c r="F411" s="102"/>
      <c r="G411" s="88"/>
      <c r="H411" s="88"/>
      <c r="I411" s="87"/>
      <c r="J411" s="87"/>
      <c r="K411" s="88"/>
      <c r="L411" s="90"/>
    </row>
    <row r="412">
      <c r="A412" s="82"/>
      <c r="B412" s="83"/>
      <c r="C412" s="83"/>
      <c r="D412" s="83"/>
      <c r="E412" s="102"/>
      <c r="F412" s="102"/>
      <c r="G412" s="88"/>
      <c r="H412" s="88"/>
      <c r="I412" s="87"/>
      <c r="J412" s="87"/>
      <c r="K412" s="88"/>
      <c r="L412" s="90"/>
    </row>
    <row r="413">
      <c r="A413" s="82"/>
      <c r="B413" s="83"/>
      <c r="C413" s="83"/>
      <c r="D413" s="83"/>
      <c r="E413" s="102"/>
      <c r="F413" s="102"/>
      <c r="G413" s="88"/>
      <c r="H413" s="88"/>
      <c r="I413" s="87"/>
      <c r="J413" s="87"/>
      <c r="K413" s="88"/>
      <c r="L413" s="90"/>
    </row>
    <row r="414">
      <c r="A414" s="82"/>
      <c r="B414" s="83"/>
      <c r="C414" s="83"/>
      <c r="D414" s="83"/>
      <c r="E414" s="102"/>
      <c r="F414" s="102"/>
      <c r="G414" s="88"/>
      <c r="H414" s="88"/>
      <c r="I414" s="87"/>
      <c r="J414" s="87"/>
      <c r="K414" s="88"/>
      <c r="L414" s="90"/>
    </row>
    <row r="415">
      <c r="A415" s="82"/>
      <c r="B415" s="83"/>
      <c r="C415" s="83"/>
      <c r="D415" s="83"/>
      <c r="E415" s="102"/>
      <c r="F415" s="102"/>
      <c r="G415" s="88"/>
      <c r="H415" s="88"/>
      <c r="I415" s="87"/>
      <c r="J415" s="87"/>
      <c r="K415" s="88"/>
      <c r="L415" s="90"/>
    </row>
    <row r="416">
      <c r="A416" s="82"/>
      <c r="B416" s="83"/>
      <c r="C416" s="83"/>
      <c r="D416" s="83"/>
      <c r="E416" s="102"/>
      <c r="F416" s="102"/>
      <c r="G416" s="88"/>
      <c r="H416" s="88"/>
      <c r="I416" s="87"/>
      <c r="J416" s="87"/>
      <c r="K416" s="88"/>
      <c r="L416" s="90"/>
    </row>
    <row r="417">
      <c r="A417" s="82"/>
      <c r="B417" s="83"/>
      <c r="C417" s="83"/>
      <c r="D417" s="83"/>
      <c r="E417" s="102"/>
      <c r="F417" s="102"/>
      <c r="G417" s="88"/>
      <c r="H417" s="88"/>
      <c r="I417" s="87"/>
      <c r="J417" s="87"/>
      <c r="K417" s="88"/>
      <c r="L417" s="90"/>
    </row>
    <row r="418">
      <c r="A418" s="82"/>
      <c r="B418" s="83"/>
      <c r="C418" s="83"/>
      <c r="D418" s="83"/>
      <c r="E418" s="102"/>
      <c r="F418" s="102"/>
      <c r="G418" s="88"/>
      <c r="H418" s="88"/>
      <c r="I418" s="87"/>
      <c r="J418" s="87"/>
      <c r="K418" s="88"/>
      <c r="L418" s="90"/>
    </row>
    <row r="419">
      <c r="A419" s="82"/>
      <c r="B419" s="83"/>
      <c r="C419" s="83"/>
      <c r="D419" s="83"/>
      <c r="E419" s="102"/>
      <c r="F419" s="102"/>
      <c r="G419" s="88"/>
      <c r="H419" s="88"/>
      <c r="I419" s="87"/>
      <c r="J419" s="87"/>
      <c r="K419" s="88"/>
      <c r="L419" s="90"/>
    </row>
    <row r="420">
      <c r="A420" s="82"/>
      <c r="B420" s="83"/>
      <c r="C420" s="83"/>
      <c r="D420" s="83"/>
      <c r="E420" s="102"/>
      <c r="F420" s="102"/>
      <c r="G420" s="88"/>
      <c r="H420" s="88"/>
      <c r="I420" s="87"/>
      <c r="J420" s="87"/>
      <c r="K420" s="88"/>
      <c r="L420" s="90"/>
    </row>
    <row r="421">
      <c r="A421" s="82"/>
      <c r="B421" s="83"/>
      <c r="C421" s="83"/>
      <c r="D421" s="83"/>
      <c r="E421" s="102"/>
      <c r="F421" s="102"/>
      <c r="G421" s="88"/>
      <c r="H421" s="88"/>
      <c r="I421" s="87"/>
      <c r="J421" s="87"/>
      <c r="K421" s="88"/>
      <c r="L421" s="90"/>
    </row>
    <row r="422">
      <c r="A422" s="82"/>
      <c r="B422" s="83"/>
      <c r="C422" s="83"/>
      <c r="D422" s="83"/>
      <c r="E422" s="102"/>
      <c r="F422" s="102"/>
      <c r="G422" s="88"/>
      <c r="H422" s="88"/>
      <c r="I422" s="87"/>
      <c r="J422" s="87"/>
      <c r="K422" s="88"/>
      <c r="L422" s="90"/>
    </row>
    <row r="423">
      <c r="A423" s="82"/>
      <c r="B423" s="83"/>
      <c r="C423" s="83"/>
      <c r="D423" s="83"/>
      <c r="E423" s="102"/>
      <c r="F423" s="102"/>
      <c r="G423" s="88"/>
      <c r="H423" s="88"/>
      <c r="I423" s="87"/>
      <c r="J423" s="87"/>
      <c r="K423" s="88"/>
      <c r="L423" s="90"/>
    </row>
    <row r="424">
      <c r="A424" s="82"/>
      <c r="B424" s="83"/>
      <c r="C424" s="83"/>
      <c r="D424" s="83"/>
      <c r="E424" s="102"/>
      <c r="F424" s="102"/>
      <c r="G424" s="88"/>
      <c r="H424" s="88"/>
      <c r="I424" s="87"/>
      <c r="J424" s="87"/>
      <c r="K424" s="88"/>
      <c r="L424" s="90"/>
    </row>
    <row r="425">
      <c r="A425" s="82"/>
      <c r="B425" s="83"/>
      <c r="C425" s="83"/>
      <c r="D425" s="83"/>
      <c r="E425" s="102"/>
      <c r="F425" s="102"/>
      <c r="G425" s="88"/>
      <c r="H425" s="88"/>
      <c r="I425" s="87"/>
      <c r="J425" s="87"/>
      <c r="K425" s="88"/>
      <c r="L425" s="90"/>
    </row>
    <row r="426">
      <c r="A426" s="82"/>
      <c r="B426" s="83"/>
      <c r="C426" s="83"/>
      <c r="D426" s="83"/>
      <c r="E426" s="102"/>
      <c r="F426" s="102"/>
      <c r="G426" s="88"/>
      <c r="H426" s="88"/>
      <c r="I426" s="87"/>
      <c r="J426" s="87"/>
      <c r="K426" s="88"/>
      <c r="L426" s="90"/>
    </row>
    <row r="427">
      <c r="A427" s="82"/>
      <c r="B427" s="83"/>
      <c r="C427" s="83"/>
      <c r="D427" s="83"/>
      <c r="E427" s="102"/>
      <c r="F427" s="102"/>
      <c r="G427" s="88"/>
      <c r="H427" s="88"/>
      <c r="I427" s="87"/>
      <c r="J427" s="87"/>
      <c r="K427" s="88"/>
      <c r="L427" s="90"/>
    </row>
    <row r="428">
      <c r="A428" s="82"/>
      <c r="B428" s="83"/>
      <c r="C428" s="83"/>
      <c r="D428" s="83"/>
      <c r="E428" s="102"/>
      <c r="F428" s="102"/>
      <c r="G428" s="88"/>
      <c r="H428" s="88"/>
      <c r="I428" s="87"/>
      <c r="J428" s="87"/>
      <c r="K428" s="88"/>
      <c r="L428" s="90"/>
    </row>
    <row r="429">
      <c r="A429" s="82"/>
      <c r="B429" s="83"/>
      <c r="C429" s="83"/>
      <c r="D429" s="83"/>
      <c r="E429" s="102"/>
      <c r="F429" s="102"/>
      <c r="G429" s="88"/>
      <c r="H429" s="88"/>
      <c r="I429" s="87"/>
      <c r="J429" s="87"/>
      <c r="K429" s="88"/>
      <c r="L429" s="90"/>
    </row>
    <row r="430">
      <c r="A430" s="82"/>
      <c r="B430" s="83"/>
      <c r="C430" s="83"/>
      <c r="D430" s="83"/>
      <c r="E430" s="102"/>
      <c r="F430" s="102"/>
      <c r="G430" s="88"/>
      <c r="H430" s="88"/>
      <c r="I430" s="87"/>
      <c r="J430" s="87"/>
      <c r="K430" s="88"/>
      <c r="L430" s="90"/>
    </row>
    <row r="431">
      <c r="A431" s="82"/>
      <c r="B431" s="83"/>
      <c r="C431" s="83"/>
      <c r="D431" s="83"/>
      <c r="E431" s="102"/>
      <c r="F431" s="102"/>
      <c r="G431" s="88"/>
      <c r="H431" s="88"/>
      <c r="I431" s="87"/>
      <c r="J431" s="87"/>
      <c r="K431" s="88"/>
      <c r="L431" s="90"/>
    </row>
    <row r="432">
      <c r="A432" s="82"/>
      <c r="B432" s="83"/>
      <c r="C432" s="83"/>
      <c r="D432" s="83"/>
      <c r="E432" s="102"/>
      <c r="F432" s="102"/>
      <c r="G432" s="88"/>
      <c r="H432" s="88"/>
      <c r="I432" s="87"/>
      <c r="J432" s="87"/>
      <c r="K432" s="88"/>
      <c r="L432" s="90"/>
    </row>
    <row r="433">
      <c r="A433" s="82"/>
      <c r="B433" s="83"/>
      <c r="C433" s="83"/>
      <c r="D433" s="83"/>
      <c r="E433" s="102"/>
      <c r="F433" s="102"/>
      <c r="G433" s="88"/>
      <c r="H433" s="88"/>
      <c r="I433" s="87"/>
      <c r="J433" s="87"/>
      <c r="K433" s="88"/>
      <c r="L433" s="90"/>
    </row>
    <row r="434">
      <c r="A434" s="82"/>
      <c r="B434" s="83"/>
      <c r="C434" s="83"/>
      <c r="D434" s="83"/>
      <c r="E434" s="102"/>
      <c r="F434" s="102"/>
      <c r="G434" s="88"/>
      <c r="H434" s="88"/>
      <c r="I434" s="87"/>
      <c r="J434" s="87"/>
      <c r="K434" s="88"/>
      <c r="L434" s="90"/>
    </row>
    <row r="435">
      <c r="A435" s="82"/>
      <c r="B435" s="83"/>
      <c r="C435" s="83"/>
      <c r="D435" s="83"/>
      <c r="E435" s="102"/>
      <c r="F435" s="102"/>
      <c r="G435" s="88"/>
      <c r="H435" s="88"/>
      <c r="I435" s="87"/>
      <c r="J435" s="87"/>
      <c r="K435" s="88"/>
      <c r="L435" s="90"/>
    </row>
    <row r="436">
      <c r="A436" s="82"/>
      <c r="B436" s="83"/>
      <c r="C436" s="83"/>
      <c r="D436" s="83"/>
      <c r="E436" s="102"/>
      <c r="F436" s="102"/>
      <c r="G436" s="88"/>
      <c r="H436" s="88"/>
      <c r="I436" s="87"/>
      <c r="J436" s="87"/>
      <c r="K436" s="88"/>
      <c r="L436" s="90"/>
    </row>
    <row r="437">
      <c r="A437" s="82"/>
      <c r="B437" s="83"/>
      <c r="C437" s="83"/>
      <c r="D437" s="83"/>
      <c r="E437" s="102"/>
      <c r="F437" s="102"/>
      <c r="G437" s="88"/>
      <c r="H437" s="88"/>
      <c r="I437" s="87"/>
      <c r="J437" s="87"/>
      <c r="K437" s="88"/>
      <c r="L437" s="90"/>
    </row>
    <row r="438">
      <c r="A438" s="82"/>
      <c r="B438" s="83"/>
      <c r="C438" s="83"/>
      <c r="D438" s="83"/>
      <c r="E438" s="102"/>
      <c r="F438" s="102"/>
      <c r="G438" s="88"/>
      <c r="H438" s="88"/>
      <c r="I438" s="87"/>
      <c r="J438" s="87"/>
      <c r="K438" s="88"/>
      <c r="L438" s="90"/>
    </row>
    <row r="439">
      <c r="A439" s="82"/>
      <c r="B439" s="83"/>
      <c r="C439" s="83"/>
      <c r="D439" s="83"/>
      <c r="E439" s="102"/>
      <c r="F439" s="102"/>
      <c r="G439" s="88"/>
      <c r="H439" s="88"/>
      <c r="I439" s="87"/>
      <c r="J439" s="87"/>
      <c r="K439" s="88"/>
      <c r="L439" s="90"/>
    </row>
    <row r="440">
      <c r="A440" s="82"/>
      <c r="B440" s="83"/>
      <c r="C440" s="83"/>
      <c r="D440" s="83"/>
      <c r="E440" s="102"/>
      <c r="F440" s="102"/>
      <c r="G440" s="88"/>
      <c r="H440" s="88"/>
      <c r="I440" s="87"/>
      <c r="J440" s="87"/>
      <c r="K440" s="88"/>
      <c r="L440" s="90"/>
    </row>
    <row r="441">
      <c r="A441" s="82"/>
      <c r="B441" s="83"/>
      <c r="C441" s="83"/>
      <c r="D441" s="83"/>
      <c r="E441" s="102"/>
      <c r="F441" s="102"/>
      <c r="G441" s="88"/>
      <c r="H441" s="88"/>
      <c r="I441" s="87"/>
      <c r="J441" s="87"/>
      <c r="K441" s="88"/>
      <c r="L441" s="90"/>
    </row>
    <row r="442">
      <c r="A442" s="82"/>
      <c r="B442" s="83"/>
      <c r="C442" s="83"/>
      <c r="D442" s="83"/>
      <c r="E442" s="102"/>
      <c r="F442" s="102"/>
      <c r="G442" s="88"/>
      <c r="H442" s="88"/>
      <c r="I442" s="87"/>
      <c r="J442" s="87"/>
      <c r="K442" s="88"/>
      <c r="L442" s="90"/>
    </row>
    <row r="443">
      <c r="A443" s="82"/>
      <c r="B443" s="83"/>
      <c r="C443" s="83"/>
      <c r="D443" s="83"/>
      <c r="E443" s="102"/>
      <c r="F443" s="102"/>
      <c r="G443" s="88"/>
      <c r="H443" s="88"/>
      <c r="I443" s="87"/>
      <c r="J443" s="87"/>
      <c r="K443" s="88"/>
      <c r="L443" s="90"/>
    </row>
    <row r="444">
      <c r="A444" s="82"/>
      <c r="B444" s="83"/>
      <c r="C444" s="83"/>
      <c r="D444" s="83"/>
      <c r="E444" s="102"/>
      <c r="F444" s="102"/>
      <c r="G444" s="88"/>
      <c r="H444" s="88"/>
      <c r="I444" s="87"/>
      <c r="J444" s="87"/>
      <c r="K444" s="88"/>
      <c r="L444" s="90"/>
    </row>
    <row r="445">
      <c r="A445" s="82"/>
      <c r="B445" s="83"/>
      <c r="C445" s="83"/>
      <c r="D445" s="83"/>
      <c r="E445" s="102"/>
      <c r="F445" s="102"/>
      <c r="G445" s="88"/>
      <c r="H445" s="88"/>
      <c r="I445" s="87"/>
      <c r="J445" s="87"/>
      <c r="K445" s="88"/>
      <c r="L445" s="90"/>
    </row>
    <row r="446">
      <c r="A446" s="82"/>
      <c r="B446" s="83"/>
      <c r="C446" s="83"/>
      <c r="D446" s="83"/>
      <c r="E446" s="102"/>
      <c r="F446" s="102"/>
      <c r="G446" s="88"/>
      <c r="H446" s="88"/>
      <c r="I446" s="87"/>
      <c r="J446" s="87"/>
      <c r="K446" s="88"/>
      <c r="L446" s="90"/>
    </row>
    <row r="447">
      <c r="A447" s="82"/>
      <c r="B447" s="83"/>
      <c r="C447" s="83"/>
      <c r="D447" s="83"/>
      <c r="E447" s="102"/>
      <c r="F447" s="102"/>
      <c r="G447" s="88"/>
      <c r="H447" s="88"/>
      <c r="I447" s="87"/>
      <c r="J447" s="87"/>
      <c r="K447" s="88"/>
      <c r="L447" s="90"/>
    </row>
    <row r="448">
      <c r="A448" s="82"/>
      <c r="B448" s="83"/>
      <c r="C448" s="83"/>
      <c r="D448" s="83"/>
      <c r="E448" s="102"/>
      <c r="F448" s="102"/>
      <c r="G448" s="88"/>
      <c r="H448" s="88"/>
      <c r="I448" s="87"/>
      <c r="J448" s="87"/>
      <c r="K448" s="88"/>
      <c r="L448" s="90"/>
    </row>
    <row r="449">
      <c r="A449" s="82"/>
      <c r="B449" s="83"/>
      <c r="C449" s="83"/>
      <c r="D449" s="83"/>
      <c r="E449" s="102"/>
      <c r="F449" s="102"/>
      <c r="G449" s="88"/>
      <c r="H449" s="88"/>
      <c r="I449" s="87"/>
      <c r="J449" s="87"/>
      <c r="K449" s="88"/>
      <c r="L449" s="90"/>
    </row>
    <row r="450">
      <c r="A450" s="82"/>
      <c r="B450" s="83"/>
      <c r="C450" s="83"/>
      <c r="D450" s="83"/>
      <c r="E450" s="102"/>
      <c r="F450" s="102"/>
      <c r="G450" s="88"/>
      <c r="H450" s="88"/>
      <c r="I450" s="87"/>
      <c r="J450" s="87"/>
      <c r="K450" s="88"/>
      <c r="L450" s="90"/>
    </row>
    <row r="451">
      <c r="A451" s="82"/>
      <c r="B451" s="83"/>
      <c r="C451" s="83"/>
      <c r="D451" s="83"/>
      <c r="E451" s="102"/>
      <c r="F451" s="102"/>
      <c r="G451" s="88"/>
      <c r="H451" s="88"/>
      <c r="I451" s="87"/>
      <c r="J451" s="87"/>
      <c r="K451" s="88"/>
      <c r="L451" s="90"/>
    </row>
    <row r="452">
      <c r="A452" s="82"/>
      <c r="B452" s="83"/>
      <c r="C452" s="83"/>
      <c r="D452" s="83"/>
      <c r="E452" s="102"/>
      <c r="F452" s="102"/>
      <c r="G452" s="88"/>
      <c r="H452" s="88"/>
      <c r="I452" s="87"/>
      <c r="J452" s="87"/>
      <c r="K452" s="88"/>
      <c r="L452" s="90"/>
    </row>
    <row r="453">
      <c r="A453" s="82"/>
      <c r="B453" s="83"/>
      <c r="C453" s="83"/>
      <c r="D453" s="83"/>
      <c r="E453" s="102"/>
      <c r="F453" s="102"/>
      <c r="G453" s="88"/>
      <c r="H453" s="88"/>
      <c r="I453" s="87"/>
      <c r="J453" s="87"/>
      <c r="K453" s="88"/>
      <c r="L453" s="90"/>
    </row>
    <row r="454">
      <c r="A454" s="82"/>
      <c r="B454" s="83"/>
      <c r="C454" s="83"/>
      <c r="D454" s="83"/>
      <c r="E454" s="102"/>
      <c r="F454" s="102"/>
      <c r="G454" s="88"/>
      <c r="H454" s="88"/>
      <c r="I454" s="87"/>
      <c r="J454" s="87"/>
      <c r="K454" s="88"/>
      <c r="L454" s="90"/>
    </row>
    <row r="455">
      <c r="A455" s="82"/>
      <c r="B455" s="83"/>
      <c r="C455" s="83"/>
      <c r="D455" s="83"/>
      <c r="E455" s="102"/>
      <c r="F455" s="102"/>
      <c r="G455" s="88"/>
      <c r="H455" s="88"/>
      <c r="I455" s="87"/>
      <c r="J455" s="87"/>
      <c r="K455" s="88"/>
      <c r="L455" s="90"/>
    </row>
    <row r="456">
      <c r="A456" s="82"/>
      <c r="B456" s="83"/>
      <c r="C456" s="83"/>
      <c r="D456" s="83"/>
      <c r="E456" s="102"/>
      <c r="F456" s="102"/>
      <c r="G456" s="88"/>
      <c r="H456" s="88"/>
      <c r="I456" s="87"/>
      <c r="J456" s="87"/>
      <c r="K456" s="88"/>
      <c r="L456" s="90"/>
    </row>
    <row r="457">
      <c r="A457" s="82"/>
      <c r="B457" s="83"/>
      <c r="C457" s="83"/>
      <c r="D457" s="83"/>
      <c r="E457" s="102"/>
      <c r="F457" s="102"/>
      <c r="G457" s="88"/>
      <c r="H457" s="88"/>
      <c r="I457" s="87"/>
      <c r="J457" s="87"/>
      <c r="K457" s="88"/>
      <c r="L457" s="90"/>
    </row>
    <row r="458">
      <c r="A458" s="82"/>
      <c r="B458" s="83"/>
      <c r="C458" s="83"/>
      <c r="D458" s="83"/>
      <c r="E458" s="102"/>
      <c r="F458" s="102"/>
      <c r="G458" s="88"/>
      <c r="H458" s="88"/>
      <c r="I458" s="87"/>
      <c r="J458" s="87"/>
      <c r="K458" s="88"/>
      <c r="L458" s="90"/>
    </row>
    <row r="459">
      <c r="A459" s="82"/>
      <c r="B459" s="83"/>
      <c r="C459" s="83"/>
      <c r="D459" s="83"/>
      <c r="E459" s="102"/>
      <c r="F459" s="102"/>
      <c r="G459" s="88"/>
      <c r="H459" s="88"/>
      <c r="I459" s="87"/>
      <c r="J459" s="87"/>
      <c r="K459" s="88"/>
      <c r="L459" s="90"/>
    </row>
    <row r="460">
      <c r="A460" s="82"/>
      <c r="B460" s="83"/>
      <c r="C460" s="83"/>
      <c r="D460" s="83"/>
      <c r="E460" s="102"/>
      <c r="F460" s="102"/>
      <c r="G460" s="88"/>
      <c r="H460" s="88"/>
      <c r="I460" s="87"/>
      <c r="J460" s="87"/>
      <c r="K460" s="88"/>
      <c r="L460" s="90"/>
    </row>
    <row r="461">
      <c r="A461" s="82"/>
      <c r="B461" s="83"/>
      <c r="C461" s="83"/>
      <c r="D461" s="83"/>
      <c r="E461" s="102"/>
      <c r="F461" s="102"/>
      <c r="G461" s="88"/>
      <c r="H461" s="88"/>
      <c r="I461" s="87"/>
      <c r="J461" s="87"/>
      <c r="K461" s="88"/>
      <c r="L461" s="90"/>
    </row>
    <row r="462">
      <c r="A462" s="82"/>
      <c r="B462" s="83"/>
      <c r="C462" s="83"/>
      <c r="D462" s="83"/>
      <c r="E462" s="102"/>
      <c r="F462" s="102"/>
      <c r="G462" s="88"/>
      <c r="H462" s="88"/>
      <c r="I462" s="87"/>
      <c r="J462" s="87"/>
      <c r="K462" s="88"/>
      <c r="L462" s="90"/>
    </row>
    <row r="463">
      <c r="A463" s="82"/>
      <c r="B463" s="83"/>
      <c r="C463" s="83"/>
      <c r="D463" s="83"/>
      <c r="E463" s="102"/>
      <c r="F463" s="102"/>
      <c r="G463" s="88"/>
      <c r="H463" s="88"/>
      <c r="I463" s="87"/>
      <c r="J463" s="87"/>
      <c r="K463" s="88"/>
      <c r="L463" s="90"/>
    </row>
    <row r="464">
      <c r="A464" s="82"/>
      <c r="B464" s="83"/>
      <c r="C464" s="83"/>
      <c r="D464" s="83"/>
      <c r="E464" s="102"/>
      <c r="F464" s="102"/>
      <c r="G464" s="88"/>
      <c r="H464" s="88"/>
      <c r="I464" s="87"/>
      <c r="J464" s="87"/>
      <c r="K464" s="88"/>
      <c r="L464" s="90"/>
    </row>
    <row r="465">
      <c r="A465" s="82"/>
      <c r="B465" s="83"/>
      <c r="C465" s="83"/>
      <c r="D465" s="83"/>
      <c r="E465" s="102"/>
      <c r="F465" s="102"/>
      <c r="G465" s="88"/>
      <c r="H465" s="88"/>
      <c r="I465" s="87"/>
      <c r="J465" s="87"/>
      <c r="K465" s="88"/>
      <c r="L465" s="90"/>
    </row>
    <row r="466">
      <c r="A466" s="82"/>
      <c r="B466" s="83"/>
      <c r="C466" s="83"/>
      <c r="D466" s="83"/>
      <c r="E466" s="102"/>
      <c r="F466" s="102"/>
      <c r="G466" s="88"/>
      <c r="H466" s="88"/>
      <c r="I466" s="87"/>
      <c r="J466" s="87"/>
      <c r="K466" s="88"/>
      <c r="L466" s="90"/>
    </row>
    <row r="467">
      <c r="A467" s="82"/>
      <c r="B467" s="83"/>
      <c r="C467" s="83"/>
      <c r="D467" s="83"/>
      <c r="E467" s="102"/>
      <c r="F467" s="102"/>
      <c r="G467" s="88"/>
      <c r="H467" s="88"/>
      <c r="I467" s="87"/>
      <c r="J467" s="87"/>
      <c r="K467" s="88"/>
      <c r="L467" s="90"/>
    </row>
    <row r="468">
      <c r="A468" s="82"/>
      <c r="B468" s="83"/>
      <c r="C468" s="83"/>
      <c r="D468" s="83"/>
      <c r="E468" s="102"/>
      <c r="F468" s="102"/>
      <c r="G468" s="88"/>
      <c r="H468" s="88"/>
      <c r="I468" s="87"/>
      <c r="J468" s="87"/>
      <c r="K468" s="88"/>
      <c r="L468" s="90"/>
    </row>
    <row r="469">
      <c r="A469" s="82"/>
      <c r="B469" s="83"/>
      <c r="C469" s="83"/>
      <c r="D469" s="83"/>
      <c r="E469" s="102"/>
      <c r="F469" s="102"/>
      <c r="G469" s="88"/>
      <c r="H469" s="88"/>
      <c r="I469" s="87"/>
      <c r="J469" s="87"/>
      <c r="K469" s="88"/>
      <c r="L469" s="90"/>
    </row>
    <row r="470">
      <c r="A470" s="82"/>
      <c r="B470" s="83"/>
      <c r="C470" s="83"/>
      <c r="D470" s="83"/>
      <c r="E470" s="102"/>
      <c r="F470" s="102"/>
      <c r="G470" s="88"/>
      <c r="H470" s="88"/>
      <c r="I470" s="87"/>
      <c r="J470" s="87"/>
      <c r="K470" s="88"/>
      <c r="L470" s="90"/>
    </row>
    <row r="471">
      <c r="A471" s="82"/>
      <c r="B471" s="83"/>
      <c r="C471" s="83"/>
      <c r="D471" s="83"/>
      <c r="E471" s="102"/>
      <c r="F471" s="102"/>
      <c r="G471" s="88"/>
      <c r="H471" s="88"/>
      <c r="I471" s="87"/>
      <c r="J471" s="87"/>
      <c r="K471" s="88"/>
      <c r="L471" s="90"/>
    </row>
    <row r="472">
      <c r="A472" s="82"/>
      <c r="B472" s="83"/>
      <c r="C472" s="83"/>
      <c r="D472" s="83"/>
      <c r="E472" s="102"/>
      <c r="F472" s="102"/>
      <c r="G472" s="88"/>
      <c r="H472" s="88"/>
      <c r="I472" s="87"/>
      <c r="J472" s="87"/>
      <c r="K472" s="88"/>
      <c r="L472" s="90"/>
    </row>
    <row r="473">
      <c r="A473" s="82"/>
      <c r="B473" s="83"/>
      <c r="C473" s="83"/>
      <c r="D473" s="83"/>
      <c r="E473" s="102"/>
      <c r="F473" s="102"/>
      <c r="G473" s="88"/>
      <c r="H473" s="88"/>
      <c r="I473" s="87"/>
      <c r="J473" s="87"/>
      <c r="K473" s="88"/>
      <c r="L473" s="90"/>
    </row>
    <row r="474">
      <c r="A474" s="82"/>
      <c r="B474" s="83"/>
      <c r="C474" s="83"/>
      <c r="D474" s="83"/>
      <c r="E474" s="102"/>
      <c r="F474" s="102"/>
      <c r="G474" s="88"/>
      <c r="H474" s="88"/>
      <c r="I474" s="87"/>
      <c r="J474" s="87"/>
      <c r="K474" s="88"/>
      <c r="L474" s="90"/>
    </row>
    <row r="475">
      <c r="A475" s="82"/>
      <c r="B475" s="83"/>
      <c r="C475" s="83"/>
      <c r="D475" s="83"/>
      <c r="E475" s="102"/>
      <c r="F475" s="102"/>
      <c r="G475" s="88"/>
      <c r="H475" s="88"/>
      <c r="I475" s="87"/>
      <c r="J475" s="87"/>
      <c r="K475" s="88"/>
      <c r="L475" s="90"/>
    </row>
    <row r="476">
      <c r="A476" s="82"/>
      <c r="B476" s="83"/>
      <c r="C476" s="83"/>
      <c r="D476" s="83"/>
      <c r="E476" s="102"/>
      <c r="F476" s="102"/>
      <c r="G476" s="88"/>
      <c r="H476" s="88"/>
      <c r="I476" s="87"/>
      <c r="J476" s="87"/>
      <c r="K476" s="88"/>
      <c r="L476" s="90"/>
    </row>
    <row r="477">
      <c r="A477" s="82"/>
      <c r="B477" s="83"/>
      <c r="C477" s="83"/>
      <c r="D477" s="83"/>
      <c r="E477" s="102"/>
      <c r="F477" s="102"/>
      <c r="G477" s="88"/>
      <c r="H477" s="88"/>
      <c r="I477" s="87"/>
      <c r="J477" s="87"/>
      <c r="K477" s="88"/>
      <c r="L477" s="90"/>
    </row>
    <row r="478">
      <c r="A478" s="82"/>
      <c r="B478" s="83"/>
      <c r="C478" s="83"/>
      <c r="D478" s="83"/>
      <c r="E478" s="102"/>
      <c r="F478" s="102"/>
      <c r="G478" s="88"/>
      <c r="H478" s="88"/>
      <c r="I478" s="87"/>
      <c r="J478" s="87"/>
      <c r="K478" s="88"/>
      <c r="L478" s="90"/>
    </row>
    <row r="479">
      <c r="A479" s="82"/>
      <c r="B479" s="83"/>
      <c r="C479" s="83"/>
      <c r="D479" s="83"/>
      <c r="E479" s="102"/>
      <c r="F479" s="102"/>
      <c r="G479" s="88"/>
      <c r="H479" s="88"/>
      <c r="I479" s="87"/>
      <c r="J479" s="87"/>
      <c r="K479" s="88"/>
      <c r="L479" s="90"/>
    </row>
    <row r="480">
      <c r="A480" s="82"/>
      <c r="B480" s="83"/>
      <c r="C480" s="83"/>
      <c r="D480" s="83"/>
      <c r="E480" s="102"/>
      <c r="F480" s="102"/>
      <c r="G480" s="88"/>
      <c r="H480" s="88"/>
      <c r="I480" s="87"/>
      <c r="J480" s="87"/>
      <c r="K480" s="88"/>
      <c r="L480" s="90"/>
    </row>
    <row r="481">
      <c r="A481" s="82"/>
      <c r="B481" s="83"/>
      <c r="C481" s="83"/>
      <c r="D481" s="83"/>
      <c r="E481" s="102"/>
      <c r="F481" s="102"/>
      <c r="G481" s="88"/>
      <c r="H481" s="88"/>
      <c r="I481" s="87"/>
      <c r="J481" s="87"/>
      <c r="K481" s="88"/>
      <c r="L481" s="90"/>
    </row>
    <row r="482">
      <c r="A482" s="82"/>
      <c r="B482" s="83"/>
      <c r="C482" s="83"/>
      <c r="D482" s="83"/>
      <c r="E482" s="102"/>
      <c r="F482" s="102"/>
      <c r="G482" s="88"/>
      <c r="H482" s="88"/>
      <c r="I482" s="87"/>
      <c r="J482" s="87"/>
      <c r="K482" s="88"/>
      <c r="L482" s="90"/>
    </row>
    <row r="483">
      <c r="A483" s="82"/>
      <c r="B483" s="83"/>
      <c r="C483" s="83"/>
      <c r="D483" s="83"/>
      <c r="E483" s="102"/>
      <c r="F483" s="102"/>
      <c r="G483" s="88"/>
      <c r="H483" s="88"/>
      <c r="I483" s="87"/>
      <c r="J483" s="87"/>
      <c r="K483" s="88"/>
      <c r="L483" s="90"/>
    </row>
    <row r="484">
      <c r="A484" s="82"/>
      <c r="B484" s="83"/>
      <c r="C484" s="83"/>
      <c r="D484" s="83"/>
      <c r="E484" s="102"/>
      <c r="F484" s="102"/>
      <c r="G484" s="88"/>
      <c r="H484" s="88"/>
      <c r="I484" s="87"/>
      <c r="J484" s="87"/>
      <c r="K484" s="88"/>
      <c r="L484" s="90"/>
    </row>
    <row r="485">
      <c r="A485" s="82"/>
      <c r="B485" s="83"/>
      <c r="C485" s="83"/>
      <c r="D485" s="83"/>
      <c r="E485" s="102"/>
      <c r="F485" s="102"/>
      <c r="G485" s="88"/>
      <c r="H485" s="88"/>
      <c r="I485" s="87"/>
      <c r="J485" s="87"/>
      <c r="K485" s="88"/>
      <c r="L485" s="90"/>
    </row>
    <row r="486">
      <c r="A486" s="82"/>
      <c r="B486" s="83"/>
      <c r="C486" s="83"/>
      <c r="D486" s="83"/>
      <c r="E486" s="102"/>
      <c r="F486" s="102"/>
      <c r="G486" s="88"/>
      <c r="H486" s="88"/>
      <c r="I486" s="87"/>
      <c r="J486" s="87"/>
      <c r="K486" s="88"/>
      <c r="L486" s="90"/>
    </row>
    <row r="487">
      <c r="A487" s="82"/>
      <c r="B487" s="83"/>
      <c r="C487" s="83"/>
      <c r="D487" s="83"/>
      <c r="E487" s="102"/>
      <c r="F487" s="102"/>
      <c r="G487" s="88"/>
      <c r="H487" s="88"/>
      <c r="I487" s="87"/>
      <c r="J487" s="87"/>
      <c r="K487" s="88"/>
      <c r="L487" s="90"/>
    </row>
    <row r="488">
      <c r="A488" s="82"/>
      <c r="B488" s="83"/>
      <c r="C488" s="83"/>
      <c r="D488" s="83"/>
      <c r="E488" s="102"/>
      <c r="F488" s="102"/>
      <c r="G488" s="88"/>
      <c r="H488" s="88"/>
      <c r="I488" s="87"/>
      <c r="J488" s="87"/>
      <c r="K488" s="88"/>
      <c r="L488" s="90"/>
    </row>
    <row r="489">
      <c r="A489" s="82"/>
      <c r="B489" s="83"/>
      <c r="C489" s="83"/>
      <c r="D489" s="83"/>
      <c r="E489" s="102"/>
      <c r="F489" s="102"/>
      <c r="G489" s="88"/>
      <c r="H489" s="88"/>
      <c r="I489" s="87"/>
      <c r="J489" s="87"/>
      <c r="K489" s="88"/>
      <c r="L489" s="90"/>
    </row>
    <row r="490">
      <c r="A490" s="82"/>
      <c r="B490" s="83"/>
      <c r="C490" s="83"/>
      <c r="D490" s="83"/>
      <c r="E490" s="102"/>
      <c r="F490" s="102"/>
      <c r="G490" s="88"/>
      <c r="H490" s="88"/>
      <c r="I490" s="87"/>
      <c r="J490" s="87"/>
      <c r="K490" s="88"/>
      <c r="L490" s="90"/>
    </row>
    <row r="491">
      <c r="A491" s="82"/>
      <c r="B491" s="83"/>
      <c r="C491" s="83"/>
      <c r="D491" s="83"/>
      <c r="E491" s="102"/>
      <c r="F491" s="102"/>
      <c r="G491" s="88"/>
      <c r="H491" s="88"/>
      <c r="I491" s="87"/>
      <c r="J491" s="87"/>
      <c r="K491" s="88"/>
      <c r="L491" s="90"/>
    </row>
    <row r="492">
      <c r="A492" s="82"/>
      <c r="B492" s="83"/>
      <c r="C492" s="83"/>
      <c r="D492" s="83"/>
      <c r="E492" s="102"/>
      <c r="F492" s="102"/>
      <c r="G492" s="88"/>
      <c r="H492" s="88"/>
      <c r="I492" s="87"/>
      <c r="J492" s="87"/>
      <c r="K492" s="88"/>
      <c r="L492" s="90"/>
    </row>
    <row r="493">
      <c r="A493" s="82"/>
      <c r="B493" s="83"/>
      <c r="C493" s="83"/>
      <c r="D493" s="83"/>
      <c r="E493" s="102"/>
      <c r="F493" s="102"/>
      <c r="G493" s="88"/>
      <c r="H493" s="88"/>
      <c r="I493" s="87"/>
      <c r="J493" s="87"/>
      <c r="K493" s="88"/>
      <c r="L493" s="90"/>
    </row>
    <row r="494">
      <c r="A494" s="82"/>
      <c r="B494" s="83"/>
      <c r="C494" s="83"/>
      <c r="D494" s="83"/>
      <c r="E494" s="102"/>
      <c r="F494" s="102"/>
      <c r="G494" s="88"/>
      <c r="H494" s="88"/>
      <c r="I494" s="87"/>
      <c r="J494" s="87"/>
      <c r="K494" s="88"/>
      <c r="L494" s="90"/>
    </row>
    <row r="495">
      <c r="A495" s="82"/>
      <c r="B495" s="83"/>
      <c r="C495" s="83"/>
      <c r="D495" s="83"/>
      <c r="E495" s="102"/>
      <c r="F495" s="102"/>
      <c r="G495" s="88"/>
      <c r="H495" s="88"/>
      <c r="I495" s="87"/>
      <c r="J495" s="87"/>
      <c r="K495" s="88"/>
      <c r="L495" s="90"/>
    </row>
    <row r="496">
      <c r="A496" s="82"/>
      <c r="B496" s="83"/>
      <c r="C496" s="83"/>
      <c r="D496" s="83"/>
      <c r="E496" s="102"/>
      <c r="F496" s="102"/>
      <c r="G496" s="88"/>
      <c r="H496" s="88"/>
      <c r="I496" s="87"/>
      <c r="J496" s="87"/>
      <c r="K496" s="88"/>
      <c r="L496" s="90"/>
    </row>
    <row r="497">
      <c r="A497" s="82"/>
      <c r="B497" s="83"/>
      <c r="C497" s="83"/>
      <c r="D497" s="83"/>
      <c r="E497" s="102"/>
      <c r="F497" s="102"/>
      <c r="G497" s="88"/>
      <c r="H497" s="88"/>
      <c r="I497" s="87"/>
      <c r="J497" s="87"/>
      <c r="K497" s="88"/>
      <c r="L497" s="90"/>
    </row>
    <row r="498">
      <c r="A498" s="82"/>
      <c r="B498" s="83"/>
      <c r="C498" s="83"/>
      <c r="D498" s="83"/>
      <c r="E498" s="102"/>
      <c r="F498" s="102"/>
      <c r="G498" s="88"/>
      <c r="H498" s="88"/>
      <c r="I498" s="87"/>
      <c r="J498" s="87"/>
      <c r="K498" s="88"/>
      <c r="L498" s="90"/>
    </row>
    <row r="499">
      <c r="A499" s="82"/>
      <c r="B499" s="83"/>
      <c r="C499" s="83"/>
      <c r="D499" s="83"/>
      <c r="E499" s="102"/>
      <c r="F499" s="102"/>
      <c r="G499" s="88"/>
      <c r="H499" s="88"/>
      <c r="I499" s="87"/>
      <c r="J499" s="87"/>
      <c r="K499" s="88"/>
      <c r="L499" s="90"/>
    </row>
    <row r="500">
      <c r="A500" s="82"/>
      <c r="B500" s="83"/>
      <c r="C500" s="83"/>
      <c r="D500" s="83"/>
      <c r="E500" s="102"/>
      <c r="F500" s="102"/>
      <c r="G500" s="88"/>
      <c r="H500" s="88"/>
      <c r="I500" s="87"/>
      <c r="J500" s="87"/>
      <c r="K500" s="88"/>
      <c r="L500" s="90"/>
    </row>
    <row r="501">
      <c r="A501" s="82"/>
      <c r="B501" s="83"/>
      <c r="C501" s="83"/>
      <c r="D501" s="83"/>
      <c r="E501" s="102"/>
      <c r="F501" s="102"/>
      <c r="G501" s="88"/>
      <c r="H501" s="88"/>
      <c r="I501" s="87"/>
      <c r="J501" s="87"/>
      <c r="K501" s="88"/>
      <c r="L501" s="90"/>
    </row>
    <row r="502">
      <c r="A502" s="82"/>
      <c r="B502" s="83"/>
      <c r="C502" s="83"/>
      <c r="D502" s="83"/>
      <c r="E502" s="102"/>
      <c r="F502" s="102"/>
      <c r="G502" s="88"/>
      <c r="H502" s="88"/>
      <c r="I502" s="87"/>
      <c r="J502" s="87"/>
      <c r="K502" s="88"/>
      <c r="L502" s="90"/>
    </row>
    <row r="503">
      <c r="A503" s="82"/>
      <c r="B503" s="83"/>
      <c r="C503" s="83"/>
      <c r="D503" s="83"/>
      <c r="E503" s="102"/>
      <c r="F503" s="102"/>
      <c r="G503" s="88"/>
      <c r="H503" s="88"/>
      <c r="I503" s="87"/>
      <c r="J503" s="87"/>
      <c r="K503" s="88"/>
      <c r="L503" s="90"/>
    </row>
    <row r="504">
      <c r="A504" s="82"/>
      <c r="B504" s="83"/>
      <c r="C504" s="83"/>
      <c r="D504" s="83"/>
      <c r="E504" s="102"/>
      <c r="F504" s="102"/>
      <c r="G504" s="88"/>
      <c r="H504" s="88"/>
      <c r="I504" s="87"/>
      <c r="J504" s="87"/>
      <c r="K504" s="88"/>
      <c r="L504" s="90"/>
    </row>
    <row r="505">
      <c r="A505" s="82"/>
      <c r="B505" s="83"/>
      <c r="C505" s="83"/>
      <c r="D505" s="83"/>
      <c r="E505" s="102"/>
      <c r="F505" s="102"/>
      <c r="G505" s="88"/>
      <c r="H505" s="88"/>
      <c r="I505" s="87"/>
      <c r="J505" s="87"/>
      <c r="K505" s="88"/>
      <c r="L505" s="90"/>
    </row>
    <row r="506">
      <c r="A506" s="82"/>
      <c r="B506" s="83"/>
      <c r="C506" s="83"/>
      <c r="D506" s="83"/>
      <c r="E506" s="102"/>
      <c r="F506" s="102"/>
      <c r="G506" s="88"/>
      <c r="H506" s="88"/>
      <c r="I506" s="87"/>
      <c r="J506" s="87"/>
      <c r="K506" s="88"/>
      <c r="L506" s="90"/>
    </row>
    <row r="507">
      <c r="A507" s="82"/>
      <c r="B507" s="83"/>
      <c r="C507" s="83"/>
      <c r="D507" s="83"/>
      <c r="E507" s="102"/>
      <c r="F507" s="102"/>
      <c r="G507" s="88"/>
      <c r="H507" s="88"/>
      <c r="I507" s="87"/>
      <c r="J507" s="87"/>
      <c r="K507" s="88"/>
      <c r="L507" s="90"/>
    </row>
    <row r="508">
      <c r="A508" s="82"/>
      <c r="B508" s="83"/>
      <c r="C508" s="83"/>
      <c r="D508" s="83"/>
      <c r="E508" s="102"/>
      <c r="F508" s="102"/>
      <c r="G508" s="88"/>
      <c r="H508" s="88"/>
      <c r="I508" s="87"/>
      <c r="J508" s="87"/>
      <c r="K508" s="88"/>
      <c r="L508" s="90"/>
    </row>
    <row r="509">
      <c r="A509" s="82"/>
      <c r="B509" s="83"/>
      <c r="C509" s="83"/>
      <c r="D509" s="83"/>
      <c r="E509" s="102"/>
      <c r="F509" s="102"/>
      <c r="G509" s="88"/>
      <c r="H509" s="88"/>
      <c r="I509" s="87"/>
      <c r="J509" s="87"/>
      <c r="K509" s="88"/>
      <c r="L509" s="90"/>
    </row>
    <row r="510">
      <c r="A510" s="82"/>
      <c r="B510" s="83"/>
      <c r="C510" s="83"/>
      <c r="D510" s="83"/>
      <c r="E510" s="102"/>
      <c r="F510" s="102"/>
      <c r="G510" s="88"/>
      <c r="H510" s="88"/>
      <c r="I510" s="87"/>
      <c r="J510" s="87"/>
      <c r="K510" s="88"/>
      <c r="L510" s="90"/>
    </row>
    <row r="511">
      <c r="A511" s="82"/>
      <c r="B511" s="83"/>
      <c r="C511" s="83"/>
      <c r="D511" s="83"/>
      <c r="E511" s="102"/>
      <c r="F511" s="102"/>
      <c r="G511" s="88"/>
      <c r="H511" s="88"/>
      <c r="I511" s="87"/>
      <c r="J511" s="87"/>
      <c r="K511" s="88"/>
      <c r="L511" s="90"/>
    </row>
    <row r="512">
      <c r="A512" s="82"/>
      <c r="B512" s="83"/>
      <c r="C512" s="83"/>
      <c r="D512" s="83"/>
      <c r="E512" s="102"/>
      <c r="F512" s="102"/>
      <c r="G512" s="88"/>
      <c r="H512" s="88"/>
      <c r="I512" s="87"/>
      <c r="J512" s="87"/>
      <c r="K512" s="88"/>
      <c r="L512" s="90"/>
    </row>
    <row r="513">
      <c r="A513" s="82"/>
      <c r="B513" s="83"/>
      <c r="C513" s="83"/>
      <c r="D513" s="83"/>
      <c r="E513" s="102"/>
      <c r="F513" s="102"/>
      <c r="G513" s="88"/>
      <c r="H513" s="88"/>
      <c r="I513" s="87"/>
      <c r="J513" s="87"/>
      <c r="K513" s="88"/>
      <c r="L513" s="90"/>
    </row>
    <row r="514">
      <c r="A514" s="82"/>
      <c r="B514" s="83"/>
      <c r="C514" s="83"/>
      <c r="D514" s="83"/>
      <c r="E514" s="102"/>
      <c r="F514" s="102"/>
      <c r="G514" s="88"/>
      <c r="H514" s="88"/>
      <c r="I514" s="87"/>
      <c r="J514" s="87"/>
      <c r="K514" s="88"/>
      <c r="L514" s="90"/>
    </row>
    <row r="515">
      <c r="A515" s="82"/>
      <c r="B515" s="83"/>
      <c r="C515" s="83"/>
      <c r="D515" s="83"/>
      <c r="E515" s="102"/>
      <c r="F515" s="102"/>
      <c r="G515" s="88"/>
      <c r="H515" s="88"/>
      <c r="I515" s="87"/>
      <c r="J515" s="87"/>
      <c r="K515" s="88"/>
      <c r="L515" s="90"/>
    </row>
    <row r="516">
      <c r="A516" s="82"/>
      <c r="B516" s="83"/>
      <c r="C516" s="83"/>
      <c r="D516" s="83"/>
      <c r="E516" s="102"/>
      <c r="F516" s="102"/>
      <c r="G516" s="88"/>
      <c r="H516" s="88"/>
      <c r="I516" s="87"/>
      <c r="J516" s="87"/>
      <c r="K516" s="88"/>
      <c r="L516" s="90"/>
    </row>
    <row r="517">
      <c r="A517" s="82"/>
      <c r="B517" s="83"/>
      <c r="C517" s="83"/>
      <c r="D517" s="83"/>
      <c r="E517" s="102"/>
      <c r="F517" s="102"/>
      <c r="G517" s="88"/>
      <c r="H517" s="88"/>
      <c r="I517" s="87"/>
      <c r="J517" s="87"/>
      <c r="K517" s="88"/>
      <c r="L517" s="90"/>
    </row>
    <row r="518">
      <c r="A518" s="82"/>
      <c r="B518" s="83"/>
      <c r="C518" s="83"/>
      <c r="D518" s="83"/>
      <c r="E518" s="102"/>
      <c r="F518" s="102"/>
      <c r="G518" s="88"/>
      <c r="H518" s="88"/>
      <c r="I518" s="87"/>
      <c r="J518" s="87"/>
      <c r="K518" s="88"/>
      <c r="L518" s="90"/>
    </row>
    <row r="519">
      <c r="A519" s="82"/>
      <c r="B519" s="83"/>
      <c r="C519" s="83"/>
      <c r="D519" s="83"/>
      <c r="E519" s="102"/>
      <c r="F519" s="102"/>
      <c r="G519" s="88"/>
      <c r="H519" s="88"/>
      <c r="I519" s="87"/>
      <c r="J519" s="87"/>
      <c r="K519" s="88"/>
      <c r="L519" s="90"/>
    </row>
    <row r="520">
      <c r="A520" s="82"/>
      <c r="B520" s="83"/>
      <c r="C520" s="83"/>
      <c r="D520" s="83"/>
      <c r="E520" s="102"/>
      <c r="F520" s="102"/>
      <c r="G520" s="88"/>
      <c r="H520" s="88"/>
      <c r="I520" s="87"/>
      <c r="J520" s="87"/>
      <c r="K520" s="88"/>
      <c r="L520" s="90"/>
    </row>
    <row r="521">
      <c r="A521" s="82"/>
      <c r="B521" s="83"/>
      <c r="C521" s="83"/>
      <c r="D521" s="83"/>
      <c r="E521" s="102"/>
      <c r="F521" s="102"/>
      <c r="G521" s="88"/>
      <c r="H521" s="88"/>
      <c r="I521" s="87"/>
      <c r="J521" s="87"/>
      <c r="K521" s="88"/>
      <c r="L521" s="90"/>
    </row>
    <row r="522">
      <c r="A522" s="82"/>
      <c r="B522" s="83"/>
      <c r="C522" s="83"/>
      <c r="D522" s="83"/>
      <c r="E522" s="102"/>
      <c r="F522" s="102"/>
      <c r="G522" s="88"/>
      <c r="H522" s="88"/>
      <c r="I522" s="87"/>
      <c r="J522" s="87"/>
      <c r="K522" s="88"/>
      <c r="L522" s="90"/>
    </row>
    <row r="523">
      <c r="A523" s="82"/>
      <c r="B523" s="83"/>
      <c r="C523" s="83"/>
      <c r="D523" s="83"/>
      <c r="E523" s="102"/>
      <c r="F523" s="102"/>
      <c r="G523" s="88"/>
      <c r="H523" s="88"/>
      <c r="I523" s="87"/>
      <c r="J523" s="87"/>
      <c r="K523" s="88"/>
      <c r="L523" s="90"/>
    </row>
    <row r="524">
      <c r="A524" s="82"/>
      <c r="B524" s="83"/>
      <c r="C524" s="83"/>
      <c r="D524" s="83"/>
      <c r="E524" s="102"/>
      <c r="F524" s="102"/>
      <c r="G524" s="88"/>
      <c r="H524" s="88"/>
      <c r="I524" s="87"/>
      <c r="J524" s="87"/>
      <c r="K524" s="88"/>
      <c r="L524" s="90"/>
    </row>
    <row r="525">
      <c r="A525" s="82"/>
      <c r="B525" s="83"/>
      <c r="C525" s="83"/>
      <c r="D525" s="83"/>
      <c r="E525" s="102"/>
      <c r="F525" s="102"/>
      <c r="G525" s="88"/>
      <c r="H525" s="88"/>
      <c r="I525" s="87"/>
      <c r="J525" s="87"/>
      <c r="K525" s="88"/>
      <c r="L525" s="90"/>
    </row>
    <row r="526">
      <c r="A526" s="82"/>
      <c r="B526" s="83"/>
      <c r="C526" s="83"/>
      <c r="D526" s="83"/>
      <c r="E526" s="102"/>
      <c r="F526" s="102"/>
      <c r="G526" s="88"/>
      <c r="H526" s="88"/>
      <c r="I526" s="87"/>
      <c r="J526" s="87"/>
      <c r="K526" s="88"/>
      <c r="L526" s="90"/>
    </row>
    <row r="527">
      <c r="A527" s="82"/>
      <c r="B527" s="83"/>
      <c r="C527" s="83"/>
      <c r="D527" s="83"/>
      <c r="E527" s="102"/>
      <c r="F527" s="102"/>
      <c r="G527" s="88"/>
      <c r="H527" s="88"/>
      <c r="I527" s="87"/>
      <c r="J527" s="87"/>
      <c r="K527" s="88"/>
      <c r="L527" s="90"/>
    </row>
    <row r="528">
      <c r="A528" s="82"/>
      <c r="B528" s="83"/>
      <c r="C528" s="83"/>
      <c r="D528" s="83"/>
      <c r="E528" s="102"/>
      <c r="F528" s="102"/>
      <c r="G528" s="88"/>
      <c r="H528" s="88"/>
      <c r="I528" s="87"/>
      <c r="J528" s="87"/>
      <c r="K528" s="88"/>
      <c r="L528" s="90"/>
    </row>
    <row r="529">
      <c r="A529" s="82"/>
      <c r="B529" s="83"/>
      <c r="C529" s="83"/>
      <c r="D529" s="83"/>
      <c r="E529" s="102"/>
      <c r="F529" s="102"/>
      <c r="G529" s="88"/>
      <c r="H529" s="88"/>
      <c r="I529" s="87"/>
      <c r="J529" s="87"/>
      <c r="K529" s="88"/>
      <c r="L529" s="90"/>
    </row>
    <row r="530">
      <c r="A530" s="82"/>
      <c r="B530" s="83"/>
      <c r="C530" s="83"/>
      <c r="D530" s="83"/>
      <c r="E530" s="102"/>
      <c r="F530" s="102"/>
      <c r="G530" s="88"/>
      <c r="H530" s="88"/>
      <c r="I530" s="87"/>
      <c r="J530" s="87"/>
      <c r="K530" s="88"/>
      <c r="L530" s="90"/>
    </row>
    <row r="531">
      <c r="A531" s="82"/>
      <c r="B531" s="83"/>
      <c r="C531" s="83"/>
      <c r="D531" s="83"/>
      <c r="E531" s="102"/>
      <c r="F531" s="102"/>
      <c r="G531" s="88"/>
      <c r="H531" s="88"/>
      <c r="I531" s="87"/>
      <c r="J531" s="87"/>
      <c r="K531" s="88"/>
      <c r="L531" s="90"/>
    </row>
    <row r="532">
      <c r="A532" s="82"/>
      <c r="B532" s="83"/>
      <c r="C532" s="83"/>
      <c r="D532" s="83"/>
      <c r="E532" s="102"/>
      <c r="F532" s="102"/>
      <c r="G532" s="88"/>
      <c r="H532" s="88"/>
      <c r="I532" s="87"/>
      <c r="J532" s="87"/>
      <c r="K532" s="88"/>
      <c r="L532" s="90"/>
    </row>
    <row r="533">
      <c r="A533" s="82"/>
      <c r="B533" s="83"/>
      <c r="C533" s="83"/>
      <c r="D533" s="83"/>
      <c r="E533" s="102"/>
      <c r="F533" s="102"/>
      <c r="G533" s="88"/>
      <c r="H533" s="88"/>
      <c r="I533" s="87"/>
      <c r="J533" s="87"/>
      <c r="K533" s="88"/>
      <c r="L533" s="90"/>
    </row>
    <row r="534">
      <c r="A534" s="82"/>
      <c r="B534" s="83"/>
      <c r="C534" s="83"/>
      <c r="D534" s="83"/>
      <c r="E534" s="102"/>
      <c r="F534" s="102"/>
      <c r="G534" s="88"/>
      <c r="H534" s="88"/>
      <c r="I534" s="87"/>
      <c r="J534" s="87"/>
      <c r="K534" s="88"/>
      <c r="L534" s="90"/>
    </row>
    <row r="535">
      <c r="A535" s="82"/>
      <c r="B535" s="83"/>
      <c r="C535" s="83"/>
      <c r="D535" s="83"/>
      <c r="E535" s="102"/>
      <c r="F535" s="102"/>
      <c r="G535" s="88"/>
      <c r="H535" s="88"/>
      <c r="I535" s="87"/>
      <c r="J535" s="87"/>
      <c r="K535" s="88"/>
      <c r="L535" s="90"/>
    </row>
    <row r="536">
      <c r="A536" s="82"/>
      <c r="B536" s="83"/>
      <c r="C536" s="83"/>
      <c r="D536" s="83"/>
      <c r="E536" s="102"/>
      <c r="F536" s="102"/>
      <c r="G536" s="88"/>
      <c r="H536" s="88"/>
      <c r="I536" s="87"/>
      <c r="J536" s="87"/>
      <c r="K536" s="88"/>
      <c r="L536" s="90"/>
    </row>
    <row r="537">
      <c r="A537" s="82"/>
      <c r="B537" s="83"/>
      <c r="C537" s="83"/>
      <c r="D537" s="83"/>
      <c r="E537" s="102"/>
      <c r="F537" s="102"/>
      <c r="G537" s="88"/>
      <c r="H537" s="88"/>
      <c r="I537" s="87"/>
      <c r="J537" s="87"/>
      <c r="K537" s="88"/>
      <c r="L537" s="90"/>
    </row>
    <row r="538">
      <c r="A538" s="82"/>
      <c r="B538" s="83"/>
      <c r="C538" s="83"/>
      <c r="D538" s="83"/>
      <c r="E538" s="102"/>
      <c r="F538" s="102"/>
      <c r="G538" s="88"/>
      <c r="H538" s="88"/>
      <c r="I538" s="87"/>
      <c r="J538" s="87"/>
      <c r="K538" s="88"/>
      <c r="L538" s="90"/>
    </row>
    <row r="539">
      <c r="A539" s="82"/>
      <c r="B539" s="83"/>
      <c r="C539" s="83"/>
      <c r="D539" s="83"/>
      <c r="E539" s="102"/>
      <c r="F539" s="102"/>
      <c r="G539" s="88"/>
      <c r="H539" s="88"/>
      <c r="I539" s="87"/>
      <c r="J539" s="87"/>
      <c r="K539" s="88"/>
      <c r="L539" s="90"/>
    </row>
    <row r="540">
      <c r="A540" s="82"/>
      <c r="B540" s="83"/>
      <c r="C540" s="83"/>
      <c r="D540" s="83"/>
      <c r="E540" s="102"/>
      <c r="F540" s="102"/>
      <c r="G540" s="88"/>
      <c r="H540" s="88"/>
      <c r="I540" s="87"/>
      <c r="J540" s="87"/>
      <c r="K540" s="88"/>
      <c r="L540" s="90"/>
    </row>
    <row r="541">
      <c r="A541" s="82"/>
      <c r="B541" s="83"/>
      <c r="C541" s="83"/>
      <c r="D541" s="83"/>
      <c r="E541" s="102"/>
      <c r="F541" s="102"/>
      <c r="G541" s="88"/>
      <c r="H541" s="88"/>
      <c r="I541" s="87"/>
      <c r="J541" s="87"/>
      <c r="K541" s="88"/>
      <c r="L541" s="90"/>
    </row>
    <row r="542">
      <c r="A542" s="82"/>
      <c r="B542" s="83"/>
      <c r="C542" s="83"/>
      <c r="D542" s="83"/>
      <c r="E542" s="102"/>
      <c r="F542" s="102"/>
      <c r="G542" s="88"/>
      <c r="H542" s="88"/>
      <c r="I542" s="87"/>
      <c r="J542" s="87"/>
      <c r="K542" s="88"/>
      <c r="L542" s="90"/>
    </row>
    <row r="543">
      <c r="A543" s="82"/>
      <c r="B543" s="83"/>
      <c r="C543" s="83"/>
      <c r="D543" s="83"/>
      <c r="E543" s="102"/>
      <c r="F543" s="102"/>
      <c r="G543" s="88"/>
      <c r="H543" s="88"/>
      <c r="I543" s="87"/>
      <c r="J543" s="87"/>
      <c r="K543" s="88"/>
      <c r="L543" s="90"/>
    </row>
    <row r="544">
      <c r="A544" s="82"/>
      <c r="B544" s="83"/>
      <c r="C544" s="83"/>
      <c r="D544" s="83"/>
      <c r="E544" s="102"/>
      <c r="F544" s="102"/>
      <c r="G544" s="88"/>
      <c r="H544" s="88"/>
      <c r="I544" s="87"/>
      <c r="J544" s="87"/>
      <c r="K544" s="88"/>
      <c r="L544" s="90"/>
    </row>
    <row r="545">
      <c r="A545" s="82"/>
      <c r="B545" s="83"/>
      <c r="C545" s="83"/>
      <c r="D545" s="83"/>
      <c r="E545" s="102"/>
      <c r="F545" s="102"/>
      <c r="G545" s="88"/>
      <c r="H545" s="88"/>
      <c r="I545" s="87"/>
      <c r="J545" s="87"/>
      <c r="K545" s="88"/>
      <c r="L545" s="90"/>
    </row>
    <row r="546">
      <c r="A546" s="82"/>
      <c r="B546" s="83"/>
      <c r="C546" s="83"/>
      <c r="D546" s="83"/>
      <c r="E546" s="102"/>
      <c r="F546" s="102"/>
      <c r="G546" s="88"/>
      <c r="H546" s="88"/>
      <c r="I546" s="87"/>
      <c r="J546" s="87"/>
      <c r="K546" s="88"/>
      <c r="L546" s="90"/>
    </row>
    <row r="547">
      <c r="A547" s="82"/>
      <c r="B547" s="83"/>
      <c r="C547" s="83"/>
      <c r="D547" s="83"/>
      <c r="E547" s="102"/>
      <c r="F547" s="102"/>
      <c r="G547" s="88"/>
      <c r="H547" s="88"/>
      <c r="I547" s="87"/>
      <c r="J547" s="87"/>
      <c r="K547" s="88"/>
      <c r="L547" s="90"/>
    </row>
    <row r="548">
      <c r="A548" s="82"/>
      <c r="B548" s="83"/>
      <c r="C548" s="83"/>
      <c r="D548" s="83"/>
      <c r="E548" s="102"/>
      <c r="F548" s="102"/>
      <c r="G548" s="88"/>
      <c r="H548" s="88"/>
      <c r="I548" s="87"/>
      <c r="J548" s="87"/>
      <c r="K548" s="88"/>
      <c r="L548" s="90"/>
    </row>
    <row r="549">
      <c r="A549" s="82"/>
      <c r="B549" s="83"/>
      <c r="C549" s="83"/>
      <c r="D549" s="83"/>
      <c r="E549" s="102"/>
      <c r="F549" s="102"/>
      <c r="G549" s="88"/>
      <c r="H549" s="88"/>
      <c r="I549" s="87"/>
      <c r="J549" s="87"/>
      <c r="K549" s="88"/>
      <c r="L549" s="90"/>
    </row>
    <row r="550">
      <c r="A550" s="82"/>
      <c r="B550" s="83"/>
      <c r="C550" s="83"/>
      <c r="D550" s="83"/>
      <c r="E550" s="102"/>
      <c r="F550" s="102"/>
      <c r="G550" s="88"/>
      <c r="H550" s="88"/>
      <c r="I550" s="87"/>
      <c r="J550" s="87"/>
      <c r="K550" s="88"/>
      <c r="L550" s="90"/>
    </row>
    <row r="551">
      <c r="A551" s="82"/>
      <c r="B551" s="83"/>
      <c r="C551" s="83"/>
      <c r="D551" s="83"/>
      <c r="E551" s="102"/>
      <c r="F551" s="102"/>
      <c r="G551" s="88"/>
      <c r="H551" s="88"/>
      <c r="I551" s="87"/>
      <c r="J551" s="87"/>
      <c r="K551" s="88"/>
      <c r="L551" s="90"/>
    </row>
    <row r="552">
      <c r="A552" s="82"/>
      <c r="B552" s="83"/>
      <c r="C552" s="83"/>
      <c r="D552" s="83"/>
      <c r="E552" s="102"/>
      <c r="F552" s="102"/>
      <c r="G552" s="88"/>
      <c r="H552" s="88"/>
      <c r="I552" s="87"/>
      <c r="J552" s="87"/>
      <c r="K552" s="88"/>
      <c r="L552" s="90"/>
    </row>
    <row r="553">
      <c r="A553" s="82"/>
      <c r="B553" s="83"/>
      <c r="C553" s="83"/>
      <c r="D553" s="83"/>
      <c r="E553" s="102"/>
      <c r="F553" s="102"/>
      <c r="G553" s="88"/>
      <c r="H553" s="88"/>
      <c r="I553" s="87"/>
      <c r="J553" s="87"/>
      <c r="K553" s="88"/>
      <c r="L553" s="90"/>
    </row>
    <row r="554">
      <c r="A554" s="82"/>
      <c r="B554" s="83"/>
      <c r="C554" s="83"/>
      <c r="D554" s="83"/>
      <c r="E554" s="102"/>
      <c r="F554" s="102"/>
      <c r="G554" s="88"/>
      <c r="H554" s="88"/>
      <c r="I554" s="87"/>
      <c r="J554" s="87"/>
      <c r="K554" s="88"/>
      <c r="L554" s="90"/>
    </row>
    <row r="555">
      <c r="A555" s="82"/>
      <c r="B555" s="83"/>
      <c r="C555" s="83"/>
      <c r="D555" s="83"/>
      <c r="E555" s="102"/>
      <c r="F555" s="102"/>
      <c r="G555" s="88"/>
      <c r="H555" s="88"/>
      <c r="I555" s="87"/>
      <c r="J555" s="87"/>
      <c r="K555" s="88"/>
      <c r="L555" s="90"/>
    </row>
    <row r="556">
      <c r="A556" s="82"/>
      <c r="B556" s="83"/>
      <c r="C556" s="83"/>
      <c r="D556" s="83"/>
      <c r="E556" s="102"/>
      <c r="F556" s="102"/>
      <c r="G556" s="88"/>
      <c r="H556" s="88"/>
      <c r="I556" s="87"/>
      <c r="J556" s="87"/>
      <c r="K556" s="88"/>
      <c r="L556" s="90"/>
    </row>
    <row r="557">
      <c r="A557" s="82"/>
      <c r="B557" s="83"/>
      <c r="C557" s="83"/>
      <c r="D557" s="83"/>
      <c r="E557" s="102"/>
      <c r="F557" s="102"/>
      <c r="G557" s="88"/>
      <c r="H557" s="88"/>
      <c r="I557" s="87"/>
      <c r="J557" s="87"/>
      <c r="K557" s="88"/>
      <c r="L557" s="90"/>
    </row>
    <row r="558">
      <c r="A558" s="82"/>
      <c r="B558" s="83"/>
      <c r="C558" s="83"/>
      <c r="D558" s="83"/>
      <c r="E558" s="102"/>
      <c r="F558" s="102"/>
      <c r="G558" s="88"/>
      <c r="H558" s="88"/>
      <c r="I558" s="87"/>
      <c r="J558" s="87"/>
      <c r="K558" s="88"/>
      <c r="L558" s="90"/>
    </row>
    <row r="559">
      <c r="A559" s="82"/>
      <c r="B559" s="83"/>
      <c r="C559" s="83"/>
      <c r="D559" s="83"/>
      <c r="E559" s="102"/>
      <c r="F559" s="102"/>
      <c r="G559" s="88"/>
      <c r="H559" s="88"/>
      <c r="I559" s="87"/>
      <c r="J559" s="87"/>
      <c r="K559" s="88"/>
      <c r="L559" s="90"/>
    </row>
    <row r="560">
      <c r="A560" s="82"/>
      <c r="B560" s="83"/>
      <c r="C560" s="83"/>
      <c r="D560" s="83"/>
      <c r="E560" s="102"/>
      <c r="F560" s="102"/>
      <c r="G560" s="88"/>
      <c r="H560" s="88"/>
      <c r="I560" s="87"/>
      <c r="J560" s="87"/>
      <c r="K560" s="88"/>
      <c r="L560" s="90"/>
    </row>
    <row r="561">
      <c r="A561" s="82"/>
      <c r="B561" s="83"/>
      <c r="C561" s="83"/>
      <c r="D561" s="83"/>
      <c r="E561" s="102"/>
      <c r="F561" s="102"/>
      <c r="G561" s="88"/>
      <c r="H561" s="88"/>
      <c r="I561" s="87"/>
      <c r="J561" s="87"/>
      <c r="K561" s="88"/>
      <c r="L561" s="90"/>
    </row>
    <row r="562">
      <c r="A562" s="82"/>
      <c r="B562" s="83"/>
      <c r="C562" s="83"/>
      <c r="D562" s="83"/>
      <c r="E562" s="102"/>
      <c r="F562" s="102"/>
      <c r="G562" s="88"/>
      <c r="H562" s="88"/>
      <c r="I562" s="87"/>
      <c r="J562" s="87"/>
      <c r="K562" s="88"/>
      <c r="L562" s="90"/>
    </row>
    <row r="563">
      <c r="A563" s="82"/>
      <c r="B563" s="83"/>
      <c r="C563" s="83"/>
      <c r="D563" s="83"/>
      <c r="E563" s="102"/>
      <c r="F563" s="102"/>
      <c r="G563" s="88"/>
      <c r="H563" s="88"/>
      <c r="I563" s="87"/>
      <c r="J563" s="87"/>
      <c r="K563" s="88"/>
      <c r="L563" s="90"/>
    </row>
    <row r="564">
      <c r="A564" s="82"/>
      <c r="B564" s="83"/>
      <c r="C564" s="83"/>
      <c r="D564" s="83"/>
      <c r="E564" s="102"/>
      <c r="F564" s="102"/>
      <c r="G564" s="88"/>
      <c r="H564" s="88"/>
      <c r="I564" s="87"/>
      <c r="J564" s="87"/>
      <c r="K564" s="88"/>
      <c r="L564" s="90"/>
    </row>
    <row r="565">
      <c r="A565" s="82"/>
      <c r="B565" s="83"/>
      <c r="C565" s="83"/>
      <c r="D565" s="83"/>
      <c r="E565" s="102"/>
      <c r="F565" s="102"/>
      <c r="G565" s="88"/>
      <c r="H565" s="88"/>
      <c r="I565" s="87"/>
      <c r="J565" s="87"/>
      <c r="K565" s="88"/>
      <c r="L565" s="90"/>
    </row>
    <row r="566">
      <c r="A566" s="82"/>
      <c r="B566" s="83"/>
      <c r="C566" s="83"/>
      <c r="D566" s="83"/>
      <c r="E566" s="102"/>
      <c r="F566" s="102"/>
      <c r="G566" s="88"/>
      <c r="H566" s="88"/>
      <c r="I566" s="87"/>
      <c r="J566" s="87"/>
      <c r="K566" s="88"/>
      <c r="L566" s="90"/>
    </row>
    <row r="567">
      <c r="A567" s="82"/>
      <c r="B567" s="83"/>
      <c r="C567" s="83"/>
      <c r="D567" s="83"/>
      <c r="E567" s="102"/>
      <c r="F567" s="102"/>
      <c r="G567" s="88"/>
      <c r="H567" s="88"/>
      <c r="I567" s="87"/>
      <c r="J567" s="87"/>
      <c r="K567" s="88"/>
      <c r="L567" s="90"/>
    </row>
    <row r="568">
      <c r="A568" s="82"/>
      <c r="B568" s="83"/>
      <c r="C568" s="83"/>
      <c r="D568" s="83"/>
      <c r="E568" s="102"/>
      <c r="F568" s="102"/>
      <c r="G568" s="88"/>
      <c r="H568" s="88"/>
      <c r="I568" s="87"/>
      <c r="J568" s="87"/>
      <c r="K568" s="88"/>
      <c r="L568" s="90"/>
    </row>
    <row r="569">
      <c r="A569" s="82"/>
      <c r="B569" s="83"/>
      <c r="C569" s="83"/>
      <c r="D569" s="83"/>
      <c r="E569" s="102"/>
      <c r="F569" s="102"/>
      <c r="G569" s="88"/>
      <c r="H569" s="88"/>
      <c r="I569" s="87"/>
      <c r="J569" s="87"/>
      <c r="K569" s="88"/>
      <c r="L569" s="90"/>
    </row>
    <row r="570">
      <c r="A570" s="82"/>
      <c r="B570" s="83"/>
      <c r="C570" s="83"/>
      <c r="D570" s="83"/>
      <c r="E570" s="102"/>
      <c r="F570" s="102"/>
      <c r="G570" s="88"/>
      <c r="H570" s="88"/>
      <c r="I570" s="87"/>
      <c r="J570" s="87"/>
      <c r="K570" s="88"/>
      <c r="L570" s="90"/>
    </row>
    <row r="571">
      <c r="A571" s="82"/>
      <c r="B571" s="83"/>
      <c r="C571" s="83"/>
      <c r="D571" s="83"/>
      <c r="E571" s="102"/>
      <c r="F571" s="102"/>
      <c r="G571" s="88"/>
      <c r="H571" s="88"/>
      <c r="I571" s="87"/>
      <c r="J571" s="87"/>
      <c r="K571" s="88"/>
      <c r="L571" s="90"/>
    </row>
    <row r="572">
      <c r="A572" s="82"/>
      <c r="B572" s="83"/>
      <c r="C572" s="83"/>
      <c r="D572" s="83"/>
      <c r="E572" s="102"/>
      <c r="F572" s="102"/>
      <c r="G572" s="88"/>
      <c r="H572" s="88"/>
      <c r="I572" s="87"/>
      <c r="J572" s="87"/>
      <c r="K572" s="88"/>
      <c r="L572" s="90"/>
    </row>
    <row r="573">
      <c r="A573" s="82"/>
      <c r="B573" s="83"/>
      <c r="C573" s="83"/>
      <c r="D573" s="83"/>
      <c r="E573" s="102"/>
      <c r="F573" s="102"/>
      <c r="G573" s="88"/>
      <c r="H573" s="88"/>
      <c r="I573" s="87"/>
      <c r="J573" s="87"/>
      <c r="K573" s="88"/>
      <c r="L573" s="90"/>
    </row>
    <row r="574">
      <c r="A574" s="82"/>
      <c r="B574" s="83"/>
      <c r="C574" s="83"/>
      <c r="D574" s="83"/>
      <c r="E574" s="102"/>
      <c r="F574" s="102"/>
      <c r="G574" s="88"/>
      <c r="H574" s="88"/>
      <c r="I574" s="87"/>
      <c r="J574" s="87"/>
      <c r="K574" s="88"/>
      <c r="L574" s="90"/>
    </row>
    <row r="575">
      <c r="A575" s="82"/>
      <c r="B575" s="83"/>
      <c r="C575" s="83"/>
      <c r="D575" s="83"/>
      <c r="E575" s="102"/>
      <c r="F575" s="102"/>
      <c r="G575" s="88"/>
      <c r="H575" s="88"/>
      <c r="I575" s="87"/>
      <c r="J575" s="87"/>
      <c r="K575" s="88"/>
      <c r="L575" s="90"/>
    </row>
    <row r="576">
      <c r="A576" s="82"/>
      <c r="B576" s="83"/>
      <c r="C576" s="83"/>
      <c r="D576" s="83"/>
      <c r="E576" s="102"/>
      <c r="F576" s="102"/>
      <c r="G576" s="88"/>
      <c r="H576" s="88"/>
      <c r="I576" s="87"/>
      <c r="J576" s="87"/>
      <c r="K576" s="88"/>
      <c r="L576" s="90"/>
    </row>
    <row r="577">
      <c r="A577" s="82"/>
      <c r="B577" s="83"/>
      <c r="C577" s="83"/>
      <c r="D577" s="83"/>
      <c r="E577" s="102"/>
      <c r="F577" s="102"/>
      <c r="G577" s="88"/>
      <c r="H577" s="88"/>
      <c r="I577" s="87"/>
      <c r="J577" s="87"/>
      <c r="K577" s="88"/>
      <c r="L577" s="90"/>
    </row>
    <row r="578">
      <c r="A578" s="82"/>
      <c r="B578" s="83"/>
      <c r="C578" s="83"/>
      <c r="D578" s="83"/>
      <c r="E578" s="102"/>
      <c r="F578" s="102"/>
      <c r="G578" s="88"/>
      <c r="H578" s="88"/>
      <c r="I578" s="87"/>
      <c r="J578" s="87"/>
      <c r="K578" s="88"/>
      <c r="L578" s="90"/>
    </row>
    <row r="579">
      <c r="A579" s="82"/>
      <c r="B579" s="83"/>
      <c r="C579" s="83"/>
      <c r="D579" s="83"/>
      <c r="E579" s="102"/>
      <c r="F579" s="102"/>
      <c r="G579" s="88"/>
      <c r="H579" s="88"/>
      <c r="I579" s="87"/>
      <c r="J579" s="87"/>
      <c r="K579" s="88"/>
      <c r="L579" s="90"/>
    </row>
    <row r="580">
      <c r="A580" s="82"/>
      <c r="B580" s="83"/>
      <c r="C580" s="83"/>
      <c r="D580" s="83"/>
      <c r="E580" s="102"/>
      <c r="F580" s="102"/>
      <c r="G580" s="88"/>
      <c r="H580" s="88"/>
      <c r="I580" s="87"/>
      <c r="J580" s="87"/>
      <c r="K580" s="88"/>
      <c r="L580" s="90"/>
    </row>
    <row r="581">
      <c r="A581" s="82"/>
      <c r="B581" s="83"/>
      <c r="C581" s="83"/>
      <c r="D581" s="83"/>
      <c r="E581" s="102"/>
      <c r="F581" s="102"/>
      <c r="G581" s="88"/>
      <c r="H581" s="88"/>
      <c r="I581" s="87"/>
      <c r="J581" s="87"/>
      <c r="K581" s="88"/>
      <c r="L581" s="90"/>
    </row>
    <row r="582">
      <c r="A582" s="82"/>
      <c r="B582" s="83"/>
      <c r="C582" s="83"/>
      <c r="D582" s="83"/>
      <c r="E582" s="102"/>
      <c r="F582" s="102"/>
      <c r="G582" s="88"/>
      <c r="H582" s="88"/>
      <c r="I582" s="87"/>
      <c r="J582" s="87"/>
      <c r="K582" s="88"/>
      <c r="L582" s="90"/>
    </row>
    <row r="583">
      <c r="A583" s="82"/>
      <c r="B583" s="83"/>
      <c r="C583" s="83"/>
      <c r="D583" s="83"/>
      <c r="E583" s="102"/>
      <c r="F583" s="102"/>
      <c r="G583" s="88"/>
      <c r="H583" s="88"/>
      <c r="I583" s="87"/>
      <c r="J583" s="87"/>
      <c r="K583" s="88"/>
      <c r="L583" s="90"/>
    </row>
    <row r="584">
      <c r="A584" s="82"/>
      <c r="B584" s="83"/>
      <c r="C584" s="83"/>
      <c r="D584" s="83"/>
      <c r="E584" s="102"/>
      <c r="F584" s="102"/>
      <c r="G584" s="88"/>
      <c r="H584" s="88"/>
      <c r="I584" s="87"/>
      <c r="J584" s="87"/>
      <c r="K584" s="88"/>
      <c r="L584" s="90"/>
    </row>
    <row r="585">
      <c r="A585" s="82"/>
      <c r="B585" s="83"/>
      <c r="C585" s="83"/>
      <c r="D585" s="83"/>
      <c r="E585" s="102"/>
      <c r="F585" s="102"/>
      <c r="G585" s="88"/>
      <c r="H585" s="88"/>
      <c r="I585" s="87"/>
      <c r="J585" s="87"/>
      <c r="K585" s="88"/>
      <c r="L585" s="90"/>
    </row>
    <row r="586">
      <c r="A586" s="82"/>
      <c r="B586" s="83"/>
      <c r="C586" s="83"/>
      <c r="D586" s="83"/>
      <c r="E586" s="102"/>
      <c r="F586" s="102"/>
      <c r="G586" s="88"/>
      <c r="H586" s="88"/>
      <c r="I586" s="87"/>
      <c r="J586" s="87"/>
      <c r="K586" s="88"/>
      <c r="L586" s="90"/>
    </row>
    <row r="587">
      <c r="A587" s="82"/>
      <c r="B587" s="83"/>
      <c r="C587" s="83"/>
      <c r="D587" s="83"/>
      <c r="E587" s="102"/>
      <c r="F587" s="102"/>
      <c r="G587" s="88"/>
      <c r="H587" s="88"/>
      <c r="I587" s="87"/>
      <c r="J587" s="87"/>
      <c r="K587" s="88"/>
      <c r="L587" s="90"/>
    </row>
    <row r="588">
      <c r="A588" s="82"/>
      <c r="B588" s="83"/>
      <c r="C588" s="83"/>
      <c r="D588" s="83"/>
      <c r="E588" s="102"/>
      <c r="F588" s="102"/>
      <c r="G588" s="88"/>
      <c r="H588" s="88"/>
      <c r="I588" s="87"/>
      <c r="J588" s="87"/>
      <c r="K588" s="88"/>
      <c r="L588" s="90"/>
    </row>
    <row r="589">
      <c r="A589" s="82"/>
      <c r="B589" s="83"/>
      <c r="C589" s="83"/>
      <c r="D589" s="83"/>
      <c r="E589" s="102"/>
      <c r="F589" s="102"/>
      <c r="G589" s="88"/>
      <c r="H589" s="88"/>
      <c r="I589" s="87"/>
      <c r="J589" s="87"/>
      <c r="K589" s="88"/>
      <c r="L589" s="90"/>
    </row>
    <row r="590">
      <c r="A590" s="82"/>
      <c r="B590" s="83"/>
      <c r="C590" s="83"/>
      <c r="D590" s="83"/>
      <c r="E590" s="102"/>
      <c r="F590" s="102"/>
      <c r="G590" s="88"/>
      <c r="H590" s="88"/>
      <c r="I590" s="87"/>
      <c r="J590" s="87"/>
      <c r="K590" s="88"/>
      <c r="L590" s="90"/>
    </row>
    <row r="591">
      <c r="A591" s="82"/>
      <c r="B591" s="83"/>
      <c r="C591" s="83"/>
      <c r="D591" s="83"/>
      <c r="E591" s="102"/>
      <c r="F591" s="102"/>
      <c r="G591" s="88"/>
      <c r="H591" s="88"/>
      <c r="I591" s="87"/>
      <c r="J591" s="87"/>
      <c r="K591" s="88"/>
      <c r="L591" s="90"/>
    </row>
    <row r="592">
      <c r="A592" s="82"/>
      <c r="B592" s="83"/>
      <c r="C592" s="83"/>
      <c r="D592" s="83"/>
      <c r="E592" s="102"/>
      <c r="F592" s="102"/>
      <c r="G592" s="88"/>
      <c r="H592" s="88"/>
      <c r="I592" s="87"/>
      <c r="J592" s="87"/>
      <c r="K592" s="88"/>
      <c r="L592" s="90"/>
    </row>
    <row r="593">
      <c r="A593" s="82"/>
      <c r="B593" s="83"/>
      <c r="C593" s="83"/>
      <c r="D593" s="83"/>
      <c r="E593" s="102"/>
      <c r="F593" s="102"/>
      <c r="G593" s="88"/>
      <c r="H593" s="88"/>
      <c r="I593" s="87"/>
      <c r="J593" s="87"/>
      <c r="K593" s="88"/>
      <c r="L593" s="90"/>
    </row>
    <row r="594">
      <c r="A594" s="82"/>
      <c r="B594" s="83"/>
      <c r="C594" s="83"/>
      <c r="D594" s="83"/>
      <c r="E594" s="102"/>
      <c r="F594" s="102"/>
      <c r="G594" s="88"/>
      <c r="H594" s="88"/>
      <c r="I594" s="87"/>
      <c r="J594" s="87"/>
      <c r="K594" s="88"/>
      <c r="L594" s="90"/>
    </row>
    <row r="595">
      <c r="A595" s="82"/>
      <c r="B595" s="83"/>
      <c r="C595" s="83"/>
      <c r="D595" s="83"/>
      <c r="E595" s="102"/>
      <c r="F595" s="102"/>
      <c r="G595" s="88"/>
      <c r="H595" s="88"/>
      <c r="I595" s="87"/>
      <c r="J595" s="87"/>
      <c r="K595" s="88"/>
      <c r="L595" s="90"/>
    </row>
    <row r="596">
      <c r="A596" s="82"/>
      <c r="B596" s="83"/>
      <c r="C596" s="83"/>
      <c r="D596" s="83"/>
      <c r="E596" s="102"/>
      <c r="F596" s="102"/>
      <c r="G596" s="88"/>
      <c r="H596" s="88"/>
      <c r="I596" s="87"/>
      <c r="J596" s="87"/>
      <c r="K596" s="88"/>
      <c r="L596" s="90"/>
    </row>
    <row r="597">
      <c r="A597" s="82"/>
      <c r="B597" s="83"/>
      <c r="C597" s="83"/>
      <c r="D597" s="83"/>
      <c r="E597" s="102"/>
      <c r="F597" s="102"/>
      <c r="G597" s="88"/>
      <c r="H597" s="88"/>
      <c r="I597" s="87"/>
      <c r="J597" s="87"/>
      <c r="K597" s="88"/>
      <c r="L597" s="90"/>
    </row>
    <row r="598">
      <c r="A598" s="82"/>
      <c r="B598" s="83"/>
      <c r="C598" s="83"/>
      <c r="D598" s="83"/>
      <c r="E598" s="102"/>
      <c r="F598" s="102"/>
      <c r="G598" s="88"/>
      <c r="H598" s="88"/>
      <c r="I598" s="87"/>
      <c r="J598" s="87"/>
      <c r="K598" s="88"/>
      <c r="L598" s="90"/>
    </row>
    <row r="599">
      <c r="A599" s="82"/>
      <c r="B599" s="83"/>
      <c r="C599" s="83"/>
      <c r="D599" s="83"/>
      <c r="E599" s="102"/>
      <c r="F599" s="102"/>
      <c r="G599" s="88"/>
      <c r="H599" s="88"/>
      <c r="I599" s="87"/>
      <c r="J599" s="87"/>
      <c r="K599" s="88"/>
      <c r="L599" s="90"/>
    </row>
    <row r="600">
      <c r="A600" s="82"/>
      <c r="B600" s="83"/>
      <c r="C600" s="83"/>
      <c r="D600" s="83"/>
      <c r="E600" s="102"/>
      <c r="F600" s="102"/>
      <c r="G600" s="88"/>
      <c r="H600" s="88"/>
      <c r="I600" s="87"/>
      <c r="J600" s="87"/>
      <c r="K600" s="88"/>
      <c r="L600" s="90"/>
    </row>
    <row r="601">
      <c r="A601" s="82"/>
      <c r="B601" s="83"/>
      <c r="C601" s="83"/>
      <c r="D601" s="83"/>
      <c r="E601" s="102"/>
      <c r="F601" s="102"/>
      <c r="G601" s="88"/>
      <c r="H601" s="88"/>
      <c r="I601" s="87"/>
      <c r="J601" s="87"/>
      <c r="K601" s="88"/>
      <c r="L601" s="90"/>
    </row>
    <row r="602">
      <c r="A602" s="82"/>
      <c r="B602" s="83"/>
      <c r="C602" s="83"/>
      <c r="D602" s="83"/>
      <c r="E602" s="102"/>
      <c r="F602" s="102"/>
      <c r="G602" s="88"/>
      <c r="H602" s="88"/>
      <c r="I602" s="87"/>
      <c r="J602" s="87"/>
      <c r="K602" s="88"/>
      <c r="L602" s="90"/>
    </row>
    <row r="603">
      <c r="A603" s="82"/>
      <c r="B603" s="83"/>
      <c r="C603" s="83"/>
      <c r="D603" s="83"/>
      <c r="E603" s="102"/>
      <c r="F603" s="102"/>
      <c r="G603" s="88"/>
      <c r="H603" s="88"/>
      <c r="I603" s="87"/>
      <c r="J603" s="87"/>
      <c r="K603" s="88"/>
      <c r="L603" s="90"/>
    </row>
    <row r="604">
      <c r="A604" s="82"/>
      <c r="B604" s="83"/>
      <c r="C604" s="83"/>
      <c r="D604" s="83"/>
      <c r="E604" s="102"/>
      <c r="F604" s="102"/>
      <c r="G604" s="88"/>
      <c r="H604" s="88"/>
      <c r="I604" s="87"/>
      <c r="J604" s="87"/>
      <c r="K604" s="88"/>
      <c r="L604" s="90"/>
    </row>
    <row r="605">
      <c r="A605" s="82"/>
      <c r="B605" s="83"/>
      <c r="C605" s="83"/>
      <c r="D605" s="83"/>
      <c r="E605" s="102"/>
      <c r="F605" s="102"/>
      <c r="G605" s="88"/>
      <c r="H605" s="88"/>
      <c r="I605" s="87"/>
      <c r="J605" s="87"/>
      <c r="K605" s="88"/>
      <c r="L605" s="90"/>
    </row>
    <row r="606">
      <c r="A606" s="82"/>
      <c r="B606" s="83"/>
      <c r="C606" s="83"/>
      <c r="D606" s="83"/>
      <c r="E606" s="102"/>
      <c r="F606" s="102"/>
      <c r="G606" s="88"/>
      <c r="H606" s="88"/>
      <c r="I606" s="87"/>
      <c r="J606" s="87"/>
      <c r="K606" s="88"/>
      <c r="L606" s="90"/>
    </row>
    <row r="607">
      <c r="A607" s="82"/>
      <c r="B607" s="83"/>
      <c r="C607" s="83"/>
      <c r="D607" s="83"/>
      <c r="E607" s="102"/>
      <c r="F607" s="102"/>
      <c r="G607" s="88"/>
      <c r="H607" s="88"/>
      <c r="I607" s="87"/>
      <c r="J607" s="87"/>
      <c r="K607" s="88"/>
      <c r="L607" s="90"/>
    </row>
    <row r="608">
      <c r="A608" s="82"/>
      <c r="B608" s="83"/>
      <c r="C608" s="83"/>
      <c r="D608" s="83"/>
      <c r="E608" s="102"/>
      <c r="F608" s="102"/>
      <c r="G608" s="88"/>
      <c r="H608" s="88"/>
      <c r="I608" s="87"/>
      <c r="J608" s="87"/>
      <c r="K608" s="88"/>
      <c r="L608" s="90"/>
    </row>
    <row r="609">
      <c r="A609" s="82"/>
      <c r="B609" s="83"/>
      <c r="C609" s="83"/>
      <c r="D609" s="83"/>
      <c r="E609" s="102"/>
      <c r="F609" s="102"/>
      <c r="G609" s="88"/>
      <c r="H609" s="88"/>
      <c r="I609" s="87"/>
      <c r="J609" s="87"/>
      <c r="K609" s="88"/>
      <c r="L609" s="90"/>
    </row>
    <row r="610">
      <c r="A610" s="82"/>
      <c r="B610" s="83"/>
      <c r="C610" s="83"/>
      <c r="D610" s="83"/>
      <c r="E610" s="102"/>
      <c r="F610" s="102"/>
      <c r="G610" s="88"/>
      <c r="H610" s="88"/>
      <c r="I610" s="87"/>
      <c r="J610" s="87"/>
      <c r="K610" s="88"/>
      <c r="L610" s="90"/>
    </row>
    <row r="611">
      <c r="A611" s="82"/>
      <c r="B611" s="83"/>
      <c r="C611" s="83"/>
      <c r="D611" s="83"/>
      <c r="E611" s="102"/>
      <c r="F611" s="102"/>
      <c r="G611" s="88"/>
      <c r="H611" s="88"/>
      <c r="I611" s="87"/>
      <c r="J611" s="87"/>
      <c r="K611" s="88"/>
      <c r="L611" s="90"/>
    </row>
    <row r="612">
      <c r="A612" s="82"/>
      <c r="B612" s="83"/>
      <c r="C612" s="83"/>
      <c r="D612" s="83"/>
      <c r="E612" s="102"/>
      <c r="F612" s="102"/>
      <c r="G612" s="88"/>
      <c r="H612" s="88"/>
      <c r="I612" s="87"/>
      <c r="J612" s="87"/>
      <c r="K612" s="88"/>
      <c r="L612" s="90"/>
    </row>
    <row r="613">
      <c r="A613" s="82"/>
      <c r="B613" s="83"/>
      <c r="C613" s="83"/>
      <c r="D613" s="83"/>
      <c r="E613" s="102"/>
      <c r="F613" s="102"/>
      <c r="G613" s="88"/>
      <c r="H613" s="88"/>
      <c r="I613" s="87"/>
      <c r="J613" s="87"/>
      <c r="K613" s="88"/>
      <c r="L613" s="90"/>
    </row>
    <row r="614">
      <c r="A614" s="82"/>
      <c r="B614" s="83"/>
      <c r="C614" s="83"/>
      <c r="D614" s="83"/>
      <c r="E614" s="102"/>
      <c r="F614" s="102"/>
      <c r="G614" s="88"/>
      <c r="H614" s="88"/>
      <c r="I614" s="87"/>
      <c r="J614" s="87"/>
      <c r="K614" s="88"/>
      <c r="L614" s="90"/>
    </row>
    <row r="615">
      <c r="A615" s="82"/>
      <c r="B615" s="83"/>
      <c r="C615" s="83"/>
      <c r="D615" s="83"/>
      <c r="E615" s="102"/>
      <c r="F615" s="102"/>
      <c r="G615" s="88"/>
      <c r="H615" s="88"/>
      <c r="I615" s="87"/>
      <c r="J615" s="87"/>
      <c r="K615" s="88"/>
      <c r="L615" s="90"/>
    </row>
    <row r="616">
      <c r="A616" s="82"/>
      <c r="B616" s="83"/>
      <c r="C616" s="83"/>
      <c r="D616" s="83"/>
      <c r="E616" s="102"/>
      <c r="F616" s="102"/>
      <c r="G616" s="88"/>
      <c r="H616" s="88"/>
      <c r="I616" s="87"/>
      <c r="J616" s="87"/>
      <c r="K616" s="88"/>
      <c r="L616" s="90"/>
    </row>
    <row r="617">
      <c r="A617" s="82"/>
      <c r="B617" s="83"/>
      <c r="C617" s="83"/>
      <c r="D617" s="83"/>
      <c r="E617" s="102"/>
      <c r="F617" s="102"/>
      <c r="G617" s="88"/>
      <c r="H617" s="88"/>
      <c r="I617" s="87"/>
      <c r="J617" s="87"/>
      <c r="K617" s="88"/>
      <c r="L617" s="90"/>
    </row>
    <row r="618">
      <c r="A618" s="82"/>
      <c r="B618" s="83"/>
      <c r="C618" s="83"/>
      <c r="D618" s="83"/>
      <c r="E618" s="102"/>
      <c r="F618" s="102"/>
      <c r="G618" s="88"/>
      <c r="H618" s="88"/>
      <c r="I618" s="87"/>
      <c r="J618" s="87"/>
      <c r="K618" s="88"/>
      <c r="L618" s="90"/>
    </row>
    <row r="619">
      <c r="A619" s="82"/>
      <c r="B619" s="83"/>
      <c r="C619" s="83"/>
      <c r="D619" s="83"/>
      <c r="E619" s="102"/>
      <c r="F619" s="102"/>
      <c r="G619" s="88"/>
      <c r="H619" s="88"/>
      <c r="I619" s="87"/>
      <c r="J619" s="87"/>
      <c r="K619" s="88"/>
      <c r="L619" s="90"/>
    </row>
    <row r="620">
      <c r="A620" s="82"/>
      <c r="B620" s="83"/>
      <c r="C620" s="83"/>
      <c r="D620" s="83"/>
      <c r="E620" s="102"/>
      <c r="F620" s="102"/>
      <c r="G620" s="88"/>
      <c r="H620" s="88"/>
      <c r="I620" s="87"/>
      <c r="J620" s="87"/>
      <c r="K620" s="88"/>
      <c r="L620" s="90"/>
    </row>
    <row r="621">
      <c r="A621" s="82"/>
      <c r="B621" s="83"/>
      <c r="C621" s="83"/>
      <c r="D621" s="83"/>
      <c r="E621" s="102"/>
      <c r="F621" s="102"/>
      <c r="G621" s="88"/>
      <c r="H621" s="88"/>
      <c r="I621" s="87"/>
      <c r="J621" s="87"/>
      <c r="K621" s="88"/>
      <c r="L621" s="90"/>
    </row>
    <row r="622">
      <c r="A622" s="82"/>
      <c r="B622" s="83"/>
      <c r="C622" s="83"/>
      <c r="D622" s="83"/>
      <c r="E622" s="102"/>
      <c r="F622" s="102"/>
      <c r="G622" s="88"/>
      <c r="H622" s="88"/>
      <c r="I622" s="87"/>
      <c r="J622" s="87"/>
      <c r="K622" s="88"/>
      <c r="L622" s="90"/>
    </row>
    <row r="623">
      <c r="A623" s="82"/>
      <c r="B623" s="83"/>
      <c r="C623" s="83"/>
      <c r="D623" s="83"/>
      <c r="E623" s="102"/>
      <c r="F623" s="102"/>
      <c r="G623" s="88"/>
      <c r="H623" s="88"/>
      <c r="I623" s="87"/>
      <c r="J623" s="87"/>
      <c r="K623" s="88"/>
      <c r="L623" s="90"/>
    </row>
    <row r="624">
      <c r="A624" s="82"/>
      <c r="B624" s="83"/>
      <c r="C624" s="83"/>
      <c r="D624" s="83"/>
      <c r="E624" s="102"/>
      <c r="F624" s="102"/>
      <c r="G624" s="88"/>
      <c r="H624" s="88"/>
      <c r="I624" s="87"/>
      <c r="J624" s="87"/>
      <c r="K624" s="88"/>
      <c r="L624" s="90"/>
    </row>
    <row r="625">
      <c r="A625" s="82"/>
      <c r="B625" s="83"/>
      <c r="C625" s="83"/>
      <c r="D625" s="83"/>
      <c r="E625" s="102"/>
      <c r="F625" s="102"/>
      <c r="G625" s="88"/>
      <c r="H625" s="88"/>
      <c r="I625" s="87"/>
      <c r="J625" s="87"/>
      <c r="K625" s="88"/>
      <c r="L625" s="90"/>
    </row>
    <row r="626">
      <c r="A626" s="82"/>
      <c r="B626" s="83"/>
      <c r="C626" s="83"/>
      <c r="D626" s="83"/>
      <c r="E626" s="102"/>
      <c r="F626" s="102"/>
      <c r="G626" s="88"/>
      <c r="H626" s="88"/>
      <c r="I626" s="87"/>
      <c r="J626" s="87"/>
      <c r="K626" s="88"/>
      <c r="L626" s="90"/>
    </row>
    <row r="627">
      <c r="A627" s="82"/>
      <c r="B627" s="83"/>
      <c r="C627" s="83"/>
      <c r="D627" s="83"/>
      <c r="E627" s="102"/>
      <c r="F627" s="102"/>
      <c r="G627" s="88"/>
      <c r="H627" s="88"/>
      <c r="I627" s="87"/>
      <c r="J627" s="87"/>
      <c r="K627" s="88"/>
      <c r="L627" s="90"/>
    </row>
    <row r="628">
      <c r="A628" s="82"/>
      <c r="B628" s="83"/>
      <c r="C628" s="83"/>
      <c r="D628" s="83"/>
      <c r="E628" s="102"/>
      <c r="F628" s="102"/>
      <c r="G628" s="88"/>
      <c r="H628" s="88"/>
      <c r="I628" s="87"/>
      <c r="J628" s="87"/>
      <c r="K628" s="88"/>
      <c r="L628" s="90"/>
    </row>
    <row r="629">
      <c r="A629" s="82"/>
      <c r="B629" s="83"/>
      <c r="C629" s="83"/>
      <c r="D629" s="83"/>
      <c r="E629" s="102"/>
      <c r="F629" s="102"/>
      <c r="G629" s="88"/>
      <c r="H629" s="88"/>
      <c r="I629" s="87"/>
      <c r="J629" s="87"/>
      <c r="K629" s="88"/>
      <c r="L629" s="90"/>
    </row>
    <row r="630">
      <c r="A630" s="82"/>
      <c r="B630" s="83"/>
      <c r="C630" s="83"/>
      <c r="D630" s="83"/>
      <c r="E630" s="102"/>
      <c r="F630" s="102"/>
      <c r="G630" s="88"/>
      <c r="H630" s="88"/>
      <c r="I630" s="87"/>
      <c r="J630" s="87"/>
      <c r="K630" s="88"/>
      <c r="L630" s="90"/>
    </row>
    <row r="631">
      <c r="A631" s="82"/>
      <c r="B631" s="83"/>
      <c r="C631" s="83"/>
      <c r="D631" s="83"/>
      <c r="E631" s="102"/>
      <c r="F631" s="102"/>
      <c r="G631" s="88"/>
      <c r="H631" s="88"/>
      <c r="I631" s="87"/>
      <c r="J631" s="87"/>
      <c r="K631" s="88"/>
      <c r="L631" s="90"/>
    </row>
    <row r="632">
      <c r="A632" s="82"/>
      <c r="B632" s="83"/>
      <c r="C632" s="83"/>
      <c r="D632" s="83"/>
      <c r="E632" s="102"/>
      <c r="F632" s="102"/>
      <c r="G632" s="88"/>
      <c r="H632" s="88"/>
      <c r="I632" s="87"/>
      <c r="J632" s="87"/>
      <c r="K632" s="88"/>
      <c r="L632" s="90"/>
    </row>
    <row r="633">
      <c r="A633" s="82"/>
      <c r="B633" s="83"/>
      <c r="C633" s="83"/>
      <c r="D633" s="83"/>
      <c r="E633" s="102"/>
      <c r="F633" s="102"/>
      <c r="G633" s="88"/>
      <c r="H633" s="88"/>
      <c r="I633" s="87"/>
      <c r="J633" s="87"/>
      <c r="K633" s="88"/>
      <c r="L633" s="90"/>
    </row>
    <row r="634">
      <c r="A634" s="82"/>
      <c r="B634" s="83"/>
      <c r="C634" s="83"/>
      <c r="D634" s="83"/>
      <c r="E634" s="102"/>
      <c r="F634" s="102"/>
      <c r="G634" s="88"/>
      <c r="H634" s="88"/>
      <c r="I634" s="87"/>
      <c r="J634" s="87"/>
      <c r="K634" s="88"/>
      <c r="L634" s="90"/>
    </row>
    <row r="635">
      <c r="A635" s="82"/>
      <c r="B635" s="83"/>
      <c r="C635" s="83"/>
      <c r="D635" s="83"/>
      <c r="E635" s="102"/>
      <c r="F635" s="102"/>
      <c r="G635" s="88"/>
      <c r="H635" s="88"/>
      <c r="I635" s="87"/>
      <c r="J635" s="87"/>
      <c r="K635" s="88"/>
      <c r="L635" s="90"/>
    </row>
    <row r="636">
      <c r="A636" s="82"/>
      <c r="B636" s="83"/>
      <c r="C636" s="83"/>
      <c r="D636" s="83"/>
      <c r="E636" s="102"/>
      <c r="F636" s="102"/>
      <c r="G636" s="88"/>
      <c r="H636" s="88"/>
      <c r="I636" s="87"/>
      <c r="J636" s="87"/>
      <c r="K636" s="88"/>
      <c r="L636" s="90"/>
    </row>
    <row r="637">
      <c r="A637" s="82"/>
      <c r="B637" s="83"/>
      <c r="C637" s="83"/>
      <c r="D637" s="83"/>
      <c r="E637" s="102"/>
      <c r="F637" s="102"/>
      <c r="G637" s="88"/>
      <c r="H637" s="88"/>
      <c r="I637" s="87"/>
      <c r="J637" s="87"/>
      <c r="K637" s="88"/>
      <c r="L637" s="90"/>
    </row>
    <row r="638">
      <c r="A638" s="82"/>
      <c r="B638" s="83"/>
      <c r="C638" s="83"/>
      <c r="D638" s="83"/>
      <c r="E638" s="102"/>
      <c r="F638" s="102"/>
      <c r="G638" s="88"/>
      <c r="H638" s="88"/>
      <c r="I638" s="87"/>
      <c r="J638" s="87"/>
      <c r="K638" s="88"/>
      <c r="L638" s="90"/>
    </row>
    <row r="639">
      <c r="A639" s="82"/>
      <c r="B639" s="83"/>
      <c r="C639" s="83"/>
      <c r="D639" s="83"/>
      <c r="E639" s="102"/>
      <c r="F639" s="102"/>
      <c r="G639" s="88"/>
      <c r="H639" s="88"/>
      <c r="I639" s="87"/>
      <c r="J639" s="87"/>
      <c r="K639" s="88"/>
      <c r="L639" s="90"/>
    </row>
    <row r="640">
      <c r="A640" s="82"/>
      <c r="B640" s="83"/>
      <c r="C640" s="83"/>
      <c r="D640" s="83"/>
      <c r="E640" s="102"/>
      <c r="F640" s="102"/>
      <c r="G640" s="88"/>
      <c r="H640" s="88"/>
      <c r="I640" s="87"/>
      <c r="J640" s="87"/>
      <c r="K640" s="88"/>
      <c r="L640" s="90"/>
    </row>
    <row r="641">
      <c r="A641" s="82"/>
      <c r="B641" s="83"/>
      <c r="C641" s="83"/>
      <c r="D641" s="83"/>
      <c r="E641" s="102"/>
      <c r="F641" s="102"/>
      <c r="G641" s="88"/>
      <c r="H641" s="88"/>
      <c r="I641" s="87"/>
      <c r="J641" s="87"/>
      <c r="K641" s="88"/>
      <c r="L641" s="90"/>
    </row>
    <row r="642">
      <c r="A642" s="82"/>
      <c r="B642" s="83"/>
      <c r="C642" s="83"/>
      <c r="D642" s="83"/>
      <c r="E642" s="102"/>
      <c r="F642" s="102"/>
      <c r="G642" s="88"/>
      <c r="H642" s="88"/>
      <c r="I642" s="87"/>
      <c r="J642" s="87"/>
      <c r="K642" s="88"/>
      <c r="L642" s="90"/>
    </row>
    <row r="643">
      <c r="A643" s="82"/>
      <c r="B643" s="83"/>
      <c r="C643" s="83"/>
      <c r="D643" s="83"/>
      <c r="E643" s="102"/>
      <c r="F643" s="102"/>
      <c r="G643" s="88"/>
      <c r="H643" s="88"/>
      <c r="I643" s="87"/>
      <c r="J643" s="87"/>
      <c r="K643" s="88"/>
      <c r="L643" s="90"/>
    </row>
    <row r="644">
      <c r="A644" s="82"/>
      <c r="B644" s="83"/>
      <c r="C644" s="83"/>
      <c r="D644" s="83"/>
      <c r="E644" s="102"/>
      <c r="F644" s="102"/>
      <c r="G644" s="88"/>
      <c r="H644" s="88"/>
      <c r="I644" s="87"/>
      <c r="J644" s="87"/>
      <c r="K644" s="88"/>
      <c r="L644" s="90"/>
    </row>
    <row r="645">
      <c r="A645" s="82"/>
      <c r="B645" s="83"/>
      <c r="C645" s="83"/>
      <c r="D645" s="83"/>
      <c r="E645" s="102"/>
      <c r="F645" s="102"/>
      <c r="G645" s="88"/>
      <c r="H645" s="88"/>
      <c r="I645" s="87"/>
      <c r="J645" s="87"/>
      <c r="K645" s="88"/>
      <c r="L645" s="90"/>
    </row>
    <row r="646">
      <c r="A646" s="82"/>
      <c r="B646" s="83"/>
      <c r="C646" s="83"/>
      <c r="D646" s="83"/>
      <c r="E646" s="102"/>
      <c r="F646" s="102"/>
      <c r="G646" s="88"/>
      <c r="H646" s="88"/>
      <c r="I646" s="87"/>
      <c r="J646" s="87"/>
      <c r="K646" s="88"/>
      <c r="L646" s="90"/>
    </row>
    <row r="647">
      <c r="A647" s="82"/>
      <c r="B647" s="83"/>
      <c r="C647" s="83"/>
      <c r="D647" s="83"/>
      <c r="E647" s="102"/>
      <c r="F647" s="102"/>
      <c r="G647" s="88"/>
      <c r="H647" s="88"/>
      <c r="I647" s="87"/>
      <c r="J647" s="87"/>
      <c r="K647" s="88"/>
      <c r="L647" s="90"/>
    </row>
    <row r="648">
      <c r="A648" s="82"/>
      <c r="B648" s="83"/>
      <c r="C648" s="83"/>
      <c r="D648" s="83"/>
      <c r="E648" s="102"/>
      <c r="F648" s="102"/>
      <c r="G648" s="88"/>
      <c r="H648" s="88"/>
      <c r="I648" s="87"/>
      <c r="J648" s="87"/>
      <c r="K648" s="88"/>
      <c r="L648" s="90"/>
    </row>
    <row r="649">
      <c r="A649" s="82"/>
      <c r="B649" s="83"/>
      <c r="C649" s="83"/>
      <c r="D649" s="83"/>
      <c r="E649" s="102"/>
      <c r="F649" s="102"/>
      <c r="G649" s="88"/>
      <c r="H649" s="88"/>
      <c r="I649" s="87"/>
      <c r="J649" s="87"/>
      <c r="K649" s="88"/>
      <c r="L649" s="90"/>
    </row>
    <row r="650">
      <c r="A650" s="82"/>
      <c r="B650" s="83"/>
      <c r="C650" s="83"/>
      <c r="D650" s="83"/>
      <c r="E650" s="102"/>
      <c r="F650" s="102"/>
      <c r="G650" s="88"/>
      <c r="H650" s="88"/>
      <c r="I650" s="87"/>
      <c r="J650" s="87"/>
      <c r="K650" s="88"/>
      <c r="L650" s="90"/>
    </row>
    <row r="651">
      <c r="A651" s="82"/>
      <c r="B651" s="83"/>
      <c r="C651" s="83"/>
      <c r="D651" s="83"/>
      <c r="E651" s="102"/>
      <c r="F651" s="102"/>
      <c r="G651" s="88"/>
      <c r="H651" s="88"/>
      <c r="I651" s="87"/>
      <c r="J651" s="87"/>
      <c r="K651" s="88"/>
      <c r="L651" s="90"/>
    </row>
    <row r="652">
      <c r="A652" s="82"/>
      <c r="B652" s="83"/>
      <c r="C652" s="83"/>
      <c r="D652" s="83"/>
      <c r="E652" s="102"/>
      <c r="F652" s="102"/>
      <c r="G652" s="88"/>
      <c r="H652" s="88"/>
      <c r="I652" s="87"/>
      <c r="J652" s="87"/>
      <c r="K652" s="88"/>
      <c r="L652" s="90"/>
    </row>
    <row r="653">
      <c r="A653" s="82"/>
      <c r="B653" s="83"/>
      <c r="C653" s="83"/>
      <c r="D653" s="83"/>
      <c r="E653" s="102"/>
      <c r="F653" s="102"/>
      <c r="G653" s="88"/>
      <c r="H653" s="88"/>
      <c r="I653" s="87"/>
      <c r="J653" s="87"/>
      <c r="K653" s="88"/>
      <c r="L653" s="90"/>
    </row>
    <row r="654">
      <c r="A654" s="82"/>
      <c r="B654" s="83"/>
      <c r="C654" s="83"/>
      <c r="D654" s="83"/>
      <c r="E654" s="102"/>
      <c r="F654" s="102"/>
      <c r="G654" s="88"/>
      <c r="H654" s="88"/>
      <c r="I654" s="87"/>
      <c r="J654" s="87"/>
      <c r="K654" s="88"/>
      <c r="L654" s="90"/>
    </row>
    <row r="655">
      <c r="A655" s="82"/>
      <c r="B655" s="83"/>
      <c r="C655" s="83"/>
      <c r="D655" s="83"/>
      <c r="E655" s="102"/>
      <c r="F655" s="102"/>
      <c r="G655" s="88"/>
      <c r="H655" s="88"/>
      <c r="I655" s="87"/>
      <c r="J655" s="87"/>
      <c r="K655" s="88"/>
      <c r="L655" s="90"/>
    </row>
    <row r="656">
      <c r="A656" s="82"/>
      <c r="B656" s="83"/>
      <c r="C656" s="83"/>
      <c r="D656" s="83"/>
      <c r="E656" s="102"/>
      <c r="F656" s="102"/>
      <c r="G656" s="88"/>
      <c r="H656" s="88"/>
      <c r="I656" s="87"/>
      <c r="J656" s="87"/>
      <c r="K656" s="88"/>
      <c r="L656" s="90"/>
    </row>
    <row r="657">
      <c r="A657" s="82"/>
      <c r="B657" s="83"/>
      <c r="C657" s="83"/>
      <c r="D657" s="83"/>
      <c r="E657" s="102"/>
      <c r="F657" s="102"/>
      <c r="G657" s="88"/>
      <c r="H657" s="88"/>
      <c r="I657" s="87"/>
      <c r="J657" s="87"/>
      <c r="K657" s="88"/>
      <c r="L657" s="90"/>
    </row>
    <row r="658">
      <c r="A658" s="82"/>
      <c r="B658" s="83"/>
      <c r="C658" s="83"/>
      <c r="D658" s="83"/>
      <c r="E658" s="102"/>
      <c r="F658" s="102"/>
      <c r="G658" s="88"/>
      <c r="H658" s="88"/>
      <c r="I658" s="87"/>
      <c r="J658" s="87"/>
      <c r="K658" s="88"/>
      <c r="L658" s="90"/>
    </row>
    <row r="659">
      <c r="A659" s="82"/>
      <c r="B659" s="83"/>
      <c r="C659" s="83"/>
      <c r="D659" s="83"/>
      <c r="E659" s="102"/>
      <c r="F659" s="102"/>
      <c r="G659" s="88"/>
      <c r="H659" s="88"/>
      <c r="I659" s="87"/>
      <c r="J659" s="87"/>
      <c r="K659" s="88"/>
      <c r="L659" s="90"/>
    </row>
    <row r="660">
      <c r="A660" s="82"/>
      <c r="B660" s="83"/>
      <c r="C660" s="83"/>
      <c r="D660" s="83"/>
      <c r="E660" s="102"/>
      <c r="F660" s="102"/>
      <c r="G660" s="88"/>
      <c r="H660" s="88"/>
      <c r="I660" s="87"/>
      <c r="J660" s="87"/>
      <c r="K660" s="88"/>
      <c r="L660" s="90"/>
    </row>
    <row r="661">
      <c r="A661" s="82"/>
      <c r="B661" s="83"/>
      <c r="C661" s="83"/>
      <c r="D661" s="83"/>
      <c r="E661" s="102"/>
      <c r="F661" s="102"/>
      <c r="G661" s="88"/>
      <c r="H661" s="88"/>
      <c r="I661" s="87"/>
      <c r="J661" s="87"/>
      <c r="K661" s="88"/>
      <c r="L661" s="90"/>
    </row>
    <row r="662">
      <c r="A662" s="82"/>
      <c r="B662" s="83"/>
      <c r="C662" s="83"/>
      <c r="D662" s="83"/>
      <c r="E662" s="102"/>
      <c r="F662" s="102"/>
      <c r="G662" s="88"/>
      <c r="H662" s="88"/>
      <c r="I662" s="87"/>
      <c r="J662" s="87"/>
      <c r="K662" s="88"/>
      <c r="L662" s="90"/>
    </row>
    <row r="663">
      <c r="A663" s="82"/>
      <c r="B663" s="83"/>
      <c r="C663" s="83"/>
      <c r="D663" s="83"/>
      <c r="E663" s="102"/>
      <c r="F663" s="102"/>
      <c r="G663" s="88"/>
      <c r="H663" s="88"/>
      <c r="I663" s="87"/>
      <c r="J663" s="87"/>
      <c r="K663" s="88"/>
      <c r="L663" s="90"/>
    </row>
    <row r="664">
      <c r="A664" s="82"/>
      <c r="B664" s="83"/>
      <c r="C664" s="83"/>
      <c r="D664" s="83"/>
      <c r="E664" s="102"/>
      <c r="F664" s="102"/>
      <c r="G664" s="88"/>
      <c r="H664" s="88"/>
      <c r="I664" s="87"/>
      <c r="J664" s="87"/>
      <c r="K664" s="88"/>
      <c r="L664" s="90"/>
    </row>
    <row r="665">
      <c r="A665" s="82"/>
      <c r="B665" s="83"/>
      <c r="C665" s="83"/>
      <c r="D665" s="83"/>
      <c r="E665" s="102"/>
      <c r="F665" s="102"/>
      <c r="G665" s="88"/>
      <c r="H665" s="88"/>
      <c r="I665" s="87"/>
      <c r="J665" s="87"/>
      <c r="K665" s="88"/>
      <c r="L665" s="90"/>
    </row>
    <row r="666">
      <c r="A666" s="82"/>
      <c r="B666" s="83"/>
      <c r="C666" s="83"/>
      <c r="D666" s="83"/>
      <c r="E666" s="102"/>
      <c r="F666" s="102"/>
      <c r="G666" s="88"/>
      <c r="H666" s="88"/>
      <c r="I666" s="87"/>
      <c r="J666" s="87"/>
      <c r="K666" s="88"/>
      <c r="L666" s="90"/>
    </row>
    <row r="667">
      <c r="A667" s="82"/>
      <c r="B667" s="83"/>
      <c r="C667" s="83"/>
      <c r="D667" s="83"/>
      <c r="E667" s="102"/>
      <c r="F667" s="102"/>
      <c r="G667" s="88"/>
      <c r="H667" s="88"/>
      <c r="I667" s="87"/>
      <c r="J667" s="87"/>
      <c r="K667" s="88"/>
      <c r="L667" s="90"/>
    </row>
    <row r="668">
      <c r="A668" s="82"/>
      <c r="B668" s="83"/>
      <c r="C668" s="83"/>
      <c r="D668" s="83"/>
      <c r="E668" s="102"/>
      <c r="F668" s="102"/>
      <c r="G668" s="88"/>
      <c r="H668" s="88"/>
      <c r="I668" s="87"/>
      <c r="J668" s="87"/>
      <c r="K668" s="88"/>
      <c r="L668" s="90"/>
    </row>
    <row r="669">
      <c r="A669" s="82"/>
      <c r="B669" s="83"/>
      <c r="C669" s="83"/>
      <c r="D669" s="83"/>
      <c r="E669" s="102"/>
      <c r="F669" s="102"/>
      <c r="G669" s="88"/>
      <c r="H669" s="88"/>
      <c r="I669" s="87"/>
      <c r="J669" s="87"/>
      <c r="K669" s="88"/>
      <c r="L669" s="90"/>
    </row>
    <row r="670">
      <c r="A670" s="82"/>
      <c r="B670" s="83"/>
      <c r="C670" s="83"/>
      <c r="D670" s="83"/>
      <c r="E670" s="102"/>
      <c r="F670" s="102"/>
      <c r="G670" s="88"/>
      <c r="H670" s="88"/>
      <c r="I670" s="87"/>
      <c r="J670" s="87"/>
      <c r="K670" s="88"/>
      <c r="L670" s="90"/>
    </row>
    <row r="671">
      <c r="A671" s="82"/>
      <c r="B671" s="83"/>
      <c r="C671" s="83"/>
      <c r="D671" s="83"/>
      <c r="E671" s="102"/>
      <c r="F671" s="102"/>
      <c r="G671" s="88"/>
      <c r="H671" s="88"/>
      <c r="I671" s="87"/>
      <c r="J671" s="87"/>
      <c r="K671" s="88"/>
      <c r="L671" s="90"/>
    </row>
    <row r="672">
      <c r="A672" s="82"/>
      <c r="B672" s="83"/>
      <c r="C672" s="83"/>
      <c r="D672" s="83"/>
      <c r="E672" s="102"/>
      <c r="F672" s="102"/>
      <c r="G672" s="88"/>
      <c r="H672" s="88"/>
      <c r="I672" s="87"/>
      <c r="J672" s="87"/>
      <c r="K672" s="88"/>
      <c r="L672" s="90"/>
    </row>
    <row r="673">
      <c r="A673" s="82"/>
      <c r="B673" s="83"/>
      <c r="C673" s="83"/>
      <c r="D673" s="83"/>
      <c r="E673" s="102"/>
      <c r="F673" s="102"/>
      <c r="G673" s="88"/>
      <c r="H673" s="88"/>
      <c r="I673" s="87"/>
      <c r="J673" s="87"/>
      <c r="K673" s="88"/>
      <c r="L673" s="90"/>
    </row>
    <row r="674">
      <c r="A674" s="82"/>
      <c r="B674" s="83"/>
      <c r="C674" s="83"/>
      <c r="D674" s="83"/>
      <c r="E674" s="102"/>
      <c r="F674" s="102"/>
      <c r="G674" s="88"/>
      <c r="H674" s="88"/>
      <c r="I674" s="87"/>
      <c r="J674" s="87"/>
      <c r="K674" s="88"/>
      <c r="L674" s="90"/>
    </row>
    <row r="675">
      <c r="A675" s="82"/>
      <c r="B675" s="83"/>
      <c r="C675" s="83"/>
      <c r="D675" s="83"/>
      <c r="E675" s="102"/>
      <c r="F675" s="102"/>
      <c r="G675" s="88"/>
      <c r="H675" s="88"/>
      <c r="I675" s="87"/>
      <c r="J675" s="87"/>
      <c r="K675" s="88"/>
      <c r="L675" s="90"/>
    </row>
    <row r="676">
      <c r="A676" s="82"/>
      <c r="B676" s="83"/>
      <c r="C676" s="83"/>
      <c r="D676" s="83"/>
      <c r="E676" s="102"/>
      <c r="F676" s="102"/>
      <c r="G676" s="88"/>
      <c r="H676" s="88"/>
      <c r="I676" s="87"/>
      <c r="J676" s="87"/>
      <c r="K676" s="88"/>
      <c r="L676" s="90"/>
    </row>
    <row r="677">
      <c r="A677" s="82"/>
      <c r="B677" s="83"/>
      <c r="C677" s="83"/>
      <c r="D677" s="83"/>
      <c r="E677" s="102"/>
      <c r="F677" s="102"/>
      <c r="G677" s="88"/>
      <c r="H677" s="88"/>
      <c r="I677" s="87"/>
      <c r="J677" s="87"/>
      <c r="K677" s="88"/>
      <c r="L677" s="90"/>
    </row>
    <row r="678">
      <c r="A678" s="82"/>
      <c r="B678" s="83"/>
      <c r="C678" s="83"/>
      <c r="D678" s="83"/>
      <c r="E678" s="102"/>
      <c r="F678" s="102"/>
      <c r="G678" s="88"/>
      <c r="H678" s="88"/>
      <c r="I678" s="87"/>
      <c r="J678" s="87"/>
      <c r="K678" s="88"/>
      <c r="L678" s="90"/>
    </row>
    <row r="679">
      <c r="A679" s="82"/>
      <c r="B679" s="83"/>
      <c r="C679" s="83"/>
      <c r="D679" s="83"/>
      <c r="E679" s="102"/>
      <c r="F679" s="102"/>
      <c r="G679" s="88"/>
      <c r="H679" s="88"/>
      <c r="I679" s="87"/>
      <c r="J679" s="87"/>
      <c r="K679" s="88"/>
      <c r="L679" s="90"/>
    </row>
    <row r="680">
      <c r="A680" s="82"/>
      <c r="B680" s="83"/>
      <c r="C680" s="83"/>
      <c r="D680" s="83"/>
      <c r="E680" s="102"/>
      <c r="F680" s="102"/>
      <c r="G680" s="88"/>
      <c r="H680" s="88"/>
      <c r="I680" s="87"/>
      <c r="J680" s="87"/>
      <c r="K680" s="88"/>
      <c r="L680" s="90"/>
    </row>
    <row r="681">
      <c r="A681" s="82"/>
      <c r="B681" s="83"/>
      <c r="C681" s="83"/>
      <c r="D681" s="83"/>
      <c r="E681" s="102"/>
      <c r="F681" s="102"/>
      <c r="G681" s="88"/>
      <c r="H681" s="88"/>
      <c r="I681" s="87"/>
      <c r="J681" s="87"/>
      <c r="K681" s="88"/>
      <c r="L681" s="90"/>
    </row>
    <row r="682">
      <c r="A682" s="82"/>
      <c r="B682" s="83"/>
      <c r="C682" s="83"/>
      <c r="D682" s="83"/>
      <c r="E682" s="102"/>
      <c r="F682" s="102"/>
      <c r="G682" s="88"/>
      <c r="H682" s="88"/>
      <c r="I682" s="87"/>
      <c r="J682" s="87"/>
      <c r="K682" s="88"/>
      <c r="L682" s="90"/>
    </row>
    <row r="683">
      <c r="A683" s="82"/>
      <c r="B683" s="83"/>
      <c r="C683" s="83"/>
      <c r="D683" s="83"/>
      <c r="E683" s="102"/>
      <c r="F683" s="102"/>
      <c r="G683" s="88"/>
      <c r="H683" s="88"/>
      <c r="I683" s="87"/>
      <c r="J683" s="87"/>
      <c r="K683" s="88"/>
      <c r="L683" s="90"/>
    </row>
    <row r="684">
      <c r="A684" s="82"/>
      <c r="B684" s="83"/>
      <c r="C684" s="83"/>
      <c r="D684" s="83"/>
      <c r="E684" s="102"/>
      <c r="F684" s="102"/>
      <c r="G684" s="88"/>
      <c r="H684" s="88"/>
      <c r="I684" s="87"/>
      <c r="J684" s="87"/>
      <c r="K684" s="88"/>
      <c r="L684" s="90"/>
    </row>
    <row r="685">
      <c r="A685" s="82"/>
      <c r="B685" s="83"/>
      <c r="C685" s="83"/>
      <c r="D685" s="83"/>
      <c r="E685" s="102"/>
      <c r="F685" s="102"/>
      <c r="G685" s="88"/>
      <c r="H685" s="88"/>
      <c r="I685" s="87"/>
      <c r="J685" s="87"/>
      <c r="K685" s="88"/>
      <c r="L685" s="90"/>
    </row>
    <row r="686">
      <c r="A686" s="82"/>
      <c r="B686" s="83"/>
      <c r="C686" s="83"/>
      <c r="D686" s="83"/>
      <c r="E686" s="102"/>
      <c r="F686" s="102"/>
      <c r="G686" s="88"/>
      <c r="H686" s="88"/>
      <c r="I686" s="87"/>
      <c r="J686" s="87"/>
      <c r="K686" s="88"/>
      <c r="L686" s="90"/>
    </row>
    <row r="687">
      <c r="A687" s="82"/>
      <c r="B687" s="83"/>
      <c r="C687" s="83"/>
      <c r="D687" s="83"/>
      <c r="E687" s="102"/>
      <c r="F687" s="102"/>
      <c r="G687" s="88"/>
      <c r="H687" s="88"/>
      <c r="I687" s="87"/>
      <c r="J687" s="87"/>
      <c r="K687" s="88"/>
      <c r="L687" s="90"/>
    </row>
    <row r="688">
      <c r="A688" s="82"/>
      <c r="B688" s="83"/>
      <c r="C688" s="83"/>
      <c r="D688" s="83"/>
      <c r="E688" s="102"/>
      <c r="F688" s="102"/>
      <c r="G688" s="88"/>
      <c r="H688" s="88"/>
      <c r="I688" s="87"/>
      <c r="J688" s="87"/>
      <c r="K688" s="88"/>
      <c r="L688" s="90"/>
    </row>
    <row r="689">
      <c r="A689" s="82"/>
      <c r="B689" s="83"/>
      <c r="C689" s="83"/>
      <c r="D689" s="83"/>
      <c r="E689" s="102"/>
      <c r="F689" s="102"/>
      <c r="G689" s="88"/>
      <c r="H689" s="88"/>
      <c r="I689" s="87"/>
      <c r="J689" s="87"/>
      <c r="K689" s="88"/>
      <c r="L689" s="90"/>
    </row>
    <row r="690">
      <c r="A690" s="82"/>
      <c r="B690" s="83"/>
      <c r="C690" s="83"/>
      <c r="D690" s="83"/>
      <c r="E690" s="102"/>
      <c r="F690" s="102"/>
      <c r="G690" s="88"/>
      <c r="H690" s="88"/>
      <c r="I690" s="87"/>
      <c r="J690" s="87"/>
      <c r="K690" s="88"/>
      <c r="L690" s="90"/>
    </row>
    <row r="691">
      <c r="A691" s="82"/>
      <c r="B691" s="83"/>
      <c r="C691" s="83"/>
      <c r="D691" s="83"/>
      <c r="E691" s="102"/>
      <c r="F691" s="102"/>
      <c r="G691" s="88"/>
      <c r="H691" s="88"/>
      <c r="I691" s="87"/>
      <c r="J691" s="87"/>
      <c r="K691" s="88"/>
      <c r="L691" s="90"/>
    </row>
    <row r="692">
      <c r="A692" s="82"/>
      <c r="B692" s="83"/>
      <c r="C692" s="83"/>
      <c r="D692" s="83"/>
      <c r="E692" s="102"/>
      <c r="F692" s="102"/>
      <c r="G692" s="88"/>
      <c r="H692" s="88"/>
      <c r="I692" s="87"/>
      <c r="J692" s="87"/>
      <c r="K692" s="88"/>
      <c r="L692" s="90"/>
    </row>
    <row r="693">
      <c r="A693" s="82"/>
      <c r="B693" s="83"/>
      <c r="C693" s="83"/>
      <c r="D693" s="83"/>
      <c r="E693" s="102"/>
      <c r="F693" s="102"/>
      <c r="G693" s="88"/>
      <c r="H693" s="88"/>
      <c r="I693" s="87"/>
      <c r="J693" s="87"/>
      <c r="K693" s="88"/>
      <c r="L693" s="90"/>
    </row>
    <row r="694">
      <c r="A694" s="82"/>
      <c r="B694" s="83"/>
      <c r="C694" s="83"/>
      <c r="D694" s="83"/>
      <c r="E694" s="102"/>
      <c r="F694" s="102"/>
      <c r="G694" s="88"/>
      <c r="H694" s="88"/>
      <c r="I694" s="87"/>
      <c r="J694" s="87"/>
      <c r="K694" s="88"/>
      <c r="L694" s="90"/>
    </row>
    <row r="695">
      <c r="A695" s="82"/>
      <c r="B695" s="83"/>
      <c r="C695" s="83"/>
      <c r="D695" s="83"/>
      <c r="E695" s="102"/>
      <c r="F695" s="102"/>
      <c r="G695" s="88"/>
      <c r="H695" s="88"/>
      <c r="I695" s="87"/>
      <c r="J695" s="87"/>
      <c r="K695" s="88"/>
      <c r="L695" s="90"/>
    </row>
    <row r="696">
      <c r="A696" s="82"/>
      <c r="B696" s="83"/>
      <c r="C696" s="83"/>
      <c r="D696" s="83"/>
      <c r="E696" s="102"/>
      <c r="F696" s="102"/>
      <c r="G696" s="88"/>
      <c r="H696" s="88"/>
      <c r="I696" s="87"/>
      <c r="J696" s="87"/>
      <c r="K696" s="88"/>
      <c r="L696" s="90"/>
    </row>
    <row r="697">
      <c r="A697" s="82"/>
      <c r="B697" s="83"/>
      <c r="C697" s="83"/>
      <c r="D697" s="83"/>
      <c r="E697" s="102"/>
      <c r="F697" s="102"/>
      <c r="G697" s="88"/>
      <c r="H697" s="88"/>
      <c r="I697" s="87"/>
      <c r="J697" s="87"/>
      <c r="K697" s="88"/>
      <c r="L697" s="90"/>
    </row>
    <row r="698">
      <c r="A698" s="82"/>
      <c r="B698" s="83"/>
      <c r="C698" s="83"/>
      <c r="D698" s="83"/>
      <c r="E698" s="102"/>
      <c r="F698" s="102"/>
      <c r="G698" s="88"/>
      <c r="H698" s="88"/>
      <c r="I698" s="87"/>
      <c r="J698" s="87"/>
      <c r="K698" s="88"/>
      <c r="L698" s="90"/>
    </row>
    <row r="699">
      <c r="A699" s="82"/>
      <c r="B699" s="83"/>
      <c r="C699" s="83"/>
      <c r="D699" s="83"/>
      <c r="E699" s="102"/>
      <c r="F699" s="102"/>
      <c r="G699" s="88"/>
      <c r="H699" s="88"/>
      <c r="I699" s="87"/>
      <c r="J699" s="87"/>
      <c r="K699" s="88"/>
      <c r="L699" s="90"/>
    </row>
    <row r="700">
      <c r="A700" s="82"/>
      <c r="B700" s="83"/>
      <c r="C700" s="83"/>
      <c r="D700" s="83"/>
      <c r="E700" s="102"/>
      <c r="F700" s="102"/>
      <c r="G700" s="88"/>
      <c r="H700" s="88"/>
      <c r="I700" s="87"/>
      <c r="J700" s="87"/>
      <c r="K700" s="88"/>
      <c r="L700" s="90"/>
    </row>
    <row r="701">
      <c r="A701" s="82"/>
      <c r="B701" s="83"/>
      <c r="C701" s="83"/>
      <c r="D701" s="83"/>
      <c r="E701" s="102"/>
      <c r="F701" s="102"/>
      <c r="G701" s="88"/>
      <c r="H701" s="88"/>
      <c r="I701" s="87"/>
      <c r="J701" s="87"/>
      <c r="K701" s="88"/>
      <c r="L701" s="90"/>
    </row>
    <row r="702">
      <c r="A702" s="82"/>
      <c r="B702" s="83"/>
      <c r="C702" s="83"/>
      <c r="D702" s="83"/>
      <c r="E702" s="102"/>
      <c r="F702" s="102"/>
      <c r="G702" s="88"/>
      <c r="H702" s="88"/>
      <c r="I702" s="87"/>
      <c r="J702" s="87"/>
      <c r="K702" s="88"/>
      <c r="L702" s="90"/>
    </row>
    <row r="703">
      <c r="A703" s="82"/>
      <c r="B703" s="83"/>
      <c r="C703" s="83"/>
      <c r="D703" s="83"/>
      <c r="E703" s="102"/>
      <c r="F703" s="102"/>
      <c r="G703" s="88"/>
      <c r="H703" s="88"/>
      <c r="I703" s="87"/>
      <c r="J703" s="87"/>
      <c r="K703" s="88"/>
      <c r="L703" s="90"/>
    </row>
    <row r="704">
      <c r="A704" s="82"/>
      <c r="B704" s="83"/>
      <c r="C704" s="83"/>
      <c r="D704" s="83"/>
      <c r="E704" s="102"/>
      <c r="F704" s="102"/>
      <c r="G704" s="88"/>
      <c r="H704" s="88"/>
      <c r="I704" s="87"/>
      <c r="J704" s="87"/>
      <c r="K704" s="88"/>
      <c r="L704" s="90"/>
    </row>
    <row r="705">
      <c r="A705" s="82"/>
      <c r="B705" s="83"/>
      <c r="C705" s="83"/>
      <c r="D705" s="83"/>
      <c r="E705" s="102"/>
      <c r="F705" s="102"/>
      <c r="G705" s="88"/>
      <c r="H705" s="88"/>
      <c r="I705" s="87"/>
      <c r="J705" s="87"/>
      <c r="K705" s="88"/>
      <c r="L705" s="90"/>
    </row>
    <row r="706">
      <c r="A706" s="82"/>
      <c r="B706" s="83"/>
      <c r="C706" s="83"/>
      <c r="D706" s="83"/>
      <c r="E706" s="102"/>
      <c r="F706" s="102"/>
      <c r="G706" s="88"/>
      <c r="H706" s="88"/>
      <c r="I706" s="87"/>
      <c r="J706" s="87"/>
      <c r="K706" s="88"/>
      <c r="L706" s="90"/>
    </row>
    <row r="707">
      <c r="A707" s="82"/>
      <c r="B707" s="83"/>
      <c r="C707" s="83"/>
      <c r="D707" s="83"/>
      <c r="E707" s="102"/>
      <c r="F707" s="102"/>
      <c r="G707" s="88"/>
      <c r="H707" s="88"/>
      <c r="I707" s="87"/>
      <c r="J707" s="87"/>
      <c r="K707" s="88"/>
      <c r="L707" s="90"/>
    </row>
    <row r="708">
      <c r="A708" s="82"/>
      <c r="B708" s="83"/>
      <c r="C708" s="83"/>
      <c r="D708" s="83"/>
      <c r="E708" s="102"/>
      <c r="F708" s="102"/>
      <c r="G708" s="88"/>
      <c r="H708" s="88"/>
      <c r="I708" s="87"/>
      <c r="J708" s="87"/>
      <c r="K708" s="88"/>
      <c r="L708" s="90"/>
    </row>
    <row r="709">
      <c r="A709" s="82"/>
      <c r="B709" s="83"/>
      <c r="C709" s="83"/>
      <c r="D709" s="83"/>
      <c r="E709" s="102"/>
      <c r="F709" s="102"/>
      <c r="G709" s="88"/>
      <c r="H709" s="88"/>
      <c r="I709" s="87"/>
      <c r="J709" s="87"/>
      <c r="K709" s="88"/>
      <c r="L709" s="90"/>
    </row>
    <row r="710">
      <c r="A710" s="82"/>
      <c r="B710" s="83"/>
      <c r="C710" s="83"/>
      <c r="D710" s="83"/>
      <c r="E710" s="102"/>
      <c r="F710" s="102"/>
      <c r="G710" s="88"/>
      <c r="H710" s="88"/>
      <c r="I710" s="87"/>
      <c r="J710" s="87"/>
      <c r="K710" s="88"/>
      <c r="L710" s="90"/>
    </row>
    <row r="711">
      <c r="A711" s="82"/>
      <c r="B711" s="83"/>
      <c r="C711" s="83"/>
      <c r="D711" s="83"/>
      <c r="E711" s="102"/>
      <c r="F711" s="102"/>
      <c r="G711" s="88"/>
      <c r="H711" s="88"/>
      <c r="I711" s="87"/>
      <c r="J711" s="87"/>
      <c r="K711" s="88"/>
      <c r="L711" s="90"/>
    </row>
    <row r="712">
      <c r="A712" s="82"/>
      <c r="B712" s="83"/>
      <c r="C712" s="83"/>
      <c r="D712" s="83"/>
      <c r="E712" s="102"/>
      <c r="F712" s="102"/>
      <c r="G712" s="88"/>
      <c r="H712" s="88"/>
      <c r="I712" s="87"/>
      <c r="J712" s="87"/>
      <c r="K712" s="88"/>
      <c r="L712" s="90"/>
    </row>
    <row r="713">
      <c r="A713" s="82"/>
      <c r="B713" s="83"/>
      <c r="C713" s="83"/>
      <c r="D713" s="83"/>
      <c r="E713" s="102"/>
      <c r="F713" s="102"/>
      <c r="G713" s="88"/>
      <c r="H713" s="88"/>
      <c r="I713" s="87"/>
      <c r="J713" s="87"/>
      <c r="K713" s="88"/>
      <c r="L713" s="90"/>
    </row>
    <row r="714">
      <c r="A714" s="82"/>
      <c r="B714" s="83"/>
      <c r="C714" s="83"/>
      <c r="D714" s="83"/>
      <c r="E714" s="102"/>
      <c r="F714" s="102"/>
      <c r="G714" s="88"/>
      <c r="H714" s="88"/>
      <c r="I714" s="87"/>
      <c r="J714" s="87"/>
      <c r="K714" s="88"/>
      <c r="L714" s="90"/>
    </row>
    <row r="715">
      <c r="A715" s="82"/>
      <c r="B715" s="83"/>
      <c r="C715" s="83"/>
      <c r="D715" s="83"/>
      <c r="E715" s="102"/>
      <c r="F715" s="102"/>
      <c r="G715" s="88"/>
      <c r="H715" s="88"/>
      <c r="I715" s="87"/>
      <c r="J715" s="87"/>
      <c r="K715" s="88"/>
      <c r="L715" s="90"/>
    </row>
    <row r="716">
      <c r="A716" s="82"/>
      <c r="B716" s="83"/>
      <c r="C716" s="83"/>
      <c r="D716" s="83"/>
      <c r="E716" s="102"/>
      <c r="F716" s="102"/>
      <c r="G716" s="88"/>
      <c r="H716" s="88"/>
      <c r="I716" s="87"/>
      <c r="J716" s="87"/>
      <c r="K716" s="88"/>
      <c r="L716" s="90"/>
    </row>
    <row r="717">
      <c r="A717" s="82"/>
      <c r="B717" s="83"/>
      <c r="C717" s="83"/>
      <c r="D717" s="83"/>
      <c r="E717" s="102"/>
      <c r="F717" s="102"/>
      <c r="G717" s="88"/>
      <c r="H717" s="88"/>
      <c r="I717" s="87"/>
      <c r="J717" s="87"/>
      <c r="K717" s="88"/>
      <c r="L717" s="90"/>
    </row>
    <row r="718">
      <c r="A718" s="82"/>
      <c r="B718" s="83"/>
      <c r="C718" s="83"/>
      <c r="D718" s="83"/>
      <c r="E718" s="102"/>
      <c r="F718" s="102"/>
      <c r="G718" s="88"/>
      <c r="H718" s="88"/>
      <c r="I718" s="87"/>
      <c r="J718" s="87"/>
      <c r="K718" s="88"/>
      <c r="L718" s="90"/>
    </row>
    <row r="719">
      <c r="A719" s="82"/>
      <c r="B719" s="83"/>
      <c r="C719" s="83"/>
      <c r="D719" s="83"/>
      <c r="E719" s="102"/>
      <c r="F719" s="102"/>
      <c r="G719" s="88"/>
      <c r="H719" s="88"/>
      <c r="I719" s="87"/>
      <c r="J719" s="87"/>
      <c r="K719" s="88"/>
      <c r="L719" s="90"/>
    </row>
    <row r="720">
      <c r="A720" s="82"/>
      <c r="B720" s="83"/>
      <c r="C720" s="83"/>
      <c r="D720" s="83"/>
      <c r="E720" s="102"/>
      <c r="F720" s="102"/>
      <c r="G720" s="88"/>
      <c r="H720" s="88"/>
      <c r="I720" s="87"/>
      <c r="J720" s="87"/>
      <c r="K720" s="88"/>
      <c r="L720" s="90"/>
    </row>
    <row r="721">
      <c r="A721" s="82"/>
      <c r="B721" s="83"/>
      <c r="C721" s="83"/>
      <c r="D721" s="83"/>
      <c r="E721" s="102"/>
      <c r="F721" s="102"/>
      <c r="G721" s="88"/>
      <c r="H721" s="88"/>
      <c r="I721" s="87"/>
      <c r="J721" s="87"/>
      <c r="K721" s="88"/>
      <c r="L721" s="90"/>
    </row>
    <row r="722">
      <c r="A722" s="82"/>
      <c r="B722" s="83"/>
      <c r="C722" s="83"/>
      <c r="D722" s="83"/>
      <c r="E722" s="102"/>
      <c r="F722" s="102"/>
      <c r="G722" s="88"/>
      <c r="H722" s="88"/>
      <c r="I722" s="87"/>
      <c r="J722" s="87"/>
      <c r="K722" s="88"/>
      <c r="L722" s="90"/>
    </row>
    <row r="723">
      <c r="A723" s="82"/>
      <c r="B723" s="83"/>
      <c r="C723" s="83"/>
      <c r="D723" s="83"/>
      <c r="E723" s="102"/>
      <c r="F723" s="102"/>
      <c r="G723" s="88"/>
      <c r="H723" s="88"/>
      <c r="I723" s="87"/>
      <c r="J723" s="87"/>
      <c r="K723" s="88"/>
      <c r="L723" s="90"/>
    </row>
    <row r="724">
      <c r="A724" s="82"/>
      <c r="B724" s="83"/>
      <c r="C724" s="83"/>
      <c r="D724" s="83"/>
      <c r="E724" s="102"/>
      <c r="F724" s="102"/>
      <c r="G724" s="88"/>
      <c r="H724" s="88"/>
      <c r="I724" s="87"/>
      <c r="J724" s="87"/>
      <c r="K724" s="88"/>
      <c r="L724" s="90"/>
    </row>
    <row r="725">
      <c r="A725" s="82"/>
      <c r="B725" s="83"/>
      <c r="C725" s="83"/>
      <c r="D725" s="83"/>
      <c r="E725" s="102"/>
      <c r="F725" s="102"/>
      <c r="G725" s="88"/>
      <c r="H725" s="88"/>
      <c r="I725" s="87"/>
      <c r="J725" s="87"/>
      <c r="K725" s="88"/>
      <c r="L725" s="90"/>
    </row>
    <row r="726">
      <c r="A726" s="82"/>
      <c r="B726" s="83"/>
      <c r="C726" s="83"/>
      <c r="D726" s="83"/>
      <c r="E726" s="102"/>
      <c r="F726" s="102"/>
      <c r="G726" s="88"/>
      <c r="H726" s="88"/>
      <c r="I726" s="87"/>
      <c r="J726" s="87"/>
      <c r="K726" s="88"/>
      <c r="L726" s="90"/>
    </row>
    <row r="727">
      <c r="A727" s="82"/>
      <c r="B727" s="83"/>
      <c r="C727" s="83"/>
      <c r="D727" s="83"/>
      <c r="E727" s="102"/>
      <c r="F727" s="102"/>
      <c r="G727" s="88"/>
      <c r="H727" s="88"/>
      <c r="I727" s="87"/>
      <c r="J727" s="87"/>
      <c r="K727" s="88"/>
      <c r="L727" s="90"/>
    </row>
    <row r="728">
      <c r="A728" s="82"/>
      <c r="B728" s="83"/>
      <c r="C728" s="83"/>
      <c r="D728" s="83"/>
      <c r="E728" s="102"/>
      <c r="F728" s="102"/>
      <c r="G728" s="88"/>
      <c r="H728" s="88"/>
      <c r="I728" s="87"/>
      <c r="J728" s="87"/>
      <c r="K728" s="88"/>
      <c r="L728" s="90"/>
    </row>
    <row r="729">
      <c r="A729" s="82"/>
      <c r="B729" s="83"/>
      <c r="C729" s="83"/>
      <c r="D729" s="83"/>
      <c r="E729" s="102"/>
      <c r="F729" s="102"/>
      <c r="G729" s="88"/>
      <c r="H729" s="88"/>
      <c r="I729" s="87"/>
      <c r="J729" s="87"/>
      <c r="K729" s="88"/>
      <c r="L729" s="90"/>
    </row>
    <row r="730">
      <c r="A730" s="82"/>
      <c r="B730" s="83"/>
      <c r="C730" s="83"/>
      <c r="D730" s="83"/>
      <c r="E730" s="102"/>
      <c r="F730" s="102"/>
      <c r="G730" s="88"/>
      <c r="H730" s="88"/>
      <c r="I730" s="87"/>
      <c r="J730" s="87"/>
      <c r="K730" s="88"/>
      <c r="L730" s="90"/>
    </row>
    <row r="731">
      <c r="A731" s="82"/>
      <c r="B731" s="83"/>
      <c r="C731" s="83"/>
      <c r="D731" s="83"/>
      <c r="E731" s="102"/>
      <c r="F731" s="102"/>
      <c r="G731" s="88"/>
      <c r="H731" s="88"/>
      <c r="I731" s="87"/>
      <c r="J731" s="87"/>
      <c r="K731" s="88"/>
      <c r="L731" s="90"/>
    </row>
    <row r="732">
      <c r="A732" s="82"/>
      <c r="B732" s="83"/>
      <c r="C732" s="83"/>
      <c r="D732" s="83"/>
      <c r="E732" s="102"/>
      <c r="F732" s="102"/>
      <c r="G732" s="88"/>
      <c r="H732" s="88"/>
      <c r="I732" s="87"/>
      <c r="J732" s="87"/>
      <c r="K732" s="88"/>
      <c r="L732" s="90"/>
    </row>
    <row r="733">
      <c r="A733" s="82"/>
      <c r="B733" s="83"/>
      <c r="C733" s="83"/>
      <c r="D733" s="83"/>
      <c r="E733" s="102"/>
      <c r="F733" s="102"/>
      <c r="G733" s="88"/>
      <c r="H733" s="88"/>
      <c r="I733" s="87"/>
      <c r="J733" s="87"/>
      <c r="K733" s="88"/>
      <c r="L733" s="90"/>
    </row>
    <row r="734">
      <c r="A734" s="82"/>
      <c r="B734" s="83"/>
      <c r="C734" s="83"/>
      <c r="D734" s="83"/>
      <c r="E734" s="102"/>
      <c r="F734" s="102"/>
      <c r="G734" s="88"/>
      <c r="H734" s="88"/>
      <c r="I734" s="87"/>
      <c r="J734" s="87"/>
      <c r="K734" s="88"/>
      <c r="L734" s="90"/>
    </row>
    <row r="735">
      <c r="A735" s="82"/>
      <c r="B735" s="83"/>
      <c r="C735" s="83"/>
      <c r="D735" s="83"/>
      <c r="E735" s="102"/>
      <c r="F735" s="102"/>
      <c r="G735" s="88"/>
      <c r="H735" s="88"/>
      <c r="I735" s="87"/>
      <c r="J735" s="87"/>
      <c r="K735" s="88"/>
      <c r="L735" s="90"/>
    </row>
    <row r="736">
      <c r="A736" s="82"/>
      <c r="B736" s="83"/>
      <c r="C736" s="83"/>
      <c r="D736" s="83"/>
      <c r="E736" s="102"/>
      <c r="F736" s="102"/>
      <c r="G736" s="88"/>
      <c r="H736" s="88"/>
      <c r="I736" s="87"/>
      <c r="J736" s="87"/>
      <c r="K736" s="88"/>
      <c r="L736" s="90"/>
    </row>
    <row r="737">
      <c r="A737" s="82"/>
      <c r="B737" s="83"/>
      <c r="C737" s="83"/>
      <c r="D737" s="83"/>
      <c r="E737" s="102"/>
      <c r="F737" s="102"/>
      <c r="G737" s="88"/>
      <c r="H737" s="88"/>
      <c r="I737" s="87"/>
      <c r="J737" s="87"/>
      <c r="K737" s="88"/>
      <c r="L737" s="90"/>
    </row>
    <row r="738">
      <c r="A738" s="82"/>
      <c r="B738" s="83"/>
      <c r="C738" s="83"/>
      <c r="D738" s="83"/>
      <c r="E738" s="102"/>
      <c r="F738" s="102"/>
      <c r="G738" s="88"/>
      <c r="H738" s="88"/>
      <c r="I738" s="87"/>
      <c r="J738" s="87"/>
      <c r="K738" s="88"/>
      <c r="L738" s="90"/>
    </row>
    <row r="739">
      <c r="A739" s="82"/>
      <c r="B739" s="83"/>
      <c r="C739" s="83"/>
      <c r="D739" s="83"/>
      <c r="E739" s="102"/>
      <c r="F739" s="102"/>
      <c r="G739" s="88"/>
      <c r="H739" s="88"/>
      <c r="I739" s="87"/>
      <c r="J739" s="87"/>
      <c r="K739" s="88"/>
      <c r="L739" s="90"/>
    </row>
    <row r="740">
      <c r="A740" s="82"/>
      <c r="B740" s="83"/>
      <c r="C740" s="83"/>
      <c r="D740" s="83"/>
      <c r="E740" s="102"/>
      <c r="F740" s="102"/>
      <c r="G740" s="88"/>
      <c r="H740" s="88"/>
      <c r="I740" s="87"/>
      <c r="J740" s="87"/>
      <c r="K740" s="88"/>
      <c r="L740" s="90"/>
    </row>
    <row r="741">
      <c r="A741" s="82"/>
      <c r="B741" s="83"/>
      <c r="C741" s="83"/>
      <c r="D741" s="83"/>
      <c r="E741" s="102"/>
      <c r="F741" s="102"/>
      <c r="G741" s="88"/>
      <c r="H741" s="88"/>
      <c r="I741" s="87"/>
      <c r="J741" s="87"/>
      <c r="K741" s="88"/>
      <c r="L741" s="90"/>
    </row>
    <row r="742">
      <c r="A742" s="82"/>
      <c r="B742" s="83"/>
      <c r="C742" s="83"/>
      <c r="D742" s="83"/>
      <c r="E742" s="102"/>
      <c r="F742" s="102"/>
      <c r="G742" s="88"/>
      <c r="H742" s="88"/>
      <c r="I742" s="87"/>
      <c r="J742" s="87"/>
      <c r="K742" s="88"/>
      <c r="L742" s="90"/>
    </row>
    <row r="743">
      <c r="A743" s="82"/>
      <c r="B743" s="83"/>
      <c r="C743" s="83"/>
      <c r="D743" s="83"/>
      <c r="E743" s="102"/>
      <c r="F743" s="102"/>
      <c r="G743" s="88"/>
      <c r="H743" s="88"/>
      <c r="I743" s="87"/>
      <c r="J743" s="87"/>
      <c r="K743" s="88"/>
      <c r="L743" s="90"/>
    </row>
    <row r="744">
      <c r="A744" s="82"/>
      <c r="B744" s="83"/>
      <c r="C744" s="83"/>
      <c r="D744" s="83"/>
      <c r="E744" s="102"/>
      <c r="F744" s="102"/>
      <c r="G744" s="88"/>
      <c r="H744" s="88"/>
      <c r="I744" s="87"/>
      <c r="J744" s="87"/>
      <c r="K744" s="88"/>
      <c r="L744" s="90"/>
    </row>
    <row r="745">
      <c r="A745" s="82"/>
      <c r="B745" s="83"/>
      <c r="C745" s="83"/>
      <c r="D745" s="83"/>
      <c r="E745" s="102"/>
      <c r="F745" s="102"/>
      <c r="G745" s="88"/>
      <c r="H745" s="88"/>
      <c r="I745" s="87"/>
      <c r="J745" s="87"/>
      <c r="K745" s="88"/>
      <c r="L745" s="90"/>
    </row>
    <row r="746">
      <c r="A746" s="82"/>
      <c r="B746" s="83"/>
      <c r="C746" s="83"/>
      <c r="D746" s="83"/>
      <c r="E746" s="102"/>
      <c r="F746" s="102"/>
      <c r="G746" s="88"/>
      <c r="H746" s="88"/>
      <c r="I746" s="87"/>
      <c r="J746" s="87"/>
      <c r="K746" s="88"/>
      <c r="L746" s="90"/>
    </row>
    <row r="747">
      <c r="A747" s="82"/>
      <c r="B747" s="83"/>
      <c r="C747" s="83"/>
      <c r="D747" s="83"/>
      <c r="E747" s="102"/>
      <c r="F747" s="102"/>
      <c r="G747" s="88"/>
      <c r="H747" s="88"/>
      <c r="I747" s="87"/>
      <c r="J747" s="87"/>
      <c r="K747" s="88"/>
      <c r="L747" s="90"/>
    </row>
    <row r="748">
      <c r="A748" s="82"/>
      <c r="B748" s="83"/>
      <c r="C748" s="83"/>
      <c r="D748" s="83"/>
      <c r="E748" s="102"/>
      <c r="F748" s="102"/>
      <c r="G748" s="88"/>
      <c r="H748" s="88"/>
      <c r="I748" s="87"/>
      <c r="J748" s="87"/>
      <c r="K748" s="88"/>
      <c r="L748" s="90"/>
    </row>
    <row r="749">
      <c r="A749" s="82"/>
      <c r="B749" s="83"/>
      <c r="C749" s="83"/>
      <c r="D749" s="83"/>
      <c r="E749" s="102"/>
      <c r="F749" s="102"/>
      <c r="G749" s="88"/>
      <c r="H749" s="88"/>
      <c r="I749" s="87"/>
      <c r="J749" s="87"/>
      <c r="K749" s="88"/>
      <c r="L749" s="90"/>
    </row>
    <row r="750">
      <c r="A750" s="82"/>
      <c r="B750" s="83"/>
      <c r="C750" s="83"/>
      <c r="D750" s="83"/>
      <c r="E750" s="102"/>
      <c r="F750" s="102"/>
      <c r="G750" s="88"/>
      <c r="H750" s="88"/>
      <c r="I750" s="87"/>
      <c r="J750" s="87"/>
      <c r="K750" s="88"/>
      <c r="L750" s="90"/>
    </row>
    <row r="751">
      <c r="A751" s="82"/>
      <c r="B751" s="83"/>
      <c r="C751" s="83"/>
      <c r="D751" s="83"/>
      <c r="E751" s="102"/>
      <c r="F751" s="102"/>
      <c r="G751" s="88"/>
      <c r="H751" s="88"/>
      <c r="I751" s="87"/>
      <c r="J751" s="87"/>
      <c r="K751" s="88"/>
      <c r="L751" s="90"/>
    </row>
    <row r="752">
      <c r="A752" s="82"/>
      <c r="B752" s="83"/>
      <c r="C752" s="83"/>
      <c r="D752" s="83"/>
      <c r="E752" s="102"/>
      <c r="F752" s="102"/>
      <c r="G752" s="88"/>
      <c r="H752" s="88"/>
      <c r="I752" s="87"/>
      <c r="J752" s="87"/>
      <c r="K752" s="88"/>
      <c r="L752" s="90"/>
    </row>
    <row r="753">
      <c r="A753" s="82"/>
      <c r="B753" s="83"/>
      <c r="C753" s="83"/>
      <c r="D753" s="83"/>
      <c r="E753" s="102"/>
      <c r="F753" s="102"/>
      <c r="G753" s="88"/>
      <c r="H753" s="88"/>
      <c r="I753" s="87"/>
      <c r="J753" s="87"/>
      <c r="K753" s="88"/>
      <c r="L753" s="90"/>
    </row>
    <row r="754">
      <c r="A754" s="82"/>
      <c r="B754" s="83"/>
      <c r="C754" s="83"/>
      <c r="D754" s="83"/>
      <c r="E754" s="102"/>
      <c r="F754" s="102"/>
      <c r="G754" s="88"/>
      <c r="H754" s="88"/>
      <c r="I754" s="87"/>
      <c r="J754" s="87"/>
      <c r="K754" s="88"/>
      <c r="L754" s="90"/>
    </row>
    <row r="755">
      <c r="A755" s="82"/>
      <c r="B755" s="83"/>
      <c r="C755" s="83"/>
      <c r="D755" s="83"/>
      <c r="E755" s="102"/>
      <c r="F755" s="102"/>
      <c r="G755" s="88"/>
      <c r="H755" s="88"/>
      <c r="I755" s="87"/>
      <c r="J755" s="87"/>
      <c r="K755" s="88"/>
      <c r="L755" s="90"/>
    </row>
    <row r="756">
      <c r="A756" s="82"/>
      <c r="B756" s="83"/>
      <c r="C756" s="83"/>
      <c r="D756" s="83"/>
      <c r="E756" s="102"/>
      <c r="F756" s="102"/>
      <c r="G756" s="88"/>
      <c r="H756" s="88"/>
      <c r="I756" s="87"/>
      <c r="J756" s="87"/>
      <c r="K756" s="88"/>
      <c r="L756" s="90"/>
    </row>
    <row r="757">
      <c r="A757" s="82"/>
      <c r="B757" s="83"/>
      <c r="C757" s="83"/>
      <c r="D757" s="83"/>
      <c r="E757" s="102"/>
      <c r="F757" s="102"/>
      <c r="G757" s="88"/>
      <c r="H757" s="88"/>
      <c r="I757" s="87"/>
      <c r="J757" s="87"/>
      <c r="K757" s="88"/>
      <c r="L757" s="90"/>
    </row>
    <row r="758">
      <c r="A758" s="82"/>
      <c r="B758" s="83"/>
      <c r="C758" s="83"/>
      <c r="D758" s="83"/>
      <c r="E758" s="102"/>
      <c r="F758" s="102"/>
      <c r="G758" s="88"/>
      <c r="H758" s="88"/>
      <c r="I758" s="87"/>
      <c r="J758" s="87"/>
      <c r="K758" s="88"/>
      <c r="L758" s="90"/>
    </row>
    <row r="759">
      <c r="A759" s="82"/>
      <c r="B759" s="83"/>
      <c r="C759" s="83"/>
      <c r="D759" s="83"/>
      <c r="E759" s="102"/>
      <c r="F759" s="102"/>
      <c r="G759" s="88"/>
      <c r="H759" s="88"/>
      <c r="I759" s="87"/>
      <c r="J759" s="87"/>
      <c r="K759" s="88"/>
      <c r="L759" s="90"/>
    </row>
    <row r="760">
      <c r="A760" s="82"/>
      <c r="B760" s="83"/>
      <c r="C760" s="83"/>
      <c r="D760" s="83"/>
      <c r="E760" s="102"/>
      <c r="F760" s="102"/>
      <c r="G760" s="88"/>
      <c r="H760" s="88"/>
      <c r="I760" s="87"/>
      <c r="J760" s="87"/>
      <c r="K760" s="88"/>
      <c r="L760" s="90"/>
    </row>
    <row r="761">
      <c r="A761" s="82"/>
      <c r="B761" s="83"/>
      <c r="C761" s="83"/>
      <c r="D761" s="83"/>
      <c r="E761" s="102"/>
      <c r="F761" s="102"/>
      <c r="G761" s="88"/>
      <c r="H761" s="88"/>
      <c r="I761" s="87"/>
      <c r="J761" s="87"/>
      <c r="K761" s="88"/>
      <c r="L761" s="90"/>
    </row>
    <row r="762">
      <c r="A762" s="82"/>
      <c r="B762" s="83"/>
      <c r="C762" s="83"/>
      <c r="D762" s="83"/>
      <c r="E762" s="102"/>
      <c r="F762" s="102"/>
      <c r="G762" s="88"/>
      <c r="H762" s="88"/>
      <c r="I762" s="87"/>
      <c r="J762" s="87"/>
      <c r="K762" s="88"/>
      <c r="L762" s="90"/>
    </row>
    <row r="763">
      <c r="A763" s="82"/>
      <c r="B763" s="83"/>
      <c r="C763" s="83"/>
      <c r="D763" s="83"/>
      <c r="E763" s="102"/>
      <c r="F763" s="102"/>
      <c r="G763" s="88"/>
      <c r="H763" s="88"/>
      <c r="I763" s="87"/>
      <c r="J763" s="87"/>
      <c r="K763" s="88"/>
      <c r="L763" s="90"/>
    </row>
    <row r="764">
      <c r="A764" s="82"/>
      <c r="B764" s="83"/>
      <c r="C764" s="83"/>
      <c r="D764" s="83"/>
      <c r="E764" s="102"/>
      <c r="F764" s="102"/>
      <c r="G764" s="88"/>
      <c r="H764" s="88"/>
      <c r="I764" s="87"/>
      <c r="J764" s="87"/>
      <c r="K764" s="88"/>
      <c r="L764" s="90"/>
    </row>
    <row r="765">
      <c r="A765" s="82"/>
      <c r="B765" s="83"/>
      <c r="C765" s="83"/>
      <c r="D765" s="83"/>
      <c r="E765" s="102"/>
      <c r="F765" s="102"/>
      <c r="G765" s="88"/>
      <c r="H765" s="88"/>
      <c r="I765" s="87"/>
      <c r="J765" s="87"/>
      <c r="K765" s="88"/>
      <c r="L765" s="90"/>
    </row>
    <row r="766">
      <c r="A766" s="82"/>
      <c r="B766" s="83"/>
      <c r="C766" s="83"/>
      <c r="D766" s="83"/>
      <c r="E766" s="102"/>
      <c r="F766" s="102"/>
      <c r="G766" s="88"/>
      <c r="H766" s="88"/>
      <c r="I766" s="87"/>
      <c r="J766" s="87"/>
      <c r="K766" s="88"/>
      <c r="L766" s="90"/>
    </row>
    <row r="767">
      <c r="A767" s="82"/>
      <c r="B767" s="83"/>
      <c r="C767" s="83"/>
      <c r="D767" s="83"/>
      <c r="E767" s="102"/>
      <c r="F767" s="102"/>
      <c r="G767" s="88"/>
      <c r="H767" s="88"/>
      <c r="I767" s="87"/>
      <c r="J767" s="87"/>
      <c r="K767" s="88"/>
      <c r="L767" s="90"/>
    </row>
    <row r="768">
      <c r="A768" s="82"/>
      <c r="B768" s="83"/>
      <c r="C768" s="83"/>
      <c r="D768" s="83"/>
      <c r="E768" s="102"/>
      <c r="F768" s="102"/>
      <c r="G768" s="88"/>
      <c r="H768" s="88"/>
      <c r="I768" s="87"/>
      <c r="J768" s="87"/>
      <c r="K768" s="88"/>
      <c r="L768" s="90"/>
    </row>
    <row r="769">
      <c r="A769" s="82"/>
      <c r="B769" s="83"/>
      <c r="C769" s="83"/>
      <c r="D769" s="83"/>
      <c r="E769" s="102"/>
      <c r="F769" s="102"/>
      <c r="G769" s="88"/>
      <c r="H769" s="88"/>
      <c r="I769" s="87"/>
      <c r="J769" s="87"/>
      <c r="K769" s="88"/>
      <c r="L769" s="90"/>
    </row>
    <row r="770">
      <c r="A770" s="82"/>
      <c r="B770" s="83"/>
      <c r="C770" s="83"/>
      <c r="D770" s="83"/>
      <c r="E770" s="102"/>
      <c r="F770" s="102"/>
      <c r="G770" s="88"/>
      <c r="H770" s="88"/>
      <c r="I770" s="87"/>
      <c r="J770" s="87"/>
      <c r="K770" s="88"/>
      <c r="L770" s="90"/>
    </row>
    <row r="771">
      <c r="A771" s="82"/>
      <c r="B771" s="83"/>
      <c r="C771" s="83"/>
      <c r="D771" s="83"/>
      <c r="E771" s="102"/>
      <c r="F771" s="102"/>
      <c r="G771" s="88"/>
      <c r="H771" s="88"/>
      <c r="I771" s="87"/>
      <c r="J771" s="87"/>
      <c r="K771" s="88"/>
      <c r="L771" s="90"/>
    </row>
    <row r="772">
      <c r="A772" s="82"/>
      <c r="B772" s="83"/>
      <c r="C772" s="83"/>
      <c r="D772" s="83"/>
      <c r="E772" s="102"/>
      <c r="F772" s="102"/>
      <c r="G772" s="88"/>
      <c r="H772" s="88"/>
      <c r="I772" s="87"/>
      <c r="J772" s="87"/>
      <c r="K772" s="88"/>
      <c r="L772" s="90"/>
    </row>
    <row r="773">
      <c r="A773" s="82"/>
      <c r="B773" s="83"/>
      <c r="C773" s="83"/>
      <c r="D773" s="83"/>
      <c r="E773" s="102"/>
      <c r="F773" s="102"/>
      <c r="G773" s="88"/>
      <c r="H773" s="88"/>
      <c r="I773" s="87"/>
      <c r="J773" s="87"/>
      <c r="K773" s="88"/>
      <c r="L773" s="90"/>
    </row>
    <row r="774">
      <c r="A774" s="82"/>
      <c r="B774" s="83"/>
      <c r="C774" s="83"/>
      <c r="D774" s="83"/>
      <c r="E774" s="102"/>
      <c r="F774" s="102"/>
      <c r="G774" s="88"/>
      <c r="H774" s="88"/>
      <c r="I774" s="87"/>
      <c r="J774" s="87"/>
      <c r="K774" s="88"/>
      <c r="L774" s="90"/>
    </row>
    <row r="775">
      <c r="A775" s="82"/>
      <c r="B775" s="83"/>
      <c r="C775" s="83"/>
      <c r="D775" s="83"/>
      <c r="E775" s="102"/>
      <c r="F775" s="102"/>
      <c r="G775" s="88"/>
      <c r="H775" s="88"/>
      <c r="I775" s="87"/>
      <c r="J775" s="87"/>
      <c r="K775" s="88"/>
      <c r="L775" s="90"/>
    </row>
    <row r="776">
      <c r="A776" s="82"/>
      <c r="B776" s="83"/>
      <c r="C776" s="83"/>
      <c r="D776" s="83"/>
      <c r="E776" s="102"/>
      <c r="F776" s="102"/>
      <c r="G776" s="88"/>
      <c r="H776" s="88"/>
      <c r="I776" s="87"/>
      <c r="J776" s="87"/>
      <c r="K776" s="88"/>
      <c r="L776" s="90"/>
    </row>
    <row r="777">
      <c r="A777" s="82"/>
      <c r="B777" s="83"/>
      <c r="C777" s="83"/>
      <c r="D777" s="83"/>
      <c r="E777" s="102"/>
      <c r="F777" s="102"/>
      <c r="G777" s="88"/>
      <c r="H777" s="88"/>
      <c r="I777" s="87"/>
      <c r="J777" s="87"/>
      <c r="K777" s="88"/>
      <c r="L777" s="90"/>
    </row>
    <row r="778">
      <c r="A778" s="82"/>
      <c r="B778" s="83"/>
      <c r="C778" s="83"/>
      <c r="D778" s="83"/>
      <c r="E778" s="102"/>
      <c r="F778" s="102"/>
      <c r="G778" s="88"/>
      <c r="H778" s="88"/>
      <c r="I778" s="87"/>
      <c r="J778" s="87"/>
      <c r="K778" s="88"/>
      <c r="L778" s="90"/>
    </row>
    <row r="779">
      <c r="A779" s="82"/>
      <c r="B779" s="83"/>
      <c r="C779" s="83"/>
      <c r="D779" s="83"/>
      <c r="E779" s="102"/>
      <c r="F779" s="102"/>
      <c r="G779" s="88"/>
      <c r="H779" s="88"/>
      <c r="I779" s="87"/>
      <c r="J779" s="87"/>
      <c r="K779" s="88"/>
      <c r="L779" s="90"/>
    </row>
    <row r="780">
      <c r="A780" s="82"/>
      <c r="B780" s="83"/>
      <c r="C780" s="83"/>
      <c r="D780" s="83"/>
      <c r="E780" s="102"/>
      <c r="F780" s="102"/>
      <c r="G780" s="88"/>
      <c r="H780" s="88"/>
      <c r="I780" s="87"/>
      <c r="J780" s="87"/>
      <c r="K780" s="88"/>
      <c r="L780" s="90"/>
    </row>
    <row r="781">
      <c r="A781" s="82"/>
      <c r="B781" s="83"/>
      <c r="C781" s="83"/>
      <c r="D781" s="83"/>
      <c r="E781" s="102"/>
      <c r="F781" s="102"/>
      <c r="G781" s="88"/>
      <c r="H781" s="88"/>
      <c r="I781" s="87"/>
      <c r="J781" s="87"/>
      <c r="K781" s="88"/>
      <c r="L781" s="90"/>
    </row>
    <row r="782">
      <c r="A782" s="82"/>
      <c r="B782" s="83"/>
      <c r="C782" s="83"/>
      <c r="D782" s="83"/>
      <c r="E782" s="102"/>
      <c r="F782" s="102"/>
      <c r="G782" s="88"/>
      <c r="H782" s="88"/>
      <c r="I782" s="87"/>
      <c r="J782" s="87"/>
      <c r="K782" s="88"/>
      <c r="L782" s="90"/>
    </row>
    <row r="783">
      <c r="A783" s="82"/>
      <c r="B783" s="83"/>
      <c r="C783" s="83"/>
      <c r="D783" s="83"/>
      <c r="E783" s="102"/>
      <c r="F783" s="102"/>
      <c r="G783" s="88"/>
      <c r="H783" s="88"/>
      <c r="I783" s="87"/>
      <c r="J783" s="87"/>
      <c r="K783" s="88"/>
      <c r="L783" s="90"/>
    </row>
    <row r="784">
      <c r="A784" s="82"/>
      <c r="B784" s="83"/>
      <c r="C784" s="83"/>
      <c r="D784" s="83"/>
      <c r="E784" s="102"/>
      <c r="F784" s="102"/>
      <c r="G784" s="88"/>
      <c r="H784" s="88"/>
      <c r="I784" s="87"/>
      <c r="J784" s="87"/>
      <c r="K784" s="88"/>
      <c r="L784" s="90"/>
    </row>
    <row r="785">
      <c r="A785" s="82"/>
      <c r="B785" s="83"/>
      <c r="C785" s="83"/>
      <c r="D785" s="83"/>
      <c r="E785" s="102"/>
      <c r="F785" s="102"/>
      <c r="G785" s="88"/>
      <c r="H785" s="88"/>
      <c r="I785" s="87"/>
      <c r="J785" s="87"/>
      <c r="K785" s="88"/>
      <c r="L785" s="90"/>
    </row>
    <row r="786">
      <c r="A786" s="82"/>
      <c r="B786" s="83"/>
      <c r="C786" s="83"/>
      <c r="D786" s="83"/>
      <c r="E786" s="102"/>
      <c r="F786" s="102"/>
      <c r="G786" s="88"/>
      <c r="H786" s="88"/>
      <c r="I786" s="87"/>
      <c r="J786" s="87"/>
      <c r="K786" s="88"/>
      <c r="L786" s="90"/>
    </row>
    <row r="787">
      <c r="A787" s="82"/>
      <c r="B787" s="83"/>
      <c r="C787" s="83"/>
      <c r="D787" s="83"/>
      <c r="E787" s="102"/>
      <c r="F787" s="102"/>
      <c r="G787" s="88"/>
      <c r="H787" s="88"/>
      <c r="I787" s="87"/>
      <c r="J787" s="87"/>
      <c r="K787" s="88"/>
      <c r="L787" s="90"/>
    </row>
    <row r="788">
      <c r="A788" s="82"/>
      <c r="B788" s="83"/>
      <c r="C788" s="83"/>
      <c r="D788" s="83"/>
      <c r="E788" s="102"/>
      <c r="F788" s="102"/>
      <c r="G788" s="88"/>
      <c r="H788" s="88"/>
      <c r="I788" s="87"/>
      <c r="J788" s="87"/>
      <c r="K788" s="88"/>
      <c r="L788" s="90"/>
    </row>
    <row r="789">
      <c r="A789" s="82"/>
      <c r="B789" s="83"/>
      <c r="C789" s="83"/>
      <c r="D789" s="83"/>
      <c r="E789" s="102"/>
      <c r="F789" s="102"/>
      <c r="G789" s="88"/>
      <c r="H789" s="88"/>
      <c r="I789" s="87"/>
      <c r="J789" s="87"/>
      <c r="K789" s="88"/>
      <c r="L789" s="90"/>
    </row>
    <row r="790">
      <c r="A790" s="82"/>
      <c r="B790" s="83"/>
      <c r="C790" s="83"/>
      <c r="D790" s="83"/>
      <c r="E790" s="102"/>
      <c r="F790" s="102"/>
      <c r="G790" s="88"/>
      <c r="H790" s="88"/>
      <c r="I790" s="87"/>
      <c r="J790" s="87"/>
      <c r="K790" s="88"/>
      <c r="L790" s="90"/>
    </row>
    <row r="791">
      <c r="A791" s="82"/>
      <c r="B791" s="83"/>
      <c r="C791" s="83"/>
      <c r="D791" s="83"/>
      <c r="E791" s="102"/>
      <c r="F791" s="102"/>
      <c r="G791" s="88"/>
      <c r="H791" s="88"/>
      <c r="I791" s="87"/>
      <c r="J791" s="87"/>
      <c r="K791" s="88"/>
      <c r="L791" s="90"/>
    </row>
    <row r="792">
      <c r="A792" s="82"/>
      <c r="B792" s="83"/>
      <c r="C792" s="83"/>
      <c r="D792" s="83"/>
      <c r="E792" s="102"/>
      <c r="F792" s="102"/>
      <c r="G792" s="88"/>
      <c r="H792" s="88"/>
      <c r="I792" s="87"/>
      <c r="J792" s="87"/>
      <c r="K792" s="88"/>
      <c r="L792" s="90"/>
    </row>
    <row r="793">
      <c r="A793" s="82"/>
      <c r="B793" s="83"/>
      <c r="C793" s="83"/>
      <c r="D793" s="83"/>
      <c r="E793" s="102"/>
      <c r="F793" s="102"/>
      <c r="G793" s="88"/>
      <c r="H793" s="88"/>
      <c r="I793" s="87"/>
      <c r="J793" s="87"/>
      <c r="K793" s="88"/>
      <c r="L793" s="90"/>
    </row>
    <row r="794">
      <c r="A794" s="82"/>
      <c r="B794" s="83"/>
      <c r="C794" s="83"/>
      <c r="D794" s="83"/>
      <c r="E794" s="102"/>
      <c r="F794" s="102"/>
      <c r="G794" s="88"/>
      <c r="H794" s="88"/>
      <c r="I794" s="87"/>
      <c r="J794" s="87"/>
      <c r="K794" s="88"/>
      <c r="L794" s="90"/>
    </row>
    <row r="795">
      <c r="A795" s="82"/>
      <c r="B795" s="83"/>
      <c r="C795" s="83"/>
      <c r="D795" s="83"/>
      <c r="E795" s="102"/>
      <c r="F795" s="102"/>
      <c r="G795" s="88"/>
      <c r="H795" s="88"/>
      <c r="I795" s="87"/>
      <c r="J795" s="87"/>
      <c r="K795" s="88"/>
      <c r="L795" s="90"/>
    </row>
    <row r="796">
      <c r="A796" s="82"/>
      <c r="B796" s="83"/>
      <c r="C796" s="83"/>
      <c r="D796" s="83"/>
      <c r="E796" s="102"/>
      <c r="F796" s="102"/>
      <c r="G796" s="88"/>
      <c r="H796" s="88"/>
      <c r="I796" s="87"/>
      <c r="J796" s="87"/>
      <c r="K796" s="88"/>
      <c r="L796" s="90"/>
    </row>
    <row r="797">
      <c r="A797" s="82"/>
      <c r="B797" s="83"/>
      <c r="C797" s="83"/>
      <c r="D797" s="83"/>
      <c r="E797" s="102"/>
      <c r="F797" s="102"/>
      <c r="G797" s="88"/>
      <c r="H797" s="88"/>
      <c r="I797" s="87"/>
      <c r="J797" s="87"/>
      <c r="K797" s="88"/>
      <c r="L797" s="90"/>
    </row>
    <row r="798">
      <c r="A798" s="82"/>
      <c r="B798" s="83"/>
      <c r="C798" s="83"/>
      <c r="D798" s="83"/>
      <c r="E798" s="102"/>
      <c r="F798" s="102"/>
      <c r="G798" s="88"/>
      <c r="H798" s="88"/>
      <c r="I798" s="87"/>
      <c r="J798" s="87"/>
      <c r="K798" s="88"/>
      <c r="L798" s="90"/>
    </row>
    <row r="799">
      <c r="A799" s="82"/>
      <c r="B799" s="83"/>
      <c r="C799" s="83"/>
      <c r="D799" s="83"/>
      <c r="E799" s="102"/>
      <c r="F799" s="102"/>
      <c r="G799" s="88"/>
      <c r="H799" s="88"/>
      <c r="I799" s="87"/>
      <c r="J799" s="87"/>
      <c r="K799" s="88"/>
      <c r="L799" s="90"/>
    </row>
    <row r="800">
      <c r="A800" s="82"/>
      <c r="B800" s="83"/>
      <c r="C800" s="83"/>
      <c r="D800" s="83"/>
      <c r="E800" s="102"/>
      <c r="F800" s="102"/>
      <c r="G800" s="88"/>
      <c r="H800" s="88"/>
      <c r="I800" s="87"/>
      <c r="J800" s="87"/>
      <c r="K800" s="88"/>
      <c r="L800" s="90"/>
    </row>
    <row r="801">
      <c r="A801" s="82"/>
      <c r="B801" s="83"/>
      <c r="C801" s="83"/>
      <c r="D801" s="83"/>
      <c r="E801" s="102"/>
      <c r="F801" s="102"/>
      <c r="G801" s="88"/>
      <c r="H801" s="88"/>
      <c r="I801" s="87"/>
      <c r="J801" s="87"/>
      <c r="K801" s="88"/>
      <c r="L801" s="90"/>
    </row>
    <row r="802">
      <c r="A802" s="82"/>
      <c r="B802" s="83"/>
      <c r="C802" s="83"/>
      <c r="D802" s="83"/>
      <c r="E802" s="102"/>
      <c r="F802" s="102"/>
      <c r="G802" s="88"/>
      <c r="H802" s="88"/>
      <c r="I802" s="87"/>
      <c r="J802" s="87"/>
      <c r="K802" s="88"/>
      <c r="L802" s="90"/>
    </row>
    <row r="803">
      <c r="A803" s="82"/>
      <c r="B803" s="83"/>
      <c r="C803" s="83"/>
      <c r="D803" s="83"/>
      <c r="E803" s="102"/>
      <c r="F803" s="102"/>
      <c r="G803" s="88"/>
      <c r="H803" s="88"/>
      <c r="I803" s="87"/>
      <c r="J803" s="87"/>
      <c r="K803" s="88"/>
      <c r="L803" s="90"/>
    </row>
    <row r="804">
      <c r="A804" s="82"/>
      <c r="B804" s="83"/>
      <c r="C804" s="83"/>
      <c r="D804" s="83"/>
      <c r="E804" s="102"/>
      <c r="F804" s="102"/>
      <c r="G804" s="88"/>
      <c r="H804" s="88"/>
      <c r="I804" s="87"/>
      <c r="J804" s="87"/>
      <c r="K804" s="88"/>
      <c r="L804" s="90"/>
    </row>
    <row r="805">
      <c r="A805" s="82"/>
      <c r="B805" s="83"/>
      <c r="C805" s="83"/>
      <c r="D805" s="83"/>
      <c r="E805" s="102"/>
      <c r="F805" s="102"/>
      <c r="G805" s="88"/>
      <c r="H805" s="88"/>
      <c r="I805" s="87"/>
      <c r="J805" s="87"/>
      <c r="K805" s="88"/>
      <c r="L805" s="90"/>
    </row>
    <row r="806">
      <c r="A806" s="82"/>
      <c r="B806" s="83"/>
      <c r="C806" s="83"/>
      <c r="D806" s="83"/>
      <c r="E806" s="102"/>
      <c r="F806" s="102"/>
      <c r="G806" s="88"/>
      <c r="H806" s="88"/>
      <c r="I806" s="87"/>
      <c r="J806" s="87"/>
      <c r="K806" s="88"/>
      <c r="L806" s="90"/>
    </row>
    <row r="807">
      <c r="A807" s="82"/>
      <c r="B807" s="83"/>
      <c r="C807" s="83"/>
      <c r="D807" s="83"/>
      <c r="E807" s="102"/>
      <c r="F807" s="102"/>
      <c r="G807" s="88"/>
      <c r="H807" s="88"/>
      <c r="I807" s="87"/>
      <c r="J807" s="87"/>
      <c r="K807" s="88"/>
      <c r="L807" s="90"/>
    </row>
    <row r="808">
      <c r="A808" s="82"/>
      <c r="B808" s="83"/>
      <c r="C808" s="83"/>
      <c r="D808" s="83"/>
      <c r="E808" s="102"/>
      <c r="F808" s="102"/>
      <c r="G808" s="88"/>
      <c r="H808" s="88"/>
      <c r="I808" s="87"/>
      <c r="J808" s="87"/>
      <c r="K808" s="88"/>
      <c r="L808" s="90"/>
    </row>
    <row r="809">
      <c r="A809" s="82"/>
      <c r="B809" s="83"/>
      <c r="C809" s="83"/>
      <c r="D809" s="83"/>
      <c r="E809" s="102"/>
      <c r="F809" s="102"/>
      <c r="G809" s="88"/>
      <c r="H809" s="88"/>
      <c r="I809" s="87"/>
      <c r="J809" s="87"/>
      <c r="K809" s="88"/>
      <c r="L809" s="90"/>
    </row>
    <row r="810">
      <c r="A810" s="82"/>
      <c r="B810" s="83"/>
      <c r="C810" s="83"/>
      <c r="D810" s="83"/>
      <c r="E810" s="102"/>
      <c r="F810" s="102"/>
      <c r="G810" s="88"/>
      <c r="H810" s="88"/>
      <c r="I810" s="87"/>
      <c r="J810" s="87"/>
      <c r="K810" s="88"/>
      <c r="L810" s="90"/>
    </row>
    <row r="811">
      <c r="A811" s="82"/>
      <c r="B811" s="83"/>
      <c r="C811" s="83"/>
      <c r="D811" s="83"/>
      <c r="E811" s="102"/>
      <c r="F811" s="102"/>
      <c r="G811" s="88"/>
      <c r="H811" s="88"/>
      <c r="I811" s="87"/>
      <c r="J811" s="87"/>
      <c r="K811" s="88"/>
      <c r="L811" s="90"/>
    </row>
    <row r="812">
      <c r="A812" s="82"/>
      <c r="B812" s="83"/>
      <c r="C812" s="83"/>
      <c r="D812" s="83"/>
      <c r="E812" s="102"/>
      <c r="F812" s="102"/>
      <c r="G812" s="88"/>
      <c r="H812" s="88"/>
      <c r="I812" s="87"/>
      <c r="J812" s="87"/>
      <c r="K812" s="88"/>
      <c r="L812" s="90"/>
    </row>
    <row r="813">
      <c r="A813" s="82"/>
      <c r="B813" s="83"/>
      <c r="C813" s="83"/>
      <c r="D813" s="83"/>
      <c r="E813" s="102"/>
      <c r="F813" s="102"/>
      <c r="G813" s="88"/>
      <c r="H813" s="88"/>
      <c r="I813" s="87"/>
      <c r="J813" s="87"/>
      <c r="K813" s="88"/>
      <c r="L813" s="90"/>
    </row>
    <row r="814">
      <c r="A814" s="82"/>
      <c r="B814" s="83"/>
      <c r="C814" s="83"/>
      <c r="D814" s="83"/>
      <c r="E814" s="102"/>
      <c r="F814" s="102"/>
      <c r="G814" s="88"/>
      <c r="H814" s="88"/>
      <c r="I814" s="87"/>
      <c r="J814" s="87"/>
      <c r="K814" s="88"/>
      <c r="L814" s="90"/>
    </row>
    <row r="815">
      <c r="A815" s="82"/>
      <c r="B815" s="83"/>
      <c r="C815" s="83"/>
      <c r="D815" s="83"/>
      <c r="E815" s="102"/>
      <c r="F815" s="102"/>
      <c r="G815" s="88"/>
      <c r="H815" s="88"/>
      <c r="I815" s="87"/>
      <c r="J815" s="87"/>
      <c r="K815" s="88"/>
      <c r="L815" s="90"/>
    </row>
    <row r="816">
      <c r="A816" s="82"/>
      <c r="B816" s="83"/>
      <c r="C816" s="83"/>
      <c r="D816" s="83"/>
      <c r="E816" s="102"/>
      <c r="F816" s="102"/>
      <c r="G816" s="88"/>
      <c r="H816" s="88"/>
      <c r="I816" s="87"/>
      <c r="J816" s="87"/>
      <c r="K816" s="88"/>
      <c r="L816" s="90"/>
    </row>
    <row r="817">
      <c r="A817" s="82"/>
      <c r="B817" s="83"/>
      <c r="C817" s="83"/>
      <c r="D817" s="83"/>
      <c r="E817" s="102"/>
      <c r="F817" s="102"/>
      <c r="G817" s="88"/>
      <c r="H817" s="88"/>
      <c r="I817" s="87"/>
      <c r="J817" s="87"/>
      <c r="K817" s="88"/>
      <c r="L817" s="90"/>
    </row>
    <row r="818">
      <c r="A818" s="82"/>
      <c r="B818" s="83"/>
      <c r="C818" s="83"/>
      <c r="D818" s="83"/>
      <c r="E818" s="102"/>
      <c r="F818" s="102"/>
      <c r="G818" s="88"/>
      <c r="H818" s="88"/>
      <c r="I818" s="87"/>
      <c r="J818" s="87"/>
      <c r="K818" s="88"/>
      <c r="L818" s="90"/>
    </row>
    <row r="819">
      <c r="A819" s="82"/>
      <c r="B819" s="83"/>
      <c r="C819" s="83"/>
      <c r="D819" s="83"/>
      <c r="E819" s="102"/>
      <c r="F819" s="102"/>
      <c r="G819" s="88"/>
      <c r="H819" s="88"/>
      <c r="I819" s="87"/>
      <c r="J819" s="87"/>
      <c r="K819" s="88"/>
      <c r="L819" s="90"/>
    </row>
    <row r="820">
      <c r="A820" s="82"/>
      <c r="B820" s="83"/>
      <c r="C820" s="83"/>
      <c r="D820" s="83"/>
      <c r="E820" s="102"/>
      <c r="F820" s="102"/>
      <c r="G820" s="88"/>
      <c r="H820" s="88"/>
      <c r="I820" s="87"/>
      <c r="J820" s="87"/>
      <c r="K820" s="88"/>
      <c r="L820" s="90"/>
    </row>
    <row r="821">
      <c r="A821" s="82"/>
      <c r="B821" s="83"/>
      <c r="C821" s="83"/>
      <c r="D821" s="83"/>
      <c r="E821" s="102"/>
      <c r="F821" s="102"/>
      <c r="G821" s="88"/>
      <c r="H821" s="88"/>
      <c r="I821" s="87"/>
      <c r="J821" s="87"/>
      <c r="K821" s="88"/>
      <c r="L821" s="90"/>
    </row>
    <row r="822">
      <c r="A822" s="82"/>
      <c r="B822" s="83"/>
      <c r="C822" s="83"/>
      <c r="D822" s="83"/>
      <c r="E822" s="102"/>
      <c r="F822" s="102"/>
      <c r="G822" s="88"/>
      <c r="H822" s="88"/>
      <c r="I822" s="87"/>
      <c r="J822" s="87"/>
      <c r="K822" s="88"/>
      <c r="L822" s="90"/>
    </row>
    <row r="823">
      <c r="A823" s="82"/>
      <c r="B823" s="83"/>
      <c r="C823" s="83"/>
      <c r="D823" s="83"/>
      <c r="E823" s="102"/>
      <c r="F823" s="102"/>
      <c r="G823" s="88"/>
      <c r="H823" s="88"/>
      <c r="I823" s="87"/>
      <c r="J823" s="87"/>
      <c r="K823" s="88"/>
      <c r="L823" s="90"/>
    </row>
    <row r="824">
      <c r="A824" s="82"/>
      <c r="B824" s="83"/>
      <c r="C824" s="83"/>
      <c r="D824" s="83"/>
      <c r="E824" s="102"/>
      <c r="F824" s="102"/>
      <c r="G824" s="88"/>
      <c r="H824" s="88"/>
      <c r="I824" s="87"/>
      <c r="J824" s="87"/>
      <c r="K824" s="88"/>
      <c r="L824" s="90"/>
    </row>
    <row r="825">
      <c r="A825" s="82"/>
      <c r="B825" s="83"/>
      <c r="C825" s="83"/>
      <c r="D825" s="83"/>
      <c r="E825" s="102"/>
      <c r="F825" s="102"/>
      <c r="G825" s="88"/>
      <c r="H825" s="88"/>
      <c r="I825" s="87"/>
      <c r="J825" s="87"/>
      <c r="K825" s="88"/>
      <c r="L825" s="90"/>
    </row>
    <row r="826">
      <c r="A826" s="82"/>
      <c r="B826" s="83"/>
      <c r="C826" s="83"/>
      <c r="D826" s="83"/>
      <c r="E826" s="102"/>
      <c r="F826" s="102"/>
      <c r="G826" s="88"/>
      <c r="H826" s="88"/>
      <c r="I826" s="87"/>
      <c r="J826" s="87"/>
      <c r="K826" s="88"/>
      <c r="L826" s="90"/>
    </row>
    <row r="827">
      <c r="A827" s="82"/>
      <c r="B827" s="83"/>
      <c r="C827" s="83"/>
      <c r="D827" s="83"/>
      <c r="E827" s="102"/>
      <c r="F827" s="102"/>
      <c r="G827" s="88"/>
      <c r="H827" s="88"/>
      <c r="I827" s="87"/>
      <c r="J827" s="87"/>
      <c r="K827" s="88"/>
      <c r="L827" s="90"/>
    </row>
    <row r="828">
      <c r="A828" s="82"/>
      <c r="B828" s="83"/>
      <c r="C828" s="83"/>
      <c r="D828" s="83"/>
      <c r="E828" s="102"/>
      <c r="F828" s="102"/>
      <c r="G828" s="88"/>
      <c r="H828" s="88"/>
      <c r="I828" s="87"/>
      <c r="J828" s="87"/>
      <c r="K828" s="88"/>
      <c r="L828" s="90"/>
    </row>
    <row r="829">
      <c r="A829" s="82"/>
      <c r="B829" s="83"/>
      <c r="C829" s="83"/>
      <c r="D829" s="83"/>
      <c r="E829" s="102"/>
      <c r="F829" s="102"/>
      <c r="G829" s="88"/>
      <c r="H829" s="88"/>
      <c r="I829" s="87"/>
      <c r="J829" s="87"/>
      <c r="K829" s="88"/>
      <c r="L829" s="90"/>
    </row>
    <row r="830">
      <c r="A830" s="82"/>
      <c r="B830" s="83"/>
      <c r="C830" s="83"/>
      <c r="D830" s="83"/>
      <c r="E830" s="102"/>
      <c r="F830" s="102"/>
      <c r="G830" s="88"/>
      <c r="H830" s="88"/>
      <c r="I830" s="87"/>
      <c r="J830" s="87"/>
      <c r="K830" s="88"/>
      <c r="L830" s="90"/>
    </row>
    <row r="831">
      <c r="A831" s="82"/>
      <c r="B831" s="83"/>
      <c r="C831" s="83"/>
      <c r="D831" s="83"/>
      <c r="E831" s="102"/>
      <c r="F831" s="102"/>
      <c r="G831" s="88"/>
      <c r="H831" s="88"/>
      <c r="I831" s="87"/>
      <c r="J831" s="87"/>
      <c r="K831" s="88"/>
      <c r="L831" s="90"/>
    </row>
    <row r="832">
      <c r="A832" s="82"/>
      <c r="B832" s="83"/>
      <c r="C832" s="83"/>
      <c r="D832" s="83"/>
      <c r="E832" s="102"/>
      <c r="F832" s="102"/>
      <c r="G832" s="88"/>
      <c r="H832" s="88"/>
      <c r="I832" s="87"/>
      <c r="J832" s="87"/>
      <c r="K832" s="88"/>
      <c r="L832" s="90"/>
    </row>
    <row r="833">
      <c r="A833" s="82"/>
      <c r="B833" s="83"/>
      <c r="C833" s="83"/>
      <c r="D833" s="83"/>
      <c r="E833" s="102"/>
      <c r="F833" s="102"/>
      <c r="G833" s="88"/>
      <c r="H833" s="88"/>
      <c r="I833" s="87"/>
      <c r="J833" s="87"/>
      <c r="K833" s="88"/>
      <c r="L833" s="90"/>
    </row>
    <row r="834">
      <c r="A834" s="82"/>
      <c r="B834" s="83"/>
      <c r="C834" s="83"/>
      <c r="D834" s="83"/>
      <c r="E834" s="102"/>
      <c r="F834" s="102"/>
      <c r="G834" s="88"/>
      <c r="H834" s="88"/>
      <c r="I834" s="87"/>
      <c r="J834" s="87"/>
      <c r="K834" s="88"/>
      <c r="L834" s="90"/>
    </row>
    <row r="835">
      <c r="A835" s="82"/>
      <c r="B835" s="83"/>
      <c r="C835" s="83"/>
      <c r="D835" s="83"/>
      <c r="E835" s="102"/>
      <c r="F835" s="102"/>
      <c r="G835" s="88"/>
      <c r="H835" s="88"/>
      <c r="I835" s="87"/>
      <c r="J835" s="87"/>
      <c r="K835" s="88"/>
      <c r="L835" s="90"/>
    </row>
    <row r="836">
      <c r="A836" s="82"/>
      <c r="B836" s="83"/>
      <c r="C836" s="83"/>
      <c r="D836" s="83"/>
      <c r="E836" s="102"/>
      <c r="F836" s="102"/>
      <c r="G836" s="88"/>
      <c r="H836" s="88"/>
      <c r="I836" s="87"/>
      <c r="J836" s="87"/>
      <c r="K836" s="88"/>
      <c r="L836" s="90"/>
    </row>
    <row r="837">
      <c r="A837" s="82"/>
      <c r="B837" s="83"/>
      <c r="C837" s="83"/>
      <c r="D837" s="83"/>
      <c r="E837" s="102"/>
      <c r="F837" s="102"/>
      <c r="G837" s="88"/>
      <c r="H837" s="88"/>
      <c r="I837" s="87"/>
      <c r="J837" s="87"/>
      <c r="K837" s="88"/>
      <c r="L837" s="90"/>
    </row>
    <row r="838">
      <c r="A838" s="82"/>
      <c r="B838" s="83"/>
      <c r="C838" s="83"/>
      <c r="D838" s="83"/>
      <c r="E838" s="102"/>
      <c r="F838" s="102"/>
      <c r="G838" s="88"/>
      <c r="H838" s="88"/>
      <c r="I838" s="87"/>
      <c r="J838" s="87"/>
      <c r="K838" s="88"/>
      <c r="L838" s="90"/>
    </row>
    <row r="839">
      <c r="A839" s="82"/>
      <c r="B839" s="83"/>
      <c r="C839" s="83"/>
      <c r="D839" s="83"/>
      <c r="E839" s="102"/>
      <c r="F839" s="102"/>
      <c r="G839" s="88"/>
      <c r="H839" s="88"/>
      <c r="I839" s="87"/>
      <c r="J839" s="87"/>
      <c r="K839" s="88"/>
      <c r="L839" s="90"/>
    </row>
    <row r="840">
      <c r="A840" s="82"/>
      <c r="B840" s="83"/>
      <c r="C840" s="83"/>
      <c r="D840" s="83"/>
      <c r="E840" s="102"/>
      <c r="F840" s="102"/>
      <c r="G840" s="88"/>
      <c r="H840" s="88"/>
      <c r="I840" s="87"/>
      <c r="J840" s="87"/>
      <c r="K840" s="88"/>
      <c r="L840" s="90"/>
    </row>
    <row r="841">
      <c r="A841" s="82"/>
      <c r="B841" s="83"/>
      <c r="C841" s="83"/>
      <c r="D841" s="83"/>
      <c r="E841" s="102"/>
      <c r="F841" s="102"/>
      <c r="G841" s="88"/>
      <c r="H841" s="88"/>
      <c r="I841" s="87"/>
      <c r="J841" s="87"/>
      <c r="K841" s="88"/>
      <c r="L841" s="90"/>
    </row>
    <row r="842">
      <c r="A842" s="82"/>
      <c r="B842" s="83"/>
      <c r="C842" s="83"/>
      <c r="D842" s="83"/>
      <c r="E842" s="102"/>
      <c r="F842" s="102"/>
      <c r="G842" s="88"/>
      <c r="H842" s="88"/>
      <c r="I842" s="87"/>
      <c r="J842" s="87"/>
      <c r="K842" s="88"/>
      <c r="L842" s="90"/>
    </row>
    <row r="843">
      <c r="A843" s="82"/>
      <c r="B843" s="83"/>
      <c r="C843" s="83"/>
      <c r="D843" s="83"/>
      <c r="E843" s="102"/>
      <c r="F843" s="102"/>
      <c r="G843" s="88"/>
      <c r="H843" s="88"/>
      <c r="I843" s="87"/>
      <c r="J843" s="87"/>
      <c r="K843" s="88"/>
      <c r="L843" s="90"/>
    </row>
    <row r="844">
      <c r="A844" s="82"/>
      <c r="B844" s="83"/>
      <c r="C844" s="83"/>
      <c r="D844" s="83"/>
      <c r="E844" s="102"/>
      <c r="F844" s="102"/>
      <c r="G844" s="88"/>
      <c r="H844" s="88"/>
      <c r="I844" s="87"/>
      <c r="J844" s="87"/>
      <c r="K844" s="88"/>
      <c r="L844" s="90"/>
    </row>
    <row r="845">
      <c r="A845" s="82"/>
      <c r="B845" s="83"/>
      <c r="C845" s="83"/>
      <c r="D845" s="83"/>
      <c r="E845" s="102"/>
      <c r="F845" s="102"/>
      <c r="G845" s="88"/>
      <c r="H845" s="88"/>
      <c r="I845" s="87"/>
      <c r="J845" s="87"/>
      <c r="K845" s="88"/>
      <c r="L845" s="90"/>
    </row>
    <row r="846">
      <c r="A846" s="82"/>
      <c r="B846" s="83"/>
      <c r="C846" s="83"/>
      <c r="D846" s="83"/>
      <c r="E846" s="102"/>
      <c r="F846" s="102"/>
      <c r="G846" s="88"/>
      <c r="H846" s="88"/>
      <c r="I846" s="87"/>
      <c r="J846" s="87"/>
      <c r="K846" s="88"/>
      <c r="L846" s="90"/>
    </row>
    <row r="847">
      <c r="A847" s="82"/>
      <c r="B847" s="83"/>
      <c r="C847" s="83"/>
      <c r="D847" s="83"/>
      <c r="E847" s="102"/>
      <c r="F847" s="102"/>
      <c r="G847" s="88"/>
      <c r="H847" s="88"/>
      <c r="I847" s="87"/>
      <c r="J847" s="87"/>
      <c r="K847" s="88"/>
      <c r="L847" s="90"/>
    </row>
    <row r="848">
      <c r="A848" s="82"/>
      <c r="B848" s="83"/>
      <c r="C848" s="83"/>
      <c r="D848" s="83"/>
      <c r="E848" s="102"/>
      <c r="F848" s="102"/>
      <c r="G848" s="88"/>
      <c r="H848" s="88"/>
      <c r="I848" s="87"/>
      <c r="J848" s="87"/>
      <c r="K848" s="88"/>
      <c r="L848" s="90"/>
    </row>
    <row r="849">
      <c r="A849" s="82"/>
      <c r="B849" s="83"/>
      <c r="C849" s="83"/>
      <c r="D849" s="83"/>
      <c r="E849" s="102"/>
      <c r="F849" s="102"/>
      <c r="G849" s="88"/>
      <c r="H849" s="88"/>
      <c r="I849" s="87"/>
      <c r="J849" s="87"/>
      <c r="K849" s="88"/>
      <c r="L849" s="90"/>
    </row>
    <row r="850">
      <c r="A850" s="82"/>
      <c r="B850" s="83"/>
      <c r="C850" s="83"/>
      <c r="D850" s="83"/>
      <c r="E850" s="102"/>
      <c r="F850" s="102"/>
      <c r="G850" s="88"/>
      <c r="H850" s="88"/>
      <c r="I850" s="87"/>
      <c r="J850" s="87"/>
      <c r="K850" s="88"/>
      <c r="L850" s="90"/>
    </row>
    <row r="851">
      <c r="A851" s="82"/>
      <c r="B851" s="83"/>
      <c r="C851" s="83"/>
      <c r="D851" s="83"/>
      <c r="E851" s="102"/>
      <c r="F851" s="102"/>
      <c r="G851" s="88"/>
      <c r="H851" s="88"/>
      <c r="I851" s="87"/>
      <c r="J851" s="87"/>
      <c r="K851" s="88"/>
      <c r="L851" s="90"/>
    </row>
    <row r="852">
      <c r="A852" s="82"/>
      <c r="B852" s="83"/>
      <c r="C852" s="83"/>
      <c r="D852" s="83"/>
      <c r="E852" s="102"/>
      <c r="F852" s="102"/>
      <c r="G852" s="88"/>
      <c r="H852" s="88"/>
      <c r="I852" s="87"/>
      <c r="J852" s="87"/>
      <c r="K852" s="88"/>
      <c r="L852" s="90"/>
    </row>
    <row r="853">
      <c r="A853" s="82"/>
      <c r="B853" s="83"/>
      <c r="C853" s="83"/>
      <c r="D853" s="83"/>
      <c r="E853" s="102"/>
      <c r="F853" s="102"/>
      <c r="G853" s="88"/>
      <c r="H853" s="88"/>
      <c r="I853" s="87"/>
      <c r="J853" s="87"/>
      <c r="K853" s="88"/>
      <c r="L853" s="90"/>
    </row>
    <row r="854">
      <c r="A854" s="82"/>
      <c r="B854" s="83"/>
      <c r="C854" s="83"/>
      <c r="D854" s="83"/>
      <c r="E854" s="102"/>
      <c r="F854" s="102"/>
      <c r="G854" s="88"/>
      <c r="H854" s="88"/>
      <c r="I854" s="87"/>
      <c r="J854" s="87"/>
      <c r="K854" s="88"/>
      <c r="L854" s="90"/>
    </row>
    <row r="855">
      <c r="A855" s="82"/>
      <c r="B855" s="83"/>
      <c r="C855" s="83"/>
      <c r="D855" s="83"/>
      <c r="E855" s="102"/>
      <c r="F855" s="102"/>
      <c r="G855" s="88"/>
      <c r="H855" s="88"/>
      <c r="I855" s="87"/>
      <c r="J855" s="87"/>
      <c r="K855" s="88"/>
      <c r="L855" s="90"/>
    </row>
    <row r="856">
      <c r="A856" s="82"/>
      <c r="B856" s="83"/>
      <c r="C856" s="83"/>
      <c r="D856" s="83"/>
      <c r="E856" s="102"/>
      <c r="F856" s="102"/>
      <c r="G856" s="88"/>
      <c r="H856" s="88"/>
      <c r="I856" s="87"/>
      <c r="J856" s="87"/>
      <c r="K856" s="88"/>
      <c r="L856" s="90"/>
    </row>
    <row r="857">
      <c r="A857" s="82"/>
      <c r="B857" s="83"/>
      <c r="C857" s="83"/>
      <c r="D857" s="83"/>
      <c r="E857" s="102"/>
      <c r="F857" s="102"/>
      <c r="G857" s="88"/>
      <c r="H857" s="88"/>
      <c r="I857" s="87"/>
      <c r="J857" s="87"/>
      <c r="K857" s="88"/>
      <c r="L857" s="90"/>
    </row>
    <row r="858">
      <c r="A858" s="82"/>
      <c r="B858" s="83"/>
      <c r="C858" s="83"/>
      <c r="D858" s="83"/>
      <c r="E858" s="102"/>
      <c r="F858" s="102"/>
      <c r="G858" s="88"/>
      <c r="H858" s="88"/>
      <c r="I858" s="87"/>
      <c r="J858" s="87"/>
      <c r="K858" s="88"/>
      <c r="L858" s="90"/>
    </row>
    <row r="859">
      <c r="A859" s="82"/>
      <c r="B859" s="83"/>
      <c r="C859" s="83"/>
      <c r="D859" s="83"/>
      <c r="E859" s="102"/>
      <c r="F859" s="102"/>
      <c r="G859" s="88"/>
      <c r="H859" s="88"/>
      <c r="I859" s="87"/>
      <c r="J859" s="87"/>
      <c r="K859" s="88"/>
      <c r="L859" s="90"/>
    </row>
    <row r="860">
      <c r="A860" s="82"/>
      <c r="B860" s="83"/>
      <c r="C860" s="83"/>
      <c r="D860" s="83"/>
      <c r="E860" s="102"/>
      <c r="F860" s="102"/>
      <c r="G860" s="88"/>
      <c r="H860" s="88"/>
      <c r="I860" s="87"/>
      <c r="J860" s="87"/>
      <c r="K860" s="88"/>
      <c r="L860" s="90"/>
    </row>
    <row r="861">
      <c r="A861" s="82"/>
      <c r="B861" s="83"/>
      <c r="C861" s="83"/>
      <c r="D861" s="83"/>
      <c r="E861" s="102"/>
      <c r="F861" s="102"/>
      <c r="G861" s="88"/>
      <c r="H861" s="88"/>
      <c r="I861" s="87"/>
      <c r="J861" s="87"/>
      <c r="K861" s="88"/>
      <c r="L861" s="90"/>
    </row>
    <row r="862">
      <c r="A862" s="82"/>
      <c r="B862" s="83"/>
      <c r="C862" s="83"/>
      <c r="D862" s="83"/>
      <c r="E862" s="102"/>
      <c r="F862" s="102"/>
      <c r="G862" s="88"/>
      <c r="H862" s="88"/>
      <c r="I862" s="87"/>
      <c r="J862" s="87"/>
      <c r="K862" s="88"/>
      <c r="L862" s="90"/>
    </row>
    <row r="863">
      <c r="A863" s="82"/>
      <c r="B863" s="83"/>
      <c r="C863" s="83"/>
      <c r="D863" s="83"/>
      <c r="E863" s="102"/>
      <c r="F863" s="102"/>
      <c r="G863" s="88"/>
      <c r="H863" s="88"/>
      <c r="I863" s="87"/>
      <c r="J863" s="87"/>
      <c r="K863" s="88"/>
      <c r="L863" s="90"/>
    </row>
    <row r="864">
      <c r="A864" s="82"/>
      <c r="B864" s="83"/>
      <c r="C864" s="83"/>
      <c r="D864" s="83"/>
      <c r="E864" s="102"/>
      <c r="F864" s="102"/>
      <c r="G864" s="88"/>
      <c r="H864" s="88"/>
      <c r="I864" s="87"/>
      <c r="J864" s="87"/>
      <c r="K864" s="88"/>
      <c r="L864" s="90"/>
    </row>
    <row r="865">
      <c r="A865" s="82"/>
      <c r="B865" s="83"/>
      <c r="C865" s="83"/>
      <c r="D865" s="83"/>
      <c r="E865" s="102"/>
      <c r="F865" s="102"/>
      <c r="G865" s="88"/>
      <c r="H865" s="88"/>
      <c r="I865" s="87"/>
      <c r="J865" s="87"/>
      <c r="K865" s="88"/>
      <c r="L865" s="90"/>
    </row>
    <row r="866">
      <c r="A866" s="82"/>
      <c r="B866" s="83"/>
      <c r="C866" s="83"/>
      <c r="D866" s="83"/>
      <c r="E866" s="102"/>
      <c r="F866" s="102"/>
      <c r="G866" s="88"/>
      <c r="H866" s="88"/>
      <c r="I866" s="87"/>
      <c r="J866" s="87"/>
      <c r="K866" s="88"/>
      <c r="L866" s="90"/>
    </row>
    <row r="867">
      <c r="A867" s="82"/>
      <c r="B867" s="83"/>
      <c r="C867" s="83"/>
      <c r="D867" s="83"/>
      <c r="E867" s="102"/>
      <c r="F867" s="102"/>
      <c r="G867" s="88"/>
      <c r="H867" s="88"/>
      <c r="I867" s="87"/>
      <c r="J867" s="87"/>
      <c r="K867" s="88"/>
      <c r="L867" s="90"/>
    </row>
    <row r="868">
      <c r="A868" s="82"/>
      <c r="B868" s="83"/>
      <c r="C868" s="83"/>
      <c r="D868" s="83"/>
      <c r="E868" s="102"/>
      <c r="F868" s="102"/>
      <c r="G868" s="88"/>
      <c r="H868" s="88"/>
      <c r="I868" s="87"/>
      <c r="J868" s="87"/>
      <c r="K868" s="88"/>
      <c r="L868" s="90"/>
    </row>
    <row r="869">
      <c r="A869" s="82"/>
      <c r="B869" s="83"/>
      <c r="C869" s="83"/>
      <c r="D869" s="83"/>
      <c r="E869" s="102"/>
      <c r="F869" s="102"/>
      <c r="G869" s="88"/>
      <c r="H869" s="88"/>
      <c r="I869" s="87"/>
      <c r="J869" s="87"/>
      <c r="K869" s="88"/>
      <c r="L869" s="90"/>
    </row>
    <row r="870">
      <c r="A870" s="82"/>
      <c r="B870" s="83"/>
      <c r="C870" s="83"/>
      <c r="D870" s="83"/>
      <c r="E870" s="102"/>
      <c r="F870" s="102"/>
      <c r="G870" s="88"/>
      <c r="H870" s="88"/>
      <c r="I870" s="87"/>
      <c r="J870" s="87"/>
      <c r="K870" s="88"/>
      <c r="L870" s="90"/>
    </row>
    <row r="871">
      <c r="A871" s="82"/>
      <c r="B871" s="83"/>
      <c r="C871" s="83"/>
      <c r="D871" s="83"/>
      <c r="E871" s="102"/>
      <c r="F871" s="102"/>
      <c r="G871" s="88"/>
      <c r="H871" s="88"/>
      <c r="I871" s="87"/>
      <c r="J871" s="87"/>
      <c r="K871" s="88"/>
      <c r="L871" s="90"/>
    </row>
    <row r="872">
      <c r="A872" s="82"/>
      <c r="B872" s="83"/>
      <c r="C872" s="83"/>
      <c r="D872" s="83"/>
      <c r="E872" s="102"/>
      <c r="F872" s="102"/>
      <c r="G872" s="88"/>
      <c r="H872" s="88"/>
      <c r="I872" s="87"/>
      <c r="J872" s="87"/>
      <c r="K872" s="88"/>
      <c r="L872" s="90"/>
    </row>
    <row r="873">
      <c r="A873" s="82"/>
      <c r="B873" s="83"/>
      <c r="C873" s="83"/>
      <c r="D873" s="83"/>
      <c r="E873" s="102"/>
      <c r="F873" s="102"/>
      <c r="G873" s="88"/>
      <c r="H873" s="88"/>
      <c r="I873" s="87"/>
      <c r="J873" s="87"/>
      <c r="K873" s="88"/>
      <c r="L873" s="90"/>
    </row>
    <row r="874">
      <c r="A874" s="82"/>
      <c r="B874" s="83"/>
      <c r="C874" s="83"/>
      <c r="D874" s="83"/>
      <c r="E874" s="102"/>
      <c r="F874" s="102"/>
      <c r="G874" s="88"/>
      <c r="H874" s="88"/>
      <c r="I874" s="87"/>
      <c r="J874" s="87"/>
      <c r="K874" s="88"/>
      <c r="L874" s="90"/>
    </row>
    <row r="875">
      <c r="A875" s="82"/>
      <c r="B875" s="83"/>
      <c r="C875" s="83"/>
      <c r="D875" s="83"/>
      <c r="E875" s="102"/>
      <c r="F875" s="102"/>
      <c r="G875" s="88"/>
      <c r="H875" s="88"/>
      <c r="I875" s="87"/>
      <c r="J875" s="87"/>
      <c r="K875" s="88"/>
      <c r="L875" s="90"/>
    </row>
    <row r="876">
      <c r="A876" s="82"/>
      <c r="B876" s="83"/>
      <c r="C876" s="83"/>
      <c r="D876" s="83"/>
      <c r="E876" s="102"/>
      <c r="F876" s="102"/>
      <c r="G876" s="88"/>
      <c r="H876" s="88"/>
      <c r="I876" s="87"/>
      <c r="J876" s="87"/>
      <c r="K876" s="88"/>
      <c r="L876" s="90"/>
    </row>
    <row r="877">
      <c r="A877" s="82"/>
      <c r="B877" s="83"/>
      <c r="C877" s="83"/>
      <c r="D877" s="83"/>
      <c r="E877" s="102"/>
      <c r="F877" s="102"/>
      <c r="G877" s="88"/>
      <c r="H877" s="88"/>
      <c r="I877" s="87"/>
      <c r="J877" s="87"/>
      <c r="K877" s="88"/>
      <c r="L877" s="90"/>
    </row>
    <row r="878">
      <c r="A878" s="82"/>
      <c r="B878" s="83"/>
      <c r="C878" s="83"/>
      <c r="D878" s="83"/>
      <c r="E878" s="102"/>
      <c r="F878" s="102"/>
      <c r="G878" s="88"/>
      <c r="H878" s="88"/>
      <c r="I878" s="87"/>
      <c r="J878" s="87"/>
      <c r="K878" s="88"/>
      <c r="L878" s="90"/>
    </row>
    <row r="879">
      <c r="A879" s="82"/>
      <c r="B879" s="83"/>
      <c r="C879" s="83"/>
      <c r="D879" s="83"/>
      <c r="E879" s="102"/>
      <c r="F879" s="102"/>
      <c r="G879" s="88"/>
      <c r="H879" s="88"/>
      <c r="I879" s="87"/>
      <c r="J879" s="87"/>
      <c r="K879" s="88"/>
      <c r="L879" s="90"/>
    </row>
    <row r="880">
      <c r="A880" s="82"/>
      <c r="B880" s="83"/>
      <c r="C880" s="83"/>
      <c r="D880" s="83"/>
      <c r="E880" s="102"/>
      <c r="F880" s="102"/>
      <c r="G880" s="88"/>
      <c r="H880" s="88"/>
      <c r="I880" s="87"/>
      <c r="J880" s="87"/>
      <c r="K880" s="88"/>
      <c r="L880" s="90"/>
    </row>
    <row r="881">
      <c r="A881" s="82"/>
      <c r="B881" s="83"/>
      <c r="C881" s="83"/>
      <c r="D881" s="83"/>
      <c r="E881" s="102"/>
      <c r="F881" s="102"/>
      <c r="G881" s="88"/>
      <c r="H881" s="88"/>
      <c r="I881" s="87"/>
      <c r="J881" s="87"/>
      <c r="K881" s="88"/>
      <c r="L881" s="90"/>
    </row>
    <row r="882">
      <c r="A882" s="82"/>
      <c r="B882" s="83"/>
      <c r="C882" s="83"/>
      <c r="D882" s="83"/>
      <c r="E882" s="102"/>
      <c r="F882" s="102"/>
      <c r="G882" s="88"/>
      <c r="H882" s="88"/>
      <c r="I882" s="87"/>
      <c r="J882" s="87"/>
      <c r="K882" s="88"/>
      <c r="L882" s="90"/>
    </row>
    <row r="883">
      <c r="A883" s="82"/>
      <c r="B883" s="83"/>
      <c r="C883" s="83"/>
      <c r="D883" s="83"/>
      <c r="E883" s="102"/>
      <c r="F883" s="102"/>
      <c r="G883" s="88"/>
      <c r="H883" s="88"/>
      <c r="I883" s="87"/>
      <c r="J883" s="87"/>
      <c r="K883" s="88"/>
      <c r="L883" s="90"/>
    </row>
    <row r="884">
      <c r="A884" s="82"/>
      <c r="B884" s="83"/>
      <c r="C884" s="83"/>
      <c r="D884" s="83"/>
      <c r="E884" s="102"/>
      <c r="F884" s="102"/>
      <c r="G884" s="88"/>
      <c r="H884" s="88"/>
      <c r="I884" s="87"/>
      <c r="J884" s="87"/>
      <c r="K884" s="88"/>
      <c r="L884" s="90"/>
    </row>
    <row r="885">
      <c r="A885" s="82"/>
      <c r="B885" s="83"/>
      <c r="C885" s="83"/>
      <c r="D885" s="83"/>
      <c r="E885" s="102"/>
      <c r="F885" s="102"/>
      <c r="G885" s="88"/>
      <c r="H885" s="88"/>
      <c r="I885" s="87"/>
      <c r="J885" s="87"/>
      <c r="K885" s="88"/>
      <c r="L885" s="90"/>
    </row>
    <row r="886">
      <c r="A886" s="82"/>
      <c r="B886" s="83"/>
      <c r="C886" s="83"/>
      <c r="D886" s="83"/>
      <c r="E886" s="102"/>
      <c r="F886" s="102"/>
      <c r="G886" s="88"/>
      <c r="H886" s="88"/>
      <c r="I886" s="87"/>
      <c r="J886" s="87"/>
      <c r="K886" s="88"/>
      <c r="L886" s="90"/>
    </row>
    <row r="887">
      <c r="A887" s="82"/>
      <c r="B887" s="83"/>
      <c r="C887" s="83"/>
      <c r="D887" s="83"/>
      <c r="E887" s="102"/>
      <c r="F887" s="102"/>
      <c r="G887" s="88"/>
      <c r="H887" s="88"/>
      <c r="I887" s="87"/>
      <c r="J887" s="87"/>
      <c r="K887" s="88"/>
      <c r="L887" s="90"/>
    </row>
    <row r="888">
      <c r="A888" s="82"/>
      <c r="B888" s="83"/>
      <c r="C888" s="83"/>
      <c r="D888" s="83"/>
      <c r="E888" s="102"/>
      <c r="F888" s="102"/>
      <c r="G888" s="88"/>
      <c r="H888" s="88"/>
      <c r="I888" s="87"/>
      <c r="J888" s="87"/>
      <c r="K888" s="88"/>
      <c r="L888" s="90"/>
    </row>
    <row r="889">
      <c r="A889" s="82"/>
      <c r="B889" s="83"/>
      <c r="C889" s="83"/>
      <c r="D889" s="83"/>
      <c r="E889" s="102"/>
      <c r="F889" s="102"/>
      <c r="G889" s="88"/>
      <c r="H889" s="88"/>
      <c r="I889" s="87"/>
      <c r="J889" s="87"/>
      <c r="K889" s="88"/>
      <c r="L889" s="90"/>
    </row>
    <row r="890">
      <c r="A890" s="82"/>
      <c r="B890" s="83"/>
      <c r="C890" s="83"/>
      <c r="D890" s="83"/>
      <c r="E890" s="102"/>
      <c r="F890" s="102"/>
      <c r="G890" s="88"/>
      <c r="H890" s="88"/>
      <c r="I890" s="87"/>
      <c r="J890" s="87"/>
      <c r="K890" s="88"/>
      <c r="L890" s="90"/>
    </row>
    <row r="891">
      <c r="A891" s="82"/>
      <c r="B891" s="83"/>
      <c r="C891" s="83"/>
      <c r="D891" s="83"/>
      <c r="E891" s="102"/>
      <c r="F891" s="102"/>
      <c r="G891" s="88"/>
      <c r="H891" s="88"/>
      <c r="I891" s="87"/>
      <c r="J891" s="87"/>
      <c r="K891" s="88"/>
      <c r="L891" s="90"/>
    </row>
    <row r="892">
      <c r="A892" s="82"/>
      <c r="B892" s="83"/>
      <c r="C892" s="83"/>
      <c r="D892" s="83"/>
      <c r="E892" s="102"/>
      <c r="F892" s="102"/>
      <c r="G892" s="88"/>
      <c r="H892" s="88"/>
      <c r="I892" s="87"/>
      <c r="J892" s="87"/>
      <c r="K892" s="88"/>
      <c r="L892" s="90"/>
    </row>
    <row r="893">
      <c r="A893" s="82"/>
      <c r="B893" s="83"/>
      <c r="C893" s="83"/>
      <c r="D893" s="83"/>
      <c r="E893" s="102"/>
      <c r="F893" s="102"/>
      <c r="G893" s="88"/>
      <c r="H893" s="88"/>
      <c r="I893" s="87"/>
      <c r="J893" s="87"/>
      <c r="K893" s="88"/>
      <c r="L893" s="90"/>
    </row>
    <row r="894">
      <c r="A894" s="82"/>
      <c r="B894" s="83"/>
      <c r="C894" s="83"/>
      <c r="D894" s="83"/>
      <c r="E894" s="102"/>
      <c r="F894" s="102"/>
      <c r="G894" s="88"/>
      <c r="H894" s="88"/>
      <c r="I894" s="87"/>
      <c r="J894" s="87"/>
      <c r="K894" s="88"/>
      <c r="L894" s="90"/>
    </row>
    <row r="895">
      <c r="A895" s="82"/>
      <c r="B895" s="83"/>
      <c r="C895" s="83"/>
      <c r="D895" s="83"/>
      <c r="E895" s="102"/>
      <c r="F895" s="102"/>
      <c r="G895" s="88"/>
      <c r="H895" s="88"/>
      <c r="I895" s="87"/>
      <c r="J895" s="87"/>
      <c r="K895" s="88"/>
      <c r="L895" s="90"/>
    </row>
    <row r="896">
      <c r="A896" s="82"/>
      <c r="B896" s="83"/>
      <c r="C896" s="83"/>
      <c r="D896" s="83"/>
      <c r="E896" s="102"/>
      <c r="F896" s="102"/>
      <c r="G896" s="88"/>
      <c r="H896" s="88"/>
      <c r="I896" s="87"/>
      <c r="J896" s="87"/>
      <c r="K896" s="88"/>
      <c r="L896" s="90"/>
    </row>
    <row r="897">
      <c r="A897" s="82"/>
      <c r="B897" s="83"/>
      <c r="C897" s="83"/>
      <c r="D897" s="83"/>
      <c r="E897" s="102"/>
      <c r="F897" s="102"/>
      <c r="G897" s="88"/>
      <c r="H897" s="88"/>
      <c r="I897" s="87"/>
      <c r="J897" s="87"/>
      <c r="K897" s="88"/>
      <c r="L897" s="90"/>
    </row>
    <row r="898">
      <c r="A898" s="82"/>
      <c r="B898" s="83"/>
      <c r="C898" s="83"/>
      <c r="D898" s="83"/>
      <c r="E898" s="102"/>
      <c r="F898" s="102"/>
      <c r="G898" s="88"/>
      <c r="H898" s="88"/>
      <c r="I898" s="87"/>
      <c r="J898" s="87"/>
      <c r="K898" s="88"/>
      <c r="L898" s="90"/>
    </row>
    <row r="899">
      <c r="A899" s="82"/>
      <c r="B899" s="83"/>
      <c r="C899" s="83"/>
      <c r="D899" s="83"/>
      <c r="E899" s="102"/>
      <c r="F899" s="102"/>
      <c r="G899" s="88"/>
      <c r="H899" s="88"/>
      <c r="I899" s="87"/>
      <c r="J899" s="87"/>
      <c r="K899" s="88"/>
      <c r="L899" s="90"/>
    </row>
    <row r="900">
      <c r="A900" s="82"/>
      <c r="B900" s="83"/>
      <c r="C900" s="83"/>
      <c r="D900" s="83"/>
      <c r="E900" s="102"/>
      <c r="F900" s="102"/>
      <c r="G900" s="88"/>
      <c r="H900" s="88"/>
      <c r="I900" s="87"/>
      <c r="J900" s="87"/>
      <c r="K900" s="88"/>
      <c r="L900" s="90"/>
    </row>
    <row r="901">
      <c r="A901" s="82"/>
      <c r="B901" s="83"/>
      <c r="C901" s="83"/>
      <c r="D901" s="83"/>
      <c r="E901" s="102"/>
      <c r="F901" s="102"/>
      <c r="G901" s="88"/>
      <c r="H901" s="88"/>
      <c r="I901" s="87"/>
      <c r="J901" s="87"/>
      <c r="K901" s="88"/>
      <c r="L901" s="90"/>
    </row>
    <row r="902">
      <c r="A902" s="82"/>
      <c r="B902" s="83"/>
      <c r="C902" s="83"/>
      <c r="D902" s="83"/>
      <c r="E902" s="102"/>
      <c r="F902" s="102"/>
      <c r="G902" s="88"/>
      <c r="H902" s="88"/>
      <c r="I902" s="87"/>
      <c r="J902" s="87"/>
      <c r="K902" s="88"/>
      <c r="L902" s="90"/>
    </row>
    <row r="903">
      <c r="A903" s="82"/>
      <c r="B903" s="83"/>
      <c r="C903" s="83"/>
      <c r="D903" s="83"/>
      <c r="E903" s="102"/>
      <c r="F903" s="102"/>
      <c r="G903" s="88"/>
      <c r="H903" s="88"/>
      <c r="I903" s="87"/>
      <c r="J903" s="87"/>
      <c r="K903" s="88"/>
      <c r="L903" s="90"/>
    </row>
    <row r="904">
      <c r="A904" s="82"/>
      <c r="B904" s="83"/>
      <c r="C904" s="83"/>
      <c r="D904" s="83"/>
      <c r="E904" s="102"/>
      <c r="F904" s="102"/>
      <c r="G904" s="88"/>
      <c r="H904" s="88"/>
      <c r="I904" s="87"/>
      <c r="J904" s="87"/>
      <c r="K904" s="88"/>
      <c r="L904" s="90"/>
    </row>
    <row r="905">
      <c r="A905" s="82"/>
      <c r="B905" s="83"/>
      <c r="C905" s="83"/>
      <c r="D905" s="83"/>
      <c r="E905" s="102"/>
      <c r="F905" s="102"/>
      <c r="G905" s="88"/>
      <c r="H905" s="88"/>
      <c r="I905" s="87"/>
      <c r="J905" s="87"/>
      <c r="K905" s="88"/>
      <c r="L905" s="90"/>
    </row>
    <row r="906">
      <c r="A906" s="82"/>
      <c r="B906" s="83"/>
      <c r="C906" s="83"/>
      <c r="D906" s="83"/>
      <c r="E906" s="102"/>
      <c r="F906" s="102"/>
      <c r="G906" s="88"/>
      <c r="H906" s="88"/>
      <c r="I906" s="87"/>
      <c r="J906" s="87"/>
      <c r="K906" s="88"/>
      <c r="L906" s="90"/>
    </row>
    <row r="907">
      <c r="A907" s="82"/>
      <c r="B907" s="83"/>
      <c r="C907" s="83"/>
      <c r="D907" s="83"/>
      <c r="E907" s="102"/>
      <c r="F907" s="102"/>
      <c r="G907" s="88"/>
      <c r="H907" s="88"/>
      <c r="I907" s="87"/>
      <c r="J907" s="87"/>
      <c r="K907" s="88"/>
      <c r="L907" s="90"/>
    </row>
    <row r="908">
      <c r="A908" s="82"/>
      <c r="B908" s="83"/>
      <c r="C908" s="83"/>
      <c r="D908" s="83"/>
      <c r="E908" s="102"/>
      <c r="F908" s="102"/>
      <c r="G908" s="88"/>
      <c r="H908" s="88"/>
      <c r="I908" s="87"/>
      <c r="J908" s="87"/>
      <c r="K908" s="88"/>
      <c r="L908" s="90"/>
    </row>
    <row r="909">
      <c r="A909" s="82"/>
      <c r="B909" s="83"/>
      <c r="C909" s="83"/>
      <c r="D909" s="83"/>
      <c r="E909" s="102"/>
      <c r="F909" s="102"/>
      <c r="G909" s="88"/>
      <c r="H909" s="88"/>
      <c r="I909" s="87"/>
      <c r="J909" s="87"/>
      <c r="K909" s="88"/>
      <c r="L909" s="90"/>
    </row>
    <row r="910">
      <c r="A910" s="82"/>
      <c r="B910" s="83"/>
      <c r="C910" s="83"/>
      <c r="D910" s="83"/>
      <c r="E910" s="102"/>
      <c r="F910" s="102"/>
      <c r="G910" s="88"/>
      <c r="H910" s="88"/>
      <c r="I910" s="87"/>
      <c r="J910" s="87"/>
      <c r="K910" s="88"/>
      <c r="L910" s="90"/>
    </row>
    <row r="911">
      <c r="A911" s="82"/>
      <c r="B911" s="83"/>
      <c r="C911" s="83"/>
      <c r="D911" s="83"/>
      <c r="E911" s="102"/>
      <c r="F911" s="102"/>
      <c r="G911" s="88"/>
      <c r="H911" s="88"/>
      <c r="I911" s="87"/>
      <c r="J911" s="87"/>
      <c r="K911" s="88"/>
      <c r="L911" s="90"/>
    </row>
    <row r="912">
      <c r="A912" s="82"/>
      <c r="B912" s="83"/>
      <c r="C912" s="83"/>
      <c r="D912" s="83"/>
      <c r="E912" s="102"/>
      <c r="F912" s="102"/>
      <c r="G912" s="88"/>
      <c r="H912" s="88"/>
      <c r="I912" s="87"/>
      <c r="J912" s="87"/>
      <c r="K912" s="88"/>
      <c r="L912" s="90"/>
    </row>
    <row r="913">
      <c r="A913" s="82"/>
      <c r="B913" s="83"/>
      <c r="C913" s="83"/>
      <c r="D913" s="83"/>
      <c r="E913" s="102"/>
      <c r="F913" s="102"/>
      <c r="G913" s="88"/>
      <c r="H913" s="88"/>
      <c r="I913" s="87"/>
      <c r="J913" s="87"/>
      <c r="K913" s="88"/>
      <c r="L913" s="90"/>
    </row>
    <row r="914">
      <c r="A914" s="82"/>
      <c r="B914" s="83"/>
      <c r="C914" s="83"/>
      <c r="D914" s="83"/>
      <c r="E914" s="102"/>
      <c r="F914" s="102"/>
      <c r="G914" s="88"/>
      <c r="H914" s="88"/>
      <c r="I914" s="87"/>
      <c r="J914" s="87"/>
      <c r="K914" s="88"/>
      <c r="L914" s="90"/>
    </row>
    <row r="915">
      <c r="A915" s="82"/>
      <c r="B915" s="83"/>
      <c r="C915" s="83"/>
      <c r="D915" s="83"/>
      <c r="E915" s="102"/>
      <c r="F915" s="102"/>
      <c r="G915" s="88"/>
      <c r="H915" s="88"/>
      <c r="I915" s="87"/>
      <c r="J915" s="87"/>
      <c r="K915" s="88"/>
      <c r="L915" s="90"/>
    </row>
    <row r="916">
      <c r="A916" s="82"/>
      <c r="B916" s="83"/>
      <c r="C916" s="83"/>
      <c r="D916" s="83"/>
      <c r="E916" s="102"/>
      <c r="F916" s="102"/>
      <c r="G916" s="88"/>
      <c r="H916" s="88"/>
      <c r="I916" s="87"/>
      <c r="J916" s="87"/>
      <c r="K916" s="88"/>
      <c r="L916" s="90"/>
    </row>
    <row r="917">
      <c r="A917" s="82"/>
      <c r="B917" s="83"/>
      <c r="C917" s="83"/>
      <c r="D917" s="83"/>
      <c r="E917" s="102"/>
      <c r="F917" s="102"/>
      <c r="G917" s="88"/>
      <c r="H917" s="88"/>
      <c r="I917" s="87"/>
      <c r="J917" s="87"/>
      <c r="K917" s="88"/>
      <c r="L917" s="90"/>
    </row>
    <row r="918">
      <c r="A918" s="82"/>
      <c r="B918" s="83"/>
      <c r="C918" s="83"/>
      <c r="D918" s="83"/>
      <c r="E918" s="102"/>
      <c r="F918" s="102"/>
      <c r="G918" s="88"/>
      <c r="H918" s="88"/>
      <c r="I918" s="87"/>
      <c r="J918" s="87"/>
      <c r="K918" s="88"/>
      <c r="L918" s="90"/>
    </row>
    <row r="919">
      <c r="A919" s="82"/>
      <c r="B919" s="83"/>
      <c r="C919" s="83"/>
      <c r="D919" s="83"/>
      <c r="E919" s="102"/>
      <c r="F919" s="102"/>
      <c r="G919" s="88"/>
      <c r="H919" s="88"/>
      <c r="I919" s="87"/>
      <c r="J919" s="87"/>
      <c r="K919" s="88"/>
      <c r="L919" s="90"/>
    </row>
    <row r="920">
      <c r="A920" s="82"/>
      <c r="B920" s="83"/>
      <c r="C920" s="83"/>
      <c r="D920" s="83"/>
      <c r="E920" s="102"/>
      <c r="F920" s="102"/>
      <c r="G920" s="88"/>
      <c r="H920" s="88"/>
      <c r="I920" s="87"/>
      <c r="J920" s="87"/>
      <c r="K920" s="88"/>
      <c r="L920" s="90"/>
    </row>
    <row r="921">
      <c r="A921" s="82"/>
      <c r="B921" s="83"/>
      <c r="C921" s="83"/>
      <c r="D921" s="83"/>
      <c r="E921" s="102"/>
      <c r="F921" s="102"/>
      <c r="G921" s="88"/>
      <c r="H921" s="88"/>
      <c r="I921" s="87"/>
      <c r="J921" s="87"/>
      <c r="K921" s="88"/>
      <c r="L921" s="90"/>
    </row>
    <row r="922">
      <c r="A922" s="82"/>
      <c r="B922" s="83"/>
      <c r="C922" s="83"/>
      <c r="D922" s="83"/>
      <c r="E922" s="102"/>
      <c r="F922" s="102"/>
      <c r="G922" s="88"/>
      <c r="H922" s="88"/>
      <c r="I922" s="87"/>
      <c r="J922" s="87"/>
      <c r="K922" s="88"/>
      <c r="L922" s="90"/>
    </row>
    <row r="923">
      <c r="A923" s="82"/>
      <c r="B923" s="83"/>
      <c r="C923" s="83"/>
      <c r="D923" s="83"/>
      <c r="E923" s="102"/>
      <c r="F923" s="102"/>
      <c r="G923" s="88"/>
      <c r="H923" s="88"/>
      <c r="I923" s="87"/>
      <c r="J923" s="87"/>
      <c r="K923" s="88"/>
      <c r="L923" s="90"/>
    </row>
    <row r="924">
      <c r="A924" s="82"/>
      <c r="B924" s="83"/>
      <c r="C924" s="83"/>
      <c r="D924" s="83"/>
      <c r="E924" s="102"/>
      <c r="F924" s="102"/>
      <c r="G924" s="88"/>
      <c r="H924" s="88"/>
      <c r="I924" s="87"/>
      <c r="J924" s="87"/>
      <c r="K924" s="88"/>
      <c r="L924" s="90"/>
    </row>
    <row r="925">
      <c r="A925" s="82"/>
      <c r="B925" s="83"/>
      <c r="C925" s="83"/>
      <c r="D925" s="83"/>
      <c r="E925" s="102"/>
      <c r="F925" s="102"/>
      <c r="G925" s="88"/>
      <c r="H925" s="88"/>
      <c r="I925" s="87"/>
      <c r="J925" s="87"/>
      <c r="K925" s="88"/>
      <c r="L925" s="90"/>
    </row>
    <row r="926">
      <c r="A926" s="82"/>
      <c r="B926" s="83"/>
      <c r="C926" s="83"/>
      <c r="D926" s="83"/>
      <c r="E926" s="102"/>
      <c r="F926" s="102"/>
      <c r="G926" s="88"/>
      <c r="H926" s="88"/>
      <c r="I926" s="87"/>
      <c r="J926" s="87"/>
      <c r="K926" s="88"/>
      <c r="L926" s="90"/>
    </row>
    <row r="927">
      <c r="A927" s="82"/>
      <c r="B927" s="83"/>
      <c r="C927" s="83"/>
      <c r="D927" s="83"/>
      <c r="E927" s="102"/>
      <c r="F927" s="102"/>
      <c r="G927" s="88"/>
      <c r="H927" s="88"/>
      <c r="I927" s="87"/>
      <c r="J927" s="87"/>
      <c r="K927" s="88"/>
      <c r="L927" s="90"/>
    </row>
    <row r="928">
      <c r="A928" s="82"/>
      <c r="B928" s="83"/>
      <c r="C928" s="83"/>
      <c r="D928" s="83"/>
      <c r="E928" s="102"/>
      <c r="F928" s="102"/>
      <c r="G928" s="88"/>
      <c r="H928" s="88"/>
      <c r="I928" s="87"/>
      <c r="J928" s="87"/>
      <c r="K928" s="88"/>
      <c r="L928" s="90"/>
    </row>
    <row r="929">
      <c r="A929" s="82"/>
      <c r="B929" s="83"/>
      <c r="C929" s="83"/>
      <c r="D929" s="83"/>
      <c r="E929" s="102"/>
      <c r="F929" s="102"/>
      <c r="G929" s="88"/>
      <c r="H929" s="88"/>
      <c r="I929" s="87"/>
      <c r="J929" s="87"/>
      <c r="K929" s="88"/>
      <c r="L929" s="90"/>
    </row>
    <row r="930">
      <c r="A930" s="82"/>
      <c r="B930" s="83"/>
      <c r="C930" s="83"/>
      <c r="D930" s="83"/>
      <c r="E930" s="102"/>
      <c r="F930" s="102"/>
      <c r="G930" s="88"/>
      <c r="H930" s="88"/>
      <c r="I930" s="87"/>
      <c r="J930" s="87"/>
      <c r="K930" s="88"/>
      <c r="L930" s="90"/>
    </row>
    <row r="931">
      <c r="A931" s="82"/>
      <c r="B931" s="83"/>
      <c r="C931" s="83"/>
      <c r="D931" s="83"/>
      <c r="E931" s="102"/>
      <c r="F931" s="102"/>
      <c r="G931" s="88"/>
      <c r="H931" s="88"/>
      <c r="I931" s="87"/>
      <c r="J931" s="87"/>
      <c r="K931" s="88"/>
      <c r="L931" s="90"/>
    </row>
    <row r="932">
      <c r="A932" s="82"/>
      <c r="B932" s="83"/>
      <c r="C932" s="83"/>
      <c r="D932" s="83"/>
      <c r="E932" s="102"/>
      <c r="F932" s="102"/>
      <c r="G932" s="88"/>
      <c r="H932" s="88"/>
      <c r="I932" s="87"/>
      <c r="J932" s="87"/>
      <c r="K932" s="88"/>
      <c r="L932" s="90"/>
    </row>
    <row r="933">
      <c r="A933" s="82"/>
      <c r="B933" s="83"/>
      <c r="C933" s="83"/>
      <c r="D933" s="83"/>
      <c r="E933" s="102"/>
      <c r="F933" s="102"/>
      <c r="G933" s="88"/>
      <c r="H933" s="88"/>
      <c r="I933" s="87"/>
      <c r="J933" s="87"/>
      <c r="K933" s="88"/>
      <c r="L933" s="90"/>
    </row>
    <row r="934">
      <c r="A934" s="82"/>
      <c r="B934" s="83"/>
      <c r="C934" s="83"/>
      <c r="D934" s="83"/>
      <c r="E934" s="102"/>
      <c r="F934" s="102"/>
      <c r="G934" s="88"/>
      <c r="H934" s="88"/>
      <c r="I934" s="87"/>
      <c r="J934" s="87"/>
      <c r="K934" s="88"/>
      <c r="L934" s="90"/>
    </row>
    <row r="935">
      <c r="A935" s="82"/>
      <c r="B935" s="83"/>
      <c r="C935" s="83"/>
      <c r="D935" s="83"/>
      <c r="E935" s="102"/>
      <c r="F935" s="102"/>
      <c r="G935" s="88"/>
      <c r="H935" s="88"/>
      <c r="I935" s="87"/>
      <c r="J935" s="87"/>
      <c r="K935" s="88"/>
      <c r="L935" s="90"/>
    </row>
    <row r="936">
      <c r="A936" s="82"/>
      <c r="B936" s="83"/>
      <c r="C936" s="83"/>
      <c r="D936" s="83"/>
      <c r="E936" s="102"/>
      <c r="F936" s="102"/>
      <c r="G936" s="88"/>
      <c r="H936" s="88"/>
      <c r="I936" s="87"/>
      <c r="J936" s="87"/>
      <c r="K936" s="88"/>
      <c r="L936" s="90"/>
    </row>
    <row r="937">
      <c r="A937" s="82"/>
      <c r="B937" s="83"/>
      <c r="C937" s="83"/>
      <c r="D937" s="83"/>
      <c r="E937" s="102"/>
      <c r="F937" s="102"/>
      <c r="G937" s="88"/>
      <c r="H937" s="88"/>
      <c r="I937" s="87"/>
      <c r="J937" s="87"/>
      <c r="K937" s="88"/>
      <c r="L937" s="90"/>
    </row>
    <row r="938">
      <c r="A938" s="82"/>
      <c r="B938" s="83"/>
      <c r="C938" s="83"/>
      <c r="D938" s="83"/>
      <c r="E938" s="102"/>
      <c r="F938" s="102"/>
      <c r="G938" s="88"/>
      <c r="H938" s="88"/>
      <c r="I938" s="87"/>
      <c r="J938" s="87"/>
      <c r="K938" s="88"/>
      <c r="L938" s="90"/>
    </row>
    <row r="939">
      <c r="A939" s="82"/>
      <c r="B939" s="83"/>
      <c r="C939" s="83"/>
      <c r="D939" s="83"/>
      <c r="E939" s="102"/>
      <c r="F939" s="102"/>
      <c r="G939" s="88"/>
      <c r="H939" s="88"/>
      <c r="I939" s="87"/>
      <c r="J939" s="87"/>
      <c r="K939" s="88"/>
      <c r="L939" s="90"/>
    </row>
    <row r="940">
      <c r="A940" s="82"/>
      <c r="B940" s="83"/>
      <c r="C940" s="83"/>
      <c r="D940" s="83"/>
      <c r="E940" s="102"/>
      <c r="F940" s="102"/>
      <c r="G940" s="88"/>
      <c r="H940" s="88"/>
      <c r="I940" s="87"/>
      <c r="J940" s="87"/>
      <c r="K940" s="88"/>
      <c r="L940" s="90"/>
    </row>
    <row r="941">
      <c r="A941" s="82"/>
      <c r="B941" s="83"/>
      <c r="C941" s="83"/>
      <c r="D941" s="83"/>
      <c r="E941" s="102"/>
      <c r="F941" s="102"/>
      <c r="G941" s="88"/>
      <c r="H941" s="88"/>
      <c r="I941" s="87"/>
      <c r="J941" s="87"/>
      <c r="K941" s="88"/>
      <c r="L941" s="90"/>
    </row>
    <row r="942">
      <c r="A942" s="82"/>
      <c r="B942" s="83"/>
      <c r="C942" s="83"/>
      <c r="D942" s="83"/>
      <c r="E942" s="102"/>
      <c r="F942" s="102"/>
      <c r="G942" s="88"/>
      <c r="H942" s="88"/>
      <c r="I942" s="87"/>
      <c r="J942" s="87"/>
      <c r="K942" s="88"/>
      <c r="L942" s="90"/>
    </row>
    <row r="943">
      <c r="A943" s="82"/>
      <c r="B943" s="83"/>
      <c r="C943" s="83"/>
      <c r="D943" s="83"/>
      <c r="E943" s="102"/>
      <c r="F943" s="102"/>
      <c r="G943" s="88"/>
      <c r="H943" s="88"/>
      <c r="I943" s="87"/>
      <c r="J943" s="87"/>
      <c r="K943" s="88"/>
      <c r="L943" s="90"/>
    </row>
    <row r="944">
      <c r="A944" s="82"/>
      <c r="B944" s="83"/>
      <c r="C944" s="83"/>
      <c r="D944" s="83"/>
      <c r="E944" s="102"/>
      <c r="F944" s="102"/>
      <c r="G944" s="88"/>
      <c r="H944" s="88"/>
      <c r="I944" s="87"/>
      <c r="J944" s="87"/>
      <c r="K944" s="88"/>
      <c r="L944" s="90"/>
    </row>
    <row r="945">
      <c r="A945" s="82"/>
      <c r="B945" s="83"/>
      <c r="C945" s="83"/>
      <c r="D945" s="83"/>
      <c r="E945" s="102"/>
      <c r="F945" s="102"/>
      <c r="G945" s="88"/>
      <c r="H945" s="88"/>
      <c r="I945" s="87"/>
      <c r="J945" s="87"/>
      <c r="K945" s="88"/>
      <c r="L945" s="90"/>
    </row>
    <row r="946">
      <c r="A946" s="82"/>
      <c r="B946" s="83"/>
      <c r="C946" s="83"/>
      <c r="D946" s="83"/>
      <c r="E946" s="102"/>
      <c r="F946" s="102"/>
      <c r="G946" s="88"/>
      <c r="H946" s="88"/>
      <c r="I946" s="87"/>
      <c r="J946" s="87"/>
      <c r="K946" s="88"/>
      <c r="L946" s="90"/>
    </row>
    <row r="947">
      <c r="A947" s="82"/>
      <c r="B947" s="83"/>
      <c r="C947" s="83"/>
      <c r="D947" s="83"/>
      <c r="E947" s="102"/>
      <c r="F947" s="102"/>
      <c r="G947" s="88"/>
      <c r="H947" s="88"/>
      <c r="I947" s="87"/>
      <c r="J947" s="87"/>
      <c r="K947" s="88"/>
      <c r="L947" s="90"/>
    </row>
    <row r="948">
      <c r="A948" s="82"/>
      <c r="B948" s="83"/>
      <c r="C948" s="83"/>
      <c r="D948" s="83"/>
      <c r="E948" s="102"/>
      <c r="F948" s="102"/>
      <c r="G948" s="88"/>
      <c r="H948" s="88"/>
      <c r="I948" s="87"/>
      <c r="J948" s="87"/>
      <c r="K948" s="88"/>
      <c r="L948" s="90"/>
    </row>
    <row r="949">
      <c r="A949" s="82"/>
      <c r="B949" s="83"/>
      <c r="C949" s="83"/>
      <c r="D949" s="83"/>
      <c r="E949" s="102"/>
      <c r="F949" s="102"/>
      <c r="G949" s="88"/>
      <c r="H949" s="88"/>
      <c r="I949" s="87"/>
      <c r="J949" s="87"/>
      <c r="K949" s="88"/>
      <c r="L949" s="90"/>
    </row>
    <row r="950">
      <c r="A950" s="82"/>
      <c r="B950" s="83"/>
      <c r="C950" s="83"/>
      <c r="D950" s="83"/>
      <c r="E950" s="102"/>
      <c r="F950" s="102"/>
      <c r="G950" s="88"/>
      <c r="H950" s="88"/>
      <c r="I950" s="87"/>
      <c r="J950" s="87"/>
      <c r="K950" s="88"/>
      <c r="L950" s="90"/>
    </row>
    <row r="951">
      <c r="A951" s="82"/>
      <c r="B951" s="83"/>
      <c r="C951" s="83"/>
      <c r="D951" s="83"/>
      <c r="E951" s="102"/>
      <c r="F951" s="102"/>
      <c r="G951" s="88"/>
      <c r="H951" s="88"/>
      <c r="I951" s="87"/>
      <c r="J951" s="87"/>
      <c r="K951" s="88"/>
      <c r="L951" s="90"/>
    </row>
    <row r="952">
      <c r="A952" s="82"/>
      <c r="B952" s="83"/>
      <c r="C952" s="83"/>
      <c r="D952" s="83"/>
      <c r="E952" s="102"/>
      <c r="F952" s="102"/>
      <c r="G952" s="88"/>
      <c r="H952" s="88"/>
      <c r="I952" s="87"/>
      <c r="J952" s="87"/>
      <c r="K952" s="88"/>
      <c r="L952" s="90"/>
    </row>
    <row r="953">
      <c r="A953" s="82"/>
      <c r="B953" s="83"/>
      <c r="C953" s="83"/>
      <c r="D953" s="83"/>
      <c r="E953" s="102"/>
      <c r="F953" s="102"/>
      <c r="G953" s="88"/>
      <c r="H953" s="88"/>
      <c r="I953" s="87"/>
      <c r="J953" s="87"/>
      <c r="K953" s="88"/>
      <c r="L953" s="90"/>
    </row>
    <row r="954">
      <c r="A954" s="82"/>
      <c r="B954" s="83"/>
      <c r="C954" s="83"/>
      <c r="D954" s="83"/>
      <c r="E954" s="102"/>
      <c r="F954" s="102"/>
      <c r="G954" s="88"/>
      <c r="H954" s="88"/>
      <c r="I954" s="87"/>
      <c r="J954" s="87"/>
      <c r="K954" s="88"/>
      <c r="L954" s="90"/>
    </row>
  </sheetData>
  <mergeCells count="13">
    <mergeCell ref="J5:J6"/>
    <mergeCell ref="A7:L7"/>
    <mergeCell ref="A9:L9"/>
    <mergeCell ref="A11:L11"/>
    <mergeCell ref="A13:L13"/>
    <mergeCell ref="A15:L15"/>
    <mergeCell ref="A2:L2"/>
    <mergeCell ref="A3:L3"/>
    <mergeCell ref="A5:A6"/>
    <mergeCell ref="D5:D6"/>
    <mergeCell ref="E5:E6"/>
    <mergeCell ref="F5:F6"/>
    <mergeCell ref="I5:I6"/>
  </mergeCells>
  <hyperlinks>
    <hyperlink r:id="rId1" ref="A2"/>
    <hyperlink r:id="rId2" ref="J10"/>
    <hyperlink r:id="rId3" ref="J14"/>
  </hyperlinks>
  <printOptions gridLines="1" horizontalCentered="1"/>
  <pageMargins bottom="0.75" footer="0.0" header="0.0" left="0.7" right="0.7" top="0.75"/>
  <pageSetup fitToHeight="0" paperSize="9" cellComments="atEnd" orientation="landscape" pageOrder="overThenDown"/>
  <drawing r:id="rId4"/>
  <tableParts count="3">
    <tablePart r:id="rId8"/>
    <tablePart r:id="rId9"/>
    <tablePart r:id="rId10"/>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pane ySplit="1.0" topLeftCell="A2" activePane="bottomLeft" state="frozen"/>
      <selection activeCell="B3" sqref="B3" pane="bottomLeft"/>
    </sheetView>
  </sheetViews>
  <sheetFormatPr customHeight="1" defaultColWidth="12.63" defaultRowHeight="15.75"/>
  <cols>
    <col customWidth="1" min="1" max="2" width="25.38"/>
    <col customWidth="1" min="3" max="3" width="42.38"/>
    <col customWidth="1" min="4" max="4" width="37.25"/>
    <col customWidth="1" min="7" max="8" width="16.25"/>
    <col customWidth="1" min="9" max="9" width="21.63"/>
    <col customWidth="1" min="11" max="11" width="15.25"/>
    <col customWidth="1" min="12" max="12" width="18.75"/>
  </cols>
  <sheetData>
    <row r="1" ht="23.25" customHeight="1">
      <c r="A1" s="103" t="s">
        <v>0</v>
      </c>
      <c r="B1" s="48" t="s">
        <v>1</v>
      </c>
      <c r="C1" s="48" t="s">
        <v>3</v>
      </c>
      <c r="D1" s="49" t="s">
        <v>124</v>
      </c>
      <c r="E1" s="48" t="s">
        <v>125</v>
      </c>
      <c r="F1" s="48" t="s">
        <v>126</v>
      </c>
      <c r="G1" s="50" t="s">
        <v>127</v>
      </c>
      <c r="H1" s="50" t="s">
        <v>128</v>
      </c>
      <c r="I1" s="51" t="s">
        <v>129</v>
      </c>
      <c r="J1" s="48" t="s">
        <v>130</v>
      </c>
      <c r="K1" s="48" t="s">
        <v>131</v>
      </c>
      <c r="L1" s="48" t="s">
        <v>132</v>
      </c>
    </row>
    <row r="2" ht="15.0" customHeight="1">
      <c r="A2" s="52" t="s">
        <v>133</v>
      </c>
      <c r="B2" s="53"/>
      <c r="C2" s="53"/>
      <c r="D2" s="53"/>
      <c r="E2" s="53"/>
      <c r="F2" s="53"/>
      <c r="G2" s="53"/>
      <c r="H2" s="53"/>
      <c r="I2" s="53"/>
      <c r="J2" s="53"/>
      <c r="K2" s="53"/>
      <c r="L2" s="54"/>
    </row>
    <row r="3" ht="25.5" customHeight="1">
      <c r="A3" s="55" t="s">
        <v>145</v>
      </c>
      <c r="B3" s="80"/>
      <c r="C3" s="80"/>
      <c r="D3" s="80"/>
      <c r="E3" s="80"/>
      <c r="F3" s="80"/>
      <c r="G3" s="80"/>
      <c r="H3" s="80"/>
      <c r="I3" s="80"/>
      <c r="J3" s="80"/>
      <c r="K3" s="80"/>
      <c r="L3" s="81"/>
    </row>
    <row r="4">
      <c r="A4" s="104"/>
      <c r="B4" s="104"/>
      <c r="C4" s="104"/>
      <c r="D4" s="97"/>
      <c r="E4" s="105"/>
      <c r="F4" s="106"/>
      <c r="G4" s="107"/>
      <c r="H4" s="107"/>
      <c r="I4" s="108"/>
      <c r="J4" s="109"/>
      <c r="K4" s="106"/>
      <c r="L4" s="110"/>
    </row>
    <row r="5">
      <c r="A5" s="111"/>
      <c r="B5" s="111"/>
      <c r="C5" s="111"/>
      <c r="D5" s="112"/>
      <c r="E5" s="113"/>
      <c r="F5" s="114"/>
      <c r="G5" s="115"/>
      <c r="H5" s="115"/>
      <c r="I5" s="116"/>
      <c r="J5" s="117"/>
      <c r="K5" s="114"/>
      <c r="L5" s="118"/>
    </row>
    <row r="6" ht="24.75" customHeight="1">
      <c r="A6" s="55" t="s">
        <v>146</v>
      </c>
      <c r="B6" s="56"/>
      <c r="C6" s="56"/>
      <c r="D6" s="56"/>
      <c r="E6" s="56"/>
      <c r="F6" s="56"/>
      <c r="G6" s="56"/>
      <c r="H6" s="56"/>
      <c r="I6" s="56"/>
      <c r="J6" s="56"/>
      <c r="K6" s="56"/>
      <c r="L6" s="57"/>
    </row>
    <row r="7">
      <c r="A7" s="119"/>
      <c r="B7" s="119"/>
      <c r="C7" s="119"/>
      <c r="D7" s="61"/>
      <c r="E7" s="120"/>
      <c r="F7" s="121"/>
      <c r="G7" s="122"/>
      <c r="H7" s="122"/>
      <c r="I7" s="119"/>
      <c r="J7" s="123"/>
      <c r="K7" s="119"/>
      <c r="L7" s="124"/>
    </row>
    <row r="8">
      <c r="A8" s="55" t="s">
        <v>153</v>
      </c>
      <c r="B8" s="56"/>
      <c r="C8" s="56"/>
      <c r="D8" s="56"/>
      <c r="E8" s="56"/>
      <c r="F8" s="56"/>
      <c r="G8" s="56"/>
      <c r="H8" s="56"/>
      <c r="I8" s="56"/>
      <c r="J8" s="56"/>
      <c r="K8" s="56"/>
      <c r="L8" s="57"/>
    </row>
    <row r="9">
      <c r="A9" s="119"/>
      <c r="B9" s="119"/>
      <c r="C9" s="119"/>
      <c r="D9" s="61"/>
      <c r="E9" s="120"/>
      <c r="F9" s="121"/>
      <c r="G9" s="122"/>
      <c r="H9" s="122"/>
      <c r="I9" s="125"/>
      <c r="J9" s="122"/>
      <c r="K9" s="119"/>
      <c r="L9" s="124"/>
    </row>
    <row r="10">
      <c r="A10" s="104"/>
      <c r="B10" s="104"/>
      <c r="C10" s="104"/>
      <c r="D10" s="97"/>
      <c r="E10" s="105"/>
      <c r="F10" s="106"/>
      <c r="G10" s="107"/>
      <c r="H10" s="107"/>
      <c r="I10" s="108"/>
      <c r="J10" s="107"/>
      <c r="K10" s="104"/>
      <c r="L10" s="110"/>
    </row>
    <row r="11">
      <c r="A11" s="119"/>
      <c r="B11" s="119"/>
      <c r="C11" s="119"/>
      <c r="D11" s="61"/>
      <c r="E11" s="120"/>
      <c r="F11" s="121"/>
      <c r="G11" s="122"/>
      <c r="H11" s="122"/>
      <c r="I11" s="125"/>
      <c r="J11" s="122"/>
      <c r="K11" s="119"/>
      <c r="L11" s="124"/>
    </row>
    <row r="12">
      <c r="A12" s="104"/>
      <c r="B12" s="104"/>
      <c r="C12" s="104"/>
      <c r="D12" s="97"/>
      <c r="E12" s="126"/>
      <c r="F12" s="126"/>
      <c r="G12" s="104"/>
      <c r="H12" s="104"/>
      <c r="I12" s="107"/>
      <c r="J12" s="107"/>
      <c r="K12" s="104"/>
      <c r="L12" s="110"/>
    </row>
    <row r="13">
      <c r="A13" s="119"/>
      <c r="B13" s="119"/>
      <c r="C13" s="119"/>
      <c r="D13" s="61"/>
      <c r="E13" s="127"/>
      <c r="F13" s="127"/>
      <c r="G13" s="119"/>
      <c r="H13" s="119"/>
      <c r="I13" s="122"/>
      <c r="J13" s="122"/>
      <c r="K13" s="119"/>
      <c r="L13" s="124"/>
    </row>
    <row r="14">
      <c r="A14" s="104"/>
      <c r="B14" s="104"/>
      <c r="C14" s="104"/>
      <c r="D14" s="97"/>
      <c r="E14" s="126"/>
      <c r="F14" s="126"/>
      <c r="G14" s="104"/>
      <c r="H14" s="104"/>
      <c r="I14" s="107"/>
      <c r="J14" s="107"/>
      <c r="K14" s="104"/>
      <c r="L14" s="110"/>
    </row>
    <row r="15">
      <c r="A15" s="119"/>
      <c r="B15" s="119"/>
      <c r="C15" s="119"/>
      <c r="D15" s="61"/>
      <c r="E15" s="127"/>
      <c r="F15" s="127"/>
      <c r="G15" s="119"/>
      <c r="H15" s="119"/>
      <c r="I15" s="122"/>
      <c r="J15" s="122"/>
      <c r="K15" s="119"/>
      <c r="L15" s="124"/>
    </row>
    <row r="16">
      <c r="A16" s="104"/>
      <c r="B16" s="104"/>
      <c r="C16" s="104"/>
      <c r="D16" s="97"/>
      <c r="E16" s="126"/>
      <c r="F16" s="126"/>
      <c r="G16" s="104"/>
      <c r="H16" s="104"/>
      <c r="I16" s="107"/>
      <c r="J16" s="107"/>
      <c r="K16" s="104"/>
      <c r="L16" s="110"/>
    </row>
    <row r="17">
      <c r="A17" s="119"/>
      <c r="B17" s="119"/>
      <c r="C17" s="119"/>
      <c r="D17" s="61"/>
      <c r="E17" s="127"/>
      <c r="F17" s="127"/>
      <c r="G17" s="119"/>
      <c r="H17" s="119"/>
      <c r="I17" s="122"/>
      <c r="J17" s="122"/>
      <c r="K17" s="119"/>
      <c r="L17" s="124"/>
    </row>
    <row r="18">
      <c r="A18" s="104"/>
      <c r="B18" s="104"/>
      <c r="C18" s="104"/>
      <c r="D18" s="97"/>
      <c r="E18" s="126"/>
      <c r="F18" s="126"/>
      <c r="G18" s="104"/>
      <c r="H18" s="104"/>
      <c r="I18" s="107"/>
      <c r="J18" s="107"/>
      <c r="K18" s="104"/>
      <c r="L18" s="110"/>
    </row>
    <row r="19">
      <c r="A19" s="119"/>
      <c r="B19" s="119"/>
      <c r="C19" s="119"/>
      <c r="D19" s="61"/>
      <c r="E19" s="127"/>
      <c r="F19" s="127"/>
      <c r="G19" s="119"/>
      <c r="H19" s="119"/>
      <c r="I19" s="122"/>
      <c r="J19" s="122"/>
      <c r="K19" s="119"/>
      <c r="L19" s="124"/>
    </row>
    <row r="20">
      <c r="A20" s="104"/>
      <c r="B20" s="104"/>
      <c r="C20" s="104"/>
      <c r="D20" s="97"/>
      <c r="E20" s="126"/>
      <c r="F20" s="126"/>
      <c r="G20" s="104"/>
      <c r="H20" s="104"/>
      <c r="I20" s="107"/>
      <c r="J20" s="107"/>
      <c r="K20" s="104"/>
      <c r="L20" s="110"/>
    </row>
    <row r="21">
      <c r="A21" s="119"/>
      <c r="B21" s="119"/>
      <c r="C21" s="119"/>
      <c r="D21" s="61"/>
      <c r="E21" s="127"/>
      <c r="F21" s="127"/>
      <c r="G21" s="119"/>
      <c r="H21" s="119"/>
      <c r="I21" s="122"/>
      <c r="J21" s="122"/>
      <c r="K21" s="119"/>
      <c r="L21" s="124"/>
    </row>
    <row r="22">
      <c r="A22" s="104"/>
      <c r="B22" s="104"/>
      <c r="C22" s="104"/>
      <c r="D22" s="97"/>
      <c r="E22" s="126"/>
      <c r="F22" s="126"/>
      <c r="G22" s="104"/>
      <c r="H22" s="104"/>
      <c r="I22" s="107"/>
      <c r="J22" s="107"/>
      <c r="K22" s="104"/>
      <c r="L22" s="110"/>
    </row>
    <row r="23">
      <c r="A23" s="119"/>
      <c r="B23" s="119"/>
      <c r="C23" s="119"/>
      <c r="D23" s="61"/>
      <c r="E23" s="127"/>
      <c r="F23" s="127"/>
      <c r="G23" s="119"/>
      <c r="H23" s="119"/>
      <c r="I23" s="122"/>
      <c r="J23" s="122"/>
      <c r="K23" s="119"/>
      <c r="L23" s="124"/>
    </row>
    <row r="24">
      <c r="A24" s="104"/>
      <c r="B24" s="104"/>
      <c r="C24" s="104"/>
      <c r="D24" s="97"/>
      <c r="E24" s="126"/>
      <c r="F24" s="126"/>
      <c r="G24" s="104"/>
      <c r="H24" s="104"/>
      <c r="I24" s="107"/>
      <c r="J24" s="107"/>
      <c r="K24" s="104"/>
      <c r="L24" s="110"/>
    </row>
    <row r="25">
      <c r="A25" s="119"/>
      <c r="B25" s="119"/>
      <c r="C25" s="119"/>
      <c r="D25" s="61"/>
      <c r="E25" s="127"/>
      <c r="F25" s="127"/>
      <c r="G25" s="119"/>
      <c r="H25" s="119"/>
      <c r="I25" s="122"/>
      <c r="J25" s="122"/>
      <c r="K25" s="119"/>
      <c r="L25" s="124"/>
    </row>
    <row r="26">
      <c r="A26" s="104"/>
      <c r="B26" s="104"/>
      <c r="C26" s="104"/>
      <c r="D26" s="97"/>
      <c r="E26" s="126"/>
      <c r="F26" s="126"/>
      <c r="G26" s="104"/>
      <c r="H26" s="104"/>
      <c r="I26" s="107"/>
      <c r="J26" s="107"/>
      <c r="K26" s="104"/>
      <c r="L26" s="110"/>
    </row>
    <row r="27">
      <c r="A27" s="119"/>
      <c r="B27" s="119"/>
      <c r="C27" s="119"/>
      <c r="D27" s="61"/>
      <c r="E27" s="127"/>
      <c r="F27" s="127"/>
      <c r="G27" s="119"/>
      <c r="H27" s="119"/>
      <c r="I27" s="122"/>
      <c r="J27" s="122"/>
      <c r="K27" s="119"/>
      <c r="L27" s="124"/>
    </row>
    <row r="28">
      <c r="A28" s="104"/>
      <c r="B28" s="104"/>
      <c r="C28" s="104"/>
      <c r="D28" s="97"/>
      <c r="E28" s="126"/>
      <c r="F28" s="126"/>
      <c r="G28" s="104"/>
      <c r="H28" s="104"/>
      <c r="I28" s="107"/>
      <c r="J28" s="107"/>
      <c r="K28" s="104"/>
      <c r="L28" s="110"/>
    </row>
    <row r="29">
      <c r="A29" s="119"/>
      <c r="B29" s="119"/>
      <c r="C29" s="119"/>
      <c r="D29" s="61"/>
      <c r="E29" s="127"/>
      <c r="F29" s="127"/>
      <c r="G29" s="119"/>
      <c r="H29" s="119"/>
      <c r="I29" s="122"/>
      <c r="J29" s="122"/>
      <c r="K29" s="119"/>
      <c r="L29" s="124"/>
    </row>
    <row r="30">
      <c r="A30" s="104"/>
      <c r="B30" s="104"/>
      <c r="C30" s="104"/>
      <c r="D30" s="97"/>
      <c r="E30" s="126"/>
      <c r="F30" s="126"/>
      <c r="G30" s="104"/>
      <c r="H30" s="104"/>
      <c r="I30" s="107"/>
      <c r="J30" s="107"/>
      <c r="K30" s="104"/>
      <c r="L30" s="110"/>
    </row>
    <row r="31">
      <c r="A31" s="119"/>
      <c r="B31" s="119"/>
      <c r="C31" s="119"/>
      <c r="D31" s="61"/>
      <c r="E31" s="127"/>
      <c r="F31" s="127"/>
      <c r="G31" s="119"/>
      <c r="H31" s="119"/>
      <c r="I31" s="122"/>
      <c r="J31" s="122"/>
      <c r="K31" s="119"/>
      <c r="L31" s="124"/>
    </row>
    <row r="32">
      <c r="A32" s="104"/>
      <c r="B32" s="104"/>
      <c r="C32" s="104"/>
      <c r="D32" s="97"/>
      <c r="E32" s="126"/>
      <c r="F32" s="126"/>
      <c r="G32" s="104"/>
      <c r="H32" s="104"/>
      <c r="I32" s="107"/>
      <c r="J32" s="107"/>
      <c r="K32" s="104"/>
      <c r="L32" s="110"/>
    </row>
    <row r="33">
      <c r="A33" s="119"/>
      <c r="B33" s="119"/>
      <c r="C33" s="119"/>
      <c r="D33" s="61"/>
      <c r="E33" s="127"/>
      <c r="F33" s="127"/>
      <c r="G33" s="119"/>
      <c r="H33" s="119"/>
      <c r="I33" s="122"/>
      <c r="J33" s="122"/>
      <c r="K33" s="119"/>
      <c r="L33" s="124"/>
    </row>
    <row r="34">
      <c r="A34" s="104"/>
      <c r="B34" s="104"/>
      <c r="C34" s="104"/>
      <c r="D34" s="97"/>
      <c r="E34" s="126"/>
      <c r="F34" s="126"/>
      <c r="G34" s="104"/>
      <c r="H34" s="104"/>
      <c r="I34" s="107"/>
      <c r="J34" s="107"/>
      <c r="K34" s="104"/>
      <c r="L34" s="110"/>
    </row>
    <row r="35">
      <c r="A35" s="119"/>
      <c r="B35" s="119"/>
      <c r="C35" s="119"/>
      <c r="D35" s="61"/>
      <c r="E35" s="127"/>
      <c r="F35" s="127"/>
      <c r="G35" s="119"/>
      <c r="H35" s="119"/>
      <c r="I35" s="122"/>
      <c r="J35" s="122"/>
      <c r="K35" s="119"/>
      <c r="L35" s="124"/>
    </row>
    <row r="36">
      <c r="A36" s="104"/>
      <c r="B36" s="104"/>
      <c r="C36" s="104"/>
      <c r="D36" s="97"/>
      <c r="E36" s="126"/>
      <c r="F36" s="126"/>
      <c r="G36" s="104"/>
      <c r="H36" s="104"/>
      <c r="I36" s="107"/>
      <c r="J36" s="107"/>
      <c r="K36" s="104"/>
      <c r="L36" s="110"/>
    </row>
    <row r="37">
      <c r="A37" s="119"/>
      <c r="B37" s="119"/>
      <c r="C37" s="119"/>
      <c r="D37" s="61"/>
      <c r="E37" s="127"/>
      <c r="F37" s="127"/>
      <c r="G37" s="119"/>
      <c r="H37" s="119"/>
      <c r="I37" s="122"/>
      <c r="J37" s="122"/>
      <c r="K37" s="119"/>
      <c r="L37" s="124"/>
    </row>
    <row r="38">
      <c r="A38" s="104"/>
      <c r="B38" s="104"/>
      <c r="C38" s="104"/>
      <c r="D38" s="97"/>
      <c r="E38" s="126"/>
      <c r="F38" s="126"/>
      <c r="G38" s="104"/>
      <c r="H38" s="104"/>
      <c r="I38" s="107"/>
      <c r="J38" s="107"/>
      <c r="K38" s="104"/>
      <c r="L38" s="110"/>
    </row>
    <row r="39">
      <c r="A39" s="119"/>
      <c r="B39" s="119"/>
      <c r="C39" s="119"/>
      <c r="D39" s="61"/>
      <c r="E39" s="127"/>
      <c r="F39" s="127"/>
      <c r="G39" s="119"/>
      <c r="H39" s="119"/>
      <c r="I39" s="122"/>
      <c r="J39" s="122"/>
      <c r="K39" s="119"/>
      <c r="L39" s="124"/>
    </row>
    <row r="40">
      <c r="A40" s="104"/>
      <c r="B40" s="104"/>
      <c r="C40" s="104"/>
      <c r="D40" s="97"/>
      <c r="E40" s="126"/>
      <c r="F40" s="126"/>
      <c r="G40" s="104"/>
      <c r="H40" s="104"/>
      <c r="I40" s="107"/>
      <c r="J40" s="107"/>
      <c r="K40" s="104"/>
      <c r="L40" s="110"/>
    </row>
    <row r="41">
      <c r="A41" s="119"/>
      <c r="B41" s="119"/>
      <c r="C41" s="119"/>
      <c r="D41" s="61"/>
      <c r="E41" s="127"/>
      <c r="F41" s="127"/>
      <c r="G41" s="119"/>
      <c r="H41" s="119"/>
      <c r="I41" s="122"/>
      <c r="J41" s="122"/>
      <c r="K41" s="119"/>
      <c r="L41" s="124"/>
    </row>
    <row r="42">
      <c r="A42" s="104"/>
      <c r="B42" s="104"/>
      <c r="C42" s="104"/>
      <c r="D42" s="97"/>
      <c r="E42" s="126"/>
      <c r="F42" s="126"/>
      <c r="G42" s="104"/>
      <c r="H42" s="104"/>
      <c r="I42" s="107"/>
      <c r="J42" s="107"/>
      <c r="K42" s="104"/>
      <c r="L42" s="110"/>
    </row>
    <row r="43">
      <c r="A43" s="119"/>
      <c r="B43" s="119"/>
      <c r="C43" s="119"/>
      <c r="D43" s="61"/>
      <c r="E43" s="127"/>
      <c r="F43" s="127"/>
      <c r="G43" s="119"/>
      <c r="H43" s="119"/>
      <c r="I43" s="122"/>
      <c r="J43" s="122"/>
      <c r="K43" s="119"/>
      <c r="L43" s="124"/>
    </row>
    <row r="44">
      <c r="A44" s="104"/>
      <c r="B44" s="104"/>
      <c r="C44" s="104"/>
      <c r="D44" s="97"/>
      <c r="E44" s="126"/>
      <c r="F44" s="126"/>
      <c r="G44" s="104"/>
      <c r="H44" s="104"/>
      <c r="I44" s="107"/>
      <c r="J44" s="107"/>
      <c r="K44" s="104"/>
      <c r="L44" s="110"/>
    </row>
    <row r="45">
      <c r="A45" s="119"/>
      <c r="B45" s="119"/>
      <c r="C45" s="119"/>
      <c r="D45" s="61"/>
      <c r="E45" s="127"/>
      <c r="F45" s="127"/>
      <c r="G45" s="119"/>
      <c r="H45" s="119"/>
      <c r="I45" s="122"/>
      <c r="J45" s="122"/>
      <c r="K45" s="119"/>
      <c r="L45" s="124"/>
    </row>
    <row r="46">
      <c r="A46" s="104"/>
      <c r="B46" s="104"/>
      <c r="C46" s="104"/>
      <c r="D46" s="97"/>
      <c r="E46" s="126"/>
      <c r="F46" s="126"/>
      <c r="G46" s="104"/>
      <c r="H46" s="104"/>
      <c r="I46" s="107"/>
      <c r="J46" s="107"/>
      <c r="K46" s="104"/>
      <c r="L46" s="110"/>
    </row>
    <row r="47">
      <c r="A47" s="119"/>
      <c r="B47" s="119"/>
      <c r="C47" s="119"/>
      <c r="D47" s="61"/>
      <c r="E47" s="127"/>
      <c r="F47" s="127"/>
      <c r="G47" s="119"/>
      <c r="H47" s="119"/>
      <c r="I47" s="122"/>
      <c r="J47" s="122"/>
      <c r="K47" s="119"/>
      <c r="L47" s="124"/>
    </row>
    <row r="48">
      <c r="A48" s="104"/>
      <c r="B48" s="104"/>
      <c r="C48" s="104"/>
      <c r="D48" s="97"/>
      <c r="E48" s="126"/>
      <c r="F48" s="126"/>
      <c r="G48" s="104"/>
      <c r="H48" s="104"/>
      <c r="I48" s="107"/>
      <c r="J48" s="107"/>
      <c r="K48" s="104"/>
      <c r="L48" s="110"/>
    </row>
    <row r="49">
      <c r="A49" s="119"/>
      <c r="B49" s="119"/>
      <c r="C49" s="119"/>
      <c r="D49" s="61"/>
      <c r="E49" s="127"/>
      <c r="F49" s="127"/>
      <c r="G49" s="119"/>
      <c r="H49" s="119"/>
      <c r="I49" s="122"/>
      <c r="J49" s="122"/>
      <c r="K49" s="119"/>
      <c r="L49" s="124"/>
    </row>
    <row r="50">
      <c r="A50" s="104"/>
      <c r="B50" s="104"/>
      <c r="C50" s="104"/>
      <c r="D50" s="97"/>
      <c r="E50" s="126"/>
      <c r="F50" s="126"/>
      <c r="G50" s="104"/>
      <c r="H50" s="104"/>
      <c r="I50" s="107"/>
      <c r="J50" s="107"/>
      <c r="K50" s="104"/>
      <c r="L50" s="110"/>
    </row>
    <row r="51">
      <c r="A51" s="119"/>
      <c r="B51" s="119"/>
      <c r="C51" s="119"/>
      <c r="D51" s="61"/>
      <c r="E51" s="127"/>
      <c r="F51" s="127"/>
      <c r="G51" s="119"/>
      <c r="H51" s="119"/>
      <c r="I51" s="122"/>
      <c r="J51" s="122"/>
      <c r="K51" s="119"/>
      <c r="L51" s="124"/>
    </row>
    <row r="52">
      <c r="A52" s="104"/>
      <c r="B52" s="104"/>
      <c r="C52" s="104"/>
      <c r="D52" s="97"/>
      <c r="E52" s="126"/>
      <c r="F52" s="126"/>
      <c r="G52" s="104"/>
      <c r="H52" s="104"/>
      <c r="I52" s="107"/>
      <c r="J52" s="107"/>
      <c r="K52" s="104"/>
      <c r="L52" s="110"/>
    </row>
    <row r="53">
      <c r="A53" s="119"/>
      <c r="B53" s="119"/>
      <c r="C53" s="119"/>
      <c r="D53" s="61"/>
      <c r="E53" s="127"/>
      <c r="F53" s="127"/>
      <c r="G53" s="119"/>
      <c r="H53" s="119"/>
      <c r="I53" s="122"/>
      <c r="J53" s="122"/>
      <c r="K53" s="119"/>
      <c r="L53" s="124"/>
    </row>
    <row r="54">
      <c r="A54" s="104"/>
      <c r="B54" s="104"/>
      <c r="C54" s="104"/>
      <c r="D54" s="97"/>
      <c r="E54" s="126"/>
      <c r="F54" s="126"/>
      <c r="G54" s="104"/>
      <c r="H54" s="104"/>
      <c r="I54" s="107"/>
      <c r="J54" s="107"/>
      <c r="K54" s="104"/>
      <c r="L54" s="110"/>
    </row>
    <row r="55">
      <c r="A55" s="119"/>
      <c r="B55" s="119"/>
      <c r="C55" s="119"/>
      <c r="D55" s="61"/>
      <c r="E55" s="127"/>
      <c r="F55" s="127"/>
      <c r="G55" s="119"/>
      <c r="H55" s="119"/>
      <c r="I55" s="122"/>
      <c r="J55" s="122"/>
      <c r="K55" s="119"/>
      <c r="L55" s="124"/>
    </row>
    <row r="56">
      <c r="A56" s="104"/>
      <c r="B56" s="104"/>
      <c r="C56" s="104"/>
      <c r="D56" s="97"/>
      <c r="E56" s="126"/>
      <c r="F56" s="126"/>
      <c r="G56" s="104"/>
      <c r="H56" s="104"/>
      <c r="I56" s="107"/>
      <c r="J56" s="107"/>
      <c r="K56" s="104"/>
      <c r="L56" s="110"/>
    </row>
    <row r="57">
      <c r="A57" s="119"/>
      <c r="B57" s="119"/>
      <c r="C57" s="119"/>
      <c r="D57" s="61"/>
      <c r="E57" s="127"/>
      <c r="F57" s="127"/>
      <c r="G57" s="119"/>
      <c r="H57" s="119"/>
      <c r="I57" s="122"/>
      <c r="J57" s="122"/>
      <c r="K57" s="119"/>
      <c r="L57" s="124"/>
    </row>
    <row r="58">
      <c r="A58" s="104"/>
      <c r="B58" s="104"/>
      <c r="C58" s="104"/>
      <c r="D58" s="97"/>
      <c r="E58" s="126"/>
      <c r="F58" s="126"/>
      <c r="G58" s="104"/>
      <c r="H58" s="104"/>
      <c r="I58" s="107"/>
      <c r="J58" s="107"/>
      <c r="K58" s="104"/>
      <c r="L58" s="110"/>
    </row>
    <row r="59">
      <c r="A59" s="119"/>
      <c r="B59" s="119"/>
      <c r="C59" s="119"/>
      <c r="D59" s="61"/>
      <c r="E59" s="127"/>
      <c r="F59" s="127"/>
      <c r="G59" s="119"/>
      <c r="H59" s="119"/>
      <c r="I59" s="122"/>
      <c r="J59" s="122"/>
      <c r="K59" s="119"/>
      <c r="L59" s="124"/>
    </row>
    <row r="60">
      <c r="A60" s="104"/>
      <c r="B60" s="104"/>
      <c r="C60" s="104"/>
      <c r="D60" s="97"/>
      <c r="E60" s="126"/>
      <c r="F60" s="126"/>
      <c r="G60" s="104"/>
      <c r="H60" s="104"/>
      <c r="I60" s="107"/>
      <c r="J60" s="107"/>
      <c r="K60" s="104"/>
      <c r="L60" s="110"/>
    </row>
    <row r="61">
      <c r="A61" s="119"/>
      <c r="B61" s="119"/>
      <c r="C61" s="119"/>
      <c r="D61" s="61"/>
      <c r="E61" s="127"/>
      <c r="F61" s="127"/>
      <c r="G61" s="119"/>
      <c r="H61" s="119"/>
      <c r="I61" s="122"/>
      <c r="J61" s="122"/>
      <c r="K61" s="119"/>
      <c r="L61" s="124"/>
    </row>
    <row r="62">
      <c r="A62" s="104"/>
      <c r="B62" s="104"/>
      <c r="C62" s="104"/>
      <c r="D62" s="97"/>
      <c r="E62" s="126"/>
      <c r="F62" s="126"/>
      <c r="G62" s="104"/>
      <c r="H62" s="104"/>
      <c r="I62" s="107"/>
      <c r="J62" s="107"/>
      <c r="K62" s="104"/>
      <c r="L62" s="110"/>
    </row>
    <row r="63">
      <c r="A63" s="119"/>
      <c r="B63" s="119"/>
      <c r="C63" s="119"/>
      <c r="D63" s="61"/>
      <c r="E63" s="127"/>
      <c r="F63" s="127"/>
      <c r="G63" s="119"/>
      <c r="H63" s="119"/>
      <c r="I63" s="122"/>
      <c r="J63" s="122"/>
      <c r="K63" s="119"/>
      <c r="L63" s="124"/>
    </row>
    <row r="64">
      <c r="A64" s="104"/>
      <c r="B64" s="104"/>
      <c r="C64" s="104"/>
      <c r="D64" s="97"/>
      <c r="E64" s="126"/>
      <c r="F64" s="126"/>
      <c r="G64" s="104"/>
      <c r="H64" s="104"/>
      <c r="I64" s="107"/>
      <c r="J64" s="107"/>
      <c r="K64" s="104"/>
      <c r="L64" s="110"/>
    </row>
    <row r="65">
      <c r="A65" s="119"/>
      <c r="B65" s="119"/>
      <c r="C65" s="119"/>
      <c r="D65" s="61"/>
      <c r="E65" s="127"/>
      <c r="F65" s="127"/>
      <c r="G65" s="119"/>
      <c r="H65" s="119"/>
      <c r="I65" s="122"/>
      <c r="J65" s="122"/>
      <c r="K65" s="119"/>
      <c r="L65" s="124"/>
    </row>
    <row r="66">
      <c r="A66" s="104"/>
      <c r="B66" s="104"/>
      <c r="C66" s="104"/>
      <c r="D66" s="97"/>
      <c r="E66" s="126"/>
      <c r="F66" s="126"/>
      <c r="G66" s="104"/>
      <c r="H66" s="104"/>
      <c r="I66" s="107"/>
      <c r="J66" s="107"/>
      <c r="K66" s="104"/>
      <c r="L66" s="110"/>
    </row>
    <row r="67">
      <c r="A67" s="119"/>
      <c r="B67" s="119"/>
      <c r="C67" s="119"/>
      <c r="D67" s="61"/>
      <c r="E67" s="127"/>
      <c r="F67" s="127"/>
      <c r="G67" s="119"/>
      <c r="H67" s="119"/>
      <c r="I67" s="122"/>
      <c r="J67" s="122"/>
      <c r="K67" s="119"/>
      <c r="L67" s="124"/>
    </row>
    <row r="68">
      <c r="A68" s="104"/>
      <c r="B68" s="104"/>
      <c r="C68" s="104"/>
      <c r="D68" s="97"/>
      <c r="E68" s="126"/>
      <c r="F68" s="126"/>
      <c r="G68" s="104"/>
      <c r="H68" s="104"/>
      <c r="I68" s="107"/>
      <c r="J68" s="107"/>
      <c r="K68" s="104"/>
      <c r="L68" s="110"/>
    </row>
    <row r="69">
      <c r="A69" s="119"/>
      <c r="B69" s="119"/>
      <c r="C69" s="119"/>
      <c r="D69" s="61"/>
      <c r="E69" s="127"/>
      <c r="F69" s="127"/>
      <c r="G69" s="119"/>
      <c r="H69" s="119"/>
      <c r="I69" s="122"/>
      <c r="J69" s="122"/>
      <c r="K69" s="119"/>
      <c r="L69" s="124"/>
    </row>
    <row r="70">
      <c r="A70" s="104"/>
      <c r="B70" s="104"/>
      <c r="C70" s="104"/>
      <c r="D70" s="97"/>
      <c r="E70" s="126"/>
      <c r="F70" s="126"/>
      <c r="G70" s="104"/>
      <c r="H70" s="104"/>
      <c r="I70" s="107"/>
      <c r="J70" s="107"/>
      <c r="K70" s="104"/>
      <c r="L70" s="110"/>
    </row>
    <row r="71">
      <c r="A71" s="119"/>
      <c r="B71" s="119"/>
      <c r="C71" s="119"/>
      <c r="D71" s="61"/>
      <c r="E71" s="127"/>
      <c r="F71" s="127"/>
      <c r="G71" s="119"/>
      <c r="H71" s="119"/>
      <c r="I71" s="122"/>
      <c r="J71" s="122"/>
      <c r="K71" s="119"/>
      <c r="L71" s="124"/>
    </row>
    <row r="72">
      <c r="A72" s="104"/>
      <c r="B72" s="104"/>
      <c r="C72" s="104"/>
      <c r="D72" s="97"/>
      <c r="E72" s="126"/>
      <c r="F72" s="126"/>
      <c r="G72" s="104"/>
      <c r="H72" s="104"/>
      <c r="I72" s="107"/>
      <c r="J72" s="107"/>
      <c r="K72" s="104"/>
      <c r="L72" s="110"/>
    </row>
    <row r="73">
      <c r="A73" s="119"/>
      <c r="B73" s="119"/>
      <c r="C73" s="119"/>
      <c r="D73" s="61"/>
      <c r="E73" s="127"/>
      <c r="F73" s="127"/>
      <c r="G73" s="119"/>
      <c r="H73" s="119"/>
      <c r="I73" s="122"/>
      <c r="J73" s="122"/>
      <c r="K73" s="119"/>
      <c r="L73" s="124"/>
    </row>
    <row r="74">
      <c r="A74" s="104"/>
      <c r="B74" s="104"/>
      <c r="C74" s="104"/>
      <c r="D74" s="97"/>
      <c r="E74" s="126"/>
      <c r="F74" s="126"/>
      <c r="G74" s="104"/>
      <c r="H74" s="104"/>
      <c r="I74" s="107"/>
      <c r="J74" s="107"/>
      <c r="K74" s="104"/>
      <c r="L74" s="110"/>
    </row>
    <row r="75">
      <c r="A75" s="119"/>
      <c r="B75" s="119"/>
      <c r="C75" s="119"/>
      <c r="D75" s="61"/>
      <c r="E75" s="127"/>
      <c r="F75" s="127"/>
      <c r="G75" s="119"/>
      <c r="H75" s="119"/>
      <c r="I75" s="122"/>
      <c r="J75" s="122"/>
      <c r="K75" s="119"/>
      <c r="L75" s="124"/>
    </row>
    <row r="76">
      <c r="A76" s="104"/>
      <c r="B76" s="104"/>
      <c r="C76" s="104"/>
      <c r="D76" s="97"/>
      <c r="E76" s="126"/>
      <c r="F76" s="126"/>
      <c r="G76" s="104"/>
      <c r="H76" s="104"/>
      <c r="I76" s="107"/>
      <c r="J76" s="107"/>
      <c r="K76" s="104"/>
      <c r="L76" s="110"/>
    </row>
    <row r="77">
      <c r="A77" s="119"/>
      <c r="B77" s="119"/>
      <c r="C77" s="119"/>
      <c r="D77" s="61"/>
      <c r="E77" s="127"/>
      <c r="F77" s="127"/>
      <c r="G77" s="119"/>
      <c r="H77" s="119"/>
      <c r="I77" s="122"/>
      <c r="J77" s="122"/>
      <c r="K77" s="119"/>
      <c r="L77" s="124"/>
    </row>
    <row r="78">
      <c r="A78" s="104"/>
      <c r="B78" s="104"/>
      <c r="C78" s="104"/>
      <c r="D78" s="97"/>
      <c r="E78" s="126"/>
      <c r="F78" s="126"/>
      <c r="G78" s="104"/>
      <c r="H78" s="104"/>
      <c r="I78" s="107"/>
      <c r="J78" s="107"/>
      <c r="K78" s="104"/>
      <c r="L78" s="110"/>
    </row>
    <row r="79">
      <c r="A79" s="119"/>
      <c r="B79" s="119"/>
      <c r="C79" s="119"/>
      <c r="D79" s="61"/>
      <c r="E79" s="127"/>
      <c r="F79" s="127"/>
      <c r="G79" s="119"/>
      <c r="H79" s="119"/>
      <c r="I79" s="122"/>
      <c r="J79" s="122"/>
      <c r="K79" s="119"/>
      <c r="L79" s="124"/>
    </row>
    <row r="80">
      <c r="A80" s="104"/>
      <c r="B80" s="104"/>
      <c r="C80" s="104"/>
      <c r="D80" s="97"/>
      <c r="E80" s="126"/>
      <c r="F80" s="126"/>
      <c r="G80" s="104"/>
      <c r="H80" s="104"/>
      <c r="I80" s="107"/>
      <c r="J80" s="107"/>
      <c r="K80" s="104"/>
      <c r="L80" s="110"/>
    </row>
    <row r="81">
      <c r="A81" s="119"/>
      <c r="B81" s="119"/>
      <c r="C81" s="119"/>
      <c r="D81" s="61"/>
      <c r="E81" s="127"/>
      <c r="F81" s="127"/>
      <c r="G81" s="119"/>
      <c r="H81" s="119"/>
      <c r="I81" s="122"/>
      <c r="J81" s="122"/>
      <c r="K81" s="119"/>
      <c r="L81" s="124"/>
    </row>
    <row r="82">
      <c r="A82" s="104"/>
      <c r="B82" s="104"/>
      <c r="C82" s="104"/>
      <c r="D82" s="97"/>
      <c r="E82" s="126"/>
      <c r="F82" s="126"/>
      <c r="G82" s="104"/>
      <c r="H82" s="104"/>
      <c r="I82" s="107"/>
      <c r="J82" s="107"/>
      <c r="K82" s="104"/>
      <c r="L82" s="110"/>
    </row>
    <row r="83">
      <c r="A83" s="119"/>
      <c r="B83" s="119"/>
      <c r="C83" s="119"/>
      <c r="D83" s="61"/>
      <c r="E83" s="127"/>
      <c r="F83" s="127"/>
      <c r="G83" s="119"/>
      <c r="H83" s="119"/>
      <c r="I83" s="122"/>
      <c r="J83" s="122"/>
      <c r="K83" s="119"/>
      <c r="L83" s="124"/>
    </row>
    <row r="84">
      <c r="A84" s="104"/>
      <c r="B84" s="104"/>
      <c r="C84" s="104"/>
      <c r="D84" s="97"/>
      <c r="E84" s="126"/>
      <c r="F84" s="126"/>
      <c r="G84" s="104"/>
      <c r="H84" s="104"/>
      <c r="I84" s="107"/>
      <c r="J84" s="107"/>
      <c r="K84" s="104"/>
      <c r="L84" s="110"/>
    </row>
    <row r="85">
      <c r="A85" s="119"/>
      <c r="B85" s="119"/>
      <c r="C85" s="119"/>
      <c r="D85" s="61"/>
      <c r="E85" s="127"/>
      <c r="F85" s="127"/>
      <c r="G85" s="119"/>
      <c r="H85" s="119"/>
      <c r="I85" s="122"/>
      <c r="J85" s="122"/>
      <c r="K85" s="119"/>
      <c r="L85" s="124"/>
    </row>
    <row r="86">
      <c r="A86" s="104"/>
      <c r="B86" s="104"/>
      <c r="C86" s="104"/>
      <c r="D86" s="97"/>
      <c r="E86" s="126"/>
      <c r="F86" s="126"/>
      <c r="G86" s="104"/>
      <c r="H86" s="104"/>
      <c r="I86" s="107"/>
      <c r="J86" s="107"/>
      <c r="K86" s="104"/>
      <c r="L86" s="110"/>
    </row>
    <row r="87">
      <c r="A87" s="119"/>
      <c r="B87" s="119"/>
      <c r="C87" s="119"/>
      <c r="D87" s="61"/>
      <c r="E87" s="127"/>
      <c r="F87" s="127"/>
      <c r="G87" s="119"/>
      <c r="H87" s="119"/>
      <c r="I87" s="122"/>
      <c r="J87" s="122"/>
      <c r="K87" s="119"/>
      <c r="L87" s="124"/>
    </row>
    <row r="88">
      <c r="A88" s="104"/>
      <c r="B88" s="104"/>
      <c r="C88" s="104"/>
      <c r="D88" s="97"/>
      <c r="E88" s="126"/>
      <c r="F88" s="126"/>
      <c r="G88" s="104"/>
      <c r="H88" s="104"/>
      <c r="I88" s="107"/>
      <c r="J88" s="107"/>
      <c r="K88" s="104"/>
      <c r="L88" s="110"/>
    </row>
    <row r="89">
      <c r="A89" s="119"/>
      <c r="B89" s="119"/>
      <c r="C89" s="119"/>
      <c r="D89" s="61"/>
      <c r="E89" s="127"/>
      <c r="F89" s="127"/>
      <c r="G89" s="119"/>
      <c r="H89" s="119"/>
      <c r="I89" s="122"/>
      <c r="J89" s="122"/>
      <c r="K89" s="119"/>
      <c r="L89" s="124"/>
    </row>
    <row r="90">
      <c r="A90" s="104"/>
      <c r="B90" s="104"/>
      <c r="C90" s="104"/>
      <c r="D90" s="97"/>
      <c r="E90" s="126"/>
      <c r="F90" s="126"/>
      <c r="G90" s="104"/>
      <c r="H90" s="104"/>
      <c r="I90" s="107"/>
      <c r="J90" s="107"/>
      <c r="K90" s="104"/>
      <c r="L90" s="110"/>
    </row>
    <row r="91">
      <c r="A91" s="119"/>
      <c r="B91" s="119"/>
      <c r="C91" s="119"/>
      <c r="D91" s="61"/>
      <c r="E91" s="127"/>
      <c r="F91" s="127"/>
      <c r="G91" s="119"/>
      <c r="H91" s="119"/>
      <c r="I91" s="122"/>
      <c r="J91" s="122"/>
      <c r="K91" s="119"/>
      <c r="L91" s="124"/>
    </row>
    <row r="92">
      <c r="A92" s="104"/>
      <c r="B92" s="104"/>
      <c r="C92" s="104"/>
      <c r="D92" s="97"/>
      <c r="E92" s="126"/>
      <c r="F92" s="126"/>
      <c r="G92" s="104"/>
      <c r="H92" s="104"/>
      <c r="I92" s="107"/>
      <c r="J92" s="107"/>
      <c r="K92" s="104"/>
      <c r="L92" s="110"/>
    </row>
    <row r="93">
      <c r="A93" s="119"/>
      <c r="B93" s="119"/>
      <c r="C93" s="119"/>
      <c r="D93" s="61"/>
      <c r="E93" s="127"/>
      <c r="F93" s="127"/>
      <c r="G93" s="119"/>
      <c r="H93" s="119"/>
      <c r="I93" s="122"/>
      <c r="J93" s="122"/>
      <c r="K93" s="119"/>
      <c r="L93" s="124"/>
    </row>
    <row r="94">
      <c r="A94" s="104"/>
      <c r="B94" s="104"/>
      <c r="C94" s="104"/>
      <c r="D94" s="97"/>
      <c r="E94" s="126"/>
      <c r="F94" s="126"/>
      <c r="G94" s="104"/>
      <c r="H94" s="104"/>
      <c r="I94" s="107"/>
      <c r="J94" s="107"/>
      <c r="K94" s="104"/>
      <c r="L94" s="110"/>
    </row>
    <row r="95">
      <c r="A95" s="119"/>
      <c r="B95" s="119"/>
      <c r="C95" s="119"/>
      <c r="D95" s="61"/>
      <c r="E95" s="127"/>
      <c r="F95" s="127"/>
      <c r="G95" s="119"/>
      <c r="H95" s="119"/>
      <c r="I95" s="122"/>
      <c r="J95" s="122"/>
      <c r="K95" s="119"/>
      <c r="L95" s="124"/>
    </row>
    <row r="96">
      <c r="A96" s="104"/>
      <c r="B96" s="104"/>
      <c r="C96" s="104"/>
      <c r="D96" s="97"/>
      <c r="E96" s="126"/>
      <c r="F96" s="126"/>
      <c r="G96" s="104"/>
      <c r="H96" s="104"/>
      <c r="I96" s="107"/>
      <c r="J96" s="107"/>
      <c r="K96" s="104"/>
      <c r="L96" s="110"/>
    </row>
    <row r="97">
      <c r="A97" s="119"/>
      <c r="B97" s="119"/>
      <c r="C97" s="119"/>
      <c r="D97" s="61"/>
      <c r="E97" s="127"/>
      <c r="F97" s="127"/>
      <c r="G97" s="119"/>
      <c r="H97" s="119"/>
      <c r="I97" s="122"/>
      <c r="J97" s="122"/>
      <c r="K97" s="119"/>
      <c r="L97" s="124"/>
    </row>
    <row r="98">
      <c r="A98" s="104"/>
      <c r="B98" s="104"/>
      <c r="C98" s="104"/>
      <c r="D98" s="97"/>
      <c r="E98" s="126"/>
      <c r="F98" s="126"/>
      <c r="G98" s="104"/>
      <c r="H98" s="104"/>
      <c r="I98" s="107"/>
      <c r="J98" s="107"/>
      <c r="K98" s="104"/>
      <c r="L98" s="110"/>
    </row>
    <row r="99">
      <c r="A99" s="119"/>
      <c r="B99" s="119"/>
      <c r="C99" s="119"/>
      <c r="D99" s="61"/>
      <c r="E99" s="127"/>
      <c r="F99" s="127"/>
      <c r="G99" s="119"/>
      <c r="H99" s="119"/>
      <c r="I99" s="122"/>
      <c r="J99" s="122"/>
      <c r="K99" s="119"/>
      <c r="L99" s="124"/>
    </row>
    <row r="100">
      <c r="A100" s="104"/>
      <c r="B100" s="104"/>
      <c r="C100" s="104"/>
      <c r="D100" s="97"/>
      <c r="E100" s="126"/>
      <c r="F100" s="126"/>
      <c r="G100" s="104"/>
      <c r="H100" s="104"/>
      <c r="I100" s="107"/>
      <c r="J100" s="107"/>
      <c r="K100" s="104"/>
      <c r="L100" s="110"/>
    </row>
    <row r="101">
      <c r="A101" s="119"/>
      <c r="B101" s="119"/>
      <c r="C101" s="119"/>
      <c r="D101" s="61"/>
      <c r="E101" s="127"/>
      <c r="F101" s="127"/>
      <c r="G101" s="119"/>
      <c r="H101" s="119"/>
      <c r="I101" s="122"/>
      <c r="J101" s="122"/>
      <c r="K101" s="119"/>
      <c r="L101" s="124"/>
    </row>
    <row r="102">
      <c r="A102" s="104"/>
      <c r="B102" s="104"/>
      <c r="C102" s="104"/>
      <c r="D102" s="97"/>
      <c r="E102" s="126"/>
      <c r="F102" s="126"/>
      <c r="G102" s="104"/>
      <c r="H102" s="104"/>
      <c r="I102" s="107"/>
      <c r="J102" s="107"/>
      <c r="K102" s="104"/>
      <c r="L102" s="110"/>
    </row>
    <row r="103">
      <c r="A103" s="119"/>
      <c r="B103" s="119"/>
      <c r="C103" s="119"/>
      <c r="D103" s="61"/>
      <c r="E103" s="127"/>
      <c r="F103" s="127"/>
      <c r="G103" s="119"/>
      <c r="H103" s="119"/>
      <c r="I103" s="122"/>
      <c r="J103" s="122"/>
      <c r="K103" s="119"/>
      <c r="L103" s="124"/>
    </row>
    <row r="104">
      <c r="A104" s="104"/>
      <c r="B104" s="104"/>
      <c r="C104" s="104"/>
      <c r="D104" s="97"/>
      <c r="E104" s="126"/>
      <c r="F104" s="126"/>
      <c r="G104" s="104"/>
      <c r="H104" s="104"/>
      <c r="I104" s="107"/>
      <c r="J104" s="107"/>
      <c r="K104" s="104"/>
      <c r="L104" s="110"/>
    </row>
    <row r="105">
      <c r="A105" s="119"/>
      <c r="B105" s="119"/>
      <c r="C105" s="119"/>
      <c r="D105" s="61"/>
      <c r="E105" s="127"/>
      <c r="F105" s="127"/>
      <c r="G105" s="119"/>
      <c r="H105" s="119"/>
      <c r="I105" s="122"/>
      <c r="J105" s="122"/>
      <c r="K105" s="119"/>
      <c r="L105" s="124"/>
    </row>
    <row r="106">
      <c r="A106" s="104"/>
      <c r="B106" s="104"/>
      <c r="C106" s="104"/>
      <c r="D106" s="97"/>
      <c r="E106" s="126"/>
      <c r="F106" s="126"/>
      <c r="G106" s="104"/>
      <c r="H106" s="104"/>
      <c r="I106" s="107"/>
      <c r="J106" s="107"/>
      <c r="K106" s="104"/>
      <c r="L106" s="110"/>
    </row>
    <row r="107">
      <c r="A107" s="119"/>
      <c r="B107" s="119"/>
      <c r="C107" s="119"/>
      <c r="D107" s="61"/>
      <c r="E107" s="127"/>
      <c r="F107" s="127"/>
      <c r="G107" s="119"/>
      <c r="H107" s="119"/>
      <c r="I107" s="122"/>
      <c r="J107" s="122"/>
      <c r="K107" s="119"/>
      <c r="L107" s="124"/>
    </row>
    <row r="108">
      <c r="A108" s="104"/>
      <c r="B108" s="104"/>
      <c r="C108" s="104"/>
      <c r="D108" s="97"/>
      <c r="E108" s="126"/>
      <c r="F108" s="126"/>
      <c r="G108" s="104"/>
      <c r="H108" s="104"/>
      <c r="I108" s="107"/>
      <c r="J108" s="107"/>
      <c r="K108" s="104"/>
      <c r="L108" s="110"/>
    </row>
    <row r="109">
      <c r="A109" s="119"/>
      <c r="B109" s="119"/>
      <c r="C109" s="119"/>
      <c r="D109" s="61"/>
      <c r="E109" s="127"/>
      <c r="F109" s="127"/>
      <c r="G109" s="119"/>
      <c r="H109" s="119"/>
      <c r="I109" s="122"/>
      <c r="J109" s="122"/>
      <c r="K109" s="119"/>
      <c r="L109" s="124"/>
    </row>
    <row r="110">
      <c r="A110" s="104"/>
      <c r="B110" s="104"/>
      <c r="C110" s="104"/>
      <c r="D110" s="97"/>
      <c r="E110" s="126"/>
      <c r="F110" s="126"/>
      <c r="G110" s="104"/>
      <c r="H110" s="104"/>
      <c r="I110" s="107"/>
      <c r="J110" s="107"/>
      <c r="K110" s="104"/>
      <c r="L110" s="110"/>
    </row>
    <row r="111">
      <c r="A111" s="119"/>
      <c r="B111" s="119"/>
      <c r="C111" s="119"/>
      <c r="D111" s="61"/>
      <c r="E111" s="127"/>
      <c r="F111" s="127"/>
      <c r="G111" s="119"/>
      <c r="H111" s="119"/>
      <c r="I111" s="122"/>
      <c r="J111" s="122"/>
      <c r="K111" s="119"/>
      <c r="L111" s="124"/>
    </row>
    <row r="112">
      <c r="A112" s="104"/>
      <c r="B112" s="104"/>
      <c r="C112" s="104"/>
      <c r="D112" s="97"/>
      <c r="E112" s="126"/>
      <c r="F112" s="126"/>
      <c r="G112" s="104"/>
      <c r="H112" s="104"/>
      <c r="I112" s="107"/>
      <c r="J112" s="107"/>
      <c r="K112" s="104"/>
      <c r="L112" s="110"/>
    </row>
    <row r="113">
      <c r="A113" s="119"/>
      <c r="B113" s="119"/>
      <c r="C113" s="119"/>
      <c r="D113" s="61"/>
      <c r="E113" s="127"/>
      <c r="F113" s="127"/>
      <c r="G113" s="119"/>
      <c r="H113" s="119"/>
      <c r="I113" s="122"/>
      <c r="J113" s="122"/>
      <c r="K113" s="119"/>
      <c r="L113" s="124"/>
    </row>
    <row r="114">
      <c r="A114" s="104"/>
      <c r="B114" s="104"/>
      <c r="C114" s="104"/>
      <c r="D114" s="97"/>
      <c r="E114" s="126"/>
      <c r="F114" s="126"/>
      <c r="G114" s="104"/>
      <c r="H114" s="104"/>
      <c r="I114" s="107"/>
      <c r="J114" s="107"/>
      <c r="K114" s="104"/>
      <c r="L114" s="110"/>
    </row>
    <row r="115">
      <c r="A115" s="119"/>
      <c r="B115" s="119"/>
      <c r="C115" s="119"/>
      <c r="D115" s="61"/>
      <c r="E115" s="127"/>
      <c r="F115" s="127"/>
      <c r="G115" s="119"/>
      <c r="H115" s="119"/>
      <c r="I115" s="122"/>
      <c r="J115" s="122"/>
      <c r="K115" s="119"/>
      <c r="L115" s="124"/>
    </row>
    <row r="116">
      <c r="A116" s="104"/>
      <c r="B116" s="104"/>
      <c r="C116" s="104"/>
      <c r="D116" s="97"/>
      <c r="E116" s="126"/>
      <c r="F116" s="126"/>
      <c r="G116" s="104"/>
      <c r="H116" s="104"/>
      <c r="I116" s="107"/>
      <c r="J116" s="107"/>
      <c r="K116" s="104"/>
      <c r="L116" s="110"/>
    </row>
    <row r="117">
      <c r="A117" s="119"/>
      <c r="B117" s="119"/>
      <c r="C117" s="119"/>
      <c r="D117" s="61"/>
      <c r="E117" s="127"/>
      <c r="F117" s="127"/>
      <c r="G117" s="119"/>
      <c r="H117" s="119"/>
      <c r="I117" s="122"/>
      <c r="J117" s="122"/>
      <c r="K117" s="119"/>
      <c r="L117" s="124"/>
    </row>
    <row r="118">
      <c r="A118" s="104"/>
      <c r="B118" s="104"/>
      <c r="C118" s="104"/>
      <c r="D118" s="97"/>
      <c r="E118" s="126"/>
      <c r="F118" s="126"/>
      <c r="G118" s="104"/>
      <c r="H118" s="104"/>
      <c r="I118" s="107"/>
      <c r="J118" s="107"/>
      <c r="K118" s="104"/>
      <c r="L118" s="110"/>
    </row>
    <row r="119">
      <c r="A119" s="119"/>
      <c r="B119" s="119"/>
      <c r="C119" s="119"/>
      <c r="D119" s="61"/>
      <c r="E119" s="127"/>
      <c r="F119" s="127"/>
      <c r="G119" s="119"/>
      <c r="H119" s="119"/>
      <c r="I119" s="122"/>
      <c r="J119" s="122"/>
      <c r="K119" s="119"/>
      <c r="L119" s="124"/>
    </row>
    <row r="120">
      <c r="A120" s="104"/>
      <c r="B120" s="104"/>
      <c r="C120" s="104"/>
      <c r="D120" s="97"/>
      <c r="E120" s="126"/>
      <c r="F120" s="126"/>
      <c r="G120" s="104"/>
      <c r="H120" s="104"/>
      <c r="I120" s="107"/>
      <c r="J120" s="107"/>
      <c r="K120" s="104"/>
      <c r="L120" s="110"/>
    </row>
    <row r="121">
      <c r="A121" s="128"/>
      <c r="B121" s="83"/>
      <c r="C121" s="83"/>
      <c r="D121" s="83"/>
      <c r="E121" s="102"/>
      <c r="F121" s="102"/>
      <c r="G121" s="88"/>
      <c r="H121" s="88"/>
      <c r="I121" s="87"/>
      <c r="J121" s="87"/>
      <c r="K121" s="88"/>
      <c r="L121" s="90"/>
    </row>
    <row r="122">
      <c r="A122" s="128"/>
      <c r="B122" s="83"/>
      <c r="C122" s="83"/>
      <c r="D122" s="83"/>
      <c r="E122" s="102"/>
      <c r="F122" s="102"/>
      <c r="G122" s="88"/>
      <c r="H122" s="88"/>
      <c r="I122" s="87"/>
      <c r="J122" s="87"/>
      <c r="K122" s="88"/>
      <c r="L122" s="90"/>
    </row>
    <row r="123">
      <c r="A123" s="128"/>
      <c r="B123" s="83"/>
      <c r="C123" s="83"/>
      <c r="D123" s="83"/>
      <c r="E123" s="102"/>
      <c r="F123" s="102"/>
      <c r="G123" s="88"/>
      <c r="H123" s="88"/>
      <c r="I123" s="87"/>
      <c r="J123" s="87"/>
      <c r="K123" s="88"/>
      <c r="L123" s="90"/>
    </row>
    <row r="124">
      <c r="A124" s="128"/>
      <c r="B124" s="83"/>
      <c r="C124" s="83"/>
      <c r="D124" s="83"/>
      <c r="E124" s="102"/>
      <c r="F124" s="102"/>
      <c r="G124" s="88"/>
      <c r="H124" s="88"/>
      <c r="I124" s="87"/>
      <c r="J124" s="87"/>
      <c r="K124" s="88"/>
      <c r="L124" s="90"/>
    </row>
    <row r="125">
      <c r="A125" s="128"/>
      <c r="B125" s="83"/>
      <c r="C125" s="83"/>
      <c r="D125" s="83"/>
      <c r="E125" s="102"/>
      <c r="F125" s="102"/>
      <c r="G125" s="88"/>
      <c r="H125" s="88"/>
      <c r="I125" s="87"/>
      <c r="J125" s="87"/>
      <c r="K125" s="88"/>
      <c r="L125" s="90"/>
    </row>
    <row r="126">
      <c r="A126" s="128"/>
      <c r="B126" s="83"/>
      <c r="C126" s="83"/>
      <c r="D126" s="83"/>
      <c r="E126" s="102"/>
      <c r="F126" s="102"/>
      <c r="G126" s="88"/>
      <c r="H126" s="88"/>
      <c r="I126" s="87"/>
      <c r="J126" s="87"/>
      <c r="K126" s="88"/>
      <c r="L126" s="90"/>
    </row>
    <row r="127">
      <c r="A127" s="128"/>
      <c r="B127" s="83"/>
      <c r="C127" s="83"/>
      <c r="D127" s="83"/>
      <c r="E127" s="102"/>
      <c r="F127" s="102"/>
      <c r="G127" s="88"/>
      <c r="H127" s="88"/>
      <c r="I127" s="87"/>
      <c r="J127" s="87"/>
      <c r="K127" s="88"/>
      <c r="L127" s="90"/>
    </row>
    <row r="128">
      <c r="A128" s="128"/>
      <c r="B128" s="83"/>
      <c r="C128" s="83"/>
      <c r="D128" s="83"/>
      <c r="E128" s="102"/>
      <c r="F128" s="102"/>
      <c r="G128" s="88"/>
      <c r="H128" s="88"/>
      <c r="I128" s="87"/>
      <c r="J128" s="87"/>
      <c r="K128" s="88"/>
      <c r="L128" s="90"/>
    </row>
    <row r="129">
      <c r="A129" s="128"/>
      <c r="B129" s="83"/>
      <c r="C129" s="83"/>
      <c r="D129" s="83"/>
      <c r="E129" s="102"/>
      <c r="F129" s="102"/>
      <c r="G129" s="88"/>
      <c r="H129" s="88"/>
      <c r="I129" s="87"/>
      <c r="J129" s="87"/>
      <c r="K129" s="88"/>
      <c r="L129" s="90"/>
    </row>
    <row r="130">
      <c r="A130" s="128"/>
      <c r="B130" s="83"/>
      <c r="C130" s="83"/>
      <c r="D130" s="83"/>
      <c r="E130" s="102"/>
      <c r="F130" s="102"/>
      <c r="G130" s="88"/>
      <c r="H130" s="88"/>
      <c r="I130" s="87"/>
      <c r="J130" s="87"/>
      <c r="K130" s="88"/>
      <c r="L130" s="90"/>
    </row>
    <row r="131">
      <c r="A131" s="128"/>
      <c r="B131" s="83"/>
      <c r="C131" s="83"/>
      <c r="D131" s="83"/>
      <c r="E131" s="102"/>
      <c r="F131" s="102"/>
      <c r="G131" s="88"/>
      <c r="H131" s="88"/>
      <c r="I131" s="87"/>
      <c r="J131" s="87"/>
      <c r="K131" s="88"/>
      <c r="L131" s="90"/>
    </row>
    <row r="132">
      <c r="A132" s="128"/>
      <c r="B132" s="83"/>
      <c r="C132" s="83"/>
      <c r="D132" s="83"/>
      <c r="E132" s="102"/>
      <c r="F132" s="102"/>
      <c r="G132" s="88"/>
      <c r="H132" s="88"/>
      <c r="I132" s="87"/>
      <c r="J132" s="87"/>
      <c r="K132" s="88"/>
      <c r="L132" s="90"/>
    </row>
    <row r="133">
      <c r="A133" s="128"/>
      <c r="B133" s="83"/>
      <c r="C133" s="83"/>
      <c r="D133" s="83"/>
      <c r="E133" s="102"/>
      <c r="F133" s="102"/>
      <c r="G133" s="88"/>
      <c r="H133" s="88"/>
      <c r="I133" s="87"/>
      <c r="J133" s="87"/>
      <c r="K133" s="88"/>
      <c r="L133" s="90"/>
    </row>
    <row r="134">
      <c r="A134" s="128"/>
      <c r="B134" s="83"/>
      <c r="C134" s="83"/>
      <c r="D134" s="83"/>
      <c r="E134" s="102"/>
      <c r="F134" s="102"/>
      <c r="G134" s="88"/>
      <c r="H134" s="88"/>
      <c r="I134" s="87"/>
      <c r="J134" s="87"/>
      <c r="K134" s="88"/>
      <c r="L134" s="90"/>
    </row>
    <row r="135">
      <c r="A135" s="128"/>
      <c r="B135" s="83"/>
      <c r="C135" s="83"/>
      <c r="D135" s="83"/>
      <c r="E135" s="102"/>
      <c r="F135" s="102"/>
      <c r="G135" s="88"/>
      <c r="H135" s="88"/>
      <c r="I135" s="87"/>
      <c r="J135" s="87"/>
      <c r="K135" s="88"/>
      <c r="L135" s="90"/>
    </row>
    <row r="136">
      <c r="A136" s="128"/>
      <c r="B136" s="83"/>
      <c r="C136" s="83"/>
      <c r="D136" s="83"/>
      <c r="E136" s="102"/>
      <c r="F136" s="102"/>
      <c r="G136" s="88"/>
      <c r="H136" s="88"/>
      <c r="I136" s="87"/>
      <c r="J136" s="87"/>
      <c r="K136" s="88"/>
      <c r="L136" s="90"/>
    </row>
    <row r="137">
      <c r="A137" s="128"/>
      <c r="B137" s="83"/>
      <c r="C137" s="83"/>
      <c r="D137" s="83"/>
      <c r="E137" s="102"/>
      <c r="F137" s="102"/>
      <c r="G137" s="88"/>
      <c r="H137" s="88"/>
      <c r="I137" s="87"/>
      <c r="J137" s="87"/>
      <c r="K137" s="88"/>
      <c r="L137" s="90"/>
    </row>
    <row r="138">
      <c r="A138" s="128"/>
      <c r="B138" s="83"/>
      <c r="C138" s="83"/>
      <c r="D138" s="83"/>
      <c r="E138" s="102"/>
      <c r="F138" s="102"/>
      <c r="G138" s="88"/>
      <c r="H138" s="88"/>
      <c r="I138" s="87"/>
      <c r="J138" s="87"/>
      <c r="K138" s="88"/>
      <c r="L138" s="90"/>
    </row>
    <row r="139">
      <c r="A139" s="128"/>
      <c r="B139" s="83"/>
      <c r="C139" s="83"/>
      <c r="D139" s="83"/>
      <c r="E139" s="102"/>
      <c r="F139" s="102"/>
      <c r="G139" s="88"/>
      <c r="H139" s="88"/>
      <c r="I139" s="87"/>
      <c r="J139" s="87"/>
      <c r="K139" s="88"/>
      <c r="L139" s="90"/>
    </row>
    <row r="140">
      <c r="A140" s="128"/>
      <c r="B140" s="83"/>
      <c r="C140" s="83"/>
      <c r="D140" s="83"/>
      <c r="E140" s="102"/>
      <c r="F140" s="102"/>
      <c r="G140" s="88"/>
      <c r="H140" s="88"/>
      <c r="I140" s="87"/>
      <c r="J140" s="87"/>
      <c r="K140" s="88"/>
      <c r="L140" s="90"/>
    </row>
    <row r="141">
      <c r="A141" s="128"/>
      <c r="B141" s="83"/>
      <c r="C141" s="83"/>
      <c r="D141" s="83"/>
      <c r="E141" s="102"/>
      <c r="F141" s="102"/>
      <c r="G141" s="88"/>
      <c r="H141" s="88"/>
      <c r="I141" s="87"/>
      <c r="J141" s="87"/>
      <c r="K141" s="88"/>
      <c r="L141" s="90"/>
    </row>
    <row r="142">
      <c r="A142" s="128"/>
      <c r="B142" s="83"/>
      <c r="C142" s="83"/>
      <c r="D142" s="83"/>
      <c r="E142" s="102"/>
      <c r="F142" s="102"/>
      <c r="G142" s="88"/>
      <c r="H142" s="88"/>
      <c r="I142" s="87"/>
      <c r="J142" s="87"/>
      <c r="K142" s="88"/>
      <c r="L142" s="90"/>
    </row>
    <row r="143">
      <c r="A143" s="128"/>
      <c r="B143" s="83"/>
      <c r="C143" s="83"/>
      <c r="D143" s="83"/>
      <c r="E143" s="102"/>
      <c r="F143" s="102"/>
      <c r="G143" s="88"/>
      <c r="H143" s="88"/>
      <c r="I143" s="87"/>
      <c r="J143" s="87"/>
      <c r="K143" s="88"/>
      <c r="L143" s="90"/>
    </row>
    <row r="144">
      <c r="A144" s="128"/>
      <c r="B144" s="83"/>
      <c r="C144" s="83"/>
      <c r="D144" s="83"/>
      <c r="E144" s="102"/>
      <c r="F144" s="102"/>
      <c r="G144" s="88"/>
      <c r="H144" s="88"/>
      <c r="I144" s="87"/>
      <c r="J144" s="87"/>
      <c r="K144" s="88"/>
      <c r="L144" s="90"/>
    </row>
    <row r="145">
      <c r="A145" s="128"/>
      <c r="B145" s="83"/>
      <c r="C145" s="83"/>
      <c r="D145" s="83"/>
      <c r="E145" s="102"/>
      <c r="F145" s="102"/>
      <c r="G145" s="88"/>
      <c r="H145" s="88"/>
      <c r="I145" s="87"/>
      <c r="J145" s="87"/>
      <c r="K145" s="88"/>
      <c r="L145" s="90"/>
    </row>
    <row r="146">
      <c r="A146" s="128"/>
      <c r="B146" s="83"/>
      <c r="C146" s="83"/>
      <c r="D146" s="83"/>
      <c r="E146" s="102"/>
      <c r="F146" s="102"/>
      <c r="G146" s="88"/>
      <c r="H146" s="88"/>
      <c r="I146" s="87"/>
      <c r="J146" s="87"/>
      <c r="K146" s="88"/>
      <c r="L146" s="90"/>
    </row>
    <row r="147">
      <c r="A147" s="128"/>
      <c r="B147" s="83"/>
      <c r="C147" s="83"/>
      <c r="D147" s="83"/>
      <c r="E147" s="102"/>
      <c r="F147" s="102"/>
      <c r="G147" s="88"/>
      <c r="H147" s="88"/>
      <c r="I147" s="87"/>
      <c r="J147" s="87"/>
      <c r="K147" s="88"/>
      <c r="L147" s="90"/>
    </row>
    <row r="148">
      <c r="A148" s="128"/>
      <c r="B148" s="83"/>
      <c r="C148" s="83"/>
      <c r="D148" s="83"/>
      <c r="E148" s="102"/>
      <c r="F148" s="102"/>
      <c r="G148" s="88"/>
      <c r="H148" s="88"/>
      <c r="I148" s="87"/>
      <c r="J148" s="87"/>
      <c r="K148" s="88"/>
      <c r="L148" s="90"/>
    </row>
    <row r="149">
      <c r="A149" s="128"/>
      <c r="B149" s="83"/>
      <c r="C149" s="83"/>
      <c r="D149" s="83"/>
      <c r="E149" s="102"/>
      <c r="F149" s="102"/>
      <c r="G149" s="88"/>
      <c r="H149" s="88"/>
      <c r="I149" s="87"/>
      <c r="J149" s="87"/>
      <c r="K149" s="88"/>
      <c r="L149" s="90"/>
    </row>
    <row r="150">
      <c r="A150" s="128"/>
      <c r="B150" s="83"/>
      <c r="C150" s="83"/>
      <c r="D150" s="83"/>
      <c r="E150" s="102"/>
      <c r="F150" s="102"/>
      <c r="G150" s="88"/>
      <c r="H150" s="88"/>
      <c r="I150" s="87"/>
      <c r="J150" s="87"/>
      <c r="K150" s="88"/>
      <c r="L150" s="90"/>
    </row>
    <row r="151">
      <c r="A151" s="128"/>
      <c r="B151" s="83"/>
      <c r="C151" s="83"/>
      <c r="D151" s="83"/>
      <c r="E151" s="102"/>
      <c r="F151" s="102"/>
      <c r="G151" s="88"/>
      <c r="H151" s="88"/>
      <c r="I151" s="87"/>
      <c r="J151" s="87"/>
      <c r="K151" s="88"/>
      <c r="L151" s="90"/>
    </row>
    <row r="152">
      <c r="A152" s="128"/>
      <c r="B152" s="83"/>
      <c r="C152" s="83"/>
      <c r="D152" s="83"/>
      <c r="E152" s="102"/>
      <c r="F152" s="102"/>
      <c r="G152" s="88"/>
      <c r="H152" s="88"/>
      <c r="I152" s="87"/>
      <c r="J152" s="87"/>
      <c r="K152" s="88"/>
      <c r="L152" s="90"/>
    </row>
    <row r="153">
      <c r="A153" s="128"/>
      <c r="B153" s="83"/>
      <c r="C153" s="83"/>
      <c r="D153" s="83"/>
      <c r="E153" s="102"/>
      <c r="F153" s="102"/>
      <c r="G153" s="88"/>
      <c r="H153" s="88"/>
      <c r="I153" s="87"/>
      <c r="J153" s="87"/>
      <c r="K153" s="88"/>
      <c r="L153" s="90"/>
    </row>
    <row r="154">
      <c r="A154" s="128"/>
      <c r="B154" s="83"/>
      <c r="C154" s="83"/>
      <c r="D154" s="83"/>
      <c r="E154" s="102"/>
      <c r="F154" s="102"/>
      <c r="G154" s="88"/>
      <c r="H154" s="88"/>
      <c r="I154" s="87"/>
      <c r="J154" s="87"/>
      <c r="K154" s="88"/>
      <c r="L154" s="90"/>
    </row>
    <row r="155">
      <c r="A155" s="128"/>
      <c r="B155" s="83"/>
      <c r="C155" s="83"/>
      <c r="D155" s="83"/>
      <c r="E155" s="102"/>
      <c r="F155" s="102"/>
      <c r="G155" s="88"/>
      <c r="H155" s="88"/>
      <c r="I155" s="87"/>
      <c r="J155" s="87"/>
      <c r="K155" s="88"/>
      <c r="L155" s="90"/>
    </row>
    <row r="156">
      <c r="A156" s="128"/>
      <c r="B156" s="83"/>
      <c r="C156" s="83"/>
      <c r="D156" s="83"/>
      <c r="E156" s="102"/>
      <c r="F156" s="102"/>
      <c r="G156" s="88"/>
      <c r="H156" s="88"/>
      <c r="I156" s="87"/>
      <c r="J156" s="87"/>
      <c r="K156" s="88"/>
      <c r="L156" s="90"/>
    </row>
    <row r="157">
      <c r="A157" s="128"/>
      <c r="B157" s="83"/>
      <c r="C157" s="83"/>
      <c r="D157" s="83"/>
      <c r="E157" s="102"/>
      <c r="F157" s="102"/>
      <c r="G157" s="88"/>
      <c r="H157" s="88"/>
      <c r="I157" s="87"/>
      <c r="J157" s="87"/>
      <c r="K157" s="88"/>
      <c r="L157" s="90"/>
    </row>
    <row r="158">
      <c r="A158" s="128"/>
      <c r="B158" s="83"/>
      <c r="C158" s="83"/>
      <c r="D158" s="83"/>
      <c r="E158" s="102"/>
      <c r="F158" s="102"/>
      <c r="G158" s="88"/>
      <c r="H158" s="88"/>
      <c r="I158" s="87"/>
      <c r="J158" s="87"/>
      <c r="K158" s="88"/>
      <c r="L158" s="90"/>
    </row>
    <row r="159">
      <c r="A159" s="128"/>
      <c r="B159" s="83"/>
      <c r="C159" s="83"/>
      <c r="D159" s="83"/>
      <c r="E159" s="102"/>
      <c r="F159" s="102"/>
      <c r="G159" s="88"/>
      <c r="H159" s="88"/>
      <c r="I159" s="87"/>
      <c r="J159" s="87"/>
      <c r="K159" s="88"/>
      <c r="L159" s="90"/>
    </row>
    <row r="160">
      <c r="A160" s="128"/>
      <c r="B160" s="83"/>
      <c r="C160" s="83"/>
      <c r="D160" s="83"/>
      <c r="E160" s="102"/>
      <c r="F160" s="102"/>
      <c r="G160" s="88"/>
      <c r="H160" s="88"/>
      <c r="I160" s="87"/>
      <c r="J160" s="87"/>
      <c r="K160" s="88"/>
      <c r="L160" s="90"/>
    </row>
    <row r="161">
      <c r="A161" s="128"/>
      <c r="B161" s="83"/>
      <c r="C161" s="83"/>
      <c r="D161" s="83"/>
      <c r="E161" s="102"/>
      <c r="F161" s="102"/>
      <c r="G161" s="88"/>
      <c r="H161" s="88"/>
      <c r="I161" s="87"/>
      <c r="J161" s="87"/>
      <c r="K161" s="88"/>
      <c r="L161" s="90"/>
    </row>
    <row r="162">
      <c r="A162" s="128"/>
      <c r="B162" s="83"/>
      <c r="C162" s="83"/>
      <c r="D162" s="83"/>
      <c r="E162" s="102"/>
      <c r="F162" s="102"/>
      <c r="G162" s="88"/>
      <c r="H162" s="88"/>
      <c r="I162" s="87"/>
      <c r="J162" s="87"/>
      <c r="K162" s="88"/>
      <c r="L162" s="90"/>
    </row>
    <row r="163">
      <c r="A163" s="128"/>
      <c r="B163" s="83"/>
      <c r="C163" s="83"/>
      <c r="D163" s="83"/>
      <c r="E163" s="102"/>
      <c r="F163" s="102"/>
      <c r="G163" s="88"/>
      <c r="H163" s="88"/>
      <c r="I163" s="87"/>
      <c r="J163" s="87"/>
      <c r="K163" s="88"/>
      <c r="L163" s="90"/>
    </row>
    <row r="164">
      <c r="A164" s="128"/>
      <c r="B164" s="83"/>
      <c r="C164" s="83"/>
      <c r="D164" s="83"/>
      <c r="E164" s="102"/>
      <c r="F164" s="102"/>
      <c r="G164" s="88"/>
      <c r="H164" s="88"/>
      <c r="I164" s="87"/>
      <c r="J164" s="87"/>
      <c r="K164" s="88"/>
      <c r="L164" s="90"/>
    </row>
    <row r="165">
      <c r="A165" s="128"/>
      <c r="B165" s="83"/>
      <c r="C165" s="83"/>
      <c r="D165" s="83"/>
      <c r="E165" s="102"/>
      <c r="F165" s="102"/>
      <c r="G165" s="88"/>
      <c r="H165" s="88"/>
      <c r="I165" s="87"/>
      <c r="J165" s="87"/>
      <c r="K165" s="88"/>
      <c r="L165" s="90"/>
    </row>
    <row r="166">
      <c r="A166" s="128"/>
      <c r="B166" s="83"/>
      <c r="C166" s="83"/>
      <c r="D166" s="83"/>
      <c r="E166" s="102"/>
      <c r="F166" s="102"/>
      <c r="G166" s="88"/>
      <c r="H166" s="88"/>
      <c r="I166" s="87"/>
      <c r="J166" s="87"/>
      <c r="K166" s="88"/>
      <c r="L166" s="90"/>
    </row>
    <row r="167">
      <c r="A167" s="128"/>
      <c r="B167" s="83"/>
      <c r="C167" s="83"/>
      <c r="D167" s="83"/>
      <c r="E167" s="102"/>
      <c r="F167" s="102"/>
      <c r="G167" s="88"/>
      <c r="H167" s="88"/>
      <c r="I167" s="87"/>
      <c r="J167" s="87"/>
      <c r="K167" s="88"/>
      <c r="L167" s="90"/>
    </row>
    <row r="168">
      <c r="A168" s="128"/>
      <c r="B168" s="83"/>
      <c r="C168" s="83"/>
      <c r="D168" s="83"/>
      <c r="E168" s="102"/>
      <c r="F168" s="102"/>
      <c r="G168" s="88"/>
      <c r="H168" s="88"/>
      <c r="I168" s="87"/>
      <c r="J168" s="87"/>
      <c r="K168" s="88"/>
      <c r="L168" s="90"/>
    </row>
    <row r="169">
      <c r="A169" s="128"/>
      <c r="B169" s="83"/>
      <c r="C169" s="83"/>
      <c r="D169" s="83"/>
      <c r="E169" s="102"/>
      <c r="F169" s="102"/>
      <c r="G169" s="88"/>
      <c r="H169" s="88"/>
      <c r="I169" s="87"/>
      <c r="J169" s="87"/>
      <c r="K169" s="88"/>
      <c r="L169" s="90"/>
    </row>
    <row r="170">
      <c r="A170" s="128"/>
      <c r="B170" s="83"/>
      <c r="C170" s="83"/>
      <c r="D170" s="83"/>
      <c r="E170" s="102"/>
      <c r="F170" s="102"/>
      <c r="G170" s="88"/>
      <c r="H170" s="88"/>
      <c r="I170" s="87"/>
      <c r="J170" s="87"/>
      <c r="K170" s="88"/>
      <c r="L170" s="90"/>
    </row>
    <row r="171">
      <c r="A171" s="128"/>
      <c r="B171" s="83"/>
      <c r="C171" s="83"/>
      <c r="D171" s="83"/>
      <c r="E171" s="102"/>
      <c r="F171" s="102"/>
      <c r="G171" s="88"/>
      <c r="H171" s="88"/>
      <c r="I171" s="87"/>
      <c r="J171" s="87"/>
      <c r="K171" s="88"/>
      <c r="L171" s="90"/>
    </row>
    <row r="172">
      <c r="A172" s="128"/>
      <c r="B172" s="83"/>
      <c r="C172" s="83"/>
      <c r="D172" s="83"/>
      <c r="E172" s="102"/>
      <c r="F172" s="102"/>
      <c r="G172" s="88"/>
      <c r="H172" s="88"/>
      <c r="I172" s="87"/>
      <c r="J172" s="87"/>
      <c r="K172" s="88"/>
      <c r="L172" s="90"/>
    </row>
    <row r="173">
      <c r="A173" s="128"/>
      <c r="B173" s="83"/>
      <c r="C173" s="83"/>
      <c r="D173" s="83"/>
      <c r="E173" s="102"/>
      <c r="F173" s="102"/>
      <c r="G173" s="88"/>
      <c r="H173" s="88"/>
      <c r="I173" s="87"/>
      <c r="J173" s="87"/>
      <c r="K173" s="88"/>
      <c r="L173" s="90"/>
    </row>
    <row r="174">
      <c r="A174" s="128"/>
      <c r="B174" s="83"/>
      <c r="C174" s="83"/>
      <c r="D174" s="83"/>
      <c r="E174" s="102"/>
      <c r="F174" s="102"/>
      <c r="G174" s="88"/>
      <c r="H174" s="88"/>
      <c r="I174" s="87"/>
      <c r="J174" s="87"/>
      <c r="K174" s="88"/>
      <c r="L174" s="90"/>
    </row>
    <row r="175">
      <c r="A175" s="128"/>
      <c r="B175" s="83"/>
      <c r="C175" s="83"/>
      <c r="D175" s="83"/>
      <c r="E175" s="102"/>
      <c r="F175" s="102"/>
      <c r="G175" s="88"/>
      <c r="H175" s="88"/>
      <c r="I175" s="87"/>
      <c r="J175" s="87"/>
      <c r="K175" s="88"/>
      <c r="L175" s="90"/>
    </row>
    <row r="176">
      <c r="A176" s="128"/>
      <c r="B176" s="83"/>
      <c r="C176" s="83"/>
      <c r="D176" s="83"/>
      <c r="E176" s="102"/>
      <c r="F176" s="102"/>
      <c r="G176" s="88"/>
      <c r="H176" s="88"/>
      <c r="I176" s="87"/>
      <c r="J176" s="87"/>
      <c r="K176" s="88"/>
      <c r="L176" s="90"/>
    </row>
    <row r="177">
      <c r="A177" s="128"/>
      <c r="B177" s="83"/>
      <c r="C177" s="83"/>
      <c r="D177" s="83"/>
      <c r="E177" s="102"/>
      <c r="F177" s="102"/>
      <c r="G177" s="88"/>
      <c r="H177" s="88"/>
      <c r="I177" s="87"/>
      <c r="J177" s="87"/>
      <c r="K177" s="88"/>
      <c r="L177" s="90"/>
    </row>
    <row r="178">
      <c r="A178" s="128"/>
      <c r="B178" s="83"/>
      <c r="C178" s="83"/>
      <c r="D178" s="83"/>
      <c r="E178" s="102"/>
      <c r="F178" s="102"/>
      <c r="G178" s="88"/>
      <c r="H178" s="88"/>
      <c r="I178" s="87"/>
      <c r="J178" s="87"/>
      <c r="K178" s="88"/>
      <c r="L178" s="90"/>
    </row>
    <row r="179">
      <c r="A179" s="128"/>
      <c r="B179" s="83"/>
      <c r="C179" s="83"/>
      <c r="D179" s="83"/>
      <c r="E179" s="102"/>
      <c r="F179" s="102"/>
      <c r="G179" s="88"/>
      <c r="H179" s="88"/>
      <c r="I179" s="87"/>
      <c r="J179" s="87"/>
      <c r="K179" s="88"/>
      <c r="L179" s="90"/>
    </row>
    <row r="180">
      <c r="A180" s="128"/>
      <c r="B180" s="83"/>
      <c r="C180" s="83"/>
      <c r="D180" s="83"/>
      <c r="E180" s="102"/>
      <c r="F180" s="102"/>
      <c r="G180" s="88"/>
      <c r="H180" s="88"/>
      <c r="I180" s="87"/>
      <c r="J180" s="87"/>
      <c r="K180" s="88"/>
      <c r="L180" s="90"/>
    </row>
    <row r="181">
      <c r="A181" s="128"/>
      <c r="B181" s="83"/>
      <c r="C181" s="83"/>
      <c r="D181" s="83"/>
      <c r="E181" s="102"/>
      <c r="F181" s="102"/>
      <c r="G181" s="88"/>
      <c r="H181" s="88"/>
      <c r="I181" s="87"/>
      <c r="J181" s="87"/>
      <c r="K181" s="88"/>
      <c r="L181" s="90"/>
    </row>
    <row r="182">
      <c r="A182" s="128"/>
      <c r="B182" s="83"/>
      <c r="C182" s="83"/>
      <c r="D182" s="83"/>
      <c r="E182" s="102"/>
      <c r="F182" s="102"/>
      <c r="G182" s="88"/>
      <c r="H182" s="88"/>
      <c r="I182" s="87"/>
      <c r="J182" s="87"/>
      <c r="K182" s="88"/>
      <c r="L182" s="90"/>
    </row>
    <row r="183">
      <c r="A183" s="128"/>
      <c r="B183" s="83"/>
      <c r="C183" s="83"/>
      <c r="D183" s="83"/>
      <c r="E183" s="102"/>
      <c r="F183" s="102"/>
      <c r="G183" s="88"/>
      <c r="H183" s="88"/>
      <c r="I183" s="87"/>
      <c r="J183" s="87"/>
      <c r="K183" s="88"/>
      <c r="L183" s="90"/>
    </row>
    <row r="184">
      <c r="A184" s="128"/>
      <c r="B184" s="83"/>
      <c r="C184" s="83"/>
      <c r="D184" s="83"/>
      <c r="E184" s="102"/>
      <c r="F184" s="102"/>
      <c r="G184" s="88"/>
      <c r="H184" s="88"/>
      <c r="I184" s="87"/>
      <c r="J184" s="87"/>
      <c r="K184" s="88"/>
      <c r="L184" s="90"/>
    </row>
    <row r="185">
      <c r="A185" s="128"/>
      <c r="B185" s="83"/>
      <c r="C185" s="83"/>
      <c r="D185" s="83"/>
      <c r="E185" s="102"/>
      <c r="F185" s="102"/>
      <c r="G185" s="88"/>
      <c r="H185" s="88"/>
      <c r="I185" s="87"/>
      <c r="J185" s="87"/>
      <c r="K185" s="88"/>
      <c r="L185" s="90"/>
    </row>
    <row r="186">
      <c r="A186" s="128"/>
      <c r="B186" s="83"/>
      <c r="C186" s="83"/>
      <c r="D186" s="83"/>
      <c r="E186" s="102"/>
      <c r="F186" s="102"/>
      <c r="G186" s="88"/>
      <c r="H186" s="88"/>
      <c r="I186" s="87"/>
      <c r="J186" s="87"/>
      <c r="K186" s="88"/>
      <c r="L186" s="90"/>
    </row>
    <row r="187">
      <c r="A187" s="128"/>
      <c r="B187" s="83"/>
      <c r="C187" s="83"/>
      <c r="D187" s="83"/>
      <c r="E187" s="102"/>
      <c r="F187" s="102"/>
      <c r="G187" s="88"/>
      <c r="H187" s="88"/>
      <c r="I187" s="87"/>
      <c r="J187" s="87"/>
      <c r="K187" s="88"/>
      <c r="L187" s="90"/>
    </row>
    <row r="188">
      <c r="A188" s="128"/>
      <c r="B188" s="83"/>
      <c r="C188" s="83"/>
      <c r="D188" s="83"/>
      <c r="E188" s="102"/>
      <c r="F188" s="102"/>
      <c r="G188" s="88"/>
      <c r="H188" s="88"/>
      <c r="I188" s="87"/>
      <c r="J188" s="87"/>
      <c r="K188" s="88"/>
      <c r="L188" s="90"/>
    </row>
    <row r="189">
      <c r="A189" s="128"/>
      <c r="B189" s="83"/>
      <c r="C189" s="83"/>
      <c r="D189" s="83"/>
      <c r="E189" s="102"/>
      <c r="F189" s="102"/>
      <c r="G189" s="88"/>
      <c r="H189" s="88"/>
      <c r="I189" s="87"/>
      <c r="J189" s="87"/>
      <c r="K189" s="88"/>
      <c r="L189" s="90"/>
    </row>
    <row r="190">
      <c r="A190" s="128"/>
      <c r="B190" s="83"/>
      <c r="C190" s="83"/>
      <c r="D190" s="83"/>
      <c r="E190" s="102"/>
      <c r="F190" s="102"/>
      <c r="G190" s="88"/>
      <c r="H190" s="88"/>
      <c r="I190" s="87"/>
      <c r="J190" s="87"/>
      <c r="K190" s="88"/>
      <c r="L190" s="90"/>
    </row>
    <row r="191">
      <c r="A191" s="128"/>
      <c r="B191" s="83"/>
      <c r="C191" s="83"/>
      <c r="D191" s="83"/>
      <c r="E191" s="102"/>
      <c r="F191" s="102"/>
      <c r="G191" s="88"/>
      <c r="H191" s="88"/>
      <c r="I191" s="87"/>
      <c r="J191" s="87"/>
      <c r="K191" s="88"/>
      <c r="L191" s="90"/>
    </row>
    <row r="192">
      <c r="A192" s="128"/>
      <c r="B192" s="83"/>
      <c r="C192" s="83"/>
      <c r="D192" s="83"/>
      <c r="E192" s="102"/>
      <c r="F192" s="102"/>
      <c r="G192" s="88"/>
      <c r="H192" s="88"/>
      <c r="I192" s="87"/>
      <c r="J192" s="87"/>
      <c r="K192" s="88"/>
      <c r="L192" s="90"/>
    </row>
    <row r="193">
      <c r="A193" s="128"/>
      <c r="B193" s="83"/>
      <c r="C193" s="83"/>
      <c r="D193" s="83"/>
      <c r="E193" s="102"/>
      <c r="F193" s="102"/>
      <c r="G193" s="88"/>
      <c r="H193" s="88"/>
      <c r="I193" s="87"/>
      <c r="J193" s="87"/>
      <c r="K193" s="88"/>
      <c r="L193" s="90"/>
    </row>
    <row r="194">
      <c r="A194" s="128"/>
      <c r="B194" s="83"/>
      <c r="C194" s="83"/>
      <c r="D194" s="83"/>
      <c r="E194" s="102"/>
      <c r="F194" s="102"/>
      <c r="G194" s="88"/>
      <c r="H194" s="88"/>
      <c r="I194" s="87"/>
      <c r="J194" s="87"/>
      <c r="K194" s="88"/>
      <c r="L194" s="90"/>
    </row>
    <row r="195">
      <c r="A195" s="128"/>
      <c r="B195" s="83"/>
      <c r="C195" s="83"/>
      <c r="D195" s="83"/>
      <c r="E195" s="102"/>
      <c r="F195" s="102"/>
      <c r="G195" s="88"/>
      <c r="H195" s="88"/>
      <c r="I195" s="87"/>
      <c r="J195" s="87"/>
      <c r="K195" s="88"/>
      <c r="L195" s="90"/>
    </row>
    <row r="196">
      <c r="A196" s="128"/>
      <c r="B196" s="83"/>
      <c r="C196" s="83"/>
      <c r="D196" s="83"/>
      <c r="E196" s="102"/>
      <c r="F196" s="102"/>
      <c r="G196" s="88"/>
      <c r="H196" s="88"/>
      <c r="I196" s="87"/>
      <c r="J196" s="87"/>
      <c r="K196" s="88"/>
      <c r="L196" s="90"/>
    </row>
    <row r="197">
      <c r="A197" s="128"/>
      <c r="B197" s="83"/>
      <c r="C197" s="83"/>
      <c r="D197" s="83"/>
      <c r="E197" s="102"/>
      <c r="F197" s="102"/>
      <c r="G197" s="88"/>
      <c r="H197" s="88"/>
      <c r="I197" s="87"/>
      <c r="J197" s="87"/>
      <c r="K197" s="88"/>
      <c r="L197" s="90"/>
    </row>
    <row r="198">
      <c r="A198" s="128"/>
      <c r="B198" s="83"/>
      <c r="C198" s="83"/>
      <c r="D198" s="83"/>
      <c r="E198" s="102"/>
      <c r="F198" s="102"/>
      <c r="G198" s="88"/>
      <c r="H198" s="88"/>
      <c r="I198" s="87"/>
      <c r="J198" s="87"/>
      <c r="K198" s="88"/>
      <c r="L198" s="90"/>
    </row>
    <row r="199">
      <c r="A199" s="128"/>
      <c r="B199" s="83"/>
      <c r="C199" s="83"/>
      <c r="D199" s="83"/>
      <c r="E199" s="102"/>
      <c r="F199" s="102"/>
      <c r="G199" s="88"/>
      <c r="H199" s="88"/>
      <c r="I199" s="87"/>
      <c r="J199" s="87"/>
      <c r="K199" s="88"/>
      <c r="L199" s="90"/>
    </row>
    <row r="200">
      <c r="A200" s="128"/>
      <c r="B200" s="83"/>
      <c r="C200" s="83"/>
      <c r="D200" s="83"/>
      <c r="E200" s="102"/>
      <c r="F200" s="102"/>
      <c r="G200" s="88"/>
      <c r="H200" s="88"/>
      <c r="I200" s="87"/>
      <c r="J200" s="87"/>
      <c r="K200" s="88"/>
      <c r="L200" s="90"/>
    </row>
    <row r="201">
      <c r="A201" s="128"/>
      <c r="B201" s="83"/>
      <c r="C201" s="83"/>
      <c r="D201" s="83"/>
      <c r="E201" s="102"/>
      <c r="F201" s="102"/>
      <c r="G201" s="88"/>
      <c r="H201" s="88"/>
      <c r="I201" s="87"/>
      <c r="J201" s="87"/>
      <c r="K201" s="88"/>
      <c r="L201" s="90"/>
    </row>
    <row r="202">
      <c r="A202" s="128"/>
      <c r="B202" s="83"/>
      <c r="C202" s="83"/>
      <c r="D202" s="83"/>
      <c r="E202" s="102"/>
      <c r="F202" s="102"/>
      <c r="G202" s="88"/>
      <c r="H202" s="88"/>
      <c r="I202" s="87"/>
      <c r="J202" s="87"/>
      <c r="K202" s="88"/>
      <c r="L202" s="90"/>
    </row>
    <row r="203">
      <c r="A203" s="128"/>
      <c r="B203" s="83"/>
      <c r="C203" s="83"/>
      <c r="D203" s="83"/>
      <c r="E203" s="102"/>
      <c r="F203" s="102"/>
      <c r="G203" s="88"/>
      <c r="H203" s="88"/>
      <c r="I203" s="87"/>
      <c r="J203" s="87"/>
      <c r="K203" s="88"/>
      <c r="L203" s="90"/>
    </row>
    <row r="204">
      <c r="A204" s="128"/>
      <c r="B204" s="83"/>
      <c r="C204" s="83"/>
      <c r="D204" s="83"/>
      <c r="E204" s="102"/>
      <c r="F204" s="102"/>
      <c r="G204" s="88"/>
      <c r="H204" s="88"/>
      <c r="I204" s="87"/>
      <c r="J204" s="87"/>
      <c r="K204" s="88"/>
      <c r="L204" s="90"/>
    </row>
    <row r="205">
      <c r="A205" s="128"/>
      <c r="B205" s="83"/>
      <c r="C205" s="83"/>
      <c r="D205" s="83"/>
      <c r="E205" s="102"/>
      <c r="F205" s="102"/>
      <c r="G205" s="88"/>
      <c r="H205" s="88"/>
      <c r="I205" s="87"/>
      <c r="J205" s="87"/>
      <c r="K205" s="88"/>
      <c r="L205" s="90"/>
    </row>
    <row r="206">
      <c r="A206" s="128"/>
      <c r="B206" s="83"/>
      <c r="C206" s="83"/>
      <c r="D206" s="83"/>
      <c r="E206" s="102"/>
      <c r="F206" s="102"/>
      <c r="G206" s="88"/>
      <c r="H206" s="88"/>
      <c r="I206" s="87"/>
      <c r="J206" s="87"/>
      <c r="K206" s="88"/>
      <c r="L206" s="90"/>
    </row>
    <row r="207">
      <c r="A207" s="128"/>
      <c r="B207" s="83"/>
      <c r="C207" s="83"/>
      <c r="D207" s="83"/>
      <c r="E207" s="102"/>
      <c r="F207" s="102"/>
      <c r="G207" s="88"/>
      <c r="H207" s="88"/>
      <c r="I207" s="87"/>
      <c r="J207" s="87"/>
      <c r="K207" s="88"/>
      <c r="L207" s="90"/>
    </row>
    <row r="208">
      <c r="A208" s="128"/>
      <c r="B208" s="83"/>
      <c r="C208" s="83"/>
      <c r="D208" s="83"/>
      <c r="E208" s="102"/>
      <c r="F208" s="102"/>
      <c r="G208" s="88"/>
      <c r="H208" s="88"/>
      <c r="I208" s="87"/>
      <c r="J208" s="87"/>
      <c r="K208" s="88"/>
      <c r="L208" s="90"/>
    </row>
    <row r="209">
      <c r="A209" s="128"/>
      <c r="B209" s="83"/>
      <c r="C209" s="83"/>
      <c r="D209" s="83"/>
      <c r="E209" s="102"/>
      <c r="F209" s="102"/>
      <c r="G209" s="88"/>
      <c r="H209" s="88"/>
      <c r="I209" s="87"/>
      <c r="J209" s="87"/>
      <c r="K209" s="88"/>
      <c r="L209" s="90"/>
    </row>
    <row r="210">
      <c r="A210" s="128"/>
      <c r="B210" s="83"/>
      <c r="C210" s="83"/>
      <c r="D210" s="83"/>
      <c r="E210" s="102"/>
      <c r="F210" s="102"/>
      <c r="G210" s="88"/>
      <c r="H210" s="88"/>
      <c r="I210" s="87"/>
      <c r="J210" s="87"/>
      <c r="K210" s="88"/>
      <c r="L210" s="90"/>
    </row>
    <row r="211">
      <c r="A211" s="128"/>
      <c r="B211" s="83"/>
      <c r="C211" s="83"/>
      <c r="D211" s="83"/>
      <c r="E211" s="102"/>
      <c r="F211" s="102"/>
      <c r="G211" s="88"/>
      <c r="H211" s="88"/>
      <c r="I211" s="87"/>
      <c r="J211" s="87"/>
      <c r="K211" s="88"/>
      <c r="L211" s="90"/>
    </row>
    <row r="212">
      <c r="A212" s="128"/>
      <c r="B212" s="83"/>
      <c r="C212" s="83"/>
      <c r="D212" s="83"/>
      <c r="E212" s="102"/>
      <c r="F212" s="102"/>
      <c r="G212" s="88"/>
      <c r="H212" s="88"/>
      <c r="I212" s="87"/>
      <c r="J212" s="87"/>
      <c r="K212" s="88"/>
      <c r="L212" s="90"/>
    </row>
    <row r="213">
      <c r="A213" s="128"/>
      <c r="B213" s="83"/>
      <c r="C213" s="83"/>
      <c r="D213" s="83"/>
      <c r="E213" s="102"/>
      <c r="F213" s="102"/>
      <c r="G213" s="88"/>
      <c r="H213" s="88"/>
      <c r="I213" s="87"/>
      <c r="J213" s="87"/>
      <c r="K213" s="88"/>
      <c r="L213" s="90"/>
    </row>
    <row r="214">
      <c r="A214" s="128"/>
      <c r="B214" s="83"/>
      <c r="C214" s="83"/>
      <c r="D214" s="83"/>
      <c r="E214" s="102"/>
      <c r="F214" s="102"/>
      <c r="G214" s="88"/>
      <c r="H214" s="88"/>
      <c r="I214" s="87"/>
      <c r="J214" s="87"/>
      <c r="K214" s="88"/>
      <c r="L214" s="90"/>
    </row>
    <row r="215">
      <c r="A215" s="128"/>
      <c r="B215" s="83"/>
      <c r="C215" s="83"/>
      <c r="D215" s="83"/>
      <c r="E215" s="102"/>
      <c r="F215" s="102"/>
      <c r="G215" s="88"/>
      <c r="H215" s="88"/>
      <c r="I215" s="87"/>
      <c r="J215" s="87"/>
      <c r="K215" s="88"/>
      <c r="L215" s="90"/>
    </row>
    <row r="216">
      <c r="A216" s="128"/>
      <c r="B216" s="83"/>
      <c r="C216" s="83"/>
      <c r="D216" s="83"/>
      <c r="E216" s="102"/>
      <c r="F216" s="102"/>
      <c r="G216" s="88"/>
      <c r="H216" s="88"/>
      <c r="I216" s="87"/>
      <c r="J216" s="87"/>
      <c r="K216" s="88"/>
      <c r="L216" s="90"/>
    </row>
    <row r="217">
      <c r="A217" s="128"/>
      <c r="B217" s="83"/>
      <c r="C217" s="83"/>
      <c r="D217" s="83"/>
      <c r="E217" s="102"/>
      <c r="F217" s="102"/>
      <c r="G217" s="88"/>
      <c r="H217" s="88"/>
      <c r="I217" s="87"/>
      <c r="J217" s="87"/>
      <c r="K217" s="88"/>
      <c r="L217" s="90"/>
    </row>
    <row r="218">
      <c r="A218" s="128"/>
      <c r="B218" s="83"/>
      <c r="C218" s="83"/>
      <c r="D218" s="83"/>
      <c r="E218" s="102"/>
      <c r="F218" s="102"/>
      <c r="G218" s="88"/>
      <c r="H218" s="88"/>
      <c r="I218" s="87"/>
      <c r="J218" s="87"/>
      <c r="K218" s="88"/>
      <c r="L218" s="90"/>
    </row>
    <row r="219">
      <c r="A219" s="128"/>
      <c r="B219" s="83"/>
      <c r="C219" s="83"/>
      <c r="D219" s="83"/>
      <c r="E219" s="102"/>
      <c r="F219" s="102"/>
      <c r="G219" s="88"/>
      <c r="H219" s="88"/>
      <c r="I219" s="87"/>
      <c r="J219" s="87"/>
      <c r="K219" s="88"/>
      <c r="L219" s="90"/>
    </row>
    <row r="220">
      <c r="A220" s="128"/>
      <c r="B220" s="83"/>
      <c r="C220" s="83"/>
      <c r="D220" s="83"/>
      <c r="E220" s="102"/>
      <c r="F220" s="102"/>
      <c r="G220" s="88"/>
      <c r="H220" s="88"/>
      <c r="I220" s="87"/>
      <c r="J220" s="87"/>
      <c r="K220" s="88"/>
      <c r="L220" s="90"/>
    </row>
    <row r="221">
      <c r="A221" s="128"/>
      <c r="B221" s="83"/>
      <c r="C221" s="83"/>
      <c r="D221" s="83"/>
      <c r="E221" s="102"/>
      <c r="F221" s="102"/>
      <c r="G221" s="88"/>
      <c r="H221" s="88"/>
      <c r="I221" s="87"/>
      <c r="J221" s="87"/>
      <c r="K221" s="88"/>
      <c r="L221" s="90"/>
    </row>
    <row r="222">
      <c r="A222" s="128"/>
      <c r="B222" s="83"/>
      <c r="C222" s="83"/>
      <c r="D222" s="83"/>
      <c r="E222" s="102"/>
      <c r="F222" s="102"/>
      <c r="G222" s="88"/>
      <c r="H222" s="88"/>
      <c r="I222" s="87"/>
      <c r="J222" s="87"/>
      <c r="K222" s="88"/>
      <c r="L222" s="90"/>
    </row>
    <row r="223">
      <c r="A223" s="128"/>
      <c r="B223" s="83"/>
      <c r="C223" s="83"/>
      <c r="D223" s="83"/>
      <c r="E223" s="102"/>
      <c r="F223" s="102"/>
      <c r="G223" s="88"/>
      <c r="H223" s="88"/>
      <c r="I223" s="87"/>
      <c r="J223" s="87"/>
      <c r="K223" s="88"/>
      <c r="L223" s="90"/>
    </row>
    <row r="224">
      <c r="A224" s="128"/>
      <c r="B224" s="83"/>
      <c r="C224" s="83"/>
      <c r="D224" s="83"/>
      <c r="E224" s="102"/>
      <c r="F224" s="102"/>
      <c r="G224" s="88"/>
      <c r="H224" s="88"/>
      <c r="I224" s="87"/>
      <c r="J224" s="87"/>
      <c r="K224" s="88"/>
      <c r="L224" s="90"/>
    </row>
    <row r="225">
      <c r="A225" s="128"/>
      <c r="B225" s="83"/>
      <c r="C225" s="83"/>
      <c r="D225" s="83"/>
      <c r="E225" s="102"/>
      <c r="F225" s="102"/>
      <c r="G225" s="88"/>
      <c r="H225" s="88"/>
      <c r="I225" s="87"/>
      <c r="J225" s="87"/>
      <c r="K225" s="88"/>
      <c r="L225" s="90"/>
    </row>
    <row r="226">
      <c r="A226" s="128"/>
      <c r="B226" s="83"/>
      <c r="C226" s="83"/>
      <c r="D226" s="83"/>
      <c r="E226" s="102"/>
      <c r="F226" s="102"/>
      <c r="G226" s="88"/>
      <c r="H226" s="88"/>
      <c r="I226" s="87"/>
      <c r="J226" s="87"/>
      <c r="K226" s="88"/>
      <c r="L226" s="90"/>
    </row>
    <row r="227">
      <c r="A227" s="128"/>
      <c r="B227" s="83"/>
      <c r="C227" s="83"/>
      <c r="D227" s="83"/>
      <c r="E227" s="102"/>
      <c r="F227" s="102"/>
      <c r="G227" s="88"/>
      <c r="H227" s="88"/>
      <c r="I227" s="87"/>
      <c r="J227" s="87"/>
      <c r="K227" s="88"/>
      <c r="L227" s="90"/>
    </row>
    <row r="228">
      <c r="A228" s="128"/>
      <c r="B228" s="83"/>
      <c r="C228" s="83"/>
      <c r="D228" s="83"/>
      <c r="E228" s="102"/>
      <c r="F228" s="102"/>
      <c r="G228" s="88"/>
      <c r="H228" s="88"/>
      <c r="I228" s="87"/>
      <c r="J228" s="87"/>
      <c r="K228" s="88"/>
      <c r="L228" s="90"/>
    </row>
    <row r="229">
      <c r="A229" s="128"/>
      <c r="B229" s="83"/>
      <c r="C229" s="83"/>
      <c r="D229" s="83"/>
      <c r="E229" s="102"/>
      <c r="F229" s="102"/>
      <c r="G229" s="88"/>
      <c r="H229" s="88"/>
      <c r="I229" s="87"/>
      <c r="J229" s="87"/>
      <c r="K229" s="88"/>
      <c r="L229" s="90"/>
    </row>
    <row r="230">
      <c r="A230" s="128"/>
      <c r="B230" s="83"/>
      <c r="C230" s="83"/>
      <c r="D230" s="83"/>
      <c r="E230" s="102"/>
      <c r="F230" s="102"/>
      <c r="G230" s="88"/>
      <c r="H230" s="88"/>
      <c r="I230" s="87"/>
      <c r="J230" s="87"/>
      <c r="K230" s="88"/>
      <c r="L230" s="90"/>
    </row>
    <row r="231">
      <c r="A231" s="128"/>
      <c r="B231" s="83"/>
      <c r="C231" s="83"/>
      <c r="D231" s="83"/>
      <c r="E231" s="102"/>
      <c r="F231" s="102"/>
      <c r="G231" s="88"/>
      <c r="H231" s="88"/>
      <c r="I231" s="87"/>
      <c r="J231" s="87"/>
      <c r="K231" s="88"/>
      <c r="L231" s="90"/>
    </row>
    <row r="232">
      <c r="A232" s="128"/>
      <c r="B232" s="83"/>
      <c r="C232" s="83"/>
      <c r="D232" s="83"/>
      <c r="E232" s="102"/>
      <c r="F232" s="102"/>
      <c r="G232" s="88"/>
      <c r="H232" s="88"/>
      <c r="I232" s="87"/>
      <c r="J232" s="87"/>
      <c r="K232" s="88"/>
      <c r="L232" s="90"/>
    </row>
    <row r="233">
      <c r="A233" s="128"/>
      <c r="B233" s="83"/>
      <c r="C233" s="83"/>
      <c r="D233" s="83"/>
      <c r="E233" s="102"/>
      <c r="F233" s="102"/>
      <c r="G233" s="88"/>
      <c r="H233" s="88"/>
      <c r="I233" s="87"/>
      <c r="J233" s="87"/>
      <c r="K233" s="88"/>
      <c r="L233" s="90"/>
    </row>
    <row r="234">
      <c r="A234" s="128"/>
      <c r="B234" s="83"/>
      <c r="C234" s="83"/>
      <c r="D234" s="83"/>
      <c r="E234" s="102"/>
      <c r="F234" s="102"/>
      <c r="G234" s="88"/>
      <c r="H234" s="88"/>
      <c r="I234" s="87"/>
      <c r="J234" s="87"/>
      <c r="K234" s="88"/>
      <c r="L234" s="90"/>
    </row>
    <row r="235">
      <c r="A235" s="128"/>
      <c r="B235" s="83"/>
      <c r="C235" s="83"/>
      <c r="D235" s="83"/>
      <c r="E235" s="102"/>
      <c r="F235" s="102"/>
      <c r="G235" s="88"/>
      <c r="H235" s="88"/>
      <c r="I235" s="87"/>
      <c r="J235" s="87"/>
      <c r="K235" s="88"/>
      <c r="L235" s="90"/>
    </row>
    <row r="236">
      <c r="A236" s="128"/>
      <c r="B236" s="83"/>
      <c r="C236" s="83"/>
      <c r="D236" s="83"/>
      <c r="E236" s="102"/>
      <c r="F236" s="102"/>
      <c r="G236" s="88"/>
      <c r="H236" s="88"/>
      <c r="I236" s="87"/>
      <c r="J236" s="87"/>
      <c r="K236" s="88"/>
      <c r="L236" s="90"/>
    </row>
    <row r="237">
      <c r="A237" s="128"/>
      <c r="B237" s="83"/>
      <c r="C237" s="83"/>
      <c r="D237" s="83"/>
      <c r="E237" s="102"/>
      <c r="F237" s="102"/>
      <c r="G237" s="88"/>
      <c r="H237" s="88"/>
      <c r="I237" s="87"/>
      <c r="J237" s="87"/>
      <c r="K237" s="88"/>
      <c r="L237" s="90"/>
    </row>
    <row r="238">
      <c r="A238" s="128"/>
      <c r="B238" s="83"/>
      <c r="C238" s="83"/>
      <c r="D238" s="83"/>
      <c r="E238" s="102"/>
      <c r="F238" s="102"/>
      <c r="G238" s="88"/>
      <c r="H238" s="88"/>
      <c r="I238" s="87"/>
      <c r="J238" s="87"/>
      <c r="K238" s="88"/>
      <c r="L238" s="90"/>
    </row>
    <row r="239">
      <c r="A239" s="128"/>
      <c r="B239" s="83"/>
      <c r="C239" s="83"/>
      <c r="D239" s="83"/>
      <c r="E239" s="102"/>
      <c r="F239" s="102"/>
      <c r="G239" s="88"/>
      <c r="H239" s="88"/>
      <c r="I239" s="87"/>
      <c r="J239" s="87"/>
      <c r="K239" s="88"/>
      <c r="L239" s="90"/>
    </row>
    <row r="240">
      <c r="A240" s="128"/>
      <c r="B240" s="83"/>
      <c r="C240" s="83"/>
      <c r="D240" s="83"/>
      <c r="E240" s="102"/>
      <c r="F240" s="102"/>
      <c r="G240" s="88"/>
      <c r="H240" s="88"/>
      <c r="I240" s="87"/>
      <c r="J240" s="87"/>
      <c r="K240" s="88"/>
      <c r="L240" s="90"/>
    </row>
    <row r="241">
      <c r="A241" s="128"/>
      <c r="B241" s="83"/>
      <c r="C241" s="83"/>
      <c r="D241" s="83"/>
      <c r="E241" s="102"/>
      <c r="F241" s="102"/>
      <c r="G241" s="88"/>
      <c r="H241" s="88"/>
      <c r="I241" s="87"/>
      <c r="J241" s="87"/>
      <c r="K241" s="88"/>
      <c r="L241" s="90"/>
    </row>
    <row r="242">
      <c r="A242" s="128"/>
      <c r="B242" s="83"/>
      <c r="C242" s="83"/>
      <c r="D242" s="83"/>
      <c r="E242" s="102"/>
      <c r="F242" s="102"/>
      <c r="G242" s="88"/>
      <c r="H242" s="88"/>
      <c r="I242" s="87"/>
      <c r="J242" s="87"/>
      <c r="K242" s="88"/>
      <c r="L242" s="90"/>
    </row>
    <row r="243">
      <c r="A243" s="128"/>
      <c r="B243" s="83"/>
      <c r="C243" s="83"/>
      <c r="D243" s="83"/>
      <c r="E243" s="102"/>
      <c r="F243" s="102"/>
      <c r="G243" s="88"/>
      <c r="H243" s="88"/>
      <c r="I243" s="87"/>
      <c r="J243" s="87"/>
      <c r="K243" s="88"/>
      <c r="L243" s="90"/>
    </row>
    <row r="244">
      <c r="A244" s="128"/>
      <c r="B244" s="83"/>
      <c r="C244" s="83"/>
      <c r="D244" s="83"/>
      <c r="E244" s="102"/>
      <c r="F244" s="102"/>
      <c r="G244" s="88"/>
      <c r="H244" s="88"/>
      <c r="I244" s="87"/>
      <c r="J244" s="87"/>
      <c r="K244" s="88"/>
      <c r="L244" s="90"/>
    </row>
    <row r="245">
      <c r="A245" s="128"/>
      <c r="B245" s="83"/>
      <c r="C245" s="83"/>
      <c r="D245" s="83"/>
      <c r="E245" s="102"/>
      <c r="F245" s="102"/>
      <c r="G245" s="88"/>
      <c r="H245" s="88"/>
      <c r="I245" s="87"/>
      <c r="J245" s="87"/>
      <c r="K245" s="88"/>
      <c r="L245" s="90"/>
    </row>
    <row r="246">
      <c r="A246" s="128"/>
      <c r="B246" s="83"/>
      <c r="C246" s="83"/>
      <c r="D246" s="83"/>
      <c r="E246" s="102"/>
      <c r="F246" s="102"/>
      <c r="G246" s="88"/>
      <c r="H246" s="88"/>
      <c r="I246" s="87"/>
      <c r="J246" s="87"/>
      <c r="K246" s="88"/>
      <c r="L246" s="90"/>
    </row>
    <row r="247">
      <c r="A247" s="128"/>
      <c r="B247" s="83"/>
      <c r="C247" s="83"/>
      <c r="D247" s="83"/>
      <c r="E247" s="102"/>
      <c r="F247" s="102"/>
      <c r="G247" s="88"/>
      <c r="H247" s="88"/>
      <c r="I247" s="87"/>
      <c r="J247" s="87"/>
      <c r="K247" s="88"/>
      <c r="L247" s="90"/>
    </row>
    <row r="248">
      <c r="A248" s="128"/>
      <c r="B248" s="83"/>
      <c r="C248" s="83"/>
      <c r="D248" s="83"/>
      <c r="E248" s="102"/>
      <c r="F248" s="102"/>
      <c r="G248" s="88"/>
      <c r="H248" s="88"/>
      <c r="I248" s="87"/>
      <c r="J248" s="87"/>
      <c r="K248" s="88"/>
      <c r="L248" s="90"/>
    </row>
    <row r="249">
      <c r="A249" s="128"/>
      <c r="B249" s="83"/>
      <c r="C249" s="83"/>
      <c r="D249" s="83"/>
      <c r="E249" s="102"/>
      <c r="F249" s="102"/>
      <c r="G249" s="88"/>
      <c r="H249" s="88"/>
      <c r="I249" s="87"/>
      <c r="J249" s="87"/>
      <c r="K249" s="88"/>
      <c r="L249" s="90"/>
    </row>
    <row r="250">
      <c r="A250" s="128"/>
      <c r="B250" s="83"/>
      <c r="C250" s="83"/>
      <c r="D250" s="83"/>
      <c r="E250" s="102"/>
      <c r="F250" s="102"/>
      <c r="G250" s="88"/>
      <c r="H250" s="88"/>
      <c r="I250" s="87"/>
      <c r="J250" s="87"/>
      <c r="K250" s="88"/>
      <c r="L250" s="90"/>
    </row>
    <row r="251">
      <c r="A251" s="128"/>
      <c r="B251" s="83"/>
      <c r="C251" s="83"/>
      <c r="D251" s="83"/>
      <c r="E251" s="102"/>
      <c r="F251" s="102"/>
      <c r="G251" s="88"/>
      <c r="H251" s="88"/>
      <c r="I251" s="87"/>
      <c r="J251" s="87"/>
      <c r="K251" s="88"/>
      <c r="L251" s="90"/>
    </row>
    <row r="252">
      <c r="A252" s="128"/>
      <c r="B252" s="83"/>
      <c r="C252" s="83"/>
      <c r="D252" s="83"/>
      <c r="E252" s="102"/>
      <c r="F252" s="102"/>
      <c r="G252" s="88"/>
      <c r="H252" s="88"/>
      <c r="I252" s="87"/>
      <c r="J252" s="87"/>
      <c r="K252" s="88"/>
      <c r="L252" s="90"/>
    </row>
    <row r="253">
      <c r="A253" s="128"/>
      <c r="B253" s="83"/>
      <c r="C253" s="83"/>
      <c r="D253" s="83"/>
      <c r="E253" s="102"/>
      <c r="F253" s="102"/>
      <c r="G253" s="88"/>
      <c r="H253" s="88"/>
      <c r="I253" s="87"/>
      <c r="J253" s="87"/>
      <c r="K253" s="88"/>
      <c r="L253" s="90"/>
    </row>
    <row r="254">
      <c r="A254" s="128"/>
      <c r="B254" s="83"/>
      <c r="C254" s="83"/>
      <c r="D254" s="83"/>
      <c r="E254" s="102"/>
      <c r="F254" s="102"/>
      <c r="G254" s="88"/>
      <c r="H254" s="88"/>
      <c r="I254" s="87"/>
      <c r="J254" s="87"/>
      <c r="K254" s="88"/>
      <c r="L254" s="90"/>
    </row>
    <row r="255">
      <c r="A255" s="128"/>
      <c r="B255" s="83"/>
      <c r="C255" s="83"/>
      <c r="D255" s="83"/>
      <c r="E255" s="102"/>
      <c r="F255" s="102"/>
      <c r="G255" s="88"/>
      <c r="H255" s="88"/>
      <c r="I255" s="87"/>
      <c r="J255" s="87"/>
      <c r="K255" s="88"/>
      <c r="L255" s="90"/>
    </row>
    <row r="256">
      <c r="A256" s="128"/>
      <c r="B256" s="83"/>
      <c r="C256" s="83"/>
      <c r="D256" s="83"/>
      <c r="E256" s="102"/>
      <c r="F256" s="102"/>
      <c r="G256" s="88"/>
      <c r="H256" s="88"/>
      <c r="I256" s="87"/>
      <c r="J256" s="87"/>
      <c r="K256" s="88"/>
      <c r="L256" s="90"/>
    </row>
    <row r="257">
      <c r="A257" s="128"/>
      <c r="B257" s="83"/>
      <c r="C257" s="83"/>
      <c r="D257" s="83"/>
      <c r="E257" s="102"/>
      <c r="F257" s="102"/>
      <c r="G257" s="88"/>
      <c r="H257" s="88"/>
      <c r="I257" s="87"/>
      <c r="J257" s="87"/>
      <c r="K257" s="88"/>
      <c r="L257" s="90"/>
    </row>
    <row r="258">
      <c r="A258" s="128"/>
      <c r="B258" s="83"/>
      <c r="C258" s="83"/>
      <c r="D258" s="83"/>
      <c r="E258" s="102"/>
      <c r="F258" s="102"/>
      <c r="G258" s="88"/>
      <c r="H258" s="88"/>
      <c r="I258" s="87"/>
      <c r="J258" s="87"/>
      <c r="K258" s="88"/>
      <c r="L258" s="90"/>
    </row>
    <row r="259">
      <c r="A259" s="128"/>
      <c r="B259" s="83"/>
      <c r="C259" s="83"/>
      <c r="D259" s="83"/>
      <c r="E259" s="102"/>
      <c r="F259" s="102"/>
      <c r="G259" s="88"/>
      <c r="H259" s="88"/>
      <c r="I259" s="87"/>
      <c r="J259" s="87"/>
      <c r="K259" s="88"/>
      <c r="L259" s="90"/>
    </row>
    <row r="260">
      <c r="A260" s="128"/>
      <c r="B260" s="83"/>
      <c r="C260" s="83"/>
      <c r="D260" s="83"/>
      <c r="E260" s="102"/>
      <c r="F260" s="102"/>
      <c r="G260" s="88"/>
      <c r="H260" s="88"/>
      <c r="I260" s="87"/>
      <c r="J260" s="87"/>
      <c r="K260" s="88"/>
      <c r="L260" s="90"/>
    </row>
    <row r="261">
      <c r="A261" s="128"/>
      <c r="B261" s="83"/>
      <c r="C261" s="83"/>
      <c r="D261" s="83"/>
      <c r="E261" s="102"/>
      <c r="F261" s="102"/>
      <c r="G261" s="88"/>
      <c r="H261" s="88"/>
      <c r="I261" s="87"/>
      <c r="J261" s="87"/>
      <c r="K261" s="88"/>
      <c r="L261" s="90"/>
    </row>
    <row r="262">
      <c r="A262" s="128"/>
      <c r="B262" s="83"/>
      <c r="C262" s="83"/>
      <c r="D262" s="83"/>
      <c r="E262" s="102"/>
      <c r="F262" s="102"/>
      <c r="G262" s="88"/>
      <c r="H262" s="88"/>
      <c r="I262" s="87"/>
      <c r="J262" s="87"/>
      <c r="K262" s="88"/>
      <c r="L262" s="90"/>
    </row>
    <row r="263">
      <c r="A263" s="128"/>
      <c r="B263" s="83"/>
      <c r="C263" s="83"/>
      <c r="D263" s="83"/>
      <c r="E263" s="102"/>
      <c r="F263" s="102"/>
      <c r="G263" s="88"/>
      <c r="H263" s="88"/>
      <c r="I263" s="87"/>
      <c r="J263" s="87"/>
      <c r="K263" s="88"/>
      <c r="L263" s="90"/>
    </row>
    <row r="264">
      <c r="A264" s="128"/>
      <c r="B264" s="83"/>
      <c r="C264" s="83"/>
      <c r="D264" s="83"/>
      <c r="E264" s="102"/>
      <c r="F264" s="102"/>
      <c r="G264" s="88"/>
      <c r="H264" s="88"/>
      <c r="I264" s="87"/>
      <c r="J264" s="87"/>
      <c r="K264" s="88"/>
      <c r="L264" s="90"/>
    </row>
    <row r="265">
      <c r="A265" s="128"/>
      <c r="B265" s="83"/>
      <c r="C265" s="83"/>
      <c r="D265" s="83"/>
      <c r="E265" s="102"/>
      <c r="F265" s="102"/>
      <c r="G265" s="88"/>
      <c r="H265" s="88"/>
      <c r="I265" s="87"/>
      <c r="J265" s="87"/>
      <c r="K265" s="88"/>
      <c r="L265" s="90"/>
    </row>
    <row r="266">
      <c r="A266" s="128"/>
      <c r="B266" s="83"/>
      <c r="C266" s="83"/>
      <c r="D266" s="83"/>
      <c r="E266" s="102"/>
      <c r="F266" s="102"/>
      <c r="G266" s="88"/>
      <c r="H266" s="88"/>
      <c r="I266" s="87"/>
      <c r="J266" s="87"/>
      <c r="K266" s="88"/>
      <c r="L266" s="90"/>
    </row>
    <row r="267">
      <c r="A267" s="128"/>
      <c r="B267" s="83"/>
      <c r="C267" s="83"/>
      <c r="D267" s="83"/>
      <c r="E267" s="102"/>
      <c r="F267" s="102"/>
      <c r="G267" s="88"/>
      <c r="H267" s="88"/>
      <c r="I267" s="87"/>
      <c r="J267" s="87"/>
      <c r="K267" s="88"/>
      <c r="L267" s="90"/>
    </row>
    <row r="268">
      <c r="A268" s="128"/>
      <c r="B268" s="83"/>
      <c r="C268" s="83"/>
      <c r="D268" s="83"/>
      <c r="E268" s="102"/>
      <c r="F268" s="102"/>
      <c r="G268" s="88"/>
      <c r="H268" s="88"/>
      <c r="I268" s="87"/>
      <c r="J268" s="87"/>
      <c r="K268" s="88"/>
      <c r="L268" s="90"/>
    </row>
    <row r="269">
      <c r="A269" s="128"/>
      <c r="B269" s="83"/>
      <c r="C269" s="83"/>
      <c r="D269" s="83"/>
      <c r="E269" s="102"/>
      <c r="F269" s="102"/>
      <c r="G269" s="88"/>
      <c r="H269" s="88"/>
      <c r="I269" s="87"/>
      <c r="J269" s="87"/>
      <c r="K269" s="88"/>
      <c r="L269" s="90"/>
    </row>
    <row r="270">
      <c r="A270" s="128"/>
      <c r="B270" s="83"/>
      <c r="C270" s="83"/>
      <c r="D270" s="83"/>
      <c r="E270" s="102"/>
      <c r="F270" s="102"/>
      <c r="G270" s="88"/>
      <c r="H270" s="88"/>
      <c r="I270" s="87"/>
      <c r="J270" s="87"/>
      <c r="K270" s="88"/>
      <c r="L270" s="90"/>
    </row>
    <row r="271">
      <c r="A271" s="128"/>
      <c r="B271" s="83"/>
      <c r="C271" s="83"/>
      <c r="D271" s="83"/>
      <c r="E271" s="102"/>
      <c r="F271" s="102"/>
      <c r="G271" s="88"/>
      <c r="H271" s="88"/>
      <c r="I271" s="87"/>
      <c r="J271" s="87"/>
      <c r="K271" s="88"/>
      <c r="L271" s="90"/>
    </row>
    <row r="272">
      <c r="A272" s="128"/>
      <c r="B272" s="83"/>
      <c r="C272" s="83"/>
      <c r="D272" s="83"/>
      <c r="E272" s="102"/>
      <c r="F272" s="102"/>
      <c r="G272" s="88"/>
      <c r="H272" s="88"/>
      <c r="I272" s="87"/>
      <c r="J272" s="87"/>
      <c r="K272" s="88"/>
      <c r="L272" s="90"/>
    </row>
    <row r="273">
      <c r="A273" s="128"/>
      <c r="B273" s="83"/>
      <c r="C273" s="83"/>
      <c r="D273" s="83"/>
      <c r="E273" s="102"/>
      <c r="F273" s="102"/>
      <c r="G273" s="88"/>
      <c r="H273" s="88"/>
      <c r="I273" s="87"/>
      <c r="J273" s="87"/>
      <c r="K273" s="88"/>
      <c r="L273" s="90"/>
    </row>
    <row r="274">
      <c r="A274" s="128"/>
      <c r="B274" s="83"/>
      <c r="C274" s="83"/>
      <c r="D274" s="83"/>
      <c r="E274" s="102"/>
      <c r="F274" s="102"/>
      <c r="G274" s="88"/>
      <c r="H274" s="88"/>
      <c r="I274" s="87"/>
      <c r="J274" s="87"/>
      <c r="K274" s="88"/>
      <c r="L274" s="90"/>
    </row>
    <row r="275">
      <c r="A275" s="128"/>
      <c r="B275" s="83"/>
      <c r="C275" s="83"/>
      <c r="D275" s="83"/>
      <c r="E275" s="102"/>
      <c r="F275" s="102"/>
      <c r="G275" s="88"/>
      <c r="H275" s="88"/>
      <c r="I275" s="87"/>
      <c r="J275" s="87"/>
      <c r="K275" s="88"/>
      <c r="L275" s="90"/>
    </row>
    <row r="276">
      <c r="A276" s="128"/>
      <c r="B276" s="83"/>
      <c r="C276" s="83"/>
      <c r="D276" s="83"/>
      <c r="E276" s="102"/>
      <c r="F276" s="102"/>
      <c r="G276" s="88"/>
      <c r="H276" s="88"/>
      <c r="I276" s="87"/>
      <c r="J276" s="87"/>
      <c r="K276" s="88"/>
      <c r="L276" s="90"/>
    </row>
    <row r="277">
      <c r="A277" s="128"/>
      <c r="B277" s="83"/>
      <c r="C277" s="83"/>
      <c r="D277" s="83"/>
      <c r="E277" s="102"/>
      <c r="F277" s="102"/>
      <c r="G277" s="88"/>
      <c r="H277" s="88"/>
      <c r="I277" s="87"/>
      <c r="J277" s="87"/>
      <c r="K277" s="88"/>
      <c r="L277" s="90"/>
    </row>
    <row r="278">
      <c r="A278" s="128"/>
      <c r="B278" s="83"/>
      <c r="C278" s="83"/>
      <c r="D278" s="83"/>
      <c r="E278" s="102"/>
      <c r="F278" s="102"/>
      <c r="G278" s="88"/>
      <c r="H278" s="88"/>
      <c r="I278" s="87"/>
      <c r="J278" s="87"/>
      <c r="K278" s="88"/>
      <c r="L278" s="90"/>
    </row>
    <row r="279">
      <c r="A279" s="128"/>
      <c r="B279" s="83"/>
      <c r="C279" s="83"/>
      <c r="D279" s="83"/>
      <c r="E279" s="102"/>
      <c r="F279" s="102"/>
      <c r="G279" s="88"/>
      <c r="H279" s="88"/>
      <c r="I279" s="87"/>
      <c r="J279" s="87"/>
      <c r="K279" s="88"/>
      <c r="L279" s="90"/>
    </row>
    <row r="280">
      <c r="A280" s="128"/>
      <c r="B280" s="83"/>
      <c r="C280" s="83"/>
      <c r="D280" s="83"/>
      <c r="E280" s="102"/>
      <c r="F280" s="102"/>
      <c r="G280" s="88"/>
      <c r="H280" s="88"/>
      <c r="I280" s="87"/>
      <c r="J280" s="87"/>
      <c r="K280" s="88"/>
      <c r="L280" s="90"/>
    </row>
    <row r="281">
      <c r="A281" s="128"/>
      <c r="B281" s="83"/>
      <c r="C281" s="83"/>
      <c r="D281" s="83"/>
      <c r="E281" s="102"/>
      <c r="F281" s="102"/>
      <c r="G281" s="88"/>
      <c r="H281" s="88"/>
      <c r="I281" s="87"/>
      <c r="J281" s="87"/>
      <c r="K281" s="88"/>
      <c r="L281" s="90"/>
    </row>
    <row r="282">
      <c r="A282" s="128"/>
      <c r="B282" s="83"/>
      <c r="C282" s="83"/>
      <c r="D282" s="83"/>
      <c r="E282" s="102"/>
      <c r="F282" s="102"/>
      <c r="G282" s="88"/>
      <c r="H282" s="88"/>
      <c r="I282" s="87"/>
      <c r="J282" s="87"/>
      <c r="K282" s="88"/>
      <c r="L282" s="90"/>
    </row>
    <row r="283">
      <c r="A283" s="128"/>
      <c r="B283" s="83"/>
      <c r="C283" s="83"/>
      <c r="D283" s="83"/>
      <c r="E283" s="102"/>
      <c r="F283" s="102"/>
      <c r="G283" s="88"/>
      <c r="H283" s="88"/>
      <c r="I283" s="87"/>
      <c r="J283" s="87"/>
      <c r="K283" s="88"/>
      <c r="L283" s="90"/>
    </row>
    <row r="284">
      <c r="A284" s="128"/>
      <c r="B284" s="83"/>
      <c r="C284" s="83"/>
      <c r="D284" s="83"/>
      <c r="E284" s="102"/>
      <c r="F284" s="102"/>
      <c r="G284" s="88"/>
      <c r="H284" s="88"/>
      <c r="I284" s="87"/>
      <c r="J284" s="87"/>
      <c r="K284" s="88"/>
      <c r="L284" s="90"/>
    </row>
    <row r="285">
      <c r="A285" s="128"/>
      <c r="B285" s="83"/>
      <c r="C285" s="83"/>
      <c r="D285" s="83"/>
      <c r="E285" s="102"/>
      <c r="F285" s="102"/>
      <c r="G285" s="88"/>
      <c r="H285" s="88"/>
      <c r="I285" s="87"/>
      <c r="J285" s="87"/>
      <c r="K285" s="88"/>
      <c r="L285" s="90"/>
    </row>
    <row r="286">
      <c r="A286" s="128"/>
      <c r="B286" s="83"/>
      <c r="C286" s="83"/>
      <c r="D286" s="83"/>
      <c r="E286" s="102"/>
      <c r="F286" s="102"/>
      <c r="G286" s="88"/>
      <c r="H286" s="88"/>
      <c r="I286" s="87"/>
      <c r="J286" s="87"/>
      <c r="K286" s="88"/>
      <c r="L286" s="90"/>
    </row>
    <row r="287">
      <c r="A287" s="128"/>
      <c r="B287" s="83"/>
      <c r="C287" s="83"/>
      <c r="D287" s="83"/>
      <c r="E287" s="102"/>
      <c r="F287" s="102"/>
      <c r="G287" s="88"/>
      <c r="H287" s="88"/>
      <c r="I287" s="87"/>
      <c r="J287" s="87"/>
      <c r="K287" s="88"/>
      <c r="L287" s="90"/>
    </row>
    <row r="288">
      <c r="A288" s="128"/>
      <c r="B288" s="83"/>
      <c r="C288" s="83"/>
      <c r="D288" s="83"/>
      <c r="E288" s="102"/>
      <c r="F288" s="102"/>
      <c r="G288" s="88"/>
      <c r="H288" s="88"/>
      <c r="I288" s="87"/>
      <c r="J288" s="87"/>
      <c r="K288" s="88"/>
      <c r="L288" s="90"/>
    </row>
    <row r="289">
      <c r="A289" s="128"/>
      <c r="B289" s="83"/>
      <c r="C289" s="83"/>
      <c r="D289" s="83"/>
      <c r="E289" s="102"/>
      <c r="F289" s="102"/>
      <c r="G289" s="88"/>
      <c r="H289" s="88"/>
      <c r="I289" s="87"/>
      <c r="J289" s="87"/>
      <c r="K289" s="88"/>
      <c r="L289" s="90"/>
    </row>
    <row r="290">
      <c r="A290" s="128"/>
      <c r="B290" s="83"/>
      <c r="C290" s="83"/>
      <c r="D290" s="83"/>
      <c r="E290" s="102"/>
      <c r="F290" s="102"/>
      <c r="G290" s="88"/>
      <c r="H290" s="88"/>
      <c r="I290" s="87"/>
      <c r="J290" s="87"/>
      <c r="K290" s="88"/>
      <c r="L290" s="90"/>
    </row>
    <row r="291">
      <c r="A291" s="128"/>
      <c r="B291" s="83"/>
      <c r="C291" s="83"/>
      <c r="D291" s="83"/>
      <c r="E291" s="102"/>
      <c r="F291" s="102"/>
      <c r="G291" s="88"/>
      <c r="H291" s="88"/>
      <c r="I291" s="87"/>
      <c r="J291" s="87"/>
      <c r="K291" s="88"/>
      <c r="L291" s="90"/>
    </row>
    <row r="292">
      <c r="A292" s="128"/>
      <c r="B292" s="83"/>
      <c r="C292" s="83"/>
      <c r="D292" s="83"/>
      <c r="E292" s="102"/>
      <c r="F292" s="102"/>
      <c r="G292" s="88"/>
      <c r="H292" s="88"/>
      <c r="I292" s="87"/>
      <c r="J292" s="87"/>
      <c r="K292" s="88"/>
      <c r="L292" s="90"/>
    </row>
    <row r="293">
      <c r="A293" s="128"/>
      <c r="B293" s="83"/>
      <c r="C293" s="83"/>
      <c r="D293" s="83"/>
      <c r="E293" s="102"/>
      <c r="F293" s="102"/>
      <c r="G293" s="88"/>
      <c r="H293" s="88"/>
      <c r="I293" s="87"/>
      <c r="J293" s="87"/>
      <c r="K293" s="88"/>
      <c r="L293" s="90"/>
    </row>
    <row r="294">
      <c r="A294" s="128"/>
      <c r="B294" s="83"/>
      <c r="C294" s="83"/>
      <c r="D294" s="83"/>
      <c r="E294" s="102"/>
      <c r="F294" s="102"/>
      <c r="G294" s="88"/>
      <c r="H294" s="88"/>
      <c r="I294" s="87"/>
      <c r="J294" s="87"/>
      <c r="K294" s="88"/>
      <c r="L294" s="90"/>
    </row>
    <row r="295">
      <c r="A295" s="128"/>
      <c r="B295" s="83"/>
      <c r="C295" s="83"/>
      <c r="D295" s="83"/>
      <c r="E295" s="102"/>
      <c r="F295" s="102"/>
      <c r="G295" s="88"/>
      <c r="H295" s="88"/>
      <c r="I295" s="87"/>
      <c r="J295" s="87"/>
      <c r="K295" s="88"/>
      <c r="L295" s="90"/>
    </row>
    <row r="296">
      <c r="A296" s="128"/>
      <c r="B296" s="83"/>
      <c r="C296" s="83"/>
      <c r="D296" s="83"/>
      <c r="E296" s="102"/>
      <c r="F296" s="102"/>
      <c r="G296" s="88"/>
      <c r="H296" s="88"/>
      <c r="I296" s="87"/>
      <c r="J296" s="87"/>
      <c r="K296" s="88"/>
      <c r="L296" s="90"/>
    </row>
    <row r="297">
      <c r="A297" s="128"/>
      <c r="B297" s="83"/>
      <c r="C297" s="83"/>
      <c r="D297" s="83"/>
      <c r="E297" s="102"/>
      <c r="F297" s="102"/>
      <c r="G297" s="88"/>
      <c r="H297" s="88"/>
      <c r="I297" s="87"/>
      <c r="J297" s="87"/>
      <c r="K297" s="88"/>
      <c r="L297" s="90"/>
    </row>
    <row r="298">
      <c r="A298" s="128"/>
      <c r="B298" s="83"/>
      <c r="C298" s="83"/>
      <c r="D298" s="83"/>
      <c r="E298" s="102"/>
      <c r="F298" s="102"/>
      <c r="G298" s="88"/>
      <c r="H298" s="88"/>
      <c r="I298" s="87"/>
      <c r="J298" s="87"/>
      <c r="K298" s="88"/>
      <c r="L298" s="90"/>
    </row>
    <row r="299">
      <c r="A299" s="128"/>
      <c r="B299" s="83"/>
      <c r="C299" s="83"/>
      <c r="D299" s="83"/>
      <c r="E299" s="102"/>
      <c r="F299" s="102"/>
      <c r="G299" s="88"/>
      <c r="H299" s="88"/>
      <c r="I299" s="87"/>
      <c r="J299" s="87"/>
      <c r="K299" s="88"/>
      <c r="L299" s="90"/>
    </row>
    <row r="300">
      <c r="A300" s="128"/>
      <c r="B300" s="83"/>
      <c r="C300" s="83"/>
      <c r="D300" s="83"/>
      <c r="E300" s="102"/>
      <c r="F300" s="102"/>
      <c r="G300" s="88"/>
      <c r="H300" s="88"/>
      <c r="I300" s="87"/>
      <c r="J300" s="87"/>
      <c r="K300" s="88"/>
      <c r="L300" s="90"/>
    </row>
    <row r="301">
      <c r="A301" s="128"/>
      <c r="B301" s="83"/>
      <c r="C301" s="83"/>
      <c r="D301" s="83"/>
      <c r="E301" s="102"/>
      <c r="F301" s="102"/>
      <c r="G301" s="88"/>
      <c r="H301" s="88"/>
      <c r="I301" s="87"/>
      <c r="J301" s="87"/>
      <c r="K301" s="88"/>
      <c r="L301" s="90"/>
    </row>
    <row r="302">
      <c r="A302" s="128"/>
      <c r="B302" s="83"/>
      <c r="C302" s="83"/>
      <c r="D302" s="83"/>
      <c r="E302" s="102"/>
      <c r="F302" s="102"/>
      <c r="G302" s="88"/>
      <c r="H302" s="88"/>
      <c r="I302" s="87"/>
      <c r="J302" s="87"/>
      <c r="K302" s="88"/>
      <c r="L302" s="90"/>
    </row>
    <row r="303">
      <c r="A303" s="128"/>
      <c r="B303" s="83"/>
      <c r="C303" s="83"/>
      <c r="D303" s="83"/>
      <c r="E303" s="102"/>
      <c r="F303" s="102"/>
      <c r="G303" s="88"/>
      <c r="H303" s="88"/>
      <c r="I303" s="87"/>
      <c r="J303" s="87"/>
      <c r="K303" s="88"/>
      <c r="L303" s="90"/>
    </row>
    <row r="304">
      <c r="A304" s="128"/>
      <c r="B304" s="83"/>
      <c r="C304" s="83"/>
      <c r="D304" s="83"/>
      <c r="E304" s="102"/>
      <c r="F304" s="102"/>
      <c r="G304" s="88"/>
      <c r="H304" s="88"/>
      <c r="I304" s="87"/>
      <c r="J304" s="87"/>
      <c r="K304" s="88"/>
      <c r="L304" s="90"/>
    </row>
    <row r="305">
      <c r="A305" s="128"/>
      <c r="B305" s="83"/>
      <c r="C305" s="83"/>
      <c r="D305" s="83"/>
      <c r="E305" s="102"/>
      <c r="F305" s="102"/>
      <c r="G305" s="88"/>
      <c r="H305" s="88"/>
      <c r="I305" s="87"/>
      <c r="J305" s="87"/>
      <c r="K305" s="88"/>
      <c r="L305" s="90"/>
    </row>
    <row r="306">
      <c r="A306" s="128"/>
      <c r="B306" s="83"/>
      <c r="C306" s="83"/>
      <c r="D306" s="83"/>
      <c r="E306" s="102"/>
      <c r="F306" s="102"/>
      <c r="G306" s="88"/>
      <c r="H306" s="88"/>
      <c r="I306" s="87"/>
      <c r="J306" s="87"/>
      <c r="K306" s="88"/>
      <c r="L306" s="90"/>
    </row>
    <row r="307">
      <c r="A307" s="128"/>
      <c r="B307" s="83"/>
      <c r="C307" s="83"/>
      <c r="D307" s="83"/>
      <c r="E307" s="102"/>
      <c r="F307" s="102"/>
      <c r="G307" s="88"/>
      <c r="H307" s="88"/>
      <c r="I307" s="87"/>
      <c r="J307" s="87"/>
      <c r="K307" s="88"/>
      <c r="L307" s="90"/>
    </row>
    <row r="308">
      <c r="A308" s="128"/>
      <c r="B308" s="83"/>
      <c r="C308" s="83"/>
      <c r="D308" s="83"/>
      <c r="E308" s="102"/>
      <c r="F308" s="102"/>
      <c r="G308" s="88"/>
      <c r="H308" s="88"/>
      <c r="I308" s="87"/>
      <c r="J308" s="87"/>
      <c r="K308" s="88"/>
      <c r="L308" s="90"/>
    </row>
    <row r="309">
      <c r="A309" s="128"/>
      <c r="B309" s="83"/>
      <c r="C309" s="83"/>
      <c r="D309" s="83"/>
      <c r="E309" s="102"/>
      <c r="F309" s="102"/>
      <c r="G309" s="88"/>
      <c r="H309" s="88"/>
      <c r="I309" s="87"/>
      <c r="J309" s="87"/>
      <c r="K309" s="88"/>
      <c r="L309" s="90"/>
    </row>
    <row r="310">
      <c r="A310" s="128"/>
      <c r="B310" s="83"/>
      <c r="C310" s="83"/>
      <c r="D310" s="83"/>
      <c r="E310" s="102"/>
      <c r="F310" s="102"/>
      <c r="G310" s="88"/>
      <c r="H310" s="88"/>
      <c r="I310" s="87"/>
      <c r="J310" s="87"/>
      <c r="K310" s="88"/>
      <c r="L310" s="90"/>
    </row>
    <row r="311">
      <c r="A311" s="128"/>
      <c r="B311" s="83"/>
      <c r="C311" s="83"/>
      <c r="D311" s="83"/>
      <c r="E311" s="102"/>
      <c r="F311" s="102"/>
      <c r="G311" s="88"/>
      <c r="H311" s="88"/>
      <c r="I311" s="87"/>
      <c r="J311" s="87"/>
      <c r="K311" s="88"/>
      <c r="L311" s="90"/>
    </row>
    <row r="312">
      <c r="A312" s="128"/>
      <c r="B312" s="83"/>
      <c r="C312" s="83"/>
      <c r="D312" s="83"/>
      <c r="E312" s="102"/>
      <c r="F312" s="102"/>
      <c r="G312" s="88"/>
      <c r="H312" s="88"/>
      <c r="I312" s="87"/>
      <c r="J312" s="87"/>
      <c r="K312" s="88"/>
      <c r="L312" s="90"/>
    </row>
    <row r="313">
      <c r="A313" s="128"/>
      <c r="B313" s="83"/>
      <c r="C313" s="83"/>
      <c r="D313" s="83"/>
      <c r="E313" s="102"/>
      <c r="F313" s="102"/>
      <c r="G313" s="88"/>
      <c r="H313" s="88"/>
      <c r="I313" s="87"/>
      <c r="J313" s="87"/>
      <c r="K313" s="88"/>
      <c r="L313" s="90"/>
    </row>
    <row r="314">
      <c r="A314" s="128"/>
      <c r="B314" s="83"/>
      <c r="C314" s="83"/>
      <c r="D314" s="83"/>
      <c r="E314" s="102"/>
      <c r="F314" s="102"/>
      <c r="G314" s="88"/>
      <c r="H314" s="88"/>
      <c r="I314" s="87"/>
      <c r="J314" s="87"/>
      <c r="K314" s="88"/>
      <c r="L314" s="90"/>
    </row>
    <row r="315">
      <c r="A315" s="128"/>
      <c r="B315" s="83"/>
      <c r="C315" s="83"/>
      <c r="D315" s="83"/>
      <c r="E315" s="102"/>
      <c r="F315" s="102"/>
      <c r="G315" s="88"/>
      <c r="H315" s="88"/>
      <c r="I315" s="87"/>
      <c r="J315" s="87"/>
      <c r="K315" s="88"/>
      <c r="L315" s="90"/>
    </row>
    <row r="316">
      <c r="A316" s="128"/>
      <c r="B316" s="83"/>
      <c r="C316" s="83"/>
      <c r="D316" s="83"/>
      <c r="E316" s="102"/>
      <c r="F316" s="102"/>
      <c r="G316" s="88"/>
      <c r="H316" s="88"/>
      <c r="I316" s="87"/>
      <c r="J316" s="87"/>
      <c r="K316" s="88"/>
      <c r="L316" s="90"/>
    </row>
    <row r="317">
      <c r="A317" s="128"/>
      <c r="B317" s="83"/>
      <c r="C317" s="83"/>
      <c r="D317" s="83"/>
      <c r="E317" s="102"/>
      <c r="F317" s="102"/>
      <c r="G317" s="88"/>
      <c r="H317" s="88"/>
      <c r="I317" s="87"/>
      <c r="J317" s="87"/>
      <c r="K317" s="88"/>
      <c r="L317" s="90"/>
    </row>
    <row r="318">
      <c r="A318" s="128"/>
      <c r="B318" s="83"/>
      <c r="C318" s="83"/>
      <c r="D318" s="83"/>
      <c r="E318" s="102"/>
      <c r="F318" s="102"/>
      <c r="G318" s="88"/>
      <c r="H318" s="88"/>
      <c r="I318" s="87"/>
      <c r="J318" s="87"/>
      <c r="K318" s="88"/>
      <c r="L318" s="90"/>
    </row>
    <row r="319">
      <c r="A319" s="128"/>
      <c r="B319" s="83"/>
      <c r="C319" s="83"/>
      <c r="D319" s="83"/>
      <c r="E319" s="102"/>
      <c r="F319" s="102"/>
      <c r="G319" s="88"/>
      <c r="H319" s="88"/>
      <c r="I319" s="87"/>
      <c r="J319" s="87"/>
      <c r="K319" s="88"/>
      <c r="L319" s="90"/>
    </row>
    <row r="320">
      <c r="A320" s="128"/>
      <c r="B320" s="83"/>
      <c r="C320" s="83"/>
      <c r="D320" s="83"/>
      <c r="E320" s="102"/>
      <c r="F320" s="102"/>
      <c r="G320" s="88"/>
      <c r="H320" s="88"/>
      <c r="I320" s="87"/>
      <c r="J320" s="87"/>
      <c r="K320" s="88"/>
      <c r="L320" s="90"/>
    </row>
    <row r="321">
      <c r="A321" s="128"/>
      <c r="B321" s="83"/>
      <c r="C321" s="83"/>
      <c r="D321" s="83"/>
      <c r="E321" s="102"/>
      <c r="F321" s="102"/>
      <c r="G321" s="88"/>
      <c r="H321" s="88"/>
      <c r="I321" s="87"/>
      <c r="J321" s="87"/>
      <c r="K321" s="88"/>
      <c r="L321" s="90"/>
    </row>
    <row r="322">
      <c r="A322" s="128"/>
      <c r="B322" s="83"/>
      <c r="C322" s="83"/>
      <c r="D322" s="83"/>
      <c r="E322" s="102"/>
      <c r="F322" s="102"/>
      <c r="G322" s="88"/>
      <c r="H322" s="88"/>
      <c r="I322" s="87"/>
      <c r="J322" s="87"/>
      <c r="K322" s="88"/>
      <c r="L322" s="90"/>
    </row>
    <row r="323">
      <c r="A323" s="128"/>
      <c r="B323" s="83"/>
      <c r="C323" s="83"/>
      <c r="D323" s="83"/>
      <c r="E323" s="102"/>
      <c r="F323" s="102"/>
      <c r="G323" s="88"/>
      <c r="H323" s="88"/>
      <c r="I323" s="87"/>
      <c r="J323" s="87"/>
      <c r="K323" s="88"/>
      <c r="L323" s="90"/>
    </row>
    <row r="324">
      <c r="A324" s="128"/>
      <c r="B324" s="83"/>
      <c r="C324" s="83"/>
      <c r="D324" s="83"/>
      <c r="E324" s="102"/>
      <c r="F324" s="102"/>
      <c r="G324" s="88"/>
      <c r="H324" s="88"/>
      <c r="I324" s="87"/>
      <c r="J324" s="87"/>
      <c r="K324" s="88"/>
      <c r="L324" s="90"/>
    </row>
    <row r="325">
      <c r="A325" s="128"/>
      <c r="B325" s="83"/>
      <c r="C325" s="83"/>
      <c r="D325" s="83"/>
      <c r="E325" s="102"/>
      <c r="F325" s="102"/>
      <c r="G325" s="88"/>
      <c r="H325" s="88"/>
      <c r="I325" s="87"/>
      <c r="J325" s="87"/>
      <c r="K325" s="88"/>
      <c r="L325" s="90"/>
    </row>
    <row r="326">
      <c r="A326" s="128"/>
      <c r="B326" s="83"/>
      <c r="C326" s="83"/>
      <c r="D326" s="83"/>
      <c r="E326" s="102"/>
      <c r="F326" s="102"/>
      <c r="G326" s="88"/>
      <c r="H326" s="88"/>
      <c r="I326" s="87"/>
      <c r="J326" s="87"/>
      <c r="K326" s="88"/>
      <c r="L326" s="90"/>
    </row>
    <row r="327">
      <c r="A327" s="128"/>
      <c r="B327" s="83"/>
      <c r="C327" s="83"/>
      <c r="D327" s="83"/>
      <c r="E327" s="102"/>
      <c r="F327" s="102"/>
      <c r="G327" s="88"/>
      <c r="H327" s="88"/>
      <c r="I327" s="87"/>
      <c r="J327" s="87"/>
      <c r="K327" s="88"/>
      <c r="L327" s="90"/>
    </row>
    <row r="328">
      <c r="A328" s="128"/>
      <c r="B328" s="83"/>
      <c r="C328" s="83"/>
      <c r="D328" s="83"/>
      <c r="E328" s="102"/>
      <c r="F328" s="102"/>
      <c r="G328" s="88"/>
      <c r="H328" s="88"/>
      <c r="I328" s="87"/>
      <c r="J328" s="87"/>
      <c r="K328" s="88"/>
      <c r="L328" s="90"/>
    </row>
    <row r="329">
      <c r="A329" s="128"/>
      <c r="B329" s="83"/>
      <c r="C329" s="83"/>
      <c r="D329" s="83"/>
      <c r="E329" s="102"/>
      <c r="F329" s="102"/>
      <c r="G329" s="88"/>
      <c r="H329" s="88"/>
      <c r="I329" s="87"/>
      <c r="J329" s="87"/>
      <c r="K329" s="88"/>
      <c r="L329" s="90"/>
    </row>
    <row r="330">
      <c r="A330" s="128"/>
      <c r="B330" s="83"/>
      <c r="C330" s="83"/>
      <c r="D330" s="83"/>
      <c r="E330" s="102"/>
      <c r="F330" s="102"/>
      <c r="G330" s="88"/>
      <c r="H330" s="88"/>
      <c r="I330" s="87"/>
      <c r="J330" s="87"/>
      <c r="K330" s="88"/>
      <c r="L330" s="90"/>
    </row>
    <row r="331">
      <c r="A331" s="128"/>
      <c r="B331" s="83"/>
      <c r="C331" s="83"/>
      <c r="D331" s="83"/>
      <c r="E331" s="102"/>
      <c r="F331" s="102"/>
      <c r="G331" s="88"/>
      <c r="H331" s="88"/>
      <c r="I331" s="87"/>
      <c r="J331" s="87"/>
      <c r="K331" s="88"/>
      <c r="L331" s="90"/>
    </row>
    <row r="332">
      <c r="A332" s="128"/>
      <c r="B332" s="83"/>
      <c r="C332" s="83"/>
      <c r="D332" s="83"/>
      <c r="E332" s="102"/>
      <c r="F332" s="102"/>
      <c r="G332" s="88"/>
      <c r="H332" s="88"/>
      <c r="I332" s="87"/>
      <c r="J332" s="87"/>
      <c r="K332" s="88"/>
      <c r="L332" s="90"/>
    </row>
    <row r="333">
      <c r="A333" s="128"/>
      <c r="B333" s="83"/>
      <c r="C333" s="83"/>
      <c r="D333" s="83"/>
      <c r="E333" s="102"/>
      <c r="F333" s="102"/>
      <c r="G333" s="88"/>
      <c r="H333" s="88"/>
      <c r="I333" s="87"/>
      <c r="J333" s="87"/>
      <c r="K333" s="88"/>
      <c r="L333" s="90"/>
    </row>
    <row r="334">
      <c r="A334" s="128"/>
      <c r="B334" s="83"/>
      <c r="C334" s="83"/>
      <c r="D334" s="83"/>
      <c r="E334" s="102"/>
      <c r="F334" s="102"/>
      <c r="G334" s="88"/>
      <c r="H334" s="88"/>
      <c r="I334" s="87"/>
      <c r="J334" s="87"/>
      <c r="K334" s="88"/>
      <c r="L334" s="90"/>
    </row>
    <row r="335">
      <c r="A335" s="128"/>
      <c r="B335" s="83"/>
      <c r="C335" s="83"/>
      <c r="D335" s="83"/>
      <c r="E335" s="102"/>
      <c r="F335" s="102"/>
      <c r="G335" s="88"/>
      <c r="H335" s="88"/>
      <c r="I335" s="87"/>
      <c r="J335" s="87"/>
      <c r="K335" s="88"/>
      <c r="L335" s="90"/>
    </row>
    <row r="336">
      <c r="A336" s="128"/>
      <c r="B336" s="83"/>
      <c r="C336" s="83"/>
      <c r="D336" s="83"/>
      <c r="E336" s="102"/>
      <c r="F336" s="102"/>
      <c r="G336" s="88"/>
      <c r="H336" s="88"/>
      <c r="I336" s="87"/>
      <c r="J336" s="87"/>
      <c r="K336" s="88"/>
      <c r="L336" s="90"/>
    </row>
    <row r="337">
      <c r="A337" s="128"/>
      <c r="B337" s="83"/>
      <c r="C337" s="83"/>
      <c r="D337" s="83"/>
      <c r="E337" s="102"/>
      <c r="F337" s="102"/>
      <c r="G337" s="88"/>
      <c r="H337" s="88"/>
      <c r="I337" s="87"/>
      <c r="J337" s="87"/>
      <c r="K337" s="88"/>
      <c r="L337" s="90"/>
    </row>
    <row r="338">
      <c r="A338" s="128"/>
      <c r="B338" s="83"/>
      <c r="C338" s="83"/>
      <c r="D338" s="83"/>
      <c r="E338" s="102"/>
      <c r="F338" s="102"/>
      <c r="G338" s="88"/>
      <c r="H338" s="88"/>
      <c r="I338" s="87"/>
      <c r="J338" s="87"/>
      <c r="K338" s="88"/>
      <c r="L338" s="90"/>
    </row>
    <row r="339">
      <c r="A339" s="128"/>
      <c r="B339" s="83"/>
      <c r="C339" s="83"/>
      <c r="D339" s="83"/>
      <c r="E339" s="102"/>
      <c r="F339" s="102"/>
      <c r="G339" s="88"/>
      <c r="H339" s="88"/>
      <c r="I339" s="87"/>
      <c r="J339" s="87"/>
      <c r="K339" s="88"/>
      <c r="L339" s="90"/>
    </row>
    <row r="340">
      <c r="A340" s="128"/>
      <c r="B340" s="83"/>
      <c r="C340" s="83"/>
      <c r="D340" s="83"/>
      <c r="E340" s="102"/>
      <c r="F340" s="102"/>
      <c r="G340" s="88"/>
      <c r="H340" s="88"/>
      <c r="I340" s="87"/>
      <c r="J340" s="87"/>
      <c r="K340" s="88"/>
      <c r="L340" s="90"/>
    </row>
    <row r="341">
      <c r="A341" s="128"/>
      <c r="B341" s="83"/>
      <c r="C341" s="83"/>
      <c r="D341" s="83"/>
      <c r="E341" s="102"/>
      <c r="F341" s="102"/>
      <c r="G341" s="88"/>
      <c r="H341" s="88"/>
      <c r="I341" s="87"/>
      <c r="J341" s="87"/>
      <c r="K341" s="88"/>
      <c r="L341" s="90"/>
    </row>
    <row r="342">
      <c r="A342" s="128"/>
      <c r="B342" s="83"/>
      <c r="C342" s="83"/>
      <c r="D342" s="83"/>
      <c r="E342" s="102"/>
      <c r="F342" s="102"/>
      <c r="G342" s="88"/>
      <c r="H342" s="88"/>
      <c r="I342" s="87"/>
      <c r="J342" s="87"/>
      <c r="K342" s="88"/>
      <c r="L342" s="90"/>
    </row>
    <row r="343">
      <c r="A343" s="128"/>
      <c r="B343" s="83"/>
      <c r="C343" s="83"/>
      <c r="D343" s="83"/>
      <c r="E343" s="102"/>
      <c r="F343" s="102"/>
      <c r="G343" s="88"/>
      <c r="H343" s="88"/>
      <c r="I343" s="87"/>
      <c r="J343" s="87"/>
      <c r="K343" s="88"/>
      <c r="L343" s="90"/>
    </row>
    <row r="344">
      <c r="A344" s="128"/>
      <c r="B344" s="83"/>
      <c r="C344" s="83"/>
      <c r="D344" s="83"/>
      <c r="E344" s="102"/>
      <c r="F344" s="102"/>
      <c r="G344" s="88"/>
      <c r="H344" s="88"/>
      <c r="I344" s="87"/>
      <c r="J344" s="87"/>
      <c r="K344" s="88"/>
      <c r="L344" s="90"/>
    </row>
    <row r="345">
      <c r="A345" s="128"/>
      <c r="B345" s="83"/>
      <c r="C345" s="83"/>
      <c r="D345" s="83"/>
      <c r="E345" s="102"/>
      <c r="F345" s="102"/>
      <c r="G345" s="88"/>
      <c r="H345" s="88"/>
      <c r="I345" s="87"/>
      <c r="J345" s="87"/>
      <c r="K345" s="88"/>
      <c r="L345" s="90"/>
    </row>
    <row r="346">
      <c r="A346" s="128"/>
      <c r="B346" s="83"/>
      <c r="C346" s="83"/>
      <c r="D346" s="83"/>
      <c r="E346" s="102"/>
      <c r="F346" s="102"/>
      <c r="G346" s="88"/>
      <c r="H346" s="88"/>
      <c r="I346" s="87"/>
      <c r="J346" s="87"/>
      <c r="K346" s="88"/>
      <c r="L346" s="90"/>
    </row>
    <row r="347">
      <c r="A347" s="128"/>
      <c r="B347" s="83"/>
      <c r="C347" s="83"/>
      <c r="D347" s="83"/>
      <c r="E347" s="102"/>
      <c r="F347" s="102"/>
      <c r="G347" s="88"/>
      <c r="H347" s="88"/>
      <c r="I347" s="87"/>
      <c r="J347" s="87"/>
      <c r="K347" s="88"/>
      <c r="L347" s="90"/>
    </row>
    <row r="348">
      <c r="A348" s="128"/>
      <c r="B348" s="83"/>
      <c r="C348" s="83"/>
      <c r="D348" s="83"/>
      <c r="E348" s="102"/>
      <c r="F348" s="102"/>
      <c r="G348" s="88"/>
      <c r="H348" s="88"/>
      <c r="I348" s="87"/>
      <c r="J348" s="87"/>
      <c r="K348" s="88"/>
      <c r="L348" s="90"/>
    </row>
    <row r="349">
      <c r="A349" s="128"/>
      <c r="B349" s="83"/>
      <c r="C349" s="83"/>
      <c r="D349" s="83"/>
      <c r="E349" s="102"/>
      <c r="F349" s="102"/>
      <c r="G349" s="88"/>
      <c r="H349" s="88"/>
      <c r="I349" s="87"/>
      <c r="J349" s="87"/>
      <c r="K349" s="88"/>
      <c r="L349" s="90"/>
    </row>
    <row r="350">
      <c r="A350" s="128"/>
      <c r="B350" s="83"/>
      <c r="C350" s="83"/>
      <c r="D350" s="83"/>
      <c r="E350" s="102"/>
      <c r="F350" s="102"/>
      <c r="G350" s="88"/>
      <c r="H350" s="88"/>
      <c r="I350" s="87"/>
      <c r="J350" s="87"/>
      <c r="K350" s="88"/>
      <c r="L350" s="90"/>
    </row>
    <row r="351">
      <c r="A351" s="128"/>
      <c r="B351" s="83"/>
      <c r="C351" s="83"/>
      <c r="D351" s="83"/>
      <c r="E351" s="102"/>
      <c r="F351" s="102"/>
      <c r="G351" s="88"/>
      <c r="H351" s="88"/>
      <c r="I351" s="87"/>
      <c r="J351" s="87"/>
      <c r="K351" s="88"/>
      <c r="L351" s="90"/>
    </row>
    <row r="352">
      <c r="A352" s="128"/>
      <c r="B352" s="83"/>
      <c r="C352" s="83"/>
      <c r="D352" s="83"/>
      <c r="E352" s="102"/>
      <c r="F352" s="102"/>
      <c r="G352" s="88"/>
      <c r="H352" s="88"/>
      <c r="I352" s="87"/>
      <c r="J352" s="87"/>
      <c r="K352" s="88"/>
      <c r="L352" s="90"/>
    </row>
    <row r="353">
      <c r="A353" s="128"/>
      <c r="B353" s="83"/>
      <c r="C353" s="83"/>
      <c r="D353" s="83"/>
      <c r="E353" s="102"/>
      <c r="F353" s="102"/>
      <c r="G353" s="88"/>
      <c r="H353" s="88"/>
      <c r="I353" s="87"/>
      <c r="J353" s="87"/>
      <c r="K353" s="88"/>
      <c r="L353" s="90"/>
    </row>
    <row r="354">
      <c r="A354" s="128"/>
      <c r="B354" s="83"/>
      <c r="C354" s="83"/>
      <c r="D354" s="83"/>
      <c r="E354" s="102"/>
      <c r="F354" s="102"/>
      <c r="G354" s="88"/>
      <c r="H354" s="88"/>
      <c r="I354" s="87"/>
      <c r="J354" s="87"/>
      <c r="K354" s="88"/>
      <c r="L354" s="90"/>
    </row>
    <row r="355">
      <c r="A355" s="128"/>
      <c r="B355" s="83"/>
      <c r="C355" s="83"/>
      <c r="D355" s="83"/>
      <c r="E355" s="102"/>
      <c r="F355" s="102"/>
      <c r="G355" s="88"/>
      <c r="H355" s="88"/>
      <c r="I355" s="87"/>
      <c r="J355" s="87"/>
      <c r="K355" s="88"/>
      <c r="L355" s="90"/>
    </row>
    <row r="356">
      <c r="A356" s="128"/>
      <c r="B356" s="83"/>
      <c r="C356" s="83"/>
      <c r="D356" s="83"/>
      <c r="E356" s="102"/>
      <c r="F356" s="102"/>
      <c r="G356" s="88"/>
      <c r="H356" s="88"/>
      <c r="I356" s="87"/>
      <c r="J356" s="87"/>
      <c r="K356" s="88"/>
      <c r="L356" s="90"/>
    </row>
    <row r="357">
      <c r="A357" s="128"/>
      <c r="B357" s="83"/>
      <c r="C357" s="83"/>
      <c r="D357" s="83"/>
      <c r="E357" s="102"/>
      <c r="F357" s="102"/>
      <c r="G357" s="88"/>
      <c r="H357" s="88"/>
      <c r="I357" s="87"/>
      <c r="J357" s="87"/>
      <c r="K357" s="88"/>
      <c r="L357" s="90"/>
    </row>
    <row r="358">
      <c r="A358" s="128"/>
      <c r="B358" s="83"/>
      <c r="C358" s="83"/>
      <c r="D358" s="83"/>
      <c r="E358" s="102"/>
      <c r="F358" s="102"/>
      <c r="G358" s="88"/>
      <c r="H358" s="88"/>
      <c r="I358" s="87"/>
      <c r="J358" s="87"/>
      <c r="K358" s="88"/>
      <c r="L358" s="90"/>
    </row>
    <row r="359">
      <c r="A359" s="128"/>
      <c r="B359" s="83"/>
      <c r="C359" s="83"/>
      <c r="D359" s="83"/>
      <c r="E359" s="102"/>
      <c r="F359" s="102"/>
      <c r="G359" s="88"/>
      <c r="H359" s="88"/>
      <c r="I359" s="87"/>
      <c r="J359" s="87"/>
      <c r="K359" s="88"/>
      <c r="L359" s="90"/>
    </row>
    <row r="360">
      <c r="A360" s="128"/>
      <c r="B360" s="83"/>
      <c r="C360" s="83"/>
      <c r="D360" s="83"/>
      <c r="E360" s="102"/>
      <c r="F360" s="102"/>
      <c r="G360" s="88"/>
      <c r="H360" s="88"/>
      <c r="I360" s="87"/>
      <c r="J360" s="87"/>
      <c r="K360" s="88"/>
      <c r="L360" s="90"/>
    </row>
    <row r="361">
      <c r="A361" s="128"/>
      <c r="B361" s="83"/>
      <c r="C361" s="83"/>
      <c r="D361" s="83"/>
      <c r="E361" s="102"/>
      <c r="F361" s="102"/>
      <c r="G361" s="88"/>
      <c r="H361" s="88"/>
      <c r="I361" s="87"/>
      <c r="J361" s="87"/>
      <c r="K361" s="88"/>
      <c r="L361" s="90"/>
    </row>
    <row r="362">
      <c r="A362" s="128"/>
      <c r="B362" s="83"/>
      <c r="C362" s="83"/>
      <c r="D362" s="83"/>
      <c r="E362" s="102"/>
      <c r="F362" s="102"/>
      <c r="G362" s="88"/>
      <c r="H362" s="88"/>
      <c r="I362" s="87"/>
      <c r="J362" s="87"/>
      <c r="K362" s="88"/>
      <c r="L362" s="90"/>
    </row>
    <row r="363">
      <c r="A363" s="128"/>
      <c r="B363" s="83"/>
      <c r="C363" s="83"/>
      <c r="D363" s="83"/>
      <c r="E363" s="102"/>
      <c r="F363" s="102"/>
      <c r="G363" s="88"/>
      <c r="H363" s="88"/>
      <c r="I363" s="87"/>
      <c r="J363" s="87"/>
      <c r="K363" s="88"/>
      <c r="L363" s="90"/>
    </row>
    <row r="364">
      <c r="A364" s="128"/>
      <c r="B364" s="83"/>
      <c r="C364" s="83"/>
      <c r="D364" s="83"/>
      <c r="E364" s="102"/>
      <c r="F364" s="102"/>
      <c r="G364" s="88"/>
      <c r="H364" s="88"/>
      <c r="I364" s="87"/>
      <c r="J364" s="87"/>
      <c r="K364" s="88"/>
      <c r="L364" s="90"/>
    </row>
    <row r="365">
      <c r="A365" s="128"/>
      <c r="B365" s="83"/>
      <c r="C365" s="83"/>
      <c r="D365" s="83"/>
      <c r="E365" s="102"/>
      <c r="F365" s="102"/>
      <c r="G365" s="88"/>
      <c r="H365" s="88"/>
      <c r="I365" s="87"/>
      <c r="J365" s="87"/>
      <c r="K365" s="88"/>
      <c r="L365" s="90"/>
    </row>
    <row r="366">
      <c r="A366" s="128"/>
      <c r="B366" s="83"/>
      <c r="C366" s="83"/>
      <c r="D366" s="83"/>
      <c r="E366" s="102"/>
      <c r="F366" s="102"/>
      <c r="G366" s="88"/>
      <c r="H366" s="88"/>
      <c r="I366" s="87"/>
      <c r="J366" s="87"/>
      <c r="K366" s="88"/>
      <c r="L366" s="90"/>
    </row>
    <row r="367">
      <c r="A367" s="128"/>
      <c r="B367" s="83"/>
      <c r="C367" s="83"/>
      <c r="D367" s="83"/>
      <c r="E367" s="102"/>
      <c r="F367" s="102"/>
      <c r="G367" s="88"/>
      <c r="H367" s="88"/>
      <c r="I367" s="87"/>
      <c r="J367" s="87"/>
      <c r="K367" s="88"/>
      <c r="L367" s="90"/>
    </row>
    <row r="368">
      <c r="A368" s="128"/>
      <c r="B368" s="83"/>
      <c r="C368" s="83"/>
      <c r="D368" s="83"/>
      <c r="E368" s="102"/>
      <c r="F368" s="102"/>
      <c r="G368" s="88"/>
      <c r="H368" s="88"/>
      <c r="I368" s="87"/>
      <c r="J368" s="87"/>
      <c r="K368" s="88"/>
      <c r="L368" s="90"/>
    </row>
    <row r="369">
      <c r="A369" s="128"/>
      <c r="B369" s="83"/>
      <c r="C369" s="83"/>
      <c r="D369" s="83"/>
      <c r="E369" s="102"/>
      <c r="F369" s="102"/>
      <c r="G369" s="88"/>
      <c r="H369" s="88"/>
      <c r="I369" s="87"/>
      <c r="J369" s="87"/>
      <c r="K369" s="88"/>
      <c r="L369" s="90"/>
    </row>
    <row r="370">
      <c r="A370" s="128"/>
      <c r="B370" s="83"/>
      <c r="C370" s="83"/>
      <c r="D370" s="83"/>
      <c r="E370" s="102"/>
      <c r="F370" s="102"/>
      <c r="G370" s="88"/>
      <c r="H370" s="88"/>
      <c r="I370" s="87"/>
      <c r="J370" s="87"/>
      <c r="K370" s="88"/>
      <c r="L370" s="90"/>
    </row>
    <row r="371">
      <c r="A371" s="128"/>
      <c r="B371" s="83"/>
      <c r="C371" s="83"/>
      <c r="D371" s="83"/>
      <c r="E371" s="102"/>
      <c r="F371" s="102"/>
      <c r="G371" s="88"/>
      <c r="H371" s="88"/>
      <c r="I371" s="87"/>
      <c r="J371" s="87"/>
      <c r="K371" s="88"/>
      <c r="L371" s="90"/>
    </row>
    <row r="372">
      <c r="A372" s="128"/>
      <c r="B372" s="83"/>
      <c r="C372" s="83"/>
      <c r="D372" s="83"/>
      <c r="E372" s="102"/>
      <c r="F372" s="102"/>
      <c r="G372" s="88"/>
      <c r="H372" s="88"/>
      <c r="I372" s="87"/>
      <c r="J372" s="87"/>
      <c r="K372" s="88"/>
      <c r="L372" s="90"/>
    </row>
    <row r="373">
      <c r="A373" s="128"/>
      <c r="B373" s="83"/>
      <c r="C373" s="83"/>
      <c r="D373" s="83"/>
      <c r="E373" s="102"/>
      <c r="F373" s="102"/>
      <c r="G373" s="88"/>
      <c r="H373" s="88"/>
      <c r="I373" s="87"/>
      <c r="J373" s="87"/>
      <c r="K373" s="88"/>
      <c r="L373" s="90"/>
    </row>
    <row r="374">
      <c r="A374" s="128"/>
      <c r="B374" s="83"/>
      <c r="C374" s="83"/>
      <c r="D374" s="83"/>
      <c r="E374" s="102"/>
      <c r="F374" s="102"/>
      <c r="G374" s="88"/>
      <c r="H374" s="88"/>
      <c r="I374" s="87"/>
      <c r="J374" s="87"/>
      <c r="K374" s="88"/>
      <c r="L374" s="90"/>
    </row>
    <row r="375">
      <c r="A375" s="128"/>
      <c r="B375" s="83"/>
      <c r="C375" s="83"/>
      <c r="D375" s="83"/>
      <c r="E375" s="102"/>
      <c r="F375" s="102"/>
      <c r="G375" s="88"/>
      <c r="H375" s="88"/>
      <c r="I375" s="87"/>
      <c r="J375" s="87"/>
      <c r="K375" s="88"/>
      <c r="L375" s="90"/>
    </row>
    <row r="376">
      <c r="A376" s="128"/>
      <c r="B376" s="83"/>
      <c r="C376" s="83"/>
      <c r="D376" s="83"/>
      <c r="E376" s="102"/>
      <c r="F376" s="102"/>
      <c r="G376" s="88"/>
      <c r="H376" s="88"/>
      <c r="I376" s="87"/>
      <c r="J376" s="87"/>
      <c r="K376" s="88"/>
      <c r="L376" s="90"/>
    </row>
    <row r="377">
      <c r="A377" s="128"/>
      <c r="B377" s="83"/>
      <c r="C377" s="83"/>
      <c r="D377" s="83"/>
      <c r="E377" s="102"/>
      <c r="F377" s="102"/>
      <c r="G377" s="88"/>
      <c r="H377" s="88"/>
      <c r="I377" s="87"/>
      <c r="J377" s="87"/>
      <c r="K377" s="88"/>
      <c r="L377" s="90"/>
    </row>
    <row r="378">
      <c r="A378" s="128"/>
      <c r="B378" s="83"/>
      <c r="C378" s="83"/>
      <c r="D378" s="83"/>
      <c r="E378" s="102"/>
      <c r="F378" s="102"/>
      <c r="G378" s="88"/>
      <c r="H378" s="88"/>
      <c r="I378" s="87"/>
      <c r="J378" s="87"/>
      <c r="K378" s="88"/>
      <c r="L378" s="90"/>
    </row>
    <row r="379">
      <c r="A379" s="128"/>
      <c r="B379" s="83"/>
      <c r="C379" s="83"/>
      <c r="D379" s="83"/>
      <c r="E379" s="102"/>
      <c r="F379" s="102"/>
      <c r="G379" s="88"/>
      <c r="H379" s="88"/>
      <c r="I379" s="87"/>
      <c r="J379" s="87"/>
      <c r="K379" s="88"/>
      <c r="L379" s="90"/>
    </row>
    <row r="380">
      <c r="A380" s="128"/>
      <c r="B380" s="83"/>
      <c r="C380" s="83"/>
      <c r="D380" s="83"/>
      <c r="E380" s="102"/>
      <c r="F380" s="102"/>
      <c r="G380" s="88"/>
      <c r="H380" s="88"/>
      <c r="I380" s="87"/>
      <c r="J380" s="87"/>
      <c r="K380" s="88"/>
      <c r="L380" s="90"/>
    </row>
    <row r="381">
      <c r="A381" s="128"/>
      <c r="B381" s="83"/>
      <c r="C381" s="83"/>
      <c r="D381" s="83"/>
      <c r="E381" s="102"/>
      <c r="F381" s="102"/>
      <c r="G381" s="88"/>
      <c r="H381" s="88"/>
      <c r="I381" s="87"/>
      <c r="J381" s="87"/>
      <c r="K381" s="88"/>
      <c r="L381" s="90"/>
    </row>
    <row r="382">
      <c r="A382" s="128"/>
      <c r="B382" s="83"/>
      <c r="C382" s="83"/>
      <c r="D382" s="83"/>
      <c r="E382" s="102"/>
      <c r="F382" s="102"/>
      <c r="G382" s="88"/>
      <c r="H382" s="88"/>
      <c r="I382" s="87"/>
      <c r="J382" s="87"/>
      <c r="K382" s="88"/>
      <c r="L382" s="90"/>
    </row>
    <row r="383">
      <c r="A383" s="128"/>
      <c r="B383" s="83"/>
      <c r="C383" s="83"/>
      <c r="D383" s="83"/>
      <c r="E383" s="102"/>
      <c r="F383" s="102"/>
      <c r="G383" s="88"/>
      <c r="H383" s="88"/>
      <c r="I383" s="87"/>
      <c r="J383" s="87"/>
      <c r="K383" s="88"/>
      <c r="L383" s="90"/>
    </row>
    <row r="384">
      <c r="A384" s="128"/>
      <c r="B384" s="83"/>
      <c r="C384" s="83"/>
      <c r="D384" s="83"/>
      <c r="E384" s="102"/>
      <c r="F384" s="102"/>
      <c r="G384" s="88"/>
      <c r="H384" s="88"/>
      <c r="I384" s="87"/>
      <c r="J384" s="87"/>
      <c r="K384" s="88"/>
      <c r="L384" s="90"/>
    </row>
    <row r="385">
      <c r="A385" s="128"/>
      <c r="B385" s="83"/>
      <c r="C385" s="83"/>
      <c r="D385" s="83"/>
      <c r="E385" s="102"/>
      <c r="F385" s="102"/>
      <c r="G385" s="88"/>
      <c r="H385" s="88"/>
      <c r="I385" s="87"/>
      <c r="J385" s="87"/>
      <c r="K385" s="88"/>
      <c r="L385" s="90"/>
    </row>
    <row r="386">
      <c r="A386" s="128"/>
      <c r="B386" s="83"/>
      <c r="C386" s="83"/>
      <c r="D386" s="83"/>
      <c r="E386" s="102"/>
      <c r="F386" s="102"/>
      <c r="G386" s="88"/>
      <c r="H386" s="88"/>
      <c r="I386" s="87"/>
      <c r="J386" s="87"/>
      <c r="K386" s="88"/>
      <c r="L386" s="90"/>
    </row>
    <row r="387">
      <c r="A387" s="128"/>
      <c r="B387" s="83"/>
      <c r="C387" s="83"/>
      <c r="D387" s="83"/>
      <c r="E387" s="102"/>
      <c r="F387" s="102"/>
      <c r="G387" s="88"/>
      <c r="H387" s="88"/>
      <c r="I387" s="87"/>
      <c r="J387" s="87"/>
      <c r="K387" s="88"/>
      <c r="L387" s="90"/>
    </row>
    <row r="388">
      <c r="A388" s="128"/>
      <c r="B388" s="83"/>
      <c r="C388" s="83"/>
      <c r="D388" s="83"/>
      <c r="E388" s="102"/>
      <c r="F388" s="102"/>
      <c r="G388" s="88"/>
      <c r="H388" s="88"/>
      <c r="I388" s="87"/>
      <c r="J388" s="87"/>
      <c r="K388" s="88"/>
      <c r="L388" s="90"/>
    </row>
    <row r="389">
      <c r="A389" s="128"/>
      <c r="B389" s="83"/>
      <c r="C389" s="83"/>
      <c r="D389" s="83"/>
      <c r="E389" s="102"/>
      <c r="F389" s="102"/>
      <c r="G389" s="88"/>
      <c r="H389" s="88"/>
      <c r="I389" s="87"/>
      <c r="J389" s="87"/>
      <c r="K389" s="88"/>
      <c r="L389" s="90"/>
    </row>
    <row r="390">
      <c r="A390" s="128"/>
      <c r="B390" s="83"/>
      <c r="C390" s="83"/>
      <c r="D390" s="83"/>
      <c r="E390" s="102"/>
      <c r="F390" s="102"/>
      <c r="G390" s="88"/>
      <c r="H390" s="88"/>
      <c r="I390" s="87"/>
      <c r="J390" s="87"/>
      <c r="K390" s="88"/>
      <c r="L390" s="90"/>
    </row>
    <row r="391">
      <c r="A391" s="128"/>
      <c r="B391" s="83"/>
      <c r="C391" s="83"/>
      <c r="D391" s="83"/>
      <c r="E391" s="102"/>
      <c r="F391" s="102"/>
      <c r="G391" s="88"/>
      <c r="H391" s="88"/>
      <c r="I391" s="87"/>
      <c r="J391" s="87"/>
      <c r="K391" s="88"/>
      <c r="L391" s="90"/>
    </row>
    <row r="392">
      <c r="A392" s="128"/>
      <c r="B392" s="83"/>
      <c r="C392" s="83"/>
      <c r="D392" s="83"/>
      <c r="E392" s="102"/>
      <c r="F392" s="102"/>
      <c r="G392" s="88"/>
      <c r="H392" s="88"/>
      <c r="I392" s="87"/>
      <c r="J392" s="87"/>
      <c r="K392" s="88"/>
      <c r="L392" s="90"/>
    </row>
    <row r="393">
      <c r="A393" s="128"/>
      <c r="B393" s="83"/>
      <c r="C393" s="83"/>
      <c r="D393" s="83"/>
      <c r="E393" s="102"/>
      <c r="F393" s="102"/>
      <c r="G393" s="88"/>
      <c r="H393" s="88"/>
      <c r="I393" s="87"/>
      <c r="J393" s="87"/>
      <c r="K393" s="88"/>
      <c r="L393" s="90"/>
    </row>
    <row r="394">
      <c r="A394" s="128"/>
      <c r="B394" s="83"/>
      <c r="C394" s="83"/>
      <c r="D394" s="83"/>
      <c r="E394" s="102"/>
      <c r="F394" s="102"/>
      <c r="G394" s="88"/>
      <c r="H394" s="88"/>
      <c r="I394" s="87"/>
      <c r="J394" s="87"/>
      <c r="K394" s="88"/>
      <c r="L394" s="90"/>
    </row>
    <row r="395">
      <c r="A395" s="128"/>
      <c r="B395" s="83"/>
      <c r="C395" s="83"/>
      <c r="D395" s="83"/>
      <c r="E395" s="102"/>
      <c r="F395" s="102"/>
      <c r="G395" s="88"/>
      <c r="H395" s="88"/>
      <c r="I395" s="87"/>
      <c r="J395" s="87"/>
      <c r="K395" s="88"/>
      <c r="L395" s="90"/>
    </row>
    <row r="396">
      <c r="A396" s="128"/>
      <c r="B396" s="83"/>
      <c r="C396" s="83"/>
      <c r="D396" s="83"/>
      <c r="E396" s="102"/>
      <c r="F396" s="102"/>
      <c r="G396" s="88"/>
      <c r="H396" s="88"/>
      <c r="I396" s="87"/>
      <c r="J396" s="87"/>
      <c r="K396" s="88"/>
      <c r="L396" s="90"/>
    </row>
    <row r="397">
      <c r="A397" s="128"/>
      <c r="B397" s="83"/>
      <c r="C397" s="83"/>
      <c r="D397" s="83"/>
      <c r="E397" s="102"/>
      <c r="F397" s="102"/>
      <c r="G397" s="88"/>
      <c r="H397" s="88"/>
      <c r="I397" s="87"/>
      <c r="J397" s="87"/>
      <c r="K397" s="88"/>
      <c r="L397" s="90"/>
    </row>
    <row r="398">
      <c r="A398" s="128"/>
      <c r="B398" s="83"/>
      <c r="C398" s="83"/>
      <c r="D398" s="83"/>
      <c r="E398" s="102"/>
      <c r="F398" s="102"/>
      <c r="G398" s="88"/>
      <c r="H398" s="88"/>
      <c r="I398" s="87"/>
      <c r="J398" s="87"/>
      <c r="K398" s="88"/>
      <c r="L398" s="90"/>
    </row>
    <row r="399">
      <c r="A399" s="128"/>
      <c r="B399" s="83"/>
      <c r="C399" s="83"/>
      <c r="D399" s="83"/>
      <c r="E399" s="102"/>
      <c r="F399" s="102"/>
      <c r="G399" s="88"/>
      <c r="H399" s="88"/>
      <c r="I399" s="87"/>
      <c r="J399" s="87"/>
      <c r="K399" s="88"/>
      <c r="L399" s="90"/>
    </row>
    <row r="400">
      <c r="A400" s="128"/>
      <c r="B400" s="83"/>
      <c r="C400" s="83"/>
      <c r="D400" s="83"/>
      <c r="E400" s="102"/>
      <c r="F400" s="102"/>
      <c r="G400" s="88"/>
      <c r="H400" s="88"/>
      <c r="I400" s="87"/>
      <c r="J400" s="87"/>
      <c r="K400" s="88"/>
      <c r="L400" s="90"/>
    </row>
    <row r="401">
      <c r="A401" s="128"/>
      <c r="B401" s="83"/>
      <c r="C401" s="83"/>
      <c r="D401" s="83"/>
      <c r="E401" s="102"/>
      <c r="F401" s="102"/>
      <c r="G401" s="88"/>
      <c r="H401" s="88"/>
      <c r="I401" s="87"/>
      <c r="J401" s="87"/>
      <c r="K401" s="88"/>
      <c r="L401" s="90"/>
    </row>
    <row r="402">
      <c r="A402" s="128"/>
      <c r="B402" s="83"/>
      <c r="C402" s="83"/>
      <c r="D402" s="83"/>
      <c r="E402" s="102"/>
      <c r="F402" s="102"/>
      <c r="G402" s="88"/>
      <c r="H402" s="88"/>
      <c r="I402" s="87"/>
      <c r="J402" s="87"/>
      <c r="K402" s="88"/>
      <c r="L402" s="90"/>
    </row>
    <row r="403">
      <c r="A403" s="128"/>
      <c r="B403" s="83"/>
      <c r="C403" s="83"/>
      <c r="D403" s="83"/>
      <c r="E403" s="102"/>
      <c r="F403" s="102"/>
      <c r="G403" s="88"/>
      <c r="H403" s="88"/>
      <c r="I403" s="87"/>
      <c r="J403" s="87"/>
      <c r="K403" s="88"/>
      <c r="L403" s="90"/>
    </row>
    <row r="404">
      <c r="A404" s="128"/>
      <c r="B404" s="83"/>
      <c r="C404" s="83"/>
      <c r="D404" s="83"/>
      <c r="E404" s="102"/>
      <c r="F404" s="102"/>
      <c r="G404" s="88"/>
      <c r="H404" s="88"/>
      <c r="I404" s="87"/>
      <c r="J404" s="87"/>
      <c r="K404" s="88"/>
      <c r="L404" s="90"/>
    </row>
    <row r="405">
      <c r="A405" s="128"/>
      <c r="B405" s="83"/>
      <c r="C405" s="83"/>
      <c r="D405" s="83"/>
      <c r="E405" s="102"/>
      <c r="F405" s="102"/>
      <c r="G405" s="88"/>
      <c r="H405" s="88"/>
      <c r="I405" s="87"/>
      <c r="J405" s="87"/>
      <c r="K405" s="88"/>
      <c r="L405" s="90"/>
    </row>
    <row r="406">
      <c r="A406" s="128"/>
      <c r="B406" s="83"/>
      <c r="C406" s="83"/>
      <c r="D406" s="83"/>
      <c r="E406" s="102"/>
      <c r="F406" s="102"/>
      <c r="G406" s="88"/>
      <c r="H406" s="88"/>
      <c r="I406" s="87"/>
      <c r="J406" s="87"/>
      <c r="K406" s="88"/>
      <c r="L406" s="90"/>
    </row>
    <row r="407">
      <c r="A407" s="128"/>
      <c r="B407" s="83"/>
      <c r="C407" s="83"/>
      <c r="D407" s="83"/>
      <c r="E407" s="102"/>
      <c r="F407" s="102"/>
      <c r="G407" s="88"/>
      <c r="H407" s="88"/>
      <c r="I407" s="87"/>
      <c r="J407" s="87"/>
      <c r="K407" s="88"/>
      <c r="L407" s="90"/>
    </row>
    <row r="408">
      <c r="A408" s="128"/>
      <c r="B408" s="83"/>
      <c r="C408" s="83"/>
      <c r="D408" s="83"/>
      <c r="E408" s="102"/>
      <c r="F408" s="102"/>
      <c r="G408" s="88"/>
      <c r="H408" s="88"/>
      <c r="I408" s="87"/>
      <c r="J408" s="87"/>
      <c r="K408" s="88"/>
      <c r="L408" s="90"/>
    </row>
    <row r="409">
      <c r="A409" s="128"/>
      <c r="B409" s="83"/>
      <c r="C409" s="83"/>
      <c r="D409" s="83"/>
      <c r="E409" s="102"/>
      <c r="F409" s="102"/>
      <c r="G409" s="88"/>
      <c r="H409" s="88"/>
      <c r="I409" s="87"/>
      <c r="J409" s="87"/>
      <c r="K409" s="88"/>
      <c r="L409" s="90"/>
    </row>
    <row r="410">
      <c r="A410" s="128"/>
      <c r="B410" s="83"/>
      <c r="C410" s="83"/>
      <c r="D410" s="83"/>
      <c r="E410" s="102"/>
      <c r="F410" s="102"/>
      <c r="G410" s="88"/>
      <c r="H410" s="88"/>
      <c r="I410" s="87"/>
      <c r="J410" s="87"/>
      <c r="K410" s="88"/>
      <c r="L410" s="90"/>
    </row>
    <row r="411">
      <c r="A411" s="128"/>
      <c r="B411" s="83"/>
      <c r="C411" s="83"/>
      <c r="D411" s="83"/>
      <c r="E411" s="102"/>
      <c r="F411" s="102"/>
      <c r="G411" s="88"/>
      <c r="H411" s="88"/>
      <c r="I411" s="87"/>
      <c r="J411" s="87"/>
      <c r="K411" s="88"/>
      <c r="L411" s="90"/>
    </row>
    <row r="412">
      <c r="A412" s="128"/>
      <c r="B412" s="83"/>
      <c r="C412" s="83"/>
      <c r="D412" s="83"/>
      <c r="E412" s="102"/>
      <c r="F412" s="102"/>
      <c r="G412" s="88"/>
      <c r="H412" s="88"/>
      <c r="I412" s="87"/>
      <c r="J412" s="87"/>
      <c r="K412" s="88"/>
      <c r="L412" s="90"/>
    </row>
    <row r="413">
      <c r="A413" s="128"/>
      <c r="B413" s="83"/>
      <c r="C413" s="83"/>
      <c r="D413" s="83"/>
      <c r="E413" s="102"/>
      <c r="F413" s="102"/>
      <c r="G413" s="88"/>
      <c r="H413" s="88"/>
      <c r="I413" s="87"/>
      <c r="J413" s="87"/>
      <c r="K413" s="88"/>
      <c r="L413" s="90"/>
    </row>
    <row r="414">
      <c r="A414" s="128"/>
      <c r="B414" s="83"/>
      <c r="C414" s="83"/>
      <c r="D414" s="83"/>
      <c r="E414" s="102"/>
      <c r="F414" s="102"/>
      <c r="G414" s="88"/>
      <c r="H414" s="88"/>
      <c r="I414" s="87"/>
      <c r="J414" s="87"/>
      <c r="K414" s="88"/>
      <c r="L414" s="90"/>
    </row>
    <row r="415">
      <c r="A415" s="128"/>
      <c r="B415" s="83"/>
      <c r="C415" s="83"/>
      <c r="D415" s="83"/>
      <c r="E415" s="102"/>
      <c r="F415" s="102"/>
      <c r="G415" s="88"/>
      <c r="H415" s="88"/>
      <c r="I415" s="87"/>
      <c r="J415" s="87"/>
      <c r="K415" s="88"/>
      <c r="L415" s="90"/>
    </row>
    <row r="416">
      <c r="A416" s="128"/>
      <c r="B416" s="83"/>
      <c r="C416" s="83"/>
      <c r="D416" s="83"/>
      <c r="E416" s="102"/>
      <c r="F416" s="102"/>
      <c r="G416" s="88"/>
      <c r="H416" s="88"/>
      <c r="I416" s="87"/>
      <c r="J416" s="87"/>
      <c r="K416" s="88"/>
      <c r="L416" s="90"/>
    </row>
    <row r="417">
      <c r="A417" s="128"/>
      <c r="B417" s="83"/>
      <c r="C417" s="83"/>
      <c r="D417" s="83"/>
      <c r="E417" s="102"/>
      <c r="F417" s="102"/>
      <c r="G417" s="88"/>
      <c r="H417" s="88"/>
      <c r="I417" s="87"/>
      <c r="J417" s="87"/>
      <c r="K417" s="88"/>
      <c r="L417" s="90"/>
    </row>
    <row r="418">
      <c r="A418" s="128"/>
      <c r="B418" s="83"/>
      <c r="C418" s="83"/>
      <c r="D418" s="83"/>
      <c r="E418" s="102"/>
      <c r="F418" s="102"/>
      <c r="G418" s="88"/>
      <c r="H418" s="88"/>
      <c r="I418" s="87"/>
      <c r="J418" s="87"/>
      <c r="K418" s="88"/>
      <c r="L418" s="90"/>
    </row>
    <row r="419">
      <c r="A419" s="128"/>
      <c r="B419" s="83"/>
      <c r="C419" s="83"/>
      <c r="D419" s="83"/>
      <c r="E419" s="102"/>
      <c r="F419" s="102"/>
      <c r="G419" s="88"/>
      <c r="H419" s="88"/>
      <c r="I419" s="87"/>
      <c r="J419" s="87"/>
      <c r="K419" s="88"/>
      <c r="L419" s="90"/>
    </row>
    <row r="420">
      <c r="A420" s="128"/>
      <c r="B420" s="83"/>
      <c r="C420" s="83"/>
      <c r="D420" s="83"/>
      <c r="E420" s="102"/>
      <c r="F420" s="102"/>
      <c r="G420" s="88"/>
      <c r="H420" s="88"/>
      <c r="I420" s="87"/>
      <c r="J420" s="87"/>
      <c r="K420" s="88"/>
      <c r="L420" s="90"/>
    </row>
    <row r="421">
      <c r="A421" s="128"/>
      <c r="B421" s="83"/>
      <c r="C421" s="83"/>
      <c r="D421" s="83"/>
      <c r="E421" s="102"/>
      <c r="F421" s="102"/>
      <c r="G421" s="88"/>
      <c r="H421" s="88"/>
      <c r="I421" s="87"/>
      <c r="J421" s="87"/>
      <c r="K421" s="88"/>
      <c r="L421" s="90"/>
    </row>
    <row r="422">
      <c r="A422" s="128"/>
      <c r="B422" s="83"/>
      <c r="C422" s="83"/>
      <c r="D422" s="83"/>
      <c r="E422" s="102"/>
      <c r="F422" s="102"/>
      <c r="G422" s="88"/>
      <c r="H422" s="88"/>
      <c r="I422" s="87"/>
      <c r="J422" s="87"/>
      <c r="K422" s="88"/>
      <c r="L422" s="90"/>
    </row>
    <row r="423">
      <c r="A423" s="128"/>
      <c r="B423" s="83"/>
      <c r="C423" s="83"/>
      <c r="D423" s="83"/>
      <c r="E423" s="102"/>
      <c r="F423" s="102"/>
      <c r="G423" s="88"/>
      <c r="H423" s="88"/>
      <c r="I423" s="87"/>
      <c r="J423" s="87"/>
      <c r="K423" s="88"/>
      <c r="L423" s="90"/>
    </row>
    <row r="424">
      <c r="A424" s="128"/>
      <c r="B424" s="83"/>
      <c r="C424" s="83"/>
      <c r="D424" s="83"/>
      <c r="E424" s="102"/>
      <c r="F424" s="102"/>
      <c r="G424" s="88"/>
      <c r="H424" s="88"/>
      <c r="I424" s="87"/>
      <c r="J424" s="87"/>
      <c r="K424" s="88"/>
      <c r="L424" s="90"/>
    </row>
    <row r="425">
      <c r="A425" s="128"/>
      <c r="B425" s="83"/>
      <c r="C425" s="83"/>
      <c r="D425" s="83"/>
      <c r="E425" s="102"/>
      <c r="F425" s="102"/>
      <c r="G425" s="88"/>
      <c r="H425" s="88"/>
      <c r="I425" s="87"/>
      <c r="J425" s="87"/>
      <c r="K425" s="88"/>
      <c r="L425" s="90"/>
    </row>
    <row r="426">
      <c r="A426" s="128"/>
      <c r="B426" s="83"/>
      <c r="C426" s="83"/>
      <c r="D426" s="83"/>
      <c r="E426" s="102"/>
      <c r="F426" s="102"/>
      <c r="G426" s="88"/>
      <c r="H426" s="88"/>
      <c r="I426" s="87"/>
      <c r="J426" s="87"/>
      <c r="K426" s="88"/>
      <c r="L426" s="90"/>
    </row>
    <row r="427">
      <c r="A427" s="128"/>
      <c r="B427" s="83"/>
      <c r="C427" s="83"/>
      <c r="D427" s="83"/>
      <c r="E427" s="102"/>
      <c r="F427" s="102"/>
      <c r="G427" s="88"/>
      <c r="H427" s="88"/>
      <c r="I427" s="87"/>
      <c r="J427" s="87"/>
      <c r="K427" s="88"/>
      <c r="L427" s="90"/>
    </row>
    <row r="428">
      <c r="A428" s="128"/>
      <c r="B428" s="83"/>
      <c r="C428" s="83"/>
      <c r="D428" s="83"/>
      <c r="E428" s="102"/>
      <c r="F428" s="102"/>
      <c r="G428" s="88"/>
      <c r="H428" s="88"/>
      <c r="I428" s="87"/>
      <c r="J428" s="87"/>
      <c r="K428" s="88"/>
      <c r="L428" s="90"/>
    </row>
    <row r="429">
      <c r="A429" s="128"/>
      <c r="B429" s="83"/>
      <c r="C429" s="83"/>
      <c r="D429" s="83"/>
      <c r="E429" s="102"/>
      <c r="F429" s="102"/>
      <c r="G429" s="88"/>
      <c r="H429" s="88"/>
      <c r="I429" s="87"/>
      <c r="J429" s="87"/>
      <c r="K429" s="88"/>
      <c r="L429" s="90"/>
    </row>
    <row r="430">
      <c r="A430" s="128"/>
      <c r="B430" s="83"/>
      <c r="C430" s="83"/>
      <c r="D430" s="83"/>
      <c r="E430" s="102"/>
      <c r="F430" s="102"/>
      <c r="G430" s="88"/>
      <c r="H430" s="88"/>
      <c r="I430" s="87"/>
      <c r="J430" s="87"/>
      <c r="K430" s="88"/>
      <c r="L430" s="90"/>
    </row>
    <row r="431">
      <c r="A431" s="128"/>
      <c r="B431" s="83"/>
      <c r="C431" s="83"/>
      <c r="D431" s="83"/>
      <c r="E431" s="102"/>
      <c r="F431" s="102"/>
      <c r="G431" s="88"/>
      <c r="H431" s="88"/>
      <c r="I431" s="87"/>
      <c r="J431" s="87"/>
      <c r="K431" s="88"/>
      <c r="L431" s="90"/>
    </row>
    <row r="432">
      <c r="A432" s="128"/>
      <c r="B432" s="83"/>
      <c r="C432" s="83"/>
      <c r="D432" s="83"/>
      <c r="E432" s="102"/>
      <c r="F432" s="102"/>
      <c r="G432" s="88"/>
      <c r="H432" s="88"/>
      <c r="I432" s="87"/>
      <c r="J432" s="87"/>
      <c r="K432" s="88"/>
      <c r="L432" s="90"/>
    </row>
    <row r="433">
      <c r="A433" s="128"/>
      <c r="B433" s="83"/>
      <c r="C433" s="83"/>
      <c r="D433" s="83"/>
      <c r="E433" s="102"/>
      <c r="F433" s="102"/>
      <c r="G433" s="88"/>
      <c r="H433" s="88"/>
      <c r="I433" s="87"/>
      <c r="J433" s="87"/>
      <c r="K433" s="88"/>
      <c r="L433" s="90"/>
    </row>
    <row r="434">
      <c r="A434" s="128"/>
      <c r="B434" s="83"/>
      <c r="C434" s="83"/>
      <c r="D434" s="83"/>
      <c r="E434" s="102"/>
      <c r="F434" s="102"/>
      <c r="G434" s="88"/>
      <c r="H434" s="88"/>
      <c r="I434" s="87"/>
      <c r="J434" s="87"/>
      <c r="K434" s="88"/>
      <c r="L434" s="90"/>
    </row>
    <row r="435">
      <c r="A435" s="128"/>
      <c r="B435" s="83"/>
      <c r="C435" s="83"/>
      <c r="D435" s="83"/>
      <c r="E435" s="102"/>
      <c r="F435" s="102"/>
      <c r="G435" s="88"/>
      <c r="H435" s="88"/>
      <c r="I435" s="87"/>
      <c r="J435" s="87"/>
      <c r="K435" s="88"/>
      <c r="L435" s="90"/>
    </row>
    <row r="436">
      <c r="A436" s="128"/>
      <c r="B436" s="83"/>
      <c r="C436" s="83"/>
      <c r="D436" s="83"/>
      <c r="E436" s="102"/>
      <c r="F436" s="102"/>
      <c r="G436" s="88"/>
      <c r="H436" s="88"/>
      <c r="I436" s="87"/>
      <c r="J436" s="87"/>
      <c r="K436" s="88"/>
      <c r="L436" s="90"/>
    </row>
    <row r="437">
      <c r="A437" s="128"/>
      <c r="B437" s="83"/>
      <c r="C437" s="83"/>
      <c r="D437" s="83"/>
      <c r="E437" s="102"/>
      <c r="F437" s="102"/>
      <c r="G437" s="88"/>
      <c r="H437" s="88"/>
      <c r="I437" s="87"/>
      <c r="J437" s="87"/>
      <c r="K437" s="88"/>
      <c r="L437" s="90"/>
    </row>
    <row r="438">
      <c r="A438" s="128"/>
      <c r="B438" s="83"/>
      <c r="C438" s="83"/>
      <c r="D438" s="83"/>
      <c r="E438" s="102"/>
      <c r="F438" s="102"/>
      <c r="G438" s="88"/>
      <c r="H438" s="88"/>
      <c r="I438" s="87"/>
      <c r="J438" s="87"/>
      <c r="K438" s="88"/>
      <c r="L438" s="90"/>
    </row>
    <row r="439">
      <c r="A439" s="128"/>
      <c r="B439" s="83"/>
      <c r="C439" s="83"/>
      <c r="D439" s="83"/>
      <c r="E439" s="102"/>
      <c r="F439" s="102"/>
      <c r="G439" s="88"/>
      <c r="H439" s="88"/>
      <c r="I439" s="87"/>
      <c r="J439" s="87"/>
      <c r="K439" s="88"/>
      <c r="L439" s="90"/>
    </row>
    <row r="440">
      <c r="A440" s="128"/>
      <c r="B440" s="83"/>
      <c r="C440" s="83"/>
      <c r="D440" s="83"/>
      <c r="E440" s="102"/>
      <c r="F440" s="102"/>
      <c r="G440" s="88"/>
      <c r="H440" s="88"/>
      <c r="I440" s="87"/>
      <c r="J440" s="87"/>
      <c r="K440" s="88"/>
      <c r="L440" s="90"/>
    </row>
    <row r="441">
      <c r="A441" s="128"/>
      <c r="B441" s="83"/>
      <c r="C441" s="83"/>
      <c r="D441" s="83"/>
      <c r="E441" s="102"/>
      <c r="F441" s="102"/>
      <c r="G441" s="88"/>
      <c r="H441" s="88"/>
      <c r="I441" s="87"/>
      <c r="J441" s="87"/>
      <c r="K441" s="88"/>
      <c r="L441" s="90"/>
    </row>
    <row r="442">
      <c r="A442" s="128"/>
      <c r="B442" s="83"/>
      <c r="C442" s="83"/>
      <c r="D442" s="83"/>
      <c r="E442" s="102"/>
      <c r="F442" s="102"/>
      <c r="G442" s="88"/>
      <c r="H442" s="88"/>
      <c r="I442" s="87"/>
      <c r="J442" s="87"/>
      <c r="K442" s="88"/>
      <c r="L442" s="90"/>
    </row>
    <row r="443">
      <c r="A443" s="128"/>
      <c r="B443" s="83"/>
      <c r="C443" s="83"/>
      <c r="D443" s="83"/>
      <c r="E443" s="102"/>
      <c r="F443" s="102"/>
      <c r="G443" s="88"/>
      <c r="H443" s="88"/>
      <c r="I443" s="87"/>
      <c r="J443" s="87"/>
      <c r="K443" s="88"/>
      <c r="L443" s="90"/>
    </row>
    <row r="444">
      <c r="A444" s="128"/>
      <c r="B444" s="83"/>
      <c r="C444" s="83"/>
      <c r="D444" s="83"/>
      <c r="E444" s="102"/>
      <c r="F444" s="102"/>
      <c r="G444" s="88"/>
      <c r="H444" s="88"/>
      <c r="I444" s="87"/>
      <c r="J444" s="87"/>
      <c r="K444" s="88"/>
      <c r="L444" s="90"/>
    </row>
    <row r="445">
      <c r="A445" s="128"/>
      <c r="B445" s="83"/>
      <c r="C445" s="83"/>
      <c r="D445" s="83"/>
      <c r="E445" s="102"/>
      <c r="F445" s="102"/>
      <c r="G445" s="88"/>
      <c r="H445" s="88"/>
      <c r="I445" s="87"/>
      <c r="J445" s="87"/>
      <c r="K445" s="88"/>
      <c r="L445" s="90"/>
    </row>
    <row r="446">
      <c r="A446" s="128"/>
      <c r="B446" s="83"/>
      <c r="C446" s="83"/>
      <c r="D446" s="83"/>
      <c r="E446" s="102"/>
      <c r="F446" s="102"/>
      <c r="G446" s="88"/>
      <c r="H446" s="88"/>
      <c r="I446" s="87"/>
      <c r="J446" s="87"/>
      <c r="K446" s="88"/>
      <c r="L446" s="90"/>
    </row>
    <row r="447">
      <c r="A447" s="128"/>
      <c r="B447" s="83"/>
      <c r="C447" s="83"/>
      <c r="D447" s="83"/>
      <c r="E447" s="102"/>
      <c r="F447" s="102"/>
      <c r="G447" s="88"/>
      <c r="H447" s="88"/>
      <c r="I447" s="87"/>
      <c r="J447" s="87"/>
      <c r="K447" s="88"/>
      <c r="L447" s="90"/>
    </row>
    <row r="448">
      <c r="A448" s="128"/>
      <c r="B448" s="83"/>
      <c r="C448" s="83"/>
      <c r="D448" s="83"/>
      <c r="E448" s="102"/>
      <c r="F448" s="102"/>
      <c r="G448" s="88"/>
      <c r="H448" s="88"/>
      <c r="I448" s="87"/>
      <c r="J448" s="87"/>
      <c r="K448" s="88"/>
      <c r="L448" s="90"/>
    </row>
    <row r="449">
      <c r="A449" s="128"/>
      <c r="B449" s="83"/>
      <c r="C449" s="83"/>
      <c r="D449" s="83"/>
      <c r="E449" s="102"/>
      <c r="F449" s="102"/>
      <c r="G449" s="88"/>
      <c r="H449" s="88"/>
      <c r="I449" s="87"/>
      <c r="J449" s="87"/>
      <c r="K449" s="88"/>
      <c r="L449" s="90"/>
    </row>
    <row r="450">
      <c r="A450" s="128"/>
      <c r="B450" s="83"/>
      <c r="C450" s="83"/>
      <c r="D450" s="83"/>
      <c r="E450" s="102"/>
      <c r="F450" s="102"/>
      <c r="G450" s="88"/>
      <c r="H450" s="88"/>
      <c r="I450" s="87"/>
      <c r="J450" s="87"/>
      <c r="K450" s="88"/>
      <c r="L450" s="90"/>
    </row>
    <row r="451">
      <c r="A451" s="128"/>
      <c r="B451" s="83"/>
      <c r="C451" s="83"/>
      <c r="D451" s="83"/>
      <c r="E451" s="102"/>
      <c r="F451" s="102"/>
      <c r="G451" s="88"/>
      <c r="H451" s="88"/>
      <c r="I451" s="87"/>
      <c r="J451" s="87"/>
      <c r="K451" s="88"/>
      <c r="L451" s="90"/>
    </row>
    <row r="452">
      <c r="A452" s="128"/>
      <c r="B452" s="83"/>
      <c r="C452" s="83"/>
      <c r="D452" s="83"/>
      <c r="E452" s="102"/>
      <c r="F452" s="102"/>
      <c r="G452" s="88"/>
      <c r="H452" s="88"/>
      <c r="I452" s="87"/>
      <c r="J452" s="87"/>
      <c r="K452" s="88"/>
      <c r="L452" s="90"/>
    </row>
    <row r="453">
      <c r="A453" s="128"/>
      <c r="B453" s="83"/>
      <c r="C453" s="83"/>
      <c r="D453" s="83"/>
      <c r="E453" s="102"/>
      <c r="F453" s="102"/>
      <c r="G453" s="88"/>
      <c r="H453" s="88"/>
      <c r="I453" s="87"/>
      <c r="J453" s="87"/>
      <c r="K453" s="88"/>
      <c r="L453" s="90"/>
    </row>
    <row r="454">
      <c r="A454" s="128"/>
      <c r="B454" s="83"/>
      <c r="C454" s="83"/>
      <c r="D454" s="83"/>
      <c r="E454" s="102"/>
      <c r="F454" s="102"/>
      <c r="G454" s="88"/>
      <c r="H454" s="88"/>
      <c r="I454" s="87"/>
      <c r="J454" s="87"/>
      <c r="K454" s="88"/>
      <c r="L454" s="90"/>
    </row>
    <row r="455">
      <c r="A455" s="128"/>
      <c r="B455" s="83"/>
      <c r="C455" s="83"/>
      <c r="D455" s="83"/>
      <c r="E455" s="102"/>
      <c r="F455" s="102"/>
      <c r="G455" s="88"/>
      <c r="H455" s="88"/>
      <c r="I455" s="87"/>
      <c r="J455" s="87"/>
      <c r="K455" s="88"/>
      <c r="L455" s="90"/>
    </row>
    <row r="456">
      <c r="A456" s="128"/>
      <c r="B456" s="83"/>
      <c r="C456" s="83"/>
      <c r="D456" s="83"/>
      <c r="E456" s="102"/>
      <c r="F456" s="102"/>
      <c r="G456" s="88"/>
      <c r="H456" s="88"/>
      <c r="I456" s="87"/>
      <c r="J456" s="87"/>
      <c r="K456" s="88"/>
      <c r="L456" s="90"/>
    </row>
    <row r="457">
      <c r="A457" s="128"/>
      <c r="B457" s="83"/>
      <c r="C457" s="83"/>
      <c r="D457" s="83"/>
      <c r="E457" s="102"/>
      <c r="F457" s="102"/>
      <c r="G457" s="88"/>
      <c r="H457" s="88"/>
      <c r="I457" s="87"/>
      <c r="J457" s="87"/>
      <c r="K457" s="88"/>
      <c r="L457" s="90"/>
    </row>
    <row r="458">
      <c r="A458" s="128"/>
      <c r="B458" s="83"/>
      <c r="C458" s="83"/>
      <c r="D458" s="83"/>
      <c r="E458" s="102"/>
      <c r="F458" s="102"/>
      <c r="G458" s="88"/>
      <c r="H458" s="88"/>
      <c r="I458" s="87"/>
      <c r="J458" s="87"/>
      <c r="K458" s="88"/>
      <c r="L458" s="90"/>
    </row>
    <row r="459">
      <c r="A459" s="128"/>
      <c r="B459" s="83"/>
      <c r="C459" s="83"/>
      <c r="D459" s="83"/>
      <c r="E459" s="102"/>
      <c r="F459" s="102"/>
      <c r="G459" s="88"/>
      <c r="H459" s="88"/>
      <c r="I459" s="87"/>
      <c r="J459" s="87"/>
      <c r="K459" s="88"/>
      <c r="L459" s="90"/>
    </row>
    <row r="460">
      <c r="A460" s="128"/>
      <c r="B460" s="83"/>
      <c r="C460" s="83"/>
      <c r="D460" s="83"/>
      <c r="E460" s="102"/>
      <c r="F460" s="102"/>
      <c r="G460" s="88"/>
      <c r="H460" s="88"/>
      <c r="I460" s="87"/>
      <c r="J460" s="87"/>
      <c r="K460" s="88"/>
      <c r="L460" s="90"/>
    </row>
    <row r="461">
      <c r="A461" s="128"/>
      <c r="B461" s="83"/>
      <c r="C461" s="83"/>
      <c r="D461" s="83"/>
      <c r="E461" s="102"/>
      <c r="F461" s="102"/>
      <c r="G461" s="88"/>
      <c r="H461" s="88"/>
      <c r="I461" s="87"/>
      <c r="J461" s="87"/>
      <c r="K461" s="88"/>
      <c r="L461" s="90"/>
    </row>
    <row r="462">
      <c r="A462" s="128"/>
      <c r="B462" s="83"/>
      <c r="C462" s="83"/>
      <c r="D462" s="83"/>
      <c r="E462" s="102"/>
      <c r="F462" s="102"/>
      <c r="G462" s="88"/>
      <c r="H462" s="88"/>
      <c r="I462" s="87"/>
      <c r="J462" s="87"/>
      <c r="K462" s="88"/>
      <c r="L462" s="90"/>
    </row>
    <row r="463">
      <c r="A463" s="128"/>
      <c r="B463" s="83"/>
      <c r="C463" s="83"/>
      <c r="D463" s="83"/>
      <c r="E463" s="102"/>
      <c r="F463" s="102"/>
      <c r="G463" s="88"/>
      <c r="H463" s="88"/>
      <c r="I463" s="87"/>
      <c r="J463" s="87"/>
      <c r="K463" s="88"/>
      <c r="L463" s="90"/>
    </row>
    <row r="464">
      <c r="A464" s="128"/>
      <c r="B464" s="83"/>
      <c r="C464" s="83"/>
      <c r="D464" s="83"/>
      <c r="E464" s="102"/>
      <c r="F464" s="102"/>
      <c r="G464" s="88"/>
      <c r="H464" s="88"/>
      <c r="I464" s="87"/>
      <c r="J464" s="87"/>
      <c r="K464" s="88"/>
      <c r="L464" s="90"/>
    </row>
    <row r="465">
      <c r="A465" s="128"/>
      <c r="B465" s="83"/>
      <c r="C465" s="83"/>
      <c r="D465" s="83"/>
      <c r="E465" s="102"/>
      <c r="F465" s="102"/>
      <c r="G465" s="88"/>
      <c r="H465" s="88"/>
      <c r="I465" s="87"/>
      <c r="J465" s="87"/>
      <c r="K465" s="88"/>
      <c r="L465" s="90"/>
    </row>
    <row r="466">
      <c r="A466" s="128"/>
      <c r="B466" s="83"/>
      <c r="C466" s="83"/>
      <c r="D466" s="83"/>
      <c r="E466" s="102"/>
      <c r="F466" s="102"/>
      <c r="G466" s="88"/>
      <c r="H466" s="88"/>
      <c r="I466" s="87"/>
      <c r="J466" s="87"/>
      <c r="K466" s="88"/>
      <c r="L466" s="90"/>
    </row>
    <row r="467">
      <c r="A467" s="128"/>
      <c r="B467" s="83"/>
      <c r="C467" s="83"/>
      <c r="D467" s="83"/>
      <c r="E467" s="102"/>
      <c r="F467" s="102"/>
      <c r="G467" s="88"/>
      <c r="H467" s="88"/>
      <c r="I467" s="87"/>
      <c r="J467" s="87"/>
      <c r="K467" s="88"/>
      <c r="L467" s="90"/>
    </row>
    <row r="468">
      <c r="A468" s="128"/>
      <c r="B468" s="83"/>
      <c r="C468" s="83"/>
      <c r="D468" s="83"/>
      <c r="E468" s="102"/>
      <c r="F468" s="102"/>
      <c r="G468" s="88"/>
      <c r="H468" s="88"/>
      <c r="I468" s="87"/>
      <c r="J468" s="87"/>
      <c r="K468" s="88"/>
      <c r="L468" s="90"/>
    </row>
    <row r="469">
      <c r="A469" s="128"/>
      <c r="B469" s="83"/>
      <c r="C469" s="83"/>
      <c r="D469" s="83"/>
      <c r="E469" s="102"/>
      <c r="F469" s="102"/>
      <c r="G469" s="88"/>
      <c r="H469" s="88"/>
      <c r="I469" s="87"/>
      <c r="J469" s="87"/>
      <c r="K469" s="88"/>
      <c r="L469" s="90"/>
    </row>
    <row r="470">
      <c r="A470" s="128"/>
      <c r="B470" s="83"/>
      <c r="C470" s="83"/>
      <c r="D470" s="83"/>
      <c r="E470" s="102"/>
      <c r="F470" s="102"/>
      <c r="G470" s="88"/>
      <c r="H470" s="88"/>
      <c r="I470" s="87"/>
      <c r="J470" s="87"/>
      <c r="K470" s="88"/>
      <c r="L470" s="90"/>
    </row>
    <row r="471">
      <c r="A471" s="128"/>
      <c r="B471" s="83"/>
      <c r="C471" s="83"/>
      <c r="D471" s="83"/>
      <c r="E471" s="102"/>
      <c r="F471" s="102"/>
      <c r="G471" s="88"/>
      <c r="H471" s="88"/>
      <c r="I471" s="87"/>
      <c r="J471" s="87"/>
      <c r="K471" s="88"/>
      <c r="L471" s="90"/>
    </row>
    <row r="472">
      <c r="A472" s="128"/>
      <c r="B472" s="83"/>
      <c r="C472" s="83"/>
      <c r="D472" s="83"/>
      <c r="E472" s="102"/>
      <c r="F472" s="102"/>
      <c r="G472" s="88"/>
      <c r="H472" s="88"/>
      <c r="I472" s="87"/>
      <c r="J472" s="87"/>
      <c r="K472" s="88"/>
      <c r="L472" s="90"/>
    </row>
    <row r="473">
      <c r="A473" s="128"/>
      <c r="B473" s="83"/>
      <c r="C473" s="83"/>
      <c r="D473" s="83"/>
      <c r="E473" s="102"/>
      <c r="F473" s="102"/>
      <c r="G473" s="88"/>
      <c r="H473" s="88"/>
      <c r="I473" s="87"/>
      <c r="J473" s="87"/>
      <c r="K473" s="88"/>
      <c r="L473" s="90"/>
    </row>
    <row r="474">
      <c r="A474" s="128"/>
      <c r="B474" s="83"/>
      <c r="C474" s="83"/>
      <c r="D474" s="83"/>
      <c r="E474" s="102"/>
      <c r="F474" s="102"/>
      <c r="G474" s="88"/>
      <c r="H474" s="88"/>
      <c r="I474" s="87"/>
      <c r="J474" s="87"/>
      <c r="K474" s="88"/>
      <c r="L474" s="90"/>
    </row>
    <row r="475">
      <c r="A475" s="128"/>
      <c r="B475" s="83"/>
      <c r="C475" s="83"/>
      <c r="D475" s="83"/>
      <c r="E475" s="102"/>
      <c r="F475" s="102"/>
      <c r="G475" s="88"/>
      <c r="H475" s="88"/>
      <c r="I475" s="87"/>
      <c r="J475" s="87"/>
      <c r="K475" s="88"/>
      <c r="L475" s="90"/>
    </row>
    <row r="476">
      <c r="A476" s="128"/>
      <c r="B476" s="83"/>
      <c r="C476" s="83"/>
      <c r="D476" s="83"/>
      <c r="E476" s="102"/>
      <c r="F476" s="102"/>
      <c r="G476" s="88"/>
      <c r="H476" s="88"/>
      <c r="I476" s="87"/>
      <c r="J476" s="87"/>
      <c r="K476" s="88"/>
      <c r="L476" s="90"/>
    </row>
    <row r="477">
      <c r="A477" s="128"/>
      <c r="B477" s="83"/>
      <c r="C477" s="83"/>
      <c r="D477" s="83"/>
      <c r="E477" s="102"/>
      <c r="F477" s="102"/>
      <c r="G477" s="88"/>
      <c r="H477" s="88"/>
      <c r="I477" s="87"/>
      <c r="J477" s="87"/>
      <c r="K477" s="88"/>
      <c r="L477" s="90"/>
    </row>
    <row r="478">
      <c r="A478" s="128"/>
      <c r="B478" s="83"/>
      <c r="C478" s="83"/>
      <c r="D478" s="83"/>
      <c r="E478" s="102"/>
      <c r="F478" s="102"/>
      <c r="G478" s="88"/>
      <c r="H478" s="88"/>
      <c r="I478" s="87"/>
      <c r="J478" s="87"/>
      <c r="K478" s="88"/>
      <c r="L478" s="90"/>
    </row>
    <row r="479">
      <c r="A479" s="128"/>
      <c r="B479" s="83"/>
      <c r="C479" s="83"/>
      <c r="D479" s="83"/>
      <c r="E479" s="102"/>
      <c r="F479" s="102"/>
      <c r="G479" s="88"/>
      <c r="H479" s="88"/>
      <c r="I479" s="87"/>
      <c r="J479" s="87"/>
      <c r="K479" s="88"/>
      <c r="L479" s="90"/>
    </row>
    <row r="480">
      <c r="A480" s="128"/>
      <c r="B480" s="83"/>
      <c r="C480" s="83"/>
      <c r="D480" s="83"/>
      <c r="E480" s="102"/>
      <c r="F480" s="102"/>
      <c r="G480" s="88"/>
      <c r="H480" s="88"/>
      <c r="I480" s="87"/>
      <c r="J480" s="87"/>
      <c r="K480" s="88"/>
      <c r="L480" s="90"/>
    </row>
    <row r="481">
      <c r="A481" s="128"/>
      <c r="B481" s="83"/>
      <c r="C481" s="83"/>
      <c r="D481" s="83"/>
      <c r="E481" s="102"/>
      <c r="F481" s="102"/>
      <c r="G481" s="88"/>
      <c r="H481" s="88"/>
      <c r="I481" s="87"/>
      <c r="J481" s="87"/>
      <c r="K481" s="88"/>
      <c r="L481" s="90"/>
    </row>
    <row r="482">
      <c r="A482" s="128"/>
      <c r="B482" s="83"/>
      <c r="C482" s="83"/>
      <c r="D482" s="83"/>
      <c r="E482" s="102"/>
      <c r="F482" s="102"/>
      <c r="G482" s="88"/>
      <c r="H482" s="88"/>
      <c r="I482" s="87"/>
      <c r="J482" s="87"/>
      <c r="K482" s="88"/>
      <c r="L482" s="90"/>
    </row>
    <row r="483">
      <c r="A483" s="128"/>
      <c r="B483" s="83"/>
      <c r="C483" s="83"/>
      <c r="D483" s="83"/>
      <c r="E483" s="102"/>
      <c r="F483" s="102"/>
      <c r="G483" s="88"/>
      <c r="H483" s="88"/>
      <c r="I483" s="87"/>
      <c r="J483" s="87"/>
      <c r="K483" s="88"/>
      <c r="L483" s="90"/>
    </row>
    <row r="484">
      <c r="A484" s="128"/>
      <c r="B484" s="83"/>
      <c r="C484" s="83"/>
      <c r="D484" s="83"/>
      <c r="E484" s="102"/>
      <c r="F484" s="102"/>
      <c r="G484" s="88"/>
      <c r="H484" s="88"/>
      <c r="I484" s="87"/>
      <c r="J484" s="87"/>
      <c r="K484" s="88"/>
      <c r="L484" s="90"/>
    </row>
    <row r="485">
      <c r="A485" s="128"/>
      <c r="B485" s="83"/>
      <c r="C485" s="83"/>
      <c r="D485" s="83"/>
      <c r="E485" s="102"/>
      <c r="F485" s="102"/>
      <c r="G485" s="88"/>
      <c r="H485" s="88"/>
      <c r="I485" s="87"/>
      <c r="J485" s="87"/>
      <c r="K485" s="88"/>
      <c r="L485" s="90"/>
    </row>
    <row r="486">
      <c r="A486" s="128"/>
      <c r="B486" s="83"/>
      <c r="C486" s="83"/>
      <c r="D486" s="83"/>
      <c r="E486" s="102"/>
      <c r="F486" s="102"/>
      <c r="G486" s="88"/>
      <c r="H486" s="88"/>
      <c r="I486" s="87"/>
      <c r="J486" s="87"/>
      <c r="K486" s="88"/>
      <c r="L486" s="90"/>
    </row>
    <row r="487">
      <c r="A487" s="128"/>
      <c r="B487" s="83"/>
      <c r="C487" s="83"/>
      <c r="D487" s="83"/>
      <c r="E487" s="102"/>
      <c r="F487" s="102"/>
      <c r="G487" s="88"/>
      <c r="H487" s="88"/>
      <c r="I487" s="87"/>
      <c r="J487" s="87"/>
      <c r="K487" s="88"/>
      <c r="L487" s="90"/>
    </row>
    <row r="488">
      <c r="A488" s="128"/>
      <c r="B488" s="83"/>
      <c r="C488" s="83"/>
      <c r="D488" s="83"/>
      <c r="E488" s="102"/>
      <c r="F488" s="102"/>
      <c r="G488" s="88"/>
      <c r="H488" s="88"/>
      <c r="I488" s="87"/>
      <c r="J488" s="87"/>
      <c r="K488" s="88"/>
      <c r="L488" s="90"/>
    </row>
    <row r="489">
      <c r="A489" s="128"/>
      <c r="B489" s="83"/>
      <c r="C489" s="83"/>
      <c r="D489" s="83"/>
      <c r="E489" s="102"/>
      <c r="F489" s="102"/>
      <c r="G489" s="88"/>
      <c r="H489" s="88"/>
      <c r="I489" s="87"/>
      <c r="J489" s="87"/>
      <c r="K489" s="88"/>
      <c r="L489" s="90"/>
    </row>
    <row r="490">
      <c r="A490" s="128"/>
      <c r="B490" s="83"/>
      <c r="C490" s="83"/>
      <c r="D490" s="83"/>
      <c r="E490" s="102"/>
      <c r="F490" s="102"/>
      <c r="G490" s="88"/>
      <c r="H490" s="88"/>
      <c r="I490" s="87"/>
      <c r="J490" s="87"/>
      <c r="K490" s="88"/>
      <c r="L490" s="90"/>
    </row>
    <row r="491">
      <c r="A491" s="128"/>
      <c r="B491" s="83"/>
      <c r="C491" s="83"/>
      <c r="D491" s="83"/>
      <c r="E491" s="102"/>
      <c r="F491" s="102"/>
      <c r="G491" s="88"/>
      <c r="H491" s="88"/>
      <c r="I491" s="87"/>
      <c r="J491" s="87"/>
      <c r="K491" s="88"/>
      <c r="L491" s="90"/>
    </row>
    <row r="492">
      <c r="A492" s="128"/>
      <c r="B492" s="83"/>
      <c r="C492" s="83"/>
      <c r="D492" s="83"/>
      <c r="E492" s="102"/>
      <c r="F492" s="102"/>
      <c r="G492" s="88"/>
      <c r="H492" s="88"/>
      <c r="I492" s="87"/>
      <c r="J492" s="87"/>
      <c r="K492" s="88"/>
      <c r="L492" s="90"/>
    </row>
    <row r="493">
      <c r="A493" s="128"/>
      <c r="B493" s="83"/>
      <c r="C493" s="83"/>
      <c r="D493" s="83"/>
      <c r="E493" s="102"/>
      <c r="F493" s="102"/>
      <c r="G493" s="88"/>
      <c r="H493" s="88"/>
      <c r="I493" s="87"/>
      <c r="J493" s="87"/>
      <c r="K493" s="88"/>
      <c r="L493" s="90"/>
    </row>
    <row r="494">
      <c r="A494" s="128"/>
      <c r="B494" s="83"/>
      <c r="C494" s="83"/>
      <c r="D494" s="83"/>
      <c r="E494" s="102"/>
      <c r="F494" s="102"/>
      <c r="G494" s="88"/>
      <c r="H494" s="88"/>
      <c r="I494" s="87"/>
      <c r="J494" s="87"/>
      <c r="K494" s="88"/>
      <c r="L494" s="90"/>
    </row>
    <row r="495">
      <c r="A495" s="128"/>
      <c r="B495" s="83"/>
      <c r="C495" s="83"/>
      <c r="D495" s="83"/>
      <c r="E495" s="102"/>
      <c r="F495" s="102"/>
      <c r="G495" s="88"/>
      <c r="H495" s="88"/>
      <c r="I495" s="87"/>
      <c r="J495" s="87"/>
      <c r="K495" s="88"/>
      <c r="L495" s="90"/>
    </row>
    <row r="496">
      <c r="A496" s="128"/>
      <c r="B496" s="83"/>
      <c r="C496" s="83"/>
      <c r="D496" s="83"/>
      <c r="E496" s="102"/>
      <c r="F496" s="102"/>
      <c r="G496" s="88"/>
      <c r="H496" s="88"/>
      <c r="I496" s="87"/>
      <c r="J496" s="87"/>
      <c r="K496" s="88"/>
      <c r="L496" s="90"/>
    </row>
    <row r="497">
      <c r="A497" s="128"/>
      <c r="B497" s="83"/>
      <c r="C497" s="83"/>
      <c r="D497" s="83"/>
      <c r="E497" s="102"/>
      <c r="F497" s="102"/>
      <c r="G497" s="88"/>
      <c r="H497" s="88"/>
      <c r="I497" s="87"/>
      <c r="J497" s="87"/>
      <c r="K497" s="88"/>
      <c r="L497" s="90"/>
    </row>
    <row r="498">
      <c r="A498" s="128"/>
      <c r="B498" s="83"/>
      <c r="C498" s="83"/>
      <c r="D498" s="83"/>
      <c r="E498" s="102"/>
      <c r="F498" s="102"/>
      <c r="G498" s="88"/>
      <c r="H498" s="88"/>
      <c r="I498" s="87"/>
      <c r="J498" s="87"/>
      <c r="K498" s="88"/>
      <c r="L498" s="90"/>
    </row>
    <row r="499">
      <c r="A499" s="128"/>
      <c r="B499" s="83"/>
      <c r="C499" s="83"/>
      <c r="D499" s="83"/>
      <c r="E499" s="102"/>
      <c r="F499" s="102"/>
      <c r="G499" s="88"/>
      <c r="H499" s="88"/>
      <c r="I499" s="87"/>
      <c r="J499" s="87"/>
      <c r="K499" s="88"/>
      <c r="L499" s="90"/>
    </row>
    <row r="500">
      <c r="A500" s="128"/>
      <c r="B500" s="83"/>
      <c r="C500" s="83"/>
      <c r="D500" s="83"/>
      <c r="E500" s="102"/>
      <c r="F500" s="102"/>
      <c r="G500" s="88"/>
      <c r="H500" s="88"/>
      <c r="I500" s="87"/>
      <c r="J500" s="87"/>
      <c r="K500" s="88"/>
      <c r="L500" s="90"/>
    </row>
    <row r="501">
      <c r="A501" s="128"/>
      <c r="B501" s="83"/>
      <c r="C501" s="83"/>
      <c r="D501" s="83"/>
      <c r="E501" s="102"/>
      <c r="F501" s="102"/>
      <c r="G501" s="88"/>
      <c r="H501" s="88"/>
      <c r="I501" s="87"/>
      <c r="J501" s="87"/>
      <c r="K501" s="88"/>
      <c r="L501" s="90"/>
    </row>
    <row r="502">
      <c r="A502" s="128"/>
      <c r="B502" s="83"/>
      <c r="C502" s="83"/>
      <c r="D502" s="83"/>
      <c r="E502" s="102"/>
      <c r="F502" s="102"/>
      <c r="G502" s="88"/>
      <c r="H502" s="88"/>
      <c r="I502" s="87"/>
      <c r="J502" s="87"/>
      <c r="K502" s="88"/>
      <c r="L502" s="90"/>
    </row>
    <row r="503">
      <c r="A503" s="128"/>
      <c r="B503" s="83"/>
      <c r="C503" s="83"/>
      <c r="D503" s="83"/>
      <c r="E503" s="102"/>
      <c r="F503" s="102"/>
      <c r="G503" s="88"/>
      <c r="H503" s="88"/>
      <c r="I503" s="87"/>
      <c r="J503" s="87"/>
      <c r="K503" s="88"/>
      <c r="L503" s="90"/>
    </row>
    <row r="504">
      <c r="A504" s="128"/>
      <c r="B504" s="83"/>
      <c r="C504" s="83"/>
      <c r="D504" s="83"/>
      <c r="E504" s="102"/>
      <c r="F504" s="102"/>
      <c r="G504" s="88"/>
      <c r="H504" s="88"/>
      <c r="I504" s="87"/>
      <c r="J504" s="87"/>
      <c r="K504" s="88"/>
      <c r="L504" s="90"/>
    </row>
    <row r="505">
      <c r="A505" s="128"/>
      <c r="B505" s="83"/>
      <c r="C505" s="83"/>
      <c r="D505" s="83"/>
      <c r="E505" s="102"/>
      <c r="F505" s="102"/>
      <c r="G505" s="88"/>
      <c r="H505" s="88"/>
      <c r="I505" s="87"/>
      <c r="J505" s="87"/>
      <c r="K505" s="88"/>
      <c r="L505" s="90"/>
    </row>
    <row r="506">
      <c r="A506" s="128"/>
      <c r="B506" s="83"/>
      <c r="C506" s="83"/>
      <c r="D506" s="83"/>
      <c r="E506" s="102"/>
      <c r="F506" s="102"/>
      <c r="G506" s="88"/>
      <c r="H506" s="88"/>
      <c r="I506" s="87"/>
      <c r="J506" s="87"/>
      <c r="K506" s="88"/>
      <c r="L506" s="90"/>
    </row>
    <row r="507">
      <c r="A507" s="128"/>
      <c r="B507" s="83"/>
      <c r="C507" s="83"/>
      <c r="D507" s="83"/>
      <c r="E507" s="102"/>
      <c r="F507" s="102"/>
      <c r="G507" s="88"/>
      <c r="H507" s="88"/>
      <c r="I507" s="87"/>
      <c r="J507" s="87"/>
      <c r="K507" s="88"/>
      <c r="L507" s="90"/>
    </row>
    <row r="508">
      <c r="A508" s="128"/>
      <c r="B508" s="83"/>
      <c r="C508" s="83"/>
      <c r="D508" s="83"/>
      <c r="E508" s="102"/>
      <c r="F508" s="102"/>
      <c r="G508" s="88"/>
      <c r="H508" s="88"/>
      <c r="I508" s="87"/>
      <c r="J508" s="87"/>
      <c r="K508" s="88"/>
      <c r="L508" s="90"/>
    </row>
    <row r="509">
      <c r="A509" s="128"/>
      <c r="B509" s="83"/>
      <c r="C509" s="83"/>
      <c r="D509" s="83"/>
      <c r="E509" s="102"/>
      <c r="F509" s="102"/>
      <c r="G509" s="88"/>
      <c r="H509" s="88"/>
      <c r="I509" s="87"/>
      <c r="J509" s="87"/>
      <c r="K509" s="88"/>
      <c r="L509" s="90"/>
    </row>
    <row r="510">
      <c r="A510" s="128"/>
      <c r="B510" s="83"/>
      <c r="C510" s="83"/>
      <c r="D510" s="83"/>
      <c r="E510" s="102"/>
      <c r="F510" s="102"/>
      <c r="G510" s="88"/>
      <c r="H510" s="88"/>
      <c r="I510" s="87"/>
      <c r="J510" s="87"/>
      <c r="K510" s="88"/>
      <c r="L510" s="90"/>
    </row>
    <row r="511">
      <c r="A511" s="128"/>
      <c r="B511" s="83"/>
      <c r="C511" s="83"/>
      <c r="D511" s="83"/>
      <c r="E511" s="102"/>
      <c r="F511" s="102"/>
      <c r="G511" s="88"/>
      <c r="H511" s="88"/>
      <c r="I511" s="87"/>
      <c r="J511" s="87"/>
      <c r="K511" s="88"/>
      <c r="L511" s="90"/>
    </row>
    <row r="512">
      <c r="A512" s="128"/>
      <c r="B512" s="83"/>
      <c r="C512" s="83"/>
      <c r="D512" s="83"/>
      <c r="E512" s="102"/>
      <c r="F512" s="102"/>
      <c r="G512" s="88"/>
      <c r="H512" s="88"/>
      <c r="I512" s="87"/>
      <c r="J512" s="87"/>
      <c r="K512" s="88"/>
      <c r="L512" s="90"/>
    </row>
    <row r="513">
      <c r="A513" s="128"/>
      <c r="B513" s="83"/>
      <c r="C513" s="83"/>
      <c r="D513" s="83"/>
      <c r="E513" s="102"/>
      <c r="F513" s="102"/>
      <c r="G513" s="88"/>
      <c r="H513" s="88"/>
      <c r="I513" s="87"/>
      <c r="J513" s="87"/>
      <c r="K513" s="88"/>
      <c r="L513" s="90"/>
    </row>
    <row r="514">
      <c r="A514" s="128"/>
      <c r="B514" s="83"/>
      <c r="C514" s="83"/>
      <c r="D514" s="83"/>
      <c r="E514" s="102"/>
      <c r="F514" s="102"/>
      <c r="G514" s="88"/>
      <c r="H514" s="88"/>
      <c r="I514" s="87"/>
      <c r="J514" s="87"/>
      <c r="K514" s="88"/>
      <c r="L514" s="90"/>
    </row>
    <row r="515">
      <c r="A515" s="128"/>
      <c r="B515" s="83"/>
      <c r="C515" s="83"/>
      <c r="D515" s="83"/>
      <c r="E515" s="102"/>
      <c r="F515" s="102"/>
      <c r="G515" s="88"/>
      <c r="H515" s="88"/>
      <c r="I515" s="87"/>
      <c r="J515" s="87"/>
      <c r="K515" s="88"/>
      <c r="L515" s="90"/>
    </row>
    <row r="516">
      <c r="A516" s="128"/>
      <c r="B516" s="83"/>
      <c r="C516" s="83"/>
      <c r="D516" s="83"/>
      <c r="E516" s="102"/>
      <c r="F516" s="102"/>
      <c r="G516" s="88"/>
      <c r="H516" s="88"/>
      <c r="I516" s="87"/>
      <c r="J516" s="87"/>
      <c r="K516" s="88"/>
      <c r="L516" s="90"/>
    </row>
    <row r="517">
      <c r="A517" s="128"/>
      <c r="B517" s="83"/>
      <c r="C517" s="83"/>
      <c r="D517" s="83"/>
      <c r="E517" s="102"/>
      <c r="F517" s="102"/>
      <c r="G517" s="88"/>
      <c r="H517" s="88"/>
      <c r="I517" s="87"/>
      <c r="J517" s="87"/>
      <c r="K517" s="88"/>
      <c r="L517" s="90"/>
    </row>
    <row r="518">
      <c r="A518" s="128"/>
      <c r="B518" s="83"/>
      <c r="C518" s="83"/>
      <c r="D518" s="83"/>
      <c r="E518" s="102"/>
      <c r="F518" s="102"/>
      <c r="G518" s="88"/>
      <c r="H518" s="88"/>
      <c r="I518" s="87"/>
      <c r="J518" s="87"/>
      <c r="K518" s="88"/>
      <c r="L518" s="90"/>
    </row>
    <row r="519">
      <c r="A519" s="128"/>
      <c r="B519" s="83"/>
      <c r="C519" s="83"/>
      <c r="D519" s="83"/>
      <c r="E519" s="102"/>
      <c r="F519" s="102"/>
      <c r="G519" s="88"/>
      <c r="H519" s="88"/>
      <c r="I519" s="87"/>
      <c r="J519" s="87"/>
      <c r="K519" s="88"/>
      <c r="L519" s="90"/>
    </row>
    <row r="520">
      <c r="A520" s="128"/>
      <c r="B520" s="83"/>
      <c r="C520" s="83"/>
      <c r="D520" s="83"/>
      <c r="E520" s="102"/>
      <c r="F520" s="102"/>
      <c r="G520" s="88"/>
      <c r="H520" s="88"/>
      <c r="I520" s="87"/>
      <c r="J520" s="87"/>
      <c r="K520" s="88"/>
      <c r="L520" s="90"/>
    </row>
    <row r="521">
      <c r="A521" s="128"/>
      <c r="B521" s="83"/>
      <c r="C521" s="83"/>
      <c r="D521" s="83"/>
      <c r="E521" s="102"/>
      <c r="F521" s="102"/>
      <c r="G521" s="88"/>
      <c r="H521" s="88"/>
      <c r="I521" s="87"/>
      <c r="J521" s="87"/>
      <c r="K521" s="88"/>
      <c r="L521" s="90"/>
    </row>
    <row r="522">
      <c r="A522" s="128"/>
      <c r="B522" s="83"/>
      <c r="C522" s="83"/>
      <c r="D522" s="83"/>
      <c r="E522" s="102"/>
      <c r="F522" s="102"/>
      <c r="G522" s="88"/>
      <c r="H522" s="88"/>
      <c r="I522" s="87"/>
      <c r="J522" s="87"/>
      <c r="K522" s="88"/>
      <c r="L522" s="90"/>
    </row>
    <row r="523">
      <c r="A523" s="128"/>
      <c r="B523" s="83"/>
      <c r="C523" s="83"/>
      <c r="D523" s="83"/>
      <c r="E523" s="102"/>
      <c r="F523" s="102"/>
      <c r="G523" s="88"/>
      <c r="H523" s="88"/>
      <c r="I523" s="87"/>
      <c r="J523" s="87"/>
      <c r="K523" s="88"/>
      <c r="L523" s="90"/>
    </row>
    <row r="524">
      <c r="A524" s="128"/>
      <c r="B524" s="83"/>
      <c r="C524" s="83"/>
      <c r="D524" s="83"/>
      <c r="E524" s="102"/>
      <c r="F524" s="102"/>
      <c r="G524" s="88"/>
      <c r="H524" s="88"/>
      <c r="I524" s="87"/>
      <c r="J524" s="87"/>
      <c r="K524" s="88"/>
      <c r="L524" s="90"/>
    </row>
    <row r="525">
      <c r="A525" s="128"/>
      <c r="B525" s="83"/>
      <c r="C525" s="83"/>
      <c r="D525" s="83"/>
      <c r="E525" s="102"/>
      <c r="F525" s="102"/>
      <c r="G525" s="88"/>
      <c r="H525" s="88"/>
      <c r="I525" s="87"/>
      <c r="J525" s="87"/>
      <c r="K525" s="88"/>
      <c r="L525" s="90"/>
    </row>
    <row r="526">
      <c r="A526" s="128"/>
      <c r="B526" s="83"/>
      <c r="C526" s="83"/>
      <c r="D526" s="83"/>
      <c r="E526" s="102"/>
      <c r="F526" s="102"/>
      <c r="G526" s="88"/>
      <c r="H526" s="88"/>
      <c r="I526" s="87"/>
      <c r="J526" s="87"/>
      <c r="K526" s="88"/>
      <c r="L526" s="90"/>
    </row>
    <row r="527">
      <c r="A527" s="128"/>
      <c r="B527" s="83"/>
      <c r="C527" s="83"/>
      <c r="D527" s="83"/>
      <c r="E527" s="102"/>
      <c r="F527" s="102"/>
      <c r="G527" s="88"/>
      <c r="H527" s="88"/>
      <c r="I527" s="87"/>
      <c r="J527" s="87"/>
      <c r="K527" s="88"/>
      <c r="L527" s="90"/>
    </row>
    <row r="528">
      <c r="A528" s="128"/>
      <c r="B528" s="83"/>
      <c r="C528" s="83"/>
      <c r="D528" s="83"/>
      <c r="E528" s="102"/>
      <c r="F528" s="102"/>
      <c r="G528" s="88"/>
      <c r="H528" s="88"/>
      <c r="I528" s="87"/>
      <c r="J528" s="87"/>
      <c r="K528" s="88"/>
      <c r="L528" s="90"/>
    </row>
    <row r="529">
      <c r="A529" s="128"/>
      <c r="B529" s="83"/>
      <c r="C529" s="83"/>
      <c r="D529" s="83"/>
      <c r="E529" s="102"/>
      <c r="F529" s="102"/>
      <c r="G529" s="88"/>
      <c r="H529" s="88"/>
      <c r="I529" s="87"/>
      <c r="J529" s="87"/>
      <c r="K529" s="88"/>
      <c r="L529" s="90"/>
    </row>
    <row r="530">
      <c r="A530" s="128"/>
      <c r="B530" s="83"/>
      <c r="C530" s="83"/>
      <c r="D530" s="83"/>
      <c r="E530" s="102"/>
      <c r="F530" s="102"/>
      <c r="G530" s="88"/>
      <c r="H530" s="88"/>
      <c r="I530" s="87"/>
      <c r="J530" s="87"/>
      <c r="K530" s="88"/>
      <c r="L530" s="90"/>
    </row>
    <row r="531">
      <c r="A531" s="128"/>
      <c r="B531" s="83"/>
      <c r="C531" s="83"/>
      <c r="D531" s="83"/>
      <c r="E531" s="102"/>
      <c r="F531" s="102"/>
      <c r="G531" s="88"/>
      <c r="H531" s="88"/>
      <c r="I531" s="87"/>
      <c r="J531" s="87"/>
      <c r="K531" s="88"/>
      <c r="L531" s="90"/>
    </row>
    <row r="532">
      <c r="A532" s="128"/>
      <c r="B532" s="83"/>
      <c r="C532" s="83"/>
      <c r="D532" s="83"/>
      <c r="E532" s="102"/>
      <c r="F532" s="102"/>
      <c r="G532" s="88"/>
      <c r="H532" s="88"/>
      <c r="I532" s="87"/>
      <c r="J532" s="87"/>
      <c r="K532" s="88"/>
      <c r="L532" s="90"/>
    </row>
    <row r="533">
      <c r="A533" s="128"/>
      <c r="B533" s="83"/>
      <c r="C533" s="83"/>
      <c r="D533" s="83"/>
      <c r="E533" s="102"/>
      <c r="F533" s="102"/>
      <c r="G533" s="88"/>
      <c r="H533" s="88"/>
      <c r="I533" s="87"/>
      <c r="J533" s="87"/>
      <c r="K533" s="88"/>
      <c r="L533" s="90"/>
    </row>
    <row r="534">
      <c r="A534" s="128"/>
      <c r="B534" s="83"/>
      <c r="C534" s="83"/>
      <c r="D534" s="83"/>
      <c r="E534" s="102"/>
      <c r="F534" s="102"/>
      <c r="G534" s="88"/>
      <c r="H534" s="88"/>
      <c r="I534" s="87"/>
      <c r="J534" s="87"/>
      <c r="K534" s="88"/>
      <c r="L534" s="90"/>
    </row>
    <row r="535">
      <c r="A535" s="128"/>
      <c r="B535" s="83"/>
      <c r="C535" s="83"/>
      <c r="D535" s="83"/>
      <c r="E535" s="102"/>
      <c r="F535" s="102"/>
      <c r="G535" s="88"/>
      <c r="H535" s="88"/>
      <c r="I535" s="87"/>
      <c r="J535" s="87"/>
      <c r="K535" s="88"/>
      <c r="L535" s="90"/>
    </row>
    <row r="536">
      <c r="A536" s="128"/>
      <c r="B536" s="83"/>
      <c r="C536" s="83"/>
      <c r="D536" s="83"/>
      <c r="E536" s="102"/>
      <c r="F536" s="102"/>
      <c r="G536" s="88"/>
      <c r="H536" s="88"/>
      <c r="I536" s="87"/>
      <c r="J536" s="87"/>
      <c r="K536" s="88"/>
      <c r="L536" s="90"/>
    </row>
    <row r="537">
      <c r="A537" s="128"/>
      <c r="B537" s="83"/>
      <c r="C537" s="83"/>
      <c r="D537" s="83"/>
      <c r="E537" s="102"/>
      <c r="F537" s="102"/>
      <c r="G537" s="88"/>
      <c r="H537" s="88"/>
      <c r="I537" s="87"/>
      <c r="J537" s="87"/>
      <c r="K537" s="88"/>
      <c r="L537" s="90"/>
    </row>
    <row r="538">
      <c r="A538" s="128"/>
      <c r="B538" s="83"/>
      <c r="C538" s="83"/>
      <c r="D538" s="83"/>
      <c r="E538" s="102"/>
      <c r="F538" s="102"/>
      <c r="G538" s="88"/>
      <c r="H538" s="88"/>
      <c r="I538" s="87"/>
      <c r="J538" s="87"/>
      <c r="K538" s="88"/>
      <c r="L538" s="90"/>
    </row>
    <row r="539">
      <c r="A539" s="128"/>
      <c r="B539" s="83"/>
      <c r="C539" s="83"/>
      <c r="D539" s="83"/>
      <c r="E539" s="102"/>
      <c r="F539" s="102"/>
      <c r="G539" s="88"/>
      <c r="H539" s="88"/>
      <c r="I539" s="87"/>
      <c r="J539" s="87"/>
      <c r="K539" s="88"/>
      <c r="L539" s="90"/>
    </row>
    <row r="540">
      <c r="A540" s="128"/>
      <c r="B540" s="83"/>
      <c r="C540" s="83"/>
      <c r="D540" s="83"/>
      <c r="E540" s="102"/>
      <c r="F540" s="102"/>
      <c r="G540" s="88"/>
      <c r="H540" s="88"/>
      <c r="I540" s="87"/>
      <c r="J540" s="87"/>
      <c r="K540" s="88"/>
      <c r="L540" s="90"/>
    </row>
    <row r="541">
      <c r="A541" s="128"/>
      <c r="B541" s="83"/>
      <c r="C541" s="83"/>
      <c r="D541" s="83"/>
      <c r="E541" s="102"/>
      <c r="F541" s="102"/>
      <c r="G541" s="88"/>
      <c r="H541" s="88"/>
      <c r="I541" s="87"/>
      <c r="J541" s="87"/>
      <c r="K541" s="88"/>
      <c r="L541" s="90"/>
    </row>
    <row r="542">
      <c r="A542" s="128"/>
      <c r="B542" s="83"/>
      <c r="C542" s="83"/>
      <c r="D542" s="83"/>
      <c r="E542" s="102"/>
      <c r="F542" s="102"/>
      <c r="G542" s="88"/>
      <c r="H542" s="88"/>
      <c r="I542" s="87"/>
      <c r="J542" s="87"/>
      <c r="K542" s="88"/>
      <c r="L542" s="90"/>
    </row>
    <row r="543">
      <c r="A543" s="128"/>
      <c r="B543" s="83"/>
      <c r="C543" s="83"/>
      <c r="D543" s="83"/>
      <c r="E543" s="102"/>
      <c r="F543" s="102"/>
      <c r="G543" s="88"/>
      <c r="H543" s="88"/>
      <c r="I543" s="87"/>
      <c r="J543" s="87"/>
      <c r="K543" s="88"/>
      <c r="L543" s="90"/>
    </row>
    <row r="544">
      <c r="A544" s="128"/>
      <c r="B544" s="83"/>
      <c r="C544" s="83"/>
      <c r="D544" s="83"/>
      <c r="E544" s="102"/>
      <c r="F544" s="102"/>
      <c r="G544" s="88"/>
      <c r="H544" s="88"/>
      <c r="I544" s="87"/>
      <c r="J544" s="87"/>
      <c r="K544" s="88"/>
      <c r="L544" s="90"/>
    </row>
    <row r="545">
      <c r="A545" s="128"/>
      <c r="B545" s="83"/>
      <c r="C545" s="83"/>
      <c r="D545" s="83"/>
      <c r="E545" s="102"/>
      <c r="F545" s="102"/>
      <c r="G545" s="88"/>
      <c r="H545" s="88"/>
      <c r="I545" s="87"/>
      <c r="J545" s="87"/>
      <c r="K545" s="88"/>
      <c r="L545" s="90"/>
    </row>
    <row r="546">
      <c r="A546" s="128"/>
      <c r="B546" s="83"/>
      <c r="C546" s="83"/>
      <c r="D546" s="83"/>
      <c r="E546" s="102"/>
      <c r="F546" s="102"/>
      <c r="G546" s="88"/>
      <c r="H546" s="88"/>
      <c r="I546" s="87"/>
      <c r="J546" s="87"/>
      <c r="K546" s="88"/>
      <c r="L546" s="90"/>
    </row>
    <row r="547">
      <c r="A547" s="128"/>
      <c r="B547" s="83"/>
      <c r="C547" s="83"/>
      <c r="D547" s="83"/>
      <c r="E547" s="102"/>
      <c r="F547" s="102"/>
      <c r="G547" s="88"/>
      <c r="H547" s="88"/>
      <c r="I547" s="87"/>
      <c r="J547" s="87"/>
      <c r="K547" s="88"/>
      <c r="L547" s="90"/>
    </row>
    <row r="548">
      <c r="A548" s="128"/>
      <c r="B548" s="83"/>
      <c r="C548" s="83"/>
      <c r="D548" s="83"/>
      <c r="E548" s="102"/>
      <c r="F548" s="102"/>
      <c r="G548" s="88"/>
      <c r="H548" s="88"/>
      <c r="I548" s="87"/>
      <c r="J548" s="87"/>
      <c r="K548" s="88"/>
      <c r="L548" s="90"/>
    </row>
    <row r="549">
      <c r="A549" s="128"/>
      <c r="B549" s="83"/>
      <c r="C549" s="83"/>
      <c r="D549" s="83"/>
      <c r="E549" s="102"/>
      <c r="F549" s="102"/>
      <c r="G549" s="88"/>
      <c r="H549" s="88"/>
      <c r="I549" s="87"/>
      <c r="J549" s="87"/>
      <c r="K549" s="88"/>
      <c r="L549" s="90"/>
    </row>
    <row r="550">
      <c r="A550" s="128"/>
      <c r="B550" s="83"/>
      <c r="C550" s="83"/>
      <c r="D550" s="83"/>
      <c r="E550" s="102"/>
      <c r="F550" s="102"/>
      <c r="G550" s="88"/>
      <c r="H550" s="88"/>
      <c r="I550" s="87"/>
      <c r="J550" s="87"/>
      <c r="K550" s="88"/>
      <c r="L550" s="90"/>
    </row>
    <row r="551">
      <c r="A551" s="128"/>
      <c r="B551" s="83"/>
      <c r="C551" s="83"/>
      <c r="D551" s="83"/>
      <c r="E551" s="102"/>
      <c r="F551" s="102"/>
      <c r="G551" s="88"/>
      <c r="H551" s="88"/>
      <c r="I551" s="87"/>
      <c r="J551" s="87"/>
      <c r="K551" s="88"/>
      <c r="L551" s="90"/>
    </row>
    <row r="552">
      <c r="A552" s="128"/>
      <c r="B552" s="83"/>
      <c r="C552" s="83"/>
      <c r="D552" s="83"/>
      <c r="E552" s="102"/>
      <c r="F552" s="102"/>
      <c r="G552" s="88"/>
      <c r="H552" s="88"/>
      <c r="I552" s="87"/>
      <c r="J552" s="87"/>
      <c r="K552" s="88"/>
      <c r="L552" s="90"/>
    </row>
    <row r="553">
      <c r="A553" s="128"/>
      <c r="B553" s="83"/>
      <c r="C553" s="83"/>
      <c r="D553" s="83"/>
      <c r="E553" s="102"/>
      <c r="F553" s="102"/>
      <c r="G553" s="88"/>
      <c r="H553" s="88"/>
      <c r="I553" s="87"/>
      <c r="J553" s="87"/>
      <c r="K553" s="88"/>
      <c r="L553" s="90"/>
    </row>
    <row r="554">
      <c r="A554" s="128"/>
      <c r="B554" s="83"/>
      <c r="C554" s="83"/>
      <c r="D554" s="83"/>
      <c r="E554" s="102"/>
      <c r="F554" s="102"/>
      <c r="G554" s="88"/>
      <c r="H554" s="88"/>
      <c r="I554" s="87"/>
      <c r="J554" s="87"/>
      <c r="K554" s="88"/>
      <c r="L554" s="90"/>
    </row>
    <row r="555">
      <c r="A555" s="128"/>
      <c r="B555" s="83"/>
      <c r="C555" s="83"/>
      <c r="D555" s="83"/>
      <c r="E555" s="102"/>
      <c r="F555" s="102"/>
      <c r="G555" s="88"/>
      <c r="H555" s="88"/>
      <c r="I555" s="87"/>
      <c r="J555" s="87"/>
      <c r="K555" s="88"/>
      <c r="L555" s="90"/>
    </row>
    <row r="556">
      <c r="A556" s="128"/>
      <c r="B556" s="83"/>
      <c r="C556" s="83"/>
      <c r="D556" s="83"/>
      <c r="E556" s="102"/>
      <c r="F556" s="102"/>
      <c r="G556" s="88"/>
      <c r="H556" s="88"/>
      <c r="I556" s="87"/>
      <c r="J556" s="87"/>
      <c r="K556" s="88"/>
      <c r="L556" s="90"/>
    </row>
    <row r="557">
      <c r="A557" s="128"/>
      <c r="B557" s="83"/>
      <c r="C557" s="83"/>
      <c r="D557" s="83"/>
      <c r="E557" s="102"/>
      <c r="F557" s="102"/>
      <c r="G557" s="88"/>
      <c r="H557" s="88"/>
      <c r="I557" s="87"/>
      <c r="J557" s="87"/>
      <c r="K557" s="88"/>
      <c r="L557" s="90"/>
    </row>
    <row r="558">
      <c r="A558" s="128"/>
      <c r="B558" s="83"/>
      <c r="C558" s="83"/>
      <c r="D558" s="83"/>
      <c r="E558" s="102"/>
      <c r="F558" s="102"/>
      <c r="G558" s="88"/>
      <c r="H558" s="88"/>
      <c r="I558" s="87"/>
      <c r="J558" s="87"/>
      <c r="K558" s="88"/>
      <c r="L558" s="90"/>
    </row>
    <row r="559">
      <c r="A559" s="128"/>
      <c r="B559" s="83"/>
      <c r="C559" s="83"/>
      <c r="D559" s="83"/>
      <c r="E559" s="102"/>
      <c r="F559" s="102"/>
      <c r="G559" s="88"/>
      <c r="H559" s="88"/>
      <c r="I559" s="87"/>
      <c r="J559" s="87"/>
      <c r="K559" s="88"/>
      <c r="L559" s="90"/>
    </row>
    <row r="560">
      <c r="A560" s="128"/>
      <c r="B560" s="83"/>
      <c r="C560" s="83"/>
      <c r="D560" s="83"/>
      <c r="E560" s="102"/>
      <c r="F560" s="102"/>
      <c r="G560" s="88"/>
      <c r="H560" s="88"/>
      <c r="I560" s="87"/>
      <c r="J560" s="87"/>
      <c r="K560" s="88"/>
      <c r="L560" s="90"/>
    </row>
    <row r="561">
      <c r="A561" s="128"/>
      <c r="B561" s="83"/>
      <c r="C561" s="83"/>
      <c r="D561" s="83"/>
      <c r="E561" s="102"/>
      <c r="F561" s="102"/>
      <c r="G561" s="88"/>
      <c r="H561" s="88"/>
      <c r="I561" s="87"/>
      <c r="J561" s="87"/>
      <c r="K561" s="88"/>
      <c r="L561" s="90"/>
    </row>
    <row r="562">
      <c r="A562" s="128"/>
      <c r="B562" s="83"/>
      <c r="C562" s="83"/>
      <c r="D562" s="83"/>
      <c r="E562" s="102"/>
      <c r="F562" s="102"/>
      <c r="G562" s="88"/>
      <c r="H562" s="88"/>
      <c r="I562" s="87"/>
      <c r="J562" s="87"/>
      <c r="K562" s="88"/>
      <c r="L562" s="90"/>
    </row>
    <row r="563">
      <c r="A563" s="128"/>
      <c r="B563" s="83"/>
      <c r="C563" s="83"/>
      <c r="D563" s="83"/>
      <c r="E563" s="102"/>
      <c r="F563" s="102"/>
      <c r="G563" s="88"/>
      <c r="H563" s="88"/>
      <c r="I563" s="87"/>
      <c r="J563" s="87"/>
      <c r="K563" s="88"/>
      <c r="L563" s="90"/>
    </row>
    <row r="564">
      <c r="A564" s="128"/>
      <c r="B564" s="83"/>
      <c r="C564" s="83"/>
      <c r="D564" s="83"/>
      <c r="E564" s="102"/>
      <c r="F564" s="102"/>
      <c r="G564" s="88"/>
      <c r="H564" s="88"/>
      <c r="I564" s="87"/>
      <c r="J564" s="87"/>
      <c r="K564" s="88"/>
      <c r="L564" s="90"/>
    </row>
    <row r="565">
      <c r="A565" s="128"/>
      <c r="B565" s="83"/>
      <c r="C565" s="83"/>
      <c r="D565" s="83"/>
      <c r="E565" s="102"/>
      <c r="F565" s="102"/>
      <c r="G565" s="88"/>
      <c r="H565" s="88"/>
      <c r="I565" s="87"/>
      <c r="J565" s="87"/>
      <c r="K565" s="88"/>
      <c r="L565" s="90"/>
    </row>
    <row r="566">
      <c r="A566" s="128"/>
      <c r="B566" s="83"/>
      <c r="C566" s="83"/>
      <c r="D566" s="83"/>
      <c r="E566" s="102"/>
      <c r="F566" s="102"/>
      <c r="G566" s="88"/>
      <c r="H566" s="88"/>
      <c r="I566" s="87"/>
      <c r="J566" s="87"/>
      <c r="K566" s="88"/>
      <c r="L566" s="90"/>
    </row>
    <row r="567">
      <c r="A567" s="128"/>
      <c r="B567" s="83"/>
      <c r="C567" s="83"/>
      <c r="D567" s="83"/>
      <c r="E567" s="102"/>
      <c r="F567" s="102"/>
      <c r="G567" s="88"/>
      <c r="H567" s="88"/>
      <c r="I567" s="87"/>
      <c r="J567" s="87"/>
      <c r="K567" s="88"/>
      <c r="L567" s="90"/>
    </row>
    <row r="568">
      <c r="A568" s="128"/>
      <c r="B568" s="83"/>
      <c r="C568" s="83"/>
      <c r="D568" s="83"/>
      <c r="E568" s="102"/>
      <c r="F568" s="102"/>
      <c r="G568" s="88"/>
      <c r="H568" s="88"/>
      <c r="I568" s="87"/>
      <c r="J568" s="87"/>
      <c r="K568" s="88"/>
      <c r="L568" s="90"/>
    </row>
    <row r="569">
      <c r="A569" s="128"/>
      <c r="B569" s="83"/>
      <c r="C569" s="83"/>
      <c r="D569" s="83"/>
      <c r="E569" s="102"/>
      <c r="F569" s="102"/>
      <c r="G569" s="88"/>
      <c r="H569" s="88"/>
      <c r="I569" s="87"/>
      <c r="J569" s="87"/>
      <c r="K569" s="88"/>
      <c r="L569" s="90"/>
    </row>
    <row r="570">
      <c r="A570" s="128"/>
      <c r="B570" s="83"/>
      <c r="C570" s="83"/>
      <c r="D570" s="83"/>
      <c r="E570" s="102"/>
      <c r="F570" s="102"/>
      <c r="G570" s="88"/>
      <c r="H570" s="88"/>
      <c r="I570" s="87"/>
      <c r="J570" s="87"/>
      <c r="K570" s="88"/>
      <c r="L570" s="90"/>
    </row>
    <row r="571">
      <c r="A571" s="128"/>
      <c r="B571" s="83"/>
      <c r="C571" s="83"/>
      <c r="D571" s="83"/>
      <c r="E571" s="102"/>
      <c r="F571" s="102"/>
      <c r="G571" s="88"/>
      <c r="H571" s="88"/>
      <c r="I571" s="87"/>
      <c r="J571" s="87"/>
      <c r="K571" s="88"/>
      <c r="L571" s="90"/>
    </row>
    <row r="572">
      <c r="A572" s="128"/>
      <c r="B572" s="83"/>
      <c r="C572" s="83"/>
      <c r="D572" s="83"/>
      <c r="E572" s="102"/>
      <c r="F572" s="102"/>
      <c r="G572" s="88"/>
      <c r="H572" s="88"/>
      <c r="I572" s="87"/>
      <c r="J572" s="87"/>
      <c r="K572" s="88"/>
      <c r="L572" s="90"/>
    </row>
    <row r="573">
      <c r="A573" s="128"/>
      <c r="B573" s="83"/>
      <c r="C573" s="83"/>
      <c r="D573" s="83"/>
      <c r="E573" s="102"/>
      <c r="F573" s="102"/>
      <c r="G573" s="88"/>
      <c r="H573" s="88"/>
      <c r="I573" s="87"/>
      <c r="J573" s="87"/>
      <c r="K573" s="88"/>
      <c r="L573" s="90"/>
    </row>
    <row r="574">
      <c r="A574" s="128"/>
      <c r="B574" s="83"/>
      <c r="C574" s="83"/>
      <c r="D574" s="83"/>
      <c r="E574" s="102"/>
      <c r="F574" s="102"/>
      <c r="G574" s="88"/>
      <c r="H574" s="88"/>
      <c r="I574" s="87"/>
      <c r="J574" s="87"/>
      <c r="K574" s="88"/>
      <c r="L574" s="90"/>
    </row>
    <row r="575">
      <c r="A575" s="128"/>
      <c r="B575" s="83"/>
      <c r="C575" s="83"/>
      <c r="D575" s="83"/>
      <c r="E575" s="102"/>
      <c r="F575" s="102"/>
      <c r="G575" s="88"/>
      <c r="H575" s="88"/>
      <c r="I575" s="87"/>
      <c r="J575" s="87"/>
      <c r="K575" s="88"/>
      <c r="L575" s="90"/>
    </row>
    <row r="576">
      <c r="A576" s="128"/>
      <c r="B576" s="83"/>
      <c r="C576" s="83"/>
      <c r="D576" s="83"/>
      <c r="E576" s="102"/>
      <c r="F576" s="102"/>
      <c r="G576" s="88"/>
      <c r="H576" s="88"/>
      <c r="I576" s="87"/>
      <c r="J576" s="87"/>
      <c r="K576" s="88"/>
      <c r="L576" s="90"/>
    </row>
    <row r="577">
      <c r="A577" s="128"/>
      <c r="B577" s="83"/>
      <c r="C577" s="83"/>
      <c r="D577" s="83"/>
      <c r="E577" s="102"/>
      <c r="F577" s="102"/>
      <c r="G577" s="88"/>
      <c r="H577" s="88"/>
      <c r="I577" s="87"/>
      <c r="J577" s="87"/>
      <c r="K577" s="88"/>
      <c r="L577" s="90"/>
    </row>
    <row r="578">
      <c r="A578" s="128"/>
      <c r="B578" s="83"/>
      <c r="C578" s="83"/>
      <c r="D578" s="83"/>
      <c r="E578" s="102"/>
      <c r="F578" s="102"/>
      <c r="G578" s="88"/>
      <c r="H578" s="88"/>
      <c r="I578" s="87"/>
      <c r="J578" s="87"/>
      <c r="K578" s="88"/>
      <c r="L578" s="90"/>
    </row>
    <row r="579">
      <c r="A579" s="128"/>
      <c r="B579" s="83"/>
      <c r="C579" s="83"/>
      <c r="D579" s="83"/>
      <c r="E579" s="102"/>
      <c r="F579" s="102"/>
      <c r="G579" s="88"/>
      <c r="H579" s="88"/>
      <c r="I579" s="87"/>
      <c r="J579" s="87"/>
      <c r="K579" s="88"/>
      <c r="L579" s="90"/>
    </row>
    <row r="580">
      <c r="A580" s="128"/>
      <c r="B580" s="83"/>
      <c r="C580" s="83"/>
      <c r="D580" s="83"/>
      <c r="E580" s="102"/>
      <c r="F580" s="102"/>
      <c r="G580" s="88"/>
      <c r="H580" s="88"/>
      <c r="I580" s="87"/>
      <c r="J580" s="87"/>
      <c r="K580" s="88"/>
      <c r="L580" s="90"/>
    </row>
    <row r="581">
      <c r="A581" s="128"/>
      <c r="B581" s="83"/>
      <c r="C581" s="83"/>
      <c r="D581" s="83"/>
      <c r="E581" s="102"/>
      <c r="F581" s="102"/>
      <c r="G581" s="88"/>
      <c r="H581" s="88"/>
      <c r="I581" s="87"/>
      <c r="J581" s="87"/>
      <c r="K581" s="88"/>
      <c r="L581" s="90"/>
    </row>
    <row r="582">
      <c r="A582" s="128"/>
      <c r="B582" s="83"/>
      <c r="C582" s="83"/>
      <c r="D582" s="83"/>
      <c r="E582" s="102"/>
      <c r="F582" s="102"/>
      <c r="G582" s="88"/>
      <c r="H582" s="88"/>
      <c r="I582" s="87"/>
      <c r="J582" s="87"/>
      <c r="K582" s="88"/>
      <c r="L582" s="90"/>
    </row>
    <row r="583">
      <c r="A583" s="128"/>
      <c r="B583" s="83"/>
      <c r="C583" s="83"/>
      <c r="D583" s="83"/>
      <c r="E583" s="102"/>
      <c r="F583" s="102"/>
      <c r="G583" s="88"/>
      <c r="H583" s="88"/>
      <c r="I583" s="87"/>
      <c r="J583" s="87"/>
      <c r="K583" s="88"/>
      <c r="L583" s="90"/>
    </row>
    <row r="584">
      <c r="A584" s="128"/>
      <c r="B584" s="83"/>
      <c r="C584" s="83"/>
      <c r="D584" s="83"/>
      <c r="E584" s="102"/>
      <c r="F584" s="102"/>
      <c r="G584" s="88"/>
      <c r="H584" s="88"/>
      <c r="I584" s="87"/>
      <c r="J584" s="87"/>
      <c r="K584" s="88"/>
      <c r="L584" s="90"/>
    </row>
    <row r="585">
      <c r="A585" s="128"/>
      <c r="B585" s="83"/>
      <c r="C585" s="83"/>
      <c r="D585" s="83"/>
      <c r="E585" s="102"/>
      <c r="F585" s="102"/>
      <c r="G585" s="88"/>
      <c r="H585" s="88"/>
      <c r="I585" s="87"/>
      <c r="J585" s="87"/>
      <c r="K585" s="88"/>
      <c r="L585" s="90"/>
    </row>
    <row r="586">
      <c r="A586" s="128"/>
      <c r="B586" s="83"/>
      <c r="C586" s="83"/>
      <c r="D586" s="83"/>
      <c r="E586" s="102"/>
      <c r="F586" s="102"/>
      <c r="G586" s="88"/>
      <c r="H586" s="88"/>
      <c r="I586" s="87"/>
      <c r="J586" s="87"/>
      <c r="K586" s="88"/>
      <c r="L586" s="90"/>
    </row>
    <row r="587">
      <c r="A587" s="128"/>
      <c r="B587" s="83"/>
      <c r="C587" s="83"/>
      <c r="D587" s="83"/>
      <c r="E587" s="102"/>
      <c r="F587" s="102"/>
      <c r="G587" s="88"/>
      <c r="H587" s="88"/>
      <c r="I587" s="87"/>
      <c r="J587" s="87"/>
      <c r="K587" s="88"/>
      <c r="L587" s="90"/>
    </row>
    <row r="588">
      <c r="A588" s="128"/>
      <c r="B588" s="83"/>
      <c r="C588" s="83"/>
      <c r="D588" s="83"/>
      <c r="E588" s="102"/>
      <c r="F588" s="102"/>
      <c r="G588" s="88"/>
      <c r="H588" s="88"/>
      <c r="I588" s="87"/>
      <c r="J588" s="87"/>
      <c r="K588" s="88"/>
      <c r="L588" s="90"/>
    </row>
    <row r="589">
      <c r="A589" s="128"/>
      <c r="B589" s="83"/>
      <c r="C589" s="83"/>
      <c r="D589" s="83"/>
      <c r="E589" s="102"/>
      <c r="F589" s="102"/>
      <c r="G589" s="88"/>
      <c r="H589" s="88"/>
      <c r="I589" s="87"/>
      <c r="J589" s="87"/>
      <c r="K589" s="88"/>
      <c r="L589" s="90"/>
    </row>
    <row r="590">
      <c r="A590" s="128"/>
      <c r="B590" s="83"/>
      <c r="C590" s="83"/>
      <c r="D590" s="83"/>
      <c r="E590" s="102"/>
      <c r="F590" s="102"/>
      <c r="G590" s="88"/>
      <c r="H590" s="88"/>
      <c r="I590" s="87"/>
      <c r="J590" s="87"/>
      <c r="K590" s="88"/>
      <c r="L590" s="90"/>
    </row>
    <row r="591">
      <c r="A591" s="128"/>
      <c r="B591" s="83"/>
      <c r="C591" s="83"/>
      <c r="D591" s="83"/>
      <c r="E591" s="102"/>
      <c r="F591" s="102"/>
      <c r="G591" s="88"/>
      <c r="H591" s="88"/>
      <c r="I591" s="87"/>
      <c r="J591" s="87"/>
      <c r="K591" s="88"/>
      <c r="L591" s="90"/>
    </row>
    <row r="592">
      <c r="A592" s="128"/>
      <c r="B592" s="83"/>
      <c r="C592" s="83"/>
      <c r="D592" s="83"/>
      <c r="E592" s="102"/>
      <c r="F592" s="102"/>
      <c r="G592" s="88"/>
      <c r="H592" s="88"/>
      <c r="I592" s="87"/>
      <c r="J592" s="87"/>
      <c r="K592" s="88"/>
      <c r="L592" s="90"/>
    </row>
    <row r="593">
      <c r="A593" s="128"/>
      <c r="B593" s="83"/>
      <c r="C593" s="83"/>
      <c r="D593" s="83"/>
      <c r="E593" s="102"/>
      <c r="F593" s="102"/>
      <c r="G593" s="88"/>
      <c r="H593" s="88"/>
      <c r="I593" s="87"/>
      <c r="J593" s="87"/>
      <c r="K593" s="88"/>
      <c r="L593" s="90"/>
    </row>
    <row r="594">
      <c r="A594" s="128"/>
      <c r="B594" s="83"/>
      <c r="C594" s="83"/>
      <c r="D594" s="83"/>
      <c r="E594" s="102"/>
      <c r="F594" s="102"/>
      <c r="G594" s="88"/>
      <c r="H594" s="88"/>
      <c r="I594" s="87"/>
      <c r="J594" s="87"/>
      <c r="K594" s="88"/>
      <c r="L594" s="90"/>
    </row>
    <row r="595">
      <c r="A595" s="128"/>
      <c r="B595" s="83"/>
      <c r="C595" s="83"/>
      <c r="D595" s="83"/>
      <c r="E595" s="102"/>
      <c r="F595" s="102"/>
      <c r="G595" s="88"/>
      <c r="H595" s="88"/>
      <c r="I595" s="87"/>
      <c r="J595" s="87"/>
      <c r="K595" s="88"/>
      <c r="L595" s="90"/>
    </row>
    <row r="596">
      <c r="A596" s="128"/>
      <c r="B596" s="83"/>
      <c r="C596" s="83"/>
      <c r="D596" s="83"/>
      <c r="E596" s="102"/>
      <c r="F596" s="102"/>
      <c r="G596" s="88"/>
      <c r="H596" s="88"/>
      <c r="I596" s="87"/>
      <c r="J596" s="87"/>
      <c r="K596" s="88"/>
      <c r="L596" s="90"/>
    </row>
    <row r="597">
      <c r="A597" s="128"/>
      <c r="B597" s="83"/>
      <c r="C597" s="83"/>
      <c r="D597" s="83"/>
      <c r="E597" s="102"/>
      <c r="F597" s="102"/>
      <c r="G597" s="88"/>
      <c r="H597" s="88"/>
      <c r="I597" s="87"/>
      <c r="J597" s="87"/>
      <c r="K597" s="88"/>
      <c r="L597" s="90"/>
    </row>
    <row r="598">
      <c r="A598" s="128"/>
      <c r="B598" s="83"/>
      <c r="C598" s="83"/>
      <c r="D598" s="83"/>
      <c r="E598" s="102"/>
      <c r="F598" s="102"/>
      <c r="G598" s="88"/>
      <c r="H598" s="88"/>
      <c r="I598" s="87"/>
      <c r="J598" s="87"/>
      <c r="K598" s="88"/>
      <c r="L598" s="90"/>
    </row>
    <row r="599">
      <c r="A599" s="128"/>
      <c r="B599" s="83"/>
      <c r="C599" s="83"/>
      <c r="D599" s="83"/>
      <c r="E599" s="102"/>
      <c r="F599" s="102"/>
      <c r="G599" s="88"/>
      <c r="H599" s="88"/>
      <c r="I599" s="87"/>
      <c r="J599" s="87"/>
      <c r="K599" s="88"/>
      <c r="L599" s="90"/>
    </row>
    <row r="600">
      <c r="A600" s="128"/>
      <c r="B600" s="83"/>
      <c r="C600" s="83"/>
      <c r="D600" s="83"/>
      <c r="E600" s="102"/>
      <c r="F600" s="102"/>
      <c r="G600" s="88"/>
      <c r="H600" s="88"/>
      <c r="I600" s="87"/>
      <c r="J600" s="87"/>
      <c r="K600" s="88"/>
      <c r="L600" s="90"/>
    </row>
    <row r="601">
      <c r="A601" s="128"/>
      <c r="B601" s="83"/>
      <c r="C601" s="83"/>
      <c r="D601" s="83"/>
      <c r="E601" s="102"/>
      <c r="F601" s="102"/>
      <c r="G601" s="88"/>
      <c r="H601" s="88"/>
      <c r="I601" s="87"/>
      <c r="J601" s="87"/>
      <c r="K601" s="88"/>
      <c r="L601" s="90"/>
    </row>
    <row r="602">
      <c r="A602" s="128"/>
      <c r="B602" s="83"/>
      <c r="C602" s="83"/>
      <c r="D602" s="83"/>
      <c r="E602" s="102"/>
      <c r="F602" s="102"/>
      <c r="G602" s="88"/>
      <c r="H602" s="88"/>
      <c r="I602" s="87"/>
      <c r="J602" s="87"/>
      <c r="K602" s="88"/>
      <c r="L602" s="90"/>
    </row>
    <row r="603">
      <c r="A603" s="128"/>
      <c r="B603" s="83"/>
      <c r="C603" s="83"/>
      <c r="D603" s="83"/>
      <c r="E603" s="102"/>
      <c r="F603" s="102"/>
      <c r="G603" s="88"/>
      <c r="H603" s="88"/>
      <c r="I603" s="87"/>
      <c r="J603" s="87"/>
      <c r="K603" s="88"/>
      <c r="L603" s="90"/>
    </row>
    <row r="604">
      <c r="A604" s="128"/>
      <c r="B604" s="83"/>
      <c r="C604" s="83"/>
      <c r="D604" s="83"/>
      <c r="E604" s="102"/>
      <c r="F604" s="102"/>
      <c r="G604" s="88"/>
      <c r="H604" s="88"/>
      <c r="I604" s="87"/>
      <c r="J604" s="87"/>
      <c r="K604" s="88"/>
      <c r="L604" s="90"/>
    </row>
    <row r="605">
      <c r="A605" s="128"/>
      <c r="B605" s="83"/>
      <c r="C605" s="83"/>
      <c r="D605" s="83"/>
      <c r="E605" s="102"/>
      <c r="F605" s="102"/>
      <c r="G605" s="88"/>
      <c r="H605" s="88"/>
      <c r="I605" s="87"/>
      <c r="J605" s="87"/>
      <c r="K605" s="88"/>
      <c r="L605" s="90"/>
    </row>
    <row r="606">
      <c r="A606" s="128"/>
      <c r="B606" s="83"/>
      <c r="C606" s="83"/>
      <c r="D606" s="83"/>
      <c r="E606" s="102"/>
      <c r="F606" s="102"/>
      <c r="G606" s="88"/>
      <c r="H606" s="88"/>
      <c r="I606" s="87"/>
      <c r="J606" s="87"/>
      <c r="K606" s="88"/>
      <c r="L606" s="90"/>
    </row>
    <row r="607">
      <c r="A607" s="128"/>
      <c r="B607" s="83"/>
      <c r="C607" s="83"/>
      <c r="D607" s="83"/>
      <c r="E607" s="102"/>
      <c r="F607" s="102"/>
      <c r="G607" s="88"/>
      <c r="H607" s="88"/>
      <c r="I607" s="87"/>
      <c r="J607" s="87"/>
      <c r="K607" s="88"/>
      <c r="L607" s="90"/>
    </row>
    <row r="608">
      <c r="A608" s="128"/>
      <c r="B608" s="83"/>
      <c r="C608" s="83"/>
      <c r="D608" s="83"/>
      <c r="E608" s="102"/>
      <c r="F608" s="102"/>
      <c r="G608" s="88"/>
      <c r="H608" s="88"/>
      <c r="I608" s="87"/>
      <c r="J608" s="87"/>
      <c r="K608" s="88"/>
      <c r="L608" s="90"/>
    </row>
    <row r="609">
      <c r="A609" s="128"/>
      <c r="B609" s="83"/>
      <c r="C609" s="83"/>
      <c r="D609" s="83"/>
      <c r="E609" s="102"/>
      <c r="F609" s="102"/>
      <c r="G609" s="88"/>
      <c r="H609" s="88"/>
      <c r="I609" s="87"/>
      <c r="J609" s="87"/>
      <c r="K609" s="88"/>
      <c r="L609" s="90"/>
    </row>
    <row r="610">
      <c r="A610" s="128"/>
      <c r="B610" s="83"/>
      <c r="C610" s="83"/>
      <c r="D610" s="83"/>
      <c r="E610" s="102"/>
      <c r="F610" s="102"/>
      <c r="G610" s="88"/>
      <c r="H610" s="88"/>
      <c r="I610" s="87"/>
      <c r="J610" s="87"/>
      <c r="K610" s="88"/>
      <c r="L610" s="90"/>
    </row>
    <row r="611">
      <c r="A611" s="128"/>
      <c r="B611" s="83"/>
      <c r="C611" s="83"/>
      <c r="D611" s="83"/>
      <c r="E611" s="102"/>
      <c r="F611" s="102"/>
      <c r="G611" s="88"/>
      <c r="H611" s="88"/>
      <c r="I611" s="87"/>
      <c r="J611" s="87"/>
      <c r="K611" s="88"/>
      <c r="L611" s="90"/>
    </row>
    <row r="612">
      <c r="A612" s="128"/>
      <c r="B612" s="83"/>
      <c r="C612" s="83"/>
      <c r="D612" s="83"/>
      <c r="E612" s="102"/>
      <c r="F612" s="102"/>
      <c r="G612" s="88"/>
      <c r="H612" s="88"/>
      <c r="I612" s="87"/>
      <c r="J612" s="87"/>
      <c r="K612" s="88"/>
      <c r="L612" s="90"/>
    </row>
    <row r="613">
      <c r="A613" s="128"/>
      <c r="B613" s="83"/>
      <c r="C613" s="83"/>
      <c r="D613" s="83"/>
      <c r="E613" s="102"/>
      <c r="F613" s="102"/>
      <c r="G613" s="88"/>
      <c r="H613" s="88"/>
      <c r="I613" s="87"/>
      <c r="J613" s="87"/>
      <c r="K613" s="88"/>
      <c r="L613" s="90"/>
    </row>
    <row r="614">
      <c r="A614" s="128"/>
      <c r="B614" s="83"/>
      <c r="C614" s="83"/>
      <c r="D614" s="83"/>
      <c r="E614" s="102"/>
      <c r="F614" s="102"/>
      <c r="G614" s="88"/>
      <c r="H614" s="88"/>
      <c r="I614" s="87"/>
      <c r="J614" s="87"/>
      <c r="K614" s="88"/>
      <c r="L614" s="90"/>
    </row>
    <row r="615">
      <c r="A615" s="128"/>
      <c r="B615" s="83"/>
      <c r="C615" s="83"/>
      <c r="D615" s="83"/>
      <c r="E615" s="102"/>
      <c r="F615" s="102"/>
      <c r="G615" s="88"/>
      <c r="H615" s="88"/>
      <c r="I615" s="87"/>
      <c r="J615" s="87"/>
      <c r="K615" s="88"/>
      <c r="L615" s="90"/>
    </row>
    <row r="616">
      <c r="A616" s="128"/>
      <c r="B616" s="83"/>
      <c r="C616" s="83"/>
      <c r="D616" s="83"/>
      <c r="E616" s="102"/>
      <c r="F616" s="102"/>
      <c r="G616" s="88"/>
      <c r="H616" s="88"/>
      <c r="I616" s="87"/>
      <c r="J616" s="87"/>
      <c r="K616" s="88"/>
      <c r="L616" s="90"/>
    </row>
    <row r="617">
      <c r="A617" s="128"/>
      <c r="B617" s="83"/>
      <c r="C617" s="83"/>
      <c r="D617" s="83"/>
      <c r="E617" s="102"/>
      <c r="F617" s="102"/>
      <c r="G617" s="88"/>
      <c r="H617" s="88"/>
      <c r="I617" s="87"/>
      <c r="J617" s="87"/>
      <c r="K617" s="88"/>
      <c r="L617" s="90"/>
    </row>
    <row r="618">
      <c r="A618" s="128"/>
      <c r="B618" s="83"/>
      <c r="C618" s="83"/>
      <c r="D618" s="83"/>
      <c r="E618" s="102"/>
      <c r="F618" s="102"/>
      <c r="G618" s="88"/>
      <c r="H618" s="88"/>
      <c r="I618" s="87"/>
      <c r="J618" s="87"/>
      <c r="K618" s="88"/>
      <c r="L618" s="90"/>
    </row>
    <row r="619">
      <c r="A619" s="128"/>
      <c r="B619" s="83"/>
      <c r="C619" s="83"/>
      <c r="D619" s="83"/>
      <c r="E619" s="102"/>
      <c r="F619" s="102"/>
      <c r="G619" s="88"/>
      <c r="H619" s="88"/>
      <c r="I619" s="87"/>
      <c r="J619" s="87"/>
      <c r="K619" s="88"/>
      <c r="L619" s="90"/>
    </row>
    <row r="620">
      <c r="A620" s="128"/>
      <c r="B620" s="83"/>
      <c r="C620" s="83"/>
      <c r="D620" s="83"/>
      <c r="E620" s="102"/>
      <c r="F620" s="102"/>
      <c r="G620" s="88"/>
      <c r="H620" s="88"/>
      <c r="I620" s="87"/>
      <c r="J620" s="87"/>
      <c r="K620" s="88"/>
      <c r="L620" s="90"/>
    </row>
    <row r="621">
      <c r="A621" s="128"/>
      <c r="B621" s="83"/>
      <c r="C621" s="83"/>
      <c r="D621" s="83"/>
      <c r="E621" s="102"/>
      <c r="F621" s="102"/>
      <c r="G621" s="88"/>
      <c r="H621" s="88"/>
      <c r="I621" s="87"/>
      <c r="J621" s="87"/>
      <c r="K621" s="88"/>
      <c r="L621" s="90"/>
    </row>
    <row r="622">
      <c r="A622" s="128"/>
      <c r="B622" s="83"/>
      <c r="C622" s="83"/>
      <c r="D622" s="83"/>
      <c r="E622" s="102"/>
      <c r="F622" s="102"/>
      <c r="G622" s="88"/>
      <c r="H622" s="88"/>
      <c r="I622" s="87"/>
      <c r="J622" s="87"/>
      <c r="K622" s="88"/>
      <c r="L622" s="90"/>
    </row>
    <row r="623">
      <c r="A623" s="128"/>
      <c r="B623" s="83"/>
      <c r="C623" s="83"/>
      <c r="D623" s="83"/>
      <c r="E623" s="102"/>
      <c r="F623" s="102"/>
      <c r="G623" s="88"/>
      <c r="H623" s="88"/>
      <c r="I623" s="87"/>
      <c r="J623" s="87"/>
      <c r="K623" s="88"/>
      <c r="L623" s="90"/>
    </row>
    <row r="624">
      <c r="A624" s="128"/>
      <c r="B624" s="83"/>
      <c r="C624" s="83"/>
      <c r="D624" s="83"/>
      <c r="E624" s="102"/>
      <c r="F624" s="102"/>
      <c r="G624" s="88"/>
      <c r="H624" s="88"/>
      <c r="I624" s="87"/>
      <c r="J624" s="87"/>
      <c r="K624" s="88"/>
      <c r="L624" s="90"/>
    </row>
    <row r="625">
      <c r="A625" s="128"/>
      <c r="B625" s="83"/>
      <c r="C625" s="83"/>
      <c r="D625" s="83"/>
      <c r="E625" s="102"/>
      <c r="F625" s="102"/>
      <c r="G625" s="88"/>
      <c r="H625" s="88"/>
      <c r="I625" s="87"/>
      <c r="J625" s="87"/>
      <c r="K625" s="88"/>
      <c r="L625" s="90"/>
    </row>
    <row r="626">
      <c r="A626" s="128"/>
      <c r="B626" s="83"/>
      <c r="C626" s="83"/>
      <c r="D626" s="83"/>
      <c r="E626" s="102"/>
      <c r="F626" s="102"/>
      <c r="G626" s="88"/>
      <c r="H626" s="88"/>
      <c r="I626" s="87"/>
      <c r="J626" s="87"/>
      <c r="K626" s="88"/>
      <c r="L626" s="90"/>
    </row>
    <row r="627">
      <c r="A627" s="128"/>
      <c r="B627" s="83"/>
      <c r="C627" s="83"/>
      <c r="D627" s="83"/>
      <c r="E627" s="102"/>
      <c r="F627" s="102"/>
      <c r="G627" s="88"/>
      <c r="H627" s="88"/>
      <c r="I627" s="87"/>
      <c r="J627" s="87"/>
      <c r="K627" s="88"/>
      <c r="L627" s="90"/>
    </row>
    <row r="628">
      <c r="A628" s="128"/>
      <c r="B628" s="83"/>
      <c r="C628" s="83"/>
      <c r="D628" s="83"/>
      <c r="E628" s="102"/>
      <c r="F628" s="102"/>
      <c r="G628" s="88"/>
      <c r="H628" s="88"/>
      <c r="I628" s="87"/>
      <c r="J628" s="87"/>
      <c r="K628" s="88"/>
      <c r="L628" s="90"/>
    </row>
    <row r="629">
      <c r="A629" s="128"/>
      <c r="B629" s="83"/>
      <c r="C629" s="83"/>
      <c r="D629" s="83"/>
      <c r="E629" s="102"/>
      <c r="F629" s="102"/>
      <c r="G629" s="88"/>
      <c r="H629" s="88"/>
      <c r="I629" s="87"/>
      <c r="J629" s="87"/>
      <c r="K629" s="88"/>
      <c r="L629" s="90"/>
    </row>
    <row r="630">
      <c r="A630" s="128"/>
      <c r="B630" s="83"/>
      <c r="C630" s="83"/>
      <c r="D630" s="83"/>
      <c r="E630" s="102"/>
      <c r="F630" s="102"/>
      <c r="G630" s="88"/>
      <c r="H630" s="88"/>
      <c r="I630" s="87"/>
      <c r="J630" s="87"/>
      <c r="K630" s="88"/>
      <c r="L630" s="90"/>
    </row>
    <row r="631">
      <c r="A631" s="128"/>
      <c r="B631" s="83"/>
      <c r="C631" s="83"/>
      <c r="D631" s="83"/>
      <c r="E631" s="102"/>
      <c r="F631" s="102"/>
      <c r="G631" s="88"/>
      <c r="H631" s="88"/>
      <c r="I631" s="87"/>
      <c r="J631" s="87"/>
      <c r="K631" s="88"/>
      <c r="L631" s="90"/>
    </row>
    <row r="632">
      <c r="A632" s="128"/>
      <c r="B632" s="83"/>
      <c r="C632" s="83"/>
      <c r="D632" s="83"/>
      <c r="E632" s="102"/>
      <c r="F632" s="102"/>
      <c r="G632" s="88"/>
      <c r="H632" s="88"/>
      <c r="I632" s="87"/>
      <c r="J632" s="87"/>
      <c r="K632" s="88"/>
      <c r="L632" s="90"/>
    </row>
    <row r="633">
      <c r="A633" s="128"/>
      <c r="B633" s="83"/>
      <c r="C633" s="83"/>
      <c r="D633" s="83"/>
      <c r="E633" s="102"/>
      <c r="F633" s="102"/>
      <c r="G633" s="88"/>
      <c r="H633" s="88"/>
      <c r="I633" s="87"/>
      <c r="J633" s="87"/>
      <c r="K633" s="88"/>
      <c r="L633" s="90"/>
    </row>
    <row r="634">
      <c r="A634" s="128"/>
      <c r="B634" s="83"/>
      <c r="C634" s="83"/>
      <c r="D634" s="83"/>
      <c r="E634" s="102"/>
      <c r="F634" s="102"/>
      <c r="G634" s="88"/>
      <c r="H634" s="88"/>
      <c r="I634" s="87"/>
      <c r="J634" s="87"/>
      <c r="K634" s="88"/>
      <c r="L634" s="90"/>
    </row>
    <row r="635">
      <c r="A635" s="128"/>
      <c r="B635" s="83"/>
      <c r="C635" s="83"/>
      <c r="D635" s="83"/>
      <c r="E635" s="102"/>
      <c r="F635" s="102"/>
      <c r="G635" s="88"/>
      <c r="H635" s="88"/>
      <c r="I635" s="87"/>
      <c r="J635" s="87"/>
      <c r="K635" s="88"/>
      <c r="L635" s="90"/>
    </row>
    <row r="636">
      <c r="A636" s="128"/>
      <c r="B636" s="83"/>
      <c r="C636" s="83"/>
      <c r="D636" s="83"/>
      <c r="E636" s="102"/>
      <c r="F636" s="102"/>
      <c r="G636" s="88"/>
      <c r="H636" s="88"/>
      <c r="I636" s="87"/>
      <c r="J636" s="87"/>
      <c r="K636" s="88"/>
      <c r="L636" s="90"/>
    </row>
    <row r="637">
      <c r="A637" s="128"/>
      <c r="B637" s="83"/>
      <c r="C637" s="83"/>
      <c r="D637" s="83"/>
      <c r="E637" s="102"/>
      <c r="F637" s="102"/>
      <c r="G637" s="88"/>
      <c r="H637" s="88"/>
      <c r="I637" s="87"/>
      <c r="J637" s="87"/>
      <c r="K637" s="88"/>
      <c r="L637" s="90"/>
    </row>
    <row r="638">
      <c r="A638" s="128"/>
      <c r="B638" s="83"/>
      <c r="C638" s="83"/>
      <c r="D638" s="83"/>
      <c r="E638" s="102"/>
      <c r="F638" s="102"/>
      <c r="G638" s="88"/>
      <c r="H638" s="88"/>
      <c r="I638" s="87"/>
      <c r="J638" s="87"/>
      <c r="K638" s="88"/>
      <c r="L638" s="90"/>
    </row>
    <row r="639">
      <c r="A639" s="128"/>
      <c r="B639" s="83"/>
      <c r="C639" s="83"/>
      <c r="D639" s="83"/>
      <c r="E639" s="102"/>
      <c r="F639" s="102"/>
      <c r="G639" s="88"/>
      <c r="H639" s="88"/>
      <c r="I639" s="87"/>
      <c r="J639" s="87"/>
      <c r="K639" s="88"/>
      <c r="L639" s="90"/>
    </row>
    <row r="640">
      <c r="A640" s="128"/>
      <c r="B640" s="83"/>
      <c r="C640" s="83"/>
      <c r="D640" s="83"/>
      <c r="E640" s="102"/>
      <c r="F640" s="102"/>
      <c r="G640" s="88"/>
      <c r="H640" s="88"/>
      <c r="I640" s="87"/>
      <c r="J640" s="87"/>
      <c r="K640" s="88"/>
      <c r="L640" s="90"/>
    </row>
    <row r="641">
      <c r="A641" s="128"/>
      <c r="B641" s="83"/>
      <c r="C641" s="83"/>
      <c r="D641" s="83"/>
      <c r="E641" s="102"/>
      <c r="F641" s="102"/>
      <c r="G641" s="88"/>
      <c r="H641" s="88"/>
      <c r="I641" s="87"/>
      <c r="J641" s="87"/>
      <c r="K641" s="88"/>
      <c r="L641" s="90"/>
    </row>
    <row r="642">
      <c r="A642" s="128"/>
      <c r="B642" s="83"/>
      <c r="C642" s="83"/>
      <c r="D642" s="83"/>
      <c r="E642" s="102"/>
      <c r="F642" s="102"/>
      <c r="G642" s="88"/>
      <c r="H642" s="88"/>
      <c r="I642" s="87"/>
      <c r="J642" s="87"/>
      <c r="K642" s="88"/>
      <c r="L642" s="90"/>
    </row>
    <row r="643">
      <c r="A643" s="128"/>
      <c r="B643" s="83"/>
      <c r="C643" s="83"/>
      <c r="D643" s="83"/>
      <c r="E643" s="102"/>
      <c r="F643" s="102"/>
      <c r="G643" s="88"/>
      <c r="H643" s="88"/>
      <c r="I643" s="87"/>
      <c r="J643" s="87"/>
      <c r="K643" s="88"/>
      <c r="L643" s="90"/>
    </row>
    <row r="644">
      <c r="A644" s="128"/>
      <c r="B644" s="83"/>
      <c r="C644" s="83"/>
      <c r="D644" s="83"/>
      <c r="E644" s="102"/>
      <c r="F644" s="102"/>
      <c r="G644" s="88"/>
      <c r="H644" s="88"/>
      <c r="I644" s="87"/>
      <c r="J644" s="87"/>
      <c r="K644" s="88"/>
      <c r="L644" s="90"/>
    </row>
    <row r="645">
      <c r="A645" s="128"/>
      <c r="B645" s="83"/>
      <c r="C645" s="83"/>
      <c r="D645" s="83"/>
      <c r="E645" s="102"/>
      <c r="F645" s="102"/>
      <c r="G645" s="88"/>
      <c r="H645" s="88"/>
      <c r="I645" s="87"/>
      <c r="J645" s="87"/>
      <c r="K645" s="88"/>
      <c r="L645" s="90"/>
    </row>
    <row r="646">
      <c r="A646" s="128"/>
      <c r="B646" s="83"/>
      <c r="C646" s="83"/>
      <c r="D646" s="83"/>
      <c r="E646" s="102"/>
      <c r="F646" s="102"/>
      <c r="G646" s="88"/>
      <c r="H646" s="88"/>
      <c r="I646" s="87"/>
      <c r="J646" s="87"/>
      <c r="K646" s="88"/>
      <c r="L646" s="90"/>
    </row>
    <row r="647">
      <c r="A647" s="128"/>
      <c r="B647" s="83"/>
      <c r="C647" s="83"/>
      <c r="D647" s="83"/>
      <c r="E647" s="102"/>
      <c r="F647" s="102"/>
      <c r="G647" s="88"/>
      <c r="H647" s="88"/>
      <c r="I647" s="87"/>
      <c r="J647" s="87"/>
      <c r="K647" s="88"/>
      <c r="L647" s="90"/>
    </row>
    <row r="648">
      <c r="A648" s="128"/>
      <c r="B648" s="83"/>
      <c r="C648" s="83"/>
      <c r="D648" s="83"/>
      <c r="E648" s="102"/>
      <c r="F648" s="102"/>
      <c r="G648" s="88"/>
      <c r="H648" s="88"/>
      <c r="I648" s="87"/>
      <c r="J648" s="87"/>
      <c r="K648" s="88"/>
      <c r="L648" s="90"/>
    </row>
    <row r="649">
      <c r="A649" s="128"/>
      <c r="B649" s="83"/>
      <c r="C649" s="83"/>
      <c r="D649" s="83"/>
      <c r="E649" s="102"/>
      <c r="F649" s="102"/>
      <c r="G649" s="88"/>
      <c r="H649" s="88"/>
      <c r="I649" s="87"/>
      <c r="J649" s="87"/>
      <c r="K649" s="88"/>
      <c r="L649" s="90"/>
    </row>
    <row r="650">
      <c r="A650" s="128"/>
      <c r="B650" s="83"/>
      <c r="C650" s="83"/>
      <c r="D650" s="83"/>
      <c r="E650" s="102"/>
      <c r="F650" s="102"/>
      <c r="G650" s="88"/>
      <c r="H650" s="88"/>
      <c r="I650" s="87"/>
      <c r="J650" s="87"/>
      <c r="K650" s="88"/>
      <c r="L650" s="90"/>
    </row>
    <row r="651">
      <c r="A651" s="128"/>
      <c r="B651" s="83"/>
      <c r="C651" s="83"/>
      <c r="D651" s="83"/>
      <c r="E651" s="102"/>
      <c r="F651" s="102"/>
      <c r="G651" s="88"/>
      <c r="H651" s="88"/>
      <c r="I651" s="87"/>
      <c r="J651" s="87"/>
      <c r="K651" s="88"/>
      <c r="L651" s="90"/>
    </row>
    <row r="652">
      <c r="A652" s="128"/>
      <c r="B652" s="83"/>
      <c r="C652" s="83"/>
      <c r="D652" s="83"/>
      <c r="E652" s="102"/>
      <c r="F652" s="102"/>
      <c r="G652" s="88"/>
      <c r="H652" s="88"/>
      <c r="I652" s="87"/>
      <c r="J652" s="87"/>
      <c r="K652" s="88"/>
      <c r="L652" s="90"/>
    </row>
    <row r="653">
      <c r="A653" s="128"/>
      <c r="B653" s="83"/>
      <c r="C653" s="83"/>
      <c r="D653" s="83"/>
      <c r="E653" s="102"/>
      <c r="F653" s="102"/>
      <c r="G653" s="88"/>
      <c r="H653" s="88"/>
      <c r="I653" s="87"/>
      <c r="J653" s="87"/>
      <c r="K653" s="88"/>
      <c r="L653" s="90"/>
    </row>
    <row r="654">
      <c r="A654" s="128"/>
      <c r="B654" s="83"/>
      <c r="C654" s="83"/>
      <c r="D654" s="83"/>
      <c r="E654" s="102"/>
      <c r="F654" s="102"/>
      <c r="G654" s="88"/>
      <c r="H654" s="88"/>
      <c r="I654" s="87"/>
      <c r="J654" s="87"/>
      <c r="K654" s="88"/>
      <c r="L654" s="90"/>
    </row>
    <row r="655">
      <c r="A655" s="128"/>
      <c r="B655" s="83"/>
      <c r="C655" s="83"/>
      <c r="D655" s="83"/>
      <c r="E655" s="102"/>
      <c r="F655" s="102"/>
      <c r="G655" s="88"/>
      <c r="H655" s="88"/>
      <c r="I655" s="87"/>
      <c r="J655" s="87"/>
      <c r="K655" s="88"/>
      <c r="L655" s="90"/>
    </row>
    <row r="656">
      <c r="A656" s="128"/>
      <c r="B656" s="83"/>
      <c r="C656" s="83"/>
      <c r="D656" s="83"/>
      <c r="E656" s="102"/>
      <c r="F656" s="102"/>
      <c r="G656" s="88"/>
      <c r="H656" s="88"/>
      <c r="I656" s="87"/>
      <c r="J656" s="87"/>
      <c r="K656" s="88"/>
      <c r="L656" s="90"/>
    </row>
    <row r="657">
      <c r="A657" s="128"/>
      <c r="B657" s="83"/>
      <c r="C657" s="83"/>
      <c r="D657" s="83"/>
      <c r="E657" s="102"/>
      <c r="F657" s="102"/>
      <c r="G657" s="88"/>
      <c r="H657" s="88"/>
      <c r="I657" s="87"/>
      <c r="J657" s="87"/>
      <c r="K657" s="88"/>
      <c r="L657" s="90"/>
    </row>
    <row r="658">
      <c r="A658" s="128"/>
      <c r="B658" s="83"/>
      <c r="C658" s="83"/>
      <c r="D658" s="83"/>
      <c r="E658" s="102"/>
      <c r="F658" s="102"/>
      <c r="G658" s="88"/>
      <c r="H658" s="88"/>
      <c r="I658" s="87"/>
      <c r="J658" s="87"/>
      <c r="K658" s="88"/>
      <c r="L658" s="90"/>
    </row>
    <row r="659">
      <c r="A659" s="128"/>
      <c r="B659" s="83"/>
      <c r="C659" s="83"/>
      <c r="D659" s="83"/>
      <c r="E659" s="102"/>
      <c r="F659" s="102"/>
      <c r="G659" s="88"/>
      <c r="H659" s="88"/>
      <c r="I659" s="87"/>
      <c r="J659" s="87"/>
      <c r="K659" s="88"/>
      <c r="L659" s="90"/>
    </row>
    <row r="660">
      <c r="A660" s="128"/>
      <c r="B660" s="83"/>
      <c r="C660" s="83"/>
      <c r="D660" s="83"/>
      <c r="E660" s="102"/>
      <c r="F660" s="102"/>
      <c r="G660" s="88"/>
      <c r="H660" s="88"/>
      <c r="I660" s="87"/>
      <c r="J660" s="87"/>
      <c r="K660" s="88"/>
      <c r="L660" s="90"/>
    </row>
    <row r="661">
      <c r="A661" s="128"/>
      <c r="B661" s="83"/>
      <c r="C661" s="83"/>
      <c r="D661" s="83"/>
      <c r="E661" s="102"/>
      <c r="F661" s="102"/>
      <c r="G661" s="88"/>
      <c r="H661" s="88"/>
      <c r="I661" s="87"/>
      <c r="J661" s="87"/>
      <c r="K661" s="88"/>
      <c r="L661" s="90"/>
    </row>
    <row r="662">
      <c r="A662" s="128"/>
      <c r="B662" s="83"/>
      <c r="C662" s="83"/>
      <c r="D662" s="83"/>
      <c r="E662" s="102"/>
      <c r="F662" s="102"/>
      <c r="G662" s="88"/>
      <c r="H662" s="88"/>
      <c r="I662" s="87"/>
      <c r="J662" s="87"/>
      <c r="K662" s="88"/>
      <c r="L662" s="90"/>
    </row>
    <row r="663">
      <c r="A663" s="128"/>
      <c r="B663" s="83"/>
      <c r="C663" s="83"/>
      <c r="D663" s="83"/>
      <c r="E663" s="102"/>
      <c r="F663" s="102"/>
      <c r="G663" s="88"/>
      <c r="H663" s="88"/>
      <c r="I663" s="87"/>
      <c r="J663" s="87"/>
      <c r="K663" s="88"/>
      <c r="L663" s="90"/>
    </row>
    <row r="664">
      <c r="A664" s="128"/>
      <c r="B664" s="83"/>
      <c r="C664" s="83"/>
      <c r="D664" s="83"/>
      <c r="E664" s="102"/>
      <c r="F664" s="102"/>
      <c r="G664" s="88"/>
      <c r="H664" s="88"/>
      <c r="I664" s="87"/>
      <c r="J664" s="87"/>
      <c r="K664" s="88"/>
      <c r="L664" s="90"/>
    </row>
    <row r="665">
      <c r="A665" s="128"/>
      <c r="B665" s="83"/>
      <c r="C665" s="83"/>
      <c r="D665" s="83"/>
      <c r="E665" s="102"/>
      <c r="F665" s="102"/>
      <c r="G665" s="88"/>
      <c r="H665" s="88"/>
      <c r="I665" s="87"/>
      <c r="J665" s="87"/>
      <c r="K665" s="88"/>
      <c r="L665" s="90"/>
    </row>
    <row r="666">
      <c r="A666" s="128"/>
      <c r="B666" s="83"/>
      <c r="C666" s="83"/>
      <c r="D666" s="83"/>
      <c r="E666" s="102"/>
      <c r="F666" s="102"/>
      <c r="G666" s="88"/>
      <c r="H666" s="88"/>
      <c r="I666" s="87"/>
      <c r="J666" s="87"/>
      <c r="K666" s="88"/>
      <c r="L666" s="90"/>
    </row>
    <row r="667">
      <c r="A667" s="128"/>
      <c r="B667" s="83"/>
      <c r="C667" s="83"/>
      <c r="D667" s="83"/>
      <c r="E667" s="102"/>
      <c r="F667" s="102"/>
      <c r="G667" s="88"/>
      <c r="H667" s="88"/>
      <c r="I667" s="87"/>
      <c r="J667" s="87"/>
      <c r="K667" s="88"/>
      <c r="L667" s="90"/>
    </row>
    <row r="668">
      <c r="A668" s="128"/>
      <c r="B668" s="83"/>
      <c r="C668" s="83"/>
      <c r="D668" s="83"/>
      <c r="E668" s="102"/>
      <c r="F668" s="102"/>
      <c r="G668" s="88"/>
      <c r="H668" s="88"/>
      <c r="I668" s="87"/>
      <c r="J668" s="87"/>
      <c r="K668" s="88"/>
      <c r="L668" s="90"/>
    </row>
    <row r="669">
      <c r="A669" s="128"/>
      <c r="B669" s="83"/>
      <c r="C669" s="83"/>
      <c r="D669" s="83"/>
      <c r="E669" s="102"/>
      <c r="F669" s="102"/>
      <c r="G669" s="88"/>
      <c r="H669" s="88"/>
      <c r="I669" s="87"/>
      <c r="J669" s="87"/>
      <c r="K669" s="88"/>
      <c r="L669" s="90"/>
    </row>
    <row r="670">
      <c r="A670" s="128"/>
      <c r="B670" s="83"/>
      <c r="C670" s="83"/>
      <c r="D670" s="83"/>
      <c r="E670" s="102"/>
      <c r="F670" s="102"/>
      <c r="G670" s="88"/>
      <c r="H670" s="88"/>
      <c r="I670" s="87"/>
      <c r="J670" s="87"/>
      <c r="K670" s="88"/>
      <c r="L670" s="90"/>
    </row>
    <row r="671">
      <c r="A671" s="128"/>
      <c r="B671" s="83"/>
      <c r="C671" s="83"/>
      <c r="D671" s="83"/>
      <c r="E671" s="102"/>
      <c r="F671" s="102"/>
      <c r="G671" s="88"/>
      <c r="H671" s="88"/>
      <c r="I671" s="87"/>
      <c r="J671" s="87"/>
      <c r="K671" s="88"/>
      <c r="L671" s="90"/>
    </row>
    <row r="672">
      <c r="A672" s="128"/>
      <c r="B672" s="83"/>
      <c r="C672" s="83"/>
      <c r="D672" s="83"/>
      <c r="E672" s="102"/>
      <c r="F672" s="102"/>
      <c r="G672" s="88"/>
      <c r="H672" s="88"/>
      <c r="I672" s="87"/>
      <c r="J672" s="87"/>
      <c r="K672" s="88"/>
      <c r="L672" s="90"/>
    </row>
    <row r="673">
      <c r="A673" s="128"/>
      <c r="B673" s="83"/>
      <c r="C673" s="83"/>
      <c r="D673" s="83"/>
      <c r="E673" s="102"/>
      <c r="F673" s="102"/>
      <c r="G673" s="88"/>
      <c r="H673" s="88"/>
      <c r="I673" s="87"/>
      <c r="J673" s="87"/>
      <c r="K673" s="88"/>
      <c r="L673" s="90"/>
    </row>
    <row r="674">
      <c r="A674" s="128"/>
      <c r="B674" s="83"/>
      <c r="C674" s="83"/>
      <c r="D674" s="83"/>
      <c r="E674" s="102"/>
      <c r="F674" s="102"/>
      <c r="G674" s="88"/>
      <c r="H674" s="88"/>
      <c r="I674" s="87"/>
      <c r="J674" s="87"/>
      <c r="K674" s="88"/>
      <c r="L674" s="90"/>
    </row>
    <row r="675">
      <c r="A675" s="128"/>
      <c r="B675" s="83"/>
      <c r="C675" s="83"/>
      <c r="D675" s="83"/>
      <c r="E675" s="102"/>
      <c r="F675" s="102"/>
      <c r="G675" s="88"/>
      <c r="H675" s="88"/>
      <c r="I675" s="87"/>
      <c r="J675" s="87"/>
      <c r="K675" s="88"/>
      <c r="L675" s="90"/>
    </row>
    <row r="676">
      <c r="A676" s="128"/>
      <c r="B676" s="83"/>
      <c r="C676" s="83"/>
      <c r="D676" s="83"/>
      <c r="E676" s="102"/>
      <c r="F676" s="102"/>
      <c r="G676" s="88"/>
      <c r="H676" s="88"/>
      <c r="I676" s="87"/>
      <c r="J676" s="87"/>
      <c r="K676" s="88"/>
      <c r="L676" s="90"/>
    </row>
    <row r="677">
      <c r="A677" s="128"/>
      <c r="B677" s="83"/>
      <c r="C677" s="83"/>
      <c r="D677" s="83"/>
      <c r="E677" s="102"/>
      <c r="F677" s="102"/>
      <c r="G677" s="88"/>
      <c r="H677" s="88"/>
      <c r="I677" s="87"/>
      <c r="J677" s="87"/>
      <c r="K677" s="88"/>
      <c r="L677" s="90"/>
    </row>
    <row r="678">
      <c r="A678" s="128"/>
      <c r="B678" s="83"/>
      <c r="C678" s="83"/>
      <c r="D678" s="83"/>
      <c r="E678" s="102"/>
      <c r="F678" s="102"/>
      <c r="G678" s="88"/>
      <c r="H678" s="88"/>
      <c r="I678" s="87"/>
      <c r="J678" s="87"/>
      <c r="K678" s="88"/>
      <c r="L678" s="90"/>
    </row>
    <row r="679">
      <c r="A679" s="128"/>
      <c r="B679" s="83"/>
      <c r="C679" s="83"/>
      <c r="D679" s="83"/>
      <c r="E679" s="102"/>
      <c r="F679" s="102"/>
      <c r="G679" s="88"/>
      <c r="H679" s="88"/>
      <c r="I679" s="87"/>
      <c r="J679" s="87"/>
      <c r="K679" s="88"/>
      <c r="L679" s="90"/>
    </row>
    <row r="680">
      <c r="A680" s="128"/>
      <c r="B680" s="83"/>
      <c r="C680" s="83"/>
      <c r="D680" s="83"/>
      <c r="E680" s="102"/>
      <c r="F680" s="102"/>
      <c r="G680" s="88"/>
      <c r="H680" s="88"/>
      <c r="I680" s="87"/>
      <c r="J680" s="87"/>
      <c r="K680" s="88"/>
      <c r="L680" s="90"/>
    </row>
    <row r="681">
      <c r="A681" s="128"/>
      <c r="B681" s="83"/>
      <c r="C681" s="83"/>
      <c r="D681" s="83"/>
      <c r="E681" s="102"/>
      <c r="F681" s="102"/>
      <c r="G681" s="88"/>
      <c r="H681" s="88"/>
      <c r="I681" s="87"/>
      <c r="J681" s="87"/>
      <c r="K681" s="88"/>
      <c r="L681" s="90"/>
    </row>
    <row r="682">
      <c r="A682" s="128"/>
      <c r="B682" s="83"/>
      <c r="C682" s="83"/>
      <c r="D682" s="83"/>
      <c r="E682" s="102"/>
      <c r="F682" s="102"/>
      <c r="G682" s="88"/>
      <c r="H682" s="88"/>
      <c r="I682" s="87"/>
      <c r="J682" s="87"/>
      <c r="K682" s="88"/>
      <c r="L682" s="90"/>
    </row>
    <row r="683">
      <c r="A683" s="128"/>
      <c r="B683" s="83"/>
      <c r="C683" s="83"/>
      <c r="D683" s="83"/>
      <c r="E683" s="102"/>
      <c r="F683" s="102"/>
      <c r="G683" s="88"/>
      <c r="H683" s="88"/>
      <c r="I683" s="87"/>
      <c r="J683" s="87"/>
      <c r="K683" s="88"/>
      <c r="L683" s="90"/>
    </row>
    <row r="684">
      <c r="A684" s="128"/>
      <c r="B684" s="83"/>
      <c r="C684" s="83"/>
      <c r="D684" s="83"/>
      <c r="E684" s="102"/>
      <c r="F684" s="102"/>
      <c r="G684" s="88"/>
      <c r="H684" s="88"/>
      <c r="I684" s="87"/>
      <c r="J684" s="87"/>
      <c r="K684" s="88"/>
      <c r="L684" s="90"/>
    </row>
    <row r="685">
      <c r="A685" s="128"/>
      <c r="B685" s="83"/>
      <c r="C685" s="83"/>
      <c r="D685" s="83"/>
      <c r="E685" s="102"/>
      <c r="F685" s="102"/>
      <c r="G685" s="88"/>
      <c r="H685" s="88"/>
      <c r="I685" s="87"/>
      <c r="J685" s="87"/>
      <c r="K685" s="88"/>
      <c r="L685" s="90"/>
    </row>
    <row r="686">
      <c r="A686" s="128"/>
      <c r="B686" s="83"/>
      <c r="C686" s="83"/>
      <c r="D686" s="83"/>
      <c r="E686" s="102"/>
      <c r="F686" s="102"/>
      <c r="G686" s="88"/>
      <c r="H686" s="88"/>
      <c r="I686" s="87"/>
      <c r="J686" s="87"/>
      <c r="K686" s="88"/>
      <c r="L686" s="90"/>
    </row>
    <row r="687">
      <c r="A687" s="128"/>
      <c r="B687" s="83"/>
      <c r="C687" s="83"/>
      <c r="D687" s="83"/>
      <c r="E687" s="102"/>
      <c r="F687" s="102"/>
      <c r="G687" s="88"/>
      <c r="H687" s="88"/>
      <c r="I687" s="87"/>
      <c r="J687" s="87"/>
      <c r="K687" s="88"/>
      <c r="L687" s="90"/>
    </row>
    <row r="688">
      <c r="A688" s="128"/>
      <c r="B688" s="83"/>
      <c r="C688" s="83"/>
      <c r="D688" s="83"/>
      <c r="E688" s="102"/>
      <c r="F688" s="102"/>
      <c r="G688" s="88"/>
      <c r="H688" s="88"/>
      <c r="I688" s="87"/>
      <c r="J688" s="87"/>
      <c r="K688" s="88"/>
      <c r="L688" s="90"/>
    </row>
    <row r="689">
      <c r="A689" s="128"/>
      <c r="B689" s="83"/>
      <c r="C689" s="83"/>
      <c r="D689" s="83"/>
      <c r="E689" s="102"/>
      <c r="F689" s="102"/>
      <c r="G689" s="88"/>
      <c r="H689" s="88"/>
      <c r="I689" s="87"/>
      <c r="J689" s="87"/>
      <c r="K689" s="88"/>
      <c r="L689" s="90"/>
    </row>
    <row r="690">
      <c r="A690" s="128"/>
      <c r="B690" s="83"/>
      <c r="C690" s="83"/>
      <c r="D690" s="83"/>
      <c r="E690" s="102"/>
      <c r="F690" s="102"/>
      <c r="G690" s="88"/>
      <c r="H690" s="88"/>
      <c r="I690" s="87"/>
      <c r="J690" s="87"/>
      <c r="K690" s="88"/>
      <c r="L690" s="90"/>
    </row>
    <row r="691">
      <c r="A691" s="128"/>
      <c r="B691" s="83"/>
      <c r="C691" s="83"/>
      <c r="D691" s="83"/>
      <c r="E691" s="102"/>
      <c r="F691" s="102"/>
      <c r="G691" s="88"/>
      <c r="H691" s="88"/>
      <c r="I691" s="87"/>
      <c r="J691" s="87"/>
      <c r="K691" s="88"/>
      <c r="L691" s="90"/>
    </row>
    <row r="692">
      <c r="A692" s="128"/>
      <c r="B692" s="83"/>
      <c r="C692" s="83"/>
      <c r="D692" s="83"/>
      <c r="E692" s="102"/>
      <c r="F692" s="102"/>
      <c r="G692" s="88"/>
      <c r="H692" s="88"/>
      <c r="I692" s="87"/>
      <c r="J692" s="87"/>
      <c r="K692" s="88"/>
      <c r="L692" s="90"/>
    </row>
    <row r="693">
      <c r="A693" s="128"/>
      <c r="B693" s="83"/>
      <c r="C693" s="83"/>
      <c r="D693" s="83"/>
      <c r="E693" s="102"/>
      <c r="F693" s="102"/>
      <c r="G693" s="88"/>
      <c r="H693" s="88"/>
      <c r="I693" s="87"/>
      <c r="J693" s="87"/>
      <c r="K693" s="88"/>
      <c r="L693" s="90"/>
    </row>
    <row r="694">
      <c r="A694" s="128"/>
      <c r="B694" s="83"/>
      <c r="C694" s="83"/>
      <c r="D694" s="83"/>
      <c r="E694" s="102"/>
      <c r="F694" s="102"/>
      <c r="G694" s="88"/>
      <c r="H694" s="88"/>
      <c r="I694" s="87"/>
      <c r="J694" s="87"/>
      <c r="K694" s="88"/>
      <c r="L694" s="90"/>
    </row>
    <row r="695">
      <c r="A695" s="128"/>
      <c r="B695" s="83"/>
      <c r="C695" s="83"/>
      <c r="D695" s="83"/>
      <c r="E695" s="102"/>
      <c r="F695" s="102"/>
      <c r="G695" s="88"/>
      <c r="H695" s="88"/>
      <c r="I695" s="87"/>
      <c r="J695" s="87"/>
      <c r="K695" s="88"/>
      <c r="L695" s="90"/>
    </row>
    <row r="696">
      <c r="A696" s="128"/>
      <c r="B696" s="83"/>
      <c r="C696" s="83"/>
      <c r="D696" s="83"/>
      <c r="E696" s="102"/>
      <c r="F696" s="102"/>
      <c r="G696" s="88"/>
      <c r="H696" s="88"/>
      <c r="I696" s="87"/>
      <c r="J696" s="87"/>
      <c r="K696" s="88"/>
      <c r="L696" s="90"/>
    </row>
    <row r="697">
      <c r="A697" s="128"/>
      <c r="B697" s="83"/>
      <c r="C697" s="83"/>
      <c r="D697" s="83"/>
      <c r="E697" s="102"/>
      <c r="F697" s="102"/>
      <c r="G697" s="88"/>
      <c r="H697" s="88"/>
      <c r="I697" s="87"/>
      <c r="J697" s="87"/>
      <c r="K697" s="88"/>
      <c r="L697" s="90"/>
    </row>
    <row r="698">
      <c r="A698" s="128"/>
      <c r="B698" s="83"/>
      <c r="C698" s="83"/>
      <c r="D698" s="83"/>
      <c r="E698" s="102"/>
      <c r="F698" s="102"/>
      <c r="G698" s="88"/>
      <c r="H698" s="88"/>
      <c r="I698" s="87"/>
      <c r="J698" s="87"/>
      <c r="K698" s="88"/>
      <c r="L698" s="90"/>
    </row>
    <row r="699">
      <c r="A699" s="128"/>
      <c r="B699" s="83"/>
      <c r="C699" s="83"/>
      <c r="D699" s="83"/>
      <c r="E699" s="102"/>
      <c r="F699" s="102"/>
      <c r="G699" s="88"/>
      <c r="H699" s="88"/>
      <c r="I699" s="87"/>
      <c r="J699" s="87"/>
      <c r="K699" s="88"/>
      <c r="L699" s="90"/>
    </row>
    <row r="700">
      <c r="A700" s="128"/>
      <c r="B700" s="83"/>
      <c r="C700" s="83"/>
      <c r="D700" s="83"/>
      <c r="E700" s="102"/>
      <c r="F700" s="102"/>
      <c r="G700" s="88"/>
      <c r="H700" s="88"/>
      <c r="I700" s="87"/>
      <c r="J700" s="87"/>
      <c r="K700" s="88"/>
      <c r="L700" s="90"/>
    </row>
    <row r="701">
      <c r="A701" s="128"/>
      <c r="B701" s="83"/>
      <c r="C701" s="83"/>
      <c r="D701" s="83"/>
      <c r="E701" s="102"/>
      <c r="F701" s="102"/>
      <c r="G701" s="88"/>
      <c r="H701" s="88"/>
      <c r="I701" s="87"/>
      <c r="J701" s="87"/>
      <c r="K701" s="88"/>
      <c r="L701" s="90"/>
    </row>
    <row r="702">
      <c r="A702" s="128"/>
      <c r="B702" s="83"/>
      <c r="C702" s="83"/>
      <c r="D702" s="83"/>
      <c r="E702" s="102"/>
      <c r="F702" s="102"/>
      <c r="G702" s="88"/>
      <c r="H702" s="88"/>
      <c r="I702" s="87"/>
      <c r="J702" s="87"/>
      <c r="K702" s="88"/>
      <c r="L702" s="90"/>
    </row>
    <row r="703">
      <c r="A703" s="128"/>
      <c r="B703" s="83"/>
      <c r="C703" s="83"/>
      <c r="D703" s="83"/>
      <c r="E703" s="102"/>
      <c r="F703" s="102"/>
      <c r="G703" s="88"/>
      <c r="H703" s="88"/>
      <c r="I703" s="87"/>
      <c r="J703" s="87"/>
      <c r="K703" s="88"/>
      <c r="L703" s="90"/>
    </row>
    <row r="704">
      <c r="A704" s="128"/>
      <c r="B704" s="83"/>
      <c r="C704" s="83"/>
      <c r="D704" s="83"/>
      <c r="E704" s="102"/>
      <c r="F704" s="102"/>
      <c r="G704" s="88"/>
      <c r="H704" s="88"/>
      <c r="I704" s="87"/>
      <c r="J704" s="87"/>
      <c r="K704" s="88"/>
      <c r="L704" s="90"/>
    </row>
    <row r="705">
      <c r="A705" s="128"/>
      <c r="B705" s="83"/>
      <c r="C705" s="83"/>
      <c r="D705" s="83"/>
      <c r="E705" s="102"/>
      <c r="F705" s="102"/>
      <c r="G705" s="88"/>
      <c r="H705" s="88"/>
      <c r="I705" s="87"/>
      <c r="J705" s="87"/>
      <c r="K705" s="88"/>
      <c r="L705" s="90"/>
    </row>
    <row r="706">
      <c r="A706" s="128"/>
      <c r="B706" s="83"/>
      <c r="C706" s="83"/>
      <c r="D706" s="83"/>
      <c r="E706" s="102"/>
      <c r="F706" s="102"/>
      <c r="G706" s="88"/>
      <c r="H706" s="88"/>
      <c r="I706" s="87"/>
      <c r="J706" s="87"/>
      <c r="K706" s="88"/>
      <c r="L706" s="90"/>
    </row>
    <row r="707">
      <c r="A707" s="128"/>
      <c r="B707" s="83"/>
      <c r="C707" s="83"/>
      <c r="D707" s="83"/>
      <c r="E707" s="102"/>
      <c r="F707" s="102"/>
      <c r="G707" s="88"/>
      <c r="H707" s="88"/>
      <c r="I707" s="87"/>
      <c r="J707" s="87"/>
      <c r="K707" s="88"/>
      <c r="L707" s="90"/>
    </row>
    <row r="708">
      <c r="A708" s="128"/>
      <c r="B708" s="83"/>
      <c r="C708" s="83"/>
      <c r="D708" s="83"/>
      <c r="E708" s="102"/>
      <c r="F708" s="102"/>
      <c r="G708" s="88"/>
      <c r="H708" s="88"/>
      <c r="I708" s="87"/>
      <c r="J708" s="87"/>
      <c r="K708" s="88"/>
      <c r="L708" s="90"/>
    </row>
    <row r="709">
      <c r="A709" s="128"/>
      <c r="B709" s="83"/>
      <c r="C709" s="83"/>
      <c r="D709" s="83"/>
      <c r="E709" s="102"/>
      <c r="F709" s="102"/>
      <c r="G709" s="88"/>
      <c r="H709" s="88"/>
      <c r="I709" s="87"/>
      <c r="J709" s="87"/>
      <c r="K709" s="88"/>
      <c r="L709" s="90"/>
    </row>
    <row r="710">
      <c r="A710" s="128"/>
      <c r="B710" s="83"/>
      <c r="C710" s="83"/>
      <c r="D710" s="83"/>
      <c r="E710" s="102"/>
      <c r="F710" s="102"/>
      <c r="G710" s="88"/>
      <c r="H710" s="88"/>
      <c r="I710" s="87"/>
      <c r="J710" s="87"/>
      <c r="K710" s="88"/>
      <c r="L710" s="90"/>
    </row>
    <row r="711">
      <c r="A711" s="128"/>
      <c r="B711" s="83"/>
      <c r="C711" s="83"/>
      <c r="D711" s="83"/>
      <c r="E711" s="102"/>
      <c r="F711" s="102"/>
      <c r="G711" s="88"/>
      <c r="H711" s="88"/>
      <c r="I711" s="87"/>
      <c r="J711" s="87"/>
      <c r="K711" s="88"/>
      <c r="L711" s="90"/>
    </row>
    <row r="712">
      <c r="A712" s="128"/>
      <c r="B712" s="83"/>
      <c r="C712" s="83"/>
      <c r="D712" s="83"/>
      <c r="E712" s="102"/>
      <c r="F712" s="102"/>
      <c r="G712" s="88"/>
      <c r="H712" s="88"/>
      <c r="I712" s="87"/>
      <c r="J712" s="87"/>
      <c r="K712" s="88"/>
      <c r="L712" s="90"/>
    </row>
    <row r="713">
      <c r="A713" s="128"/>
      <c r="B713" s="83"/>
      <c r="C713" s="83"/>
      <c r="D713" s="83"/>
      <c r="E713" s="102"/>
      <c r="F713" s="102"/>
      <c r="G713" s="88"/>
      <c r="H713" s="88"/>
      <c r="I713" s="87"/>
      <c r="J713" s="87"/>
      <c r="K713" s="88"/>
      <c r="L713" s="90"/>
    </row>
    <row r="714">
      <c r="A714" s="128"/>
      <c r="B714" s="83"/>
      <c r="C714" s="83"/>
      <c r="D714" s="83"/>
      <c r="E714" s="102"/>
      <c r="F714" s="102"/>
      <c r="G714" s="88"/>
      <c r="H714" s="88"/>
      <c r="I714" s="87"/>
      <c r="J714" s="87"/>
      <c r="K714" s="88"/>
      <c r="L714" s="90"/>
    </row>
    <row r="715">
      <c r="A715" s="128"/>
      <c r="B715" s="83"/>
      <c r="C715" s="83"/>
      <c r="D715" s="83"/>
      <c r="E715" s="102"/>
      <c r="F715" s="102"/>
      <c r="G715" s="88"/>
      <c r="H715" s="88"/>
      <c r="I715" s="87"/>
      <c r="J715" s="87"/>
      <c r="K715" s="88"/>
      <c r="L715" s="90"/>
    </row>
    <row r="716">
      <c r="A716" s="128"/>
      <c r="B716" s="83"/>
      <c r="C716" s="83"/>
      <c r="D716" s="83"/>
      <c r="E716" s="102"/>
      <c r="F716" s="102"/>
      <c r="G716" s="88"/>
      <c r="H716" s="88"/>
      <c r="I716" s="87"/>
      <c r="J716" s="87"/>
      <c r="K716" s="88"/>
      <c r="L716" s="90"/>
    </row>
    <row r="717">
      <c r="A717" s="128"/>
      <c r="B717" s="83"/>
      <c r="C717" s="83"/>
      <c r="D717" s="83"/>
      <c r="E717" s="102"/>
      <c r="F717" s="102"/>
      <c r="G717" s="88"/>
      <c r="H717" s="88"/>
      <c r="I717" s="87"/>
      <c r="J717" s="87"/>
      <c r="K717" s="88"/>
      <c r="L717" s="90"/>
    </row>
    <row r="718">
      <c r="A718" s="128"/>
      <c r="B718" s="83"/>
      <c r="C718" s="83"/>
      <c r="D718" s="83"/>
      <c r="E718" s="102"/>
      <c r="F718" s="102"/>
      <c r="G718" s="88"/>
      <c r="H718" s="88"/>
      <c r="I718" s="87"/>
      <c r="J718" s="87"/>
      <c r="K718" s="88"/>
      <c r="L718" s="90"/>
    </row>
    <row r="719">
      <c r="A719" s="128"/>
      <c r="B719" s="83"/>
      <c r="C719" s="83"/>
      <c r="D719" s="83"/>
      <c r="E719" s="102"/>
      <c r="F719" s="102"/>
      <c r="G719" s="88"/>
      <c r="H719" s="88"/>
      <c r="I719" s="87"/>
      <c r="J719" s="87"/>
      <c r="K719" s="88"/>
      <c r="L719" s="90"/>
    </row>
    <row r="720">
      <c r="A720" s="128"/>
      <c r="B720" s="83"/>
      <c r="C720" s="83"/>
      <c r="D720" s="83"/>
      <c r="E720" s="102"/>
      <c r="F720" s="102"/>
      <c r="G720" s="88"/>
      <c r="H720" s="88"/>
      <c r="I720" s="87"/>
      <c r="J720" s="87"/>
      <c r="K720" s="88"/>
      <c r="L720" s="90"/>
    </row>
    <row r="721">
      <c r="A721" s="128"/>
      <c r="B721" s="83"/>
      <c r="C721" s="83"/>
      <c r="D721" s="83"/>
      <c r="E721" s="102"/>
      <c r="F721" s="102"/>
      <c r="G721" s="88"/>
      <c r="H721" s="88"/>
      <c r="I721" s="87"/>
      <c r="J721" s="87"/>
      <c r="K721" s="88"/>
      <c r="L721" s="90"/>
    </row>
    <row r="722">
      <c r="A722" s="128"/>
      <c r="B722" s="83"/>
      <c r="C722" s="83"/>
      <c r="D722" s="83"/>
      <c r="E722" s="102"/>
      <c r="F722" s="102"/>
      <c r="G722" s="88"/>
      <c r="H722" s="88"/>
      <c r="I722" s="87"/>
      <c r="J722" s="87"/>
      <c r="K722" s="88"/>
      <c r="L722" s="90"/>
    </row>
    <row r="723">
      <c r="A723" s="128"/>
      <c r="B723" s="83"/>
      <c r="C723" s="83"/>
      <c r="D723" s="83"/>
      <c r="E723" s="102"/>
      <c r="F723" s="102"/>
      <c r="G723" s="88"/>
      <c r="H723" s="88"/>
      <c r="I723" s="87"/>
      <c r="J723" s="87"/>
      <c r="K723" s="88"/>
      <c r="L723" s="90"/>
    </row>
    <row r="724">
      <c r="A724" s="128"/>
      <c r="B724" s="83"/>
      <c r="C724" s="83"/>
      <c r="D724" s="83"/>
      <c r="E724" s="102"/>
      <c r="F724" s="102"/>
      <c r="G724" s="88"/>
      <c r="H724" s="88"/>
      <c r="I724" s="87"/>
      <c r="J724" s="87"/>
      <c r="K724" s="88"/>
      <c r="L724" s="90"/>
    </row>
    <row r="725">
      <c r="A725" s="128"/>
      <c r="B725" s="83"/>
      <c r="C725" s="83"/>
      <c r="D725" s="83"/>
      <c r="E725" s="102"/>
      <c r="F725" s="102"/>
      <c r="G725" s="88"/>
      <c r="H725" s="88"/>
      <c r="I725" s="87"/>
      <c r="J725" s="87"/>
      <c r="K725" s="88"/>
      <c r="L725" s="90"/>
    </row>
    <row r="726">
      <c r="A726" s="128"/>
      <c r="B726" s="83"/>
      <c r="C726" s="83"/>
      <c r="D726" s="83"/>
      <c r="E726" s="102"/>
      <c r="F726" s="102"/>
      <c r="G726" s="88"/>
      <c r="H726" s="88"/>
      <c r="I726" s="87"/>
      <c r="J726" s="87"/>
      <c r="K726" s="88"/>
      <c r="L726" s="90"/>
    </row>
    <row r="727">
      <c r="A727" s="128"/>
      <c r="B727" s="83"/>
      <c r="C727" s="83"/>
      <c r="D727" s="83"/>
      <c r="E727" s="102"/>
      <c r="F727" s="102"/>
      <c r="G727" s="88"/>
      <c r="H727" s="88"/>
      <c r="I727" s="87"/>
      <c r="J727" s="87"/>
      <c r="K727" s="88"/>
      <c r="L727" s="90"/>
    </row>
    <row r="728">
      <c r="A728" s="128"/>
      <c r="B728" s="83"/>
      <c r="C728" s="83"/>
      <c r="D728" s="83"/>
      <c r="E728" s="102"/>
      <c r="F728" s="102"/>
      <c r="G728" s="88"/>
      <c r="H728" s="88"/>
      <c r="I728" s="87"/>
      <c r="J728" s="87"/>
      <c r="K728" s="88"/>
      <c r="L728" s="90"/>
    </row>
    <row r="729">
      <c r="A729" s="128"/>
      <c r="B729" s="83"/>
      <c r="C729" s="83"/>
      <c r="D729" s="83"/>
      <c r="E729" s="102"/>
      <c r="F729" s="102"/>
      <c r="G729" s="88"/>
      <c r="H729" s="88"/>
      <c r="I729" s="87"/>
      <c r="J729" s="87"/>
      <c r="K729" s="88"/>
      <c r="L729" s="90"/>
    </row>
    <row r="730">
      <c r="A730" s="128"/>
      <c r="B730" s="83"/>
      <c r="C730" s="83"/>
      <c r="D730" s="83"/>
      <c r="E730" s="102"/>
      <c r="F730" s="102"/>
      <c r="G730" s="88"/>
      <c r="H730" s="88"/>
      <c r="I730" s="87"/>
      <c r="J730" s="87"/>
      <c r="K730" s="88"/>
      <c r="L730" s="90"/>
    </row>
    <row r="731">
      <c r="A731" s="128"/>
      <c r="B731" s="83"/>
      <c r="C731" s="83"/>
      <c r="D731" s="83"/>
      <c r="E731" s="102"/>
      <c r="F731" s="102"/>
      <c r="G731" s="88"/>
      <c r="H731" s="88"/>
      <c r="I731" s="87"/>
      <c r="J731" s="87"/>
      <c r="K731" s="88"/>
      <c r="L731" s="90"/>
    </row>
    <row r="732">
      <c r="A732" s="128"/>
      <c r="B732" s="83"/>
      <c r="C732" s="83"/>
      <c r="D732" s="83"/>
      <c r="E732" s="102"/>
      <c r="F732" s="102"/>
      <c r="G732" s="88"/>
      <c r="H732" s="88"/>
      <c r="I732" s="87"/>
      <c r="J732" s="87"/>
      <c r="K732" s="88"/>
      <c r="L732" s="90"/>
    </row>
    <row r="733">
      <c r="A733" s="128"/>
      <c r="B733" s="83"/>
      <c r="C733" s="83"/>
      <c r="D733" s="83"/>
      <c r="E733" s="102"/>
      <c r="F733" s="102"/>
      <c r="G733" s="88"/>
      <c r="H733" s="88"/>
      <c r="I733" s="87"/>
      <c r="J733" s="87"/>
      <c r="K733" s="88"/>
      <c r="L733" s="90"/>
    </row>
    <row r="734">
      <c r="A734" s="128"/>
      <c r="B734" s="83"/>
      <c r="C734" s="83"/>
      <c r="D734" s="83"/>
      <c r="E734" s="102"/>
      <c r="F734" s="102"/>
      <c r="G734" s="88"/>
      <c r="H734" s="88"/>
      <c r="I734" s="87"/>
      <c r="J734" s="87"/>
      <c r="K734" s="88"/>
      <c r="L734" s="90"/>
    </row>
    <row r="735">
      <c r="A735" s="128"/>
      <c r="B735" s="83"/>
      <c r="C735" s="83"/>
      <c r="D735" s="83"/>
      <c r="E735" s="102"/>
      <c r="F735" s="102"/>
      <c r="G735" s="88"/>
      <c r="H735" s="88"/>
      <c r="I735" s="87"/>
      <c r="J735" s="87"/>
      <c r="K735" s="88"/>
      <c r="L735" s="90"/>
    </row>
    <row r="736">
      <c r="A736" s="128"/>
      <c r="B736" s="83"/>
      <c r="C736" s="83"/>
      <c r="D736" s="83"/>
      <c r="E736" s="102"/>
      <c r="F736" s="102"/>
      <c r="G736" s="88"/>
      <c r="H736" s="88"/>
      <c r="I736" s="87"/>
      <c r="J736" s="87"/>
      <c r="K736" s="88"/>
      <c r="L736" s="90"/>
    </row>
    <row r="737">
      <c r="A737" s="128"/>
      <c r="B737" s="83"/>
      <c r="C737" s="83"/>
      <c r="D737" s="83"/>
      <c r="E737" s="102"/>
      <c r="F737" s="102"/>
      <c r="G737" s="88"/>
      <c r="H737" s="88"/>
      <c r="I737" s="87"/>
      <c r="J737" s="87"/>
      <c r="K737" s="88"/>
      <c r="L737" s="90"/>
    </row>
    <row r="738">
      <c r="A738" s="128"/>
      <c r="B738" s="83"/>
      <c r="C738" s="83"/>
      <c r="D738" s="83"/>
      <c r="E738" s="102"/>
      <c r="F738" s="102"/>
      <c r="G738" s="88"/>
      <c r="H738" s="88"/>
      <c r="I738" s="87"/>
      <c r="J738" s="87"/>
      <c r="K738" s="88"/>
      <c r="L738" s="90"/>
    </row>
    <row r="739">
      <c r="A739" s="128"/>
      <c r="B739" s="83"/>
      <c r="C739" s="83"/>
      <c r="D739" s="83"/>
      <c r="E739" s="102"/>
      <c r="F739" s="102"/>
      <c r="G739" s="88"/>
      <c r="H739" s="88"/>
      <c r="I739" s="87"/>
      <c r="J739" s="87"/>
      <c r="K739" s="88"/>
      <c r="L739" s="90"/>
    </row>
    <row r="740">
      <c r="A740" s="128"/>
      <c r="B740" s="83"/>
      <c r="C740" s="83"/>
      <c r="D740" s="83"/>
      <c r="E740" s="102"/>
      <c r="F740" s="102"/>
      <c r="G740" s="88"/>
      <c r="H740" s="88"/>
      <c r="I740" s="87"/>
      <c r="J740" s="87"/>
      <c r="K740" s="88"/>
      <c r="L740" s="90"/>
    </row>
    <row r="741">
      <c r="A741" s="128"/>
      <c r="B741" s="83"/>
      <c r="C741" s="83"/>
      <c r="D741" s="83"/>
      <c r="E741" s="102"/>
      <c r="F741" s="102"/>
      <c r="G741" s="88"/>
      <c r="H741" s="88"/>
      <c r="I741" s="87"/>
      <c r="J741" s="87"/>
      <c r="K741" s="88"/>
      <c r="L741" s="90"/>
    </row>
    <row r="742">
      <c r="A742" s="128"/>
      <c r="B742" s="83"/>
      <c r="C742" s="83"/>
      <c r="D742" s="83"/>
      <c r="E742" s="102"/>
      <c r="F742" s="102"/>
      <c r="G742" s="88"/>
      <c r="H742" s="88"/>
      <c r="I742" s="87"/>
      <c r="J742" s="87"/>
      <c r="K742" s="88"/>
      <c r="L742" s="90"/>
    </row>
    <row r="743">
      <c r="A743" s="128"/>
      <c r="B743" s="83"/>
      <c r="C743" s="83"/>
      <c r="D743" s="83"/>
      <c r="E743" s="102"/>
      <c r="F743" s="102"/>
      <c r="G743" s="88"/>
      <c r="H743" s="88"/>
      <c r="I743" s="87"/>
      <c r="J743" s="87"/>
      <c r="K743" s="88"/>
      <c r="L743" s="90"/>
    </row>
    <row r="744">
      <c r="A744" s="128"/>
      <c r="B744" s="83"/>
      <c r="C744" s="83"/>
      <c r="D744" s="83"/>
      <c r="E744" s="102"/>
      <c r="F744" s="102"/>
      <c r="G744" s="88"/>
      <c r="H744" s="88"/>
      <c r="I744" s="87"/>
      <c r="J744" s="87"/>
      <c r="K744" s="88"/>
      <c r="L744" s="90"/>
    </row>
    <row r="745">
      <c r="A745" s="128"/>
      <c r="B745" s="83"/>
      <c r="C745" s="83"/>
      <c r="D745" s="83"/>
      <c r="E745" s="102"/>
      <c r="F745" s="102"/>
      <c r="G745" s="88"/>
      <c r="H745" s="88"/>
      <c r="I745" s="87"/>
      <c r="J745" s="87"/>
      <c r="K745" s="88"/>
      <c r="L745" s="90"/>
    </row>
    <row r="746">
      <c r="A746" s="128"/>
      <c r="B746" s="83"/>
      <c r="C746" s="83"/>
      <c r="D746" s="83"/>
      <c r="E746" s="102"/>
      <c r="F746" s="102"/>
      <c r="G746" s="88"/>
      <c r="H746" s="88"/>
      <c r="I746" s="87"/>
      <c r="J746" s="87"/>
      <c r="K746" s="88"/>
      <c r="L746" s="90"/>
    </row>
    <row r="747">
      <c r="A747" s="128"/>
      <c r="B747" s="83"/>
      <c r="C747" s="83"/>
      <c r="D747" s="83"/>
      <c r="E747" s="102"/>
      <c r="F747" s="102"/>
      <c r="G747" s="88"/>
      <c r="H747" s="88"/>
      <c r="I747" s="87"/>
      <c r="J747" s="87"/>
      <c r="K747" s="88"/>
      <c r="L747" s="90"/>
    </row>
    <row r="748">
      <c r="A748" s="128"/>
      <c r="B748" s="83"/>
      <c r="C748" s="83"/>
      <c r="D748" s="83"/>
      <c r="E748" s="102"/>
      <c r="F748" s="102"/>
      <c r="G748" s="88"/>
      <c r="H748" s="88"/>
      <c r="I748" s="87"/>
      <c r="J748" s="87"/>
      <c r="K748" s="88"/>
      <c r="L748" s="90"/>
    </row>
    <row r="749">
      <c r="A749" s="128"/>
      <c r="B749" s="83"/>
      <c r="C749" s="83"/>
      <c r="D749" s="83"/>
      <c r="E749" s="102"/>
      <c r="F749" s="102"/>
      <c r="G749" s="88"/>
      <c r="H749" s="88"/>
      <c r="I749" s="87"/>
      <c r="J749" s="87"/>
      <c r="K749" s="88"/>
      <c r="L749" s="90"/>
    </row>
    <row r="750">
      <c r="A750" s="128"/>
      <c r="B750" s="83"/>
      <c r="C750" s="83"/>
      <c r="D750" s="83"/>
      <c r="E750" s="102"/>
      <c r="F750" s="102"/>
      <c r="G750" s="88"/>
      <c r="H750" s="88"/>
      <c r="I750" s="87"/>
      <c r="J750" s="87"/>
      <c r="K750" s="88"/>
      <c r="L750" s="90"/>
    </row>
    <row r="751">
      <c r="A751" s="128"/>
      <c r="B751" s="83"/>
      <c r="C751" s="83"/>
      <c r="D751" s="83"/>
      <c r="E751" s="102"/>
      <c r="F751" s="102"/>
      <c r="G751" s="88"/>
      <c r="H751" s="88"/>
      <c r="I751" s="87"/>
      <c r="J751" s="87"/>
      <c r="K751" s="88"/>
      <c r="L751" s="90"/>
    </row>
    <row r="752">
      <c r="A752" s="128"/>
      <c r="B752" s="83"/>
      <c r="C752" s="83"/>
      <c r="D752" s="83"/>
      <c r="E752" s="102"/>
      <c r="F752" s="102"/>
      <c r="G752" s="88"/>
      <c r="H752" s="88"/>
      <c r="I752" s="87"/>
      <c r="J752" s="87"/>
      <c r="K752" s="88"/>
      <c r="L752" s="90"/>
    </row>
    <row r="753">
      <c r="A753" s="128"/>
      <c r="B753" s="83"/>
      <c r="C753" s="83"/>
      <c r="D753" s="83"/>
      <c r="E753" s="102"/>
      <c r="F753" s="102"/>
      <c r="G753" s="88"/>
      <c r="H753" s="88"/>
      <c r="I753" s="87"/>
      <c r="J753" s="87"/>
      <c r="K753" s="88"/>
      <c r="L753" s="90"/>
    </row>
    <row r="754">
      <c r="A754" s="128"/>
      <c r="B754" s="83"/>
      <c r="C754" s="83"/>
      <c r="D754" s="83"/>
      <c r="E754" s="102"/>
      <c r="F754" s="102"/>
      <c r="G754" s="88"/>
      <c r="H754" s="88"/>
      <c r="I754" s="87"/>
      <c r="J754" s="87"/>
      <c r="K754" s="88"/>
      <c r="L754" s="90"/>
    </row>
    <row r="755">
      <c r="A755" s="128"/>
      <c r="B755" s="83"/>
      <c r="C755" s="83"/>
      <c r="D755" s="83"/>
      <c r="E755" s="102"/>
      <c r="F755" s="102"/>
      <c r="G755" s="88"/>
      <c r="H755" s="88"/>
      <c r="I755" s="87"/>
      <c r="J755" s="87"/>
      <c r="K755" s="88"/>
      <c r="L755" s="90"/>
    </row>
    <row r="756">
      <c r="A756" s="128"/>
      <c r="B756" s="83"/>
      <c r="C756" s="83"/>
      <c r="D756" s="83"/>
      <c r="E756" s="102"/>
      <c r="F756" s="102"/>
      <c r="G756" s="88"/>
      <c r="H756" s="88"/>
      <c r="I756" s="87"/>
      <c r="J756" s="87"/>
      <c r="K756" s="88"/>
      <c r="L756" s="90"/>
    </row>
    <row r="757">
      <c r="A757" s="128"/>
      <c r="B757" s="83"/>
      <c r="C757" s="83"/>
      <c r="D757" s="83"/>
      <c r="E757" s="102"/>
      <c r="F757" s="102"/>
      <c r="G757" s="88"/>
      <c r="H757" s="88"/>
      <c r="I757" s="87"/>
      <c r="J757" s="87"/>
      <c r="K757" s="88"/>
      <c r="L757" s="90"/>
    </row>
    <row r="758">
      <c r="A758" s="128"/>
      <c r="B758" s="83"/>
      <c r="C758" s="83"/>
      <c r="D758" s="83"/>
      <c r="E758" s="102"/>
      <c r="F758" s="102"/>
      <c r="G758" s="88"/>
      <c r="H758" s="88"/>
      <c r="I758" s="87"/>
      <c r="J758" s="87"/>
      <c r="K758" s="88"/>
      <c r="L758" s="90"/>
    </row>
    <row r="759">
      <c r="A759" s="128"/>
      <c r="B759" s="83"/>
      <c r="C759" s="83"/>
      <c r="D759" s="83"/>
      <c r="E759" s="102"/>
      <c r="F759" s="102"/>
      <c r="G759" s="88"/>
      <c r="H759" s="88"/>
      <c r="I759" s="87"/>
      <c r="J759" s="87"/>
      <c r="K759" s="88"/>
      <c r="L759" s="90"/>
    </row>
    <row r="760">
      <c r="A760" s="128"/>
      <c r="B760" s="83"/>
      <c r="C760" s="83"/>
      <c r="D760" s="83"/>
      <c r="E760" s="102"/>
      <c r="F760" s="102"/>
      <c r="G760" s="88"/>
      <c r="H760" s="88"/>
      <c r="I760" s="87"/>
      <c r="J760" s="87"/>
      <c r="K760" s="88"/>
      <c r="L760" s="90"/>
    </row>
    <row r="761">
      <c r="A761" s="128"/>
      <c r="B761" s="83"/>
      <c r="C761" s="83"/>
      <c r="D761" s="83"/>
      <c r="E761" s="102"/>
      <c r="F761" s="102"/>
      <c r="G761" s="88"/>
      <c r="H761" s="88"/>
      <c r="I761" s="87"/>
      <c r="J761" s="87"/>
      <c r="K761" s="88"/>
      <c r="L761" s="90"/>
    </row>
    <row r="762">
      <c r="A762" s="128"/>
      <c r="B762" s="83"/>
      <c r="C762" s="83"/>
      <c r="D762" s="83"/>
      <c r="E762" s="102"/>
      <c r="F762" s="102"/>
      <c r="G762" s="88"/>
      <c r="H762" s="88"/>
      <c r="I762" s="87"/>
      <c r="J762" s="87"/>
      <c r="K762" s="88"/>
      <c r="L762" s="90"/>
    </row>
    <row r="763">
      <c r="A763" s="128"/>
      <c r="B763" s="83"/>
      <c r="C763" s="83"/>
      <c r="D763" s="83"/>
      <c r="E763" s="102"/>
      <c r="F763" s="102"/>
      <c r="G763" s="88"/>
      <c r="H763" s="88"/>
      <c r="I763" s="87"/>
      <c r="J763" s="87"/>
      <c r="K763" s="88"/>
      <c r="L763" s="90"/>
    </row>
    <row r="764">
      <c r="A764" s="128"/>
      <c r="B764" s="83"/>
      <c r="C764" s="83"/>
      <c r="D764" s="83"/>
      <c r="E764" s="102"/>
      <c r="F764" s="102"/>
      <c r="G764" s="88"/>
      <c r="H764" s="88"/>
      <c r="I764" s="87"/>
      <c r="J764" s="87"/>
      <c r="K764" s="88"/>
      <c r="L764" s="90"/>
    </row>
    <row r="765">
      <c r="A765" s="128"/>
      <c r="B765" s="83"/>
      <c r="C765" s="83"/>
      <c r="D765" s="83"/>
      <c r="E765" s="102"/>
      <c r="F765" s="102"/>
      <c r="G765" s="88"/>
      <c r="H765" s="88"/>
      <c r="I765" s="87"/>
      <c r="J765" s="87"/>
      <c r="K765" s="88"/>
      <c r="L765" s="90"/>
    </row>
    <row r="766">
      <c r="A766" s="128"/>
      <c r="B766" s="83"/>
      <c r="C766" s="83"/>
      <c r="D766" s="83"/>
      <c r="E766" s="102"/>
      <c r="F766" s="102"/>
      <c r="G766" s="88"/>
      <c r="H766" s="88"/>
      <c r="I766" s="87"/>
      <c r="J766" s="87"/>
      <c r="K766" s="88"/>
      <c r="L766" s="90"/>
    </row>
    <row r="767">
      <c r="A767" s="128"/>
      <c r="B767" s="83"/>
      <c r="C767" s="83"/>
      <c r="D767" s="83"/>
      <c r="E767" s="102"/>
      <c r="F767" s="102"/>
      <c r="G767" s="88"/>
      <c r="H767" s="88"/>
      <c r="I767" s="87"/>
      <c r="J767" s="87"/>
      <c r="K767" s="88"/>
      <c r="L767" s="90"/>
    </row>
    <row r="768">
      <c r="A768" s="128"/>
      <c r="B768" s="83"/>
      <c r="C768" s="83"/>
      <c r="D768" s="83"/>
      <c r="E768" s="102"/>
      <c r="F768" s="102"/>
      <c r="G768" s="88"/>
      <c r="H768" s="88"/>
      <c r="I768" s="87"/>
      <c r="J768" s="87"/>
      <c r="K768" s="88"/>
      <c r="L768" s="90"/>
    </row>
    <row r="769">
      <c r="A769" s="128"/>
      <c r="B769" s="83"/>
      <c r="C769" s="83"/>
      <c r="D769" s="83"/>
      <c r="E769" s="102"/>
      <c r="F769" s="102"/>
      <c r="G769" s="88"/>
      <c r="H769" s="88"/>
      <c r="I769" s="87"/>
      <c r="J769" s="87"/>
      <c r="K769" s="88"/>
      <c r="L769" s="90"/>
    </row>
    <row r="770">
      <c r="A770" s="128"/>
      <c r="B770" s="83"/>
      <c r="C770" s="83"/>
      <c r="D770" s="83"/>
      <c r="E770" s="102"/>
      <c r="F770" s="102"/>
      <c r="G770" s="88"/>
      <c r="H770" s="88"/>
      <c r="I770" s="87"/>
      <c r="J770" s="87"/>
      <c r="K770" s="88"/>
      <c r="L770" s="90"/>
    </row>
    <row r="771">
      <c r="A771" s="128"/>
      <c r="B771" s="83"/>
      <c r="C771" s="83"/>
      <c r="D771" s="83"/>
      <c r="E771" s="102"/>
      <c r="F771" s="102"/>
      <c r="G771" s="88"/>
      <c r="H771" s="88"/>
      <c r="I771" s="87"/>
      <c r="J771" s="87"/>
      <c r="K771" s="88"/>
      <c r="L771" s="90"/>
    </row>
    <row r="772">
      <c r="A772" s="128"/>
      <c r="B772" s="83"/>
      <c r="C772" s="83"/>
      <c r="D772" s="83"/>
      <c r="E772" s="102"/>
      <c r="F772" s="102"/>
      <c r="G772" s="88"/>
      <c r="H772" s="88"/>
      <c r="I772" s="87"/>
      <c r="J772" s="87"/>
      <c r="K772" s="88"/>
      <c r="L772" s="90"/>
    </row>
    <row r="773">
      <c r="A773" s="128"/>
      <c r="B773" s="83"/>
      <c r="C773" s="83"/>
      <c r="D773" s="83"/>
      <c r="E773" s="102"/>
      <c r="F773" s="102"/>
      <c r="G773" s="88"/>
      <c r="H773" s="88"/>
      <c r="I773" s="87"/>
      <c r="J773" s="87"/>
      <c r="K773" s="88"/>
      <c r="L773" s="90"/>
    </row>
    <row r="774">
      <c r="A774" s="128"/>
      <c r="B774" s="83"/>
      <c r="C774" s="83"/>
      <c r="D774" s="83"/>
      <c r="E774" s="102"/>
      <c r="F774" s="102"/>
      <c r="G774" s="88"/>
      <c r="H774" s="88"/>
      <c r="I774" s="87"/>
      <c r="J774" s="87"/>
      <c r="K774" s="88"/>
      <c r="L774" s="90"/>
    </row>
    <row r="775">
      <c r="A775" s="128"/>
      <c r="B775" s="83"/>
      <c r="C775" s="83"/>
      <c r="D775" s="83"/>
      <c r="E775" s="102"/>
      <c r="F775" s="102"/>
      <c r="G775" s="88"/>
      <c r="H775" s="88"/>
      <c r="I775" s="87"/>
      <c r="J775" s="87"/>
      <c r="K775" s="88"/>
      <c r="L775" s="90"/>
    </row>
    <row r="776">
      <c r="A776" s="128"/>
      <c r="B776" s="83"/>
      <c r="C776" s="83"/>
      <c r="D776" s="83"/>
      <c r="E776" s="102"/>
      <c r="F776" s="102"/>
      <c r="G776" s="88"/>
      <c r="H776" s="88"/>
      <c r="I776" s="87"/>
      <c r="J776" s="87"/>
      <c r="K776" s="88"/>
      <c r="L776" s="90"/>
    </row>
    <row r="777">
      <c r="A777" s="128"/>
      <c r="B777" s="83"/>
      <c r="C777" s="83"/>
      <c r="D777" s="83"/>
      <c r="E777" s="102"/>
      <c r="F777" s="102"/>
      <c r="G777" s="88"/>
      <c r="H777" s="88"/>
      <c r="I777" s="87"/>
      <c r="J777" s="87"/>
      <c r="K777" s="88"/>
      <c r="L777" s="90"/>
    </row>
    <row r="778">
      <c r="A778" s="128"/>
      <c r="B778" s="83"/>
      <c r="C778" s="83"/>
      <c r="D778" s="83"/>
      <c r="E778" s="102"/>
      <c r="F778" s="102"/>
      <c r="G778" s="88"/>
      <c r="H778" s="88"/>
      <c r="I778" s="87"/>
      <c r="J778" s="87"/>
      <c r="K778" s="88"/>
      <c r="L778" s="90"/>
    </row>
    <row r="779">
      <c r="A779" s="128"/>
      <c r="B779" s="83"/>
      <c r="C779" s="83"/>
      <c r="D779" s="83"/>
      <c r="E779" s="102"/>
      <c r="F779" s="102"/>
      <c r="G779" s="88"/>
      <c r="H779" s="88"/>
      <c r="I779" s="87"/>
      <c r="J779" s="87"/>
      <c r="K779" s="88"/>
      <c r="L779" s="90"/>
    </row>
    <row r="780">
      <c r="A780" s="128"/>
      <c r="B780" s="83"/>
      <c r="C780" s="83"/>
      <c r="D780" s="83"/>
      <c r="E780" s="102"/>
      <c r="F780" s="102"/>
      <c r="G780" s="88"/>
      <c r="H780" s="88"/>
      <c r="I780" s="87"/>
      <c r="J780" s="87"/>
      <c r="K780" s="88"/>
      <c r="L780" s="90"/>
    </row>
    <row r="781">
      <c r="A781" s="128"/>
      <c r="B781" s="83"/>
      <c r="C781" s="83"/>
      <c r="D781" s="83"/>
      <c r="E781" s="102"/>
      <c r="F781" s="102"/>
      <c r="G781" s="88"/>
      <c r="H781" s="88"/>
      <c r="I781" s="87"/>
      <c r="J781" s="87"/>
      <c r="K781" s="88"/>
      <c r="L781" s="90"/>
    </row>
    <row r="782">
      <c r="A782" s="128"/>
      <c r="B782" s="83"/>
      <c r="C782" s="83"/>
      <c r="D782" s="83"/>
      <c r="E782" s="102"/>
      <c r="F782" s="102"/>
      <c r="G782" s="88"/>
      <c r="H782" s="88"/>
      <c r="I782" s="87"/>
      <c r="J782" s="87"/>
      <c r="K782" s="88"/>
      <c r="L782" s="90"/>
    </row>
    <row r="783">
      <c r="A783" s="128"/>
      <c r="B783" s="83"/>
      <c r="C783" s="83"/>
      <c r="D783" s="83"/>
      <c r="E783" s="102"/>
      <c r="F783" s="102"/>
      <c r="G783" s="88"/>
      <c r="H783" s="88"/>
      <c r="I783" s="87"/>
      <c r="J783" s="87"/>
      <c r="K783" s="88"/>
      <c r="L783" s="90"/>
    </row>
    <row r="784">
      <c r="A784" s="128"/>
      <c r="B784" s="83"/>
      <c r="C784" s="83"/>
      <c r="D784" s="83"/>
      <c r="E784" s="102"/>
      <c r="F784" s="102"/>
      <c r="G784" s="88"/>
      <c r="H784" s="88"/>
      <c r="I784" s="87"/>
      <c r="J784" s="87"/>
      <c r="K784" s="88"/>
      <c r="L784" s="90"/>
    </row>
    <row r="785">
      <c r="A785" s="128"/>
      <c r="B785" s="83"/>
      <c r="C785" s="83"/>
      <c r="D785" s="83"/>
      <c r="E785" s="102"/>
      <c r="F785" s="102"/>
      <c r="G785" s="88"/>
      <c r="H785" s="88"/>
      <c r="I785" s="87"/>
      <c r="J785" s="87"/>
      <c r="K785" s="88"/>
      <c r="L785" s="90"/>
    </row>
    <row r="786">
      <c r="A786" s="128"/>
      <c r="B786" s="83"/>
      <c r="C786" s="83"/>
      <c r="D786" s="83"/>
      <c r="E786" s="102"/>
      <c r="F786" s="102"/>
      <c r="G786" s="88"/>
      <c r="H786" s="88"/>
      <c r="I786" s="87"/>
      <c r="J786" s="87"/>
      <c r="K786" s="88"/>
      <c r="L786" s="90"/>
    </row>
    <row r="787">
      <c r="A787" s="128"/>
      <c r="B787" s="83"/>
      <c r="C787" s="83"/>
      <c r="D787" s="83"/>
      <c r="E787" s="102"/>
      <c r="F787" s="102"/>
      <c r="G787" s="88"/>
      <c r="H787" s="88"/>
      <c r="I787" s="87"/>
      <c r="J787" s="87"/>
      <c r="K787" s="88"/>
      <c r="L787" s="90"/>
    </row>
    <row r="788">
      <c r="A788" s="128"/>
      <c r="B788" s="83"/>
      <c r="C788" s="83"/>
      <c r="D788" s="83"/>
      <c r="E788" s="102"/>
      <c r="F788" s="102"/>
      <c r="G788" s="88"/>
      <c r="H788" s="88"/>
      <c r="I788" s="87"/>
      <c r="J788" s="87"/>
      <c r="K788" s="88"/>
      <c r="L788" s="90"/>
    </row>
    <row r="789">
      <c r="A789" s="128"/>
      <c r="B789" s="83"/>
      <c r="C789" s="83"/>
      <c r="D789" s="83"/>
      <c r="E789" s="102"/>
      <c r="F789" s="102"/>
      <c r="G789" s="88"/>
      <c r="H789" s="88"/>
      <c r="I789" s="87"/>
      <c r="J789" s="87"/>
      <c r="K789" s="88"/>
      <c r="L789" s="90"/>
    </row>
    <row r="790">
      <c r="A790" s="128"/>
      <c r="B790" s="83"/>
      <c r="C790" s="83"/>
      <c r="D790" s="83"/>
      <c r="E790" s="102"/>
      <c r="F790" s="102"/>
      <c r="G790" s="88"/>
      <c r="H790" s="88"/>
      <c r="I790" s="87"/>
      <c r="J790" s="87"/>
      <c r="K790" s="88"/>
      <c r="L790" s="90"/>
    </row>
    <row r="791">
      <c r="A791" s="128"/>
      <c r="B791" s="83"/>
      <c r="C791" s="83"/>
      <c r="D791" s="83"/>
      <c r="E791" s="102"/>
      <c r="F791" s="102"/>
      <c r="G791" s="88"/>
      <c r="H791" s="88"/>
      <c r="I791" s="87"/>
      <c r="J791" s="87"/>
      <c r="K791" s="88"/>
      <c r="L791" s="90"/>
    </row>
    <row r="792">
      <c r="A792" s="128"/>
      <c r="B792" s="83"/>
      <c r="C792" s="83"/>
      <c r="D792" s="83"/>
      <c r="E792" s="102"/>
      <c r="F792" s="102"/>
      <c r="G792" s="88"/>
      <c r="H792" s="88"/>
      <c r="I792" s="87"/>
      <c r="J792" s="87"/>
      <c r="K792" s="88"/>
      <c r="L792" s="90"/>
    </row>
    <row r="793">
      <c r="A793" s="128"/>
      <c r="B793" s="83"/>
      <c r="C793" s="83"/>
      <c r="D793" s="83"/>
      <c r="E793" s="102"/>
      <c r="F793" s="102"/>
      <c r="G793" s="88"/>
      <c r="H793" s="88"/>
      <c r="I793" s="87"/>
      <c r="J793" s="87"/>
      <c r="K793" s="88"/>
      <c r="L793" s="90"/>
    </row>
    <row r="794">
      <c r="A794" s="128"/>
      <c r="B794" s="83"/>
      <c r="C794" s="83"/>
      <c r="D794" s="83"/>
      <c r="E794" s="102"/>
      <c r="F794" s="102"/>
      <c r="G794" s="88"/>
      <c r="H794" s="88"/>
      <c r="I794" s="87"/>
      <c r="J794" s="87"/>
      <c r="K794" s="88"/>
      <c r="L794" s="90"/>
    </row>
    <row r="795">
      <c r="A795" s="128"/>
      <c r="B795" s="83"/>
      <c r="C795" s="83"/>
      <c r="D795" s="83"/>
      <c r="E795" s="102"/>
      <c r="F795" s="102"/>
      <c r="G795" s="88"/>
      <c r="H795" s="88"/>
      <c r="I795" s="87"/>
      <c r="J795" s="87"/>
      <c r="K795" s="88"/>
      <c r="L795" s="90"/>
    </row>
    <row r="796">
      <c r="A796" s="128"/>
      <c r="B796" s="83"/>
      <c r="C796" s="83"/>
      <c r="D796" s="83"/>
      <c r="E796" s="102"/>
      <c r="F796" s="102"/>
      <c r="G796" s="88"/>
      <c r="H796" s="88"/>
      <c r="I796" s="87"/>
      <c r="J796" s="87"/>
      <c r="K796" s="88"/>
      <c r="L796" s="90"/>
    </row>
    <row r="797">
      <c r="A797" s="128"/>
      <c r="B797" s="83"/>
      <c r="C797" s="83"/>
      <c r="D797" s="83"/>
      <c r="E797" s="102"/>
      <c r="F797" s="102"/>
      <c r="G797" s="88"/>
      <c r="H797" s="88"/>
      <c r="I797" s="87"/>
      <c r="J797" s="87"/>
      <c r="K797" s="88"/>
      <c r="L797" s="90"/>
    </row>
    <row r="798">
      <c r="A798" s="128"/>
      <c r="B798" s="83"/>
      <c r="C798" s="83"/>
      <c r="D798" s="83"/>
      <c r="E798" s="102"/>
      <c r="F798" s="102"/>
      <c r="G798" s="88"/>
      <c r="H798" s="88"/>
      <c r="I798" s="87"/>
      <c r="J798" s="87"/>
      <c r="K798" s="88"/>
      <c r="L798" s="90"/>
    </row>
    <row r="799">
      <c r="A799" s="128"/>
      <c r="B799" s="83"/>
      <c r="C799" s="83"/>
      <c r="D799" s="83"/>
      <c r="E799" s="102"/>
      <c r="F799" s="102"/>
      <c r="G799" s="88"/>
      <c r="H799" s="88"/>
      <c r="I799" s="87"/>
      <c r="J799" s="87"/>
      <c r="K799" s="88"/>
      <c r="L799" s="90"/>
    </row>
    <row r="800">
      <c r="A800" s="128"/>
      <c r="B800" s="83"/>
      <c r="C800" s="83"/>
      <c r="D800" s="83"/>
      <c r="E800" s="102"/>
      <c r="F800" s="102"/>
      <c r="G800" s="88"/>
      <c r="H800" s="88"/>
      <c r="I800" s="87"/>
      <c r="J800" s="87"/>
      <c r="K800" s="88"/>
      <c r="L800" s="90"/>
    </row>
    <row r="801">
      <c r="A801" s="128"/>
      <c r="B801" s="83"/>
      <c r="C801" s="83"/>
      <c r="D801" s="83"/>
      <c r="E801" s="102"/>
      <c r="F801" s="102"/>
      <c r="G801" s="88"/>
      <c r="H801" s="88"/>
      <c r="I801" s="87"/>
      <c r="J801" s="87"/>
      <c r="K801" s="88"/>
      <c r="L801" s="90"/>
    </row>
    <row r="802">
      <c r="A802" s="128"/>
      <c r="B802" s="83"/>
      <c r="C802" s="83"/>
      <c r="D802" s="83"/>
      <c r="E802" s="102"/>
      <c r="F802" s="102"/>
      <c r="G802" s="88"/>
      <c r="H802" s="88"/>
      <c r="I802" s="87"/>
      <c r="J802" s="87"/>
      <c r="K802" s="88"/>
      <c r="L802" s="90"/>
    </row>
    <row r="803">
      <c r="A803" s="128"/>
      <c r="B803" s="83"/>
      <c r="C803" s="83"/>
      <c r="D803" s="83"/>
      <c r="E803" s="102"/>
      <c r="F803" s="102"/>
      <c r="G803" s="88"/>
      <c r="H803" s="88"/>
      <c r="I803" s="87"/>
      <c r="J803" s="87"/>
      <c r="K803" s="88"/>
      <c r="L803" s="90"/>
    </row>
    <row r="804">
      <c r="A804" s="128"/>
      <c r="B804" s="83"/>
      <c r="C804" s="83"/>
      <c r="D804" s="83"/>
      <c r="E804" s="102"/>
      <c r="F804" s="102"/>
      <c r="G804" s="88"/>
      <c r="H804" s="88"/>
      <c r="I804" s="87"/>
      <c r="J804" s="87"/>
      <c r="K804" s="88"/>
      <c r="L804" s="90"/>
    </row>
    <row r="805">
      <c r="A805" s="128"/>
      <c r="B805" s="83"/>
      <c r="C805" s="83"/>
      <c r="D805" s="83"/>
      <c r="E805" s="102"/>
      <c r="F805" s="102"/>
      <c r="G805" s="88"/>
      <c r="H805" s="88"/>
      <c r="I805" s="87"/>
      <c r="J805" s="87"/>
      <c r="K805" s="88"/>
      <c r="L805" s="90"/>
    </row>
    <row r="806">
      <c r="A806" s="128"/>
      <c r="B806" s="83"/>
      <c r="C806" s="83"/>
      <c r="D806" s="83"/>
      <c r="E806" s="102"/>
      <c r="F806" s="102"/>
      <c r="G806" s="88"/>
      <c r="H806" s="88"/>
      <c r="I806" s="87"/>
      <c r="J806" s="87"/>
      <c r="K806" s="88"/>
      <c r="L806" s="90"/>
    </row>
    <row r="807">
      <c r="A807" s="128"/>
      <c r="B807" s="83"/>
      <c r="C807" s="83"/>
      <c r="D807" s="83"/>
      <c r="E807" s="102"/>
      <c r="F807" s="102"/>
      <c r="G807" s="88"/>
      <c r="H807" s="88"/>
      <c r="I807" s="87"/>
      <c r="J807" s="87"/>
      <c r="K807" s="88"/>
      <c r="L807" s="90"/>
    </row>
    <row r="808">
      <c r="A808" s="128"/>
      <c r="B808" s="83"/>
      <c r="C808" s="83"/>
      <c r="D808" s="83"/>
      <c r="E808" s="102"/>
      <c r="F808" s="102"/>
      <c r="G808" s="88"/>
      <c r="H808" s="88"/>
      <c r="I808" s="87"/>
      <c r="J808" s="87"/>
      <c r="K808" s="88"/>
      <c r="L808" s="90"/>
    </row>
    <row r="809">
      <c r="A809" s="128"/>
      <c r="B809" s="83"/>
      <c r="C809" s="83"/>
      <c r="D809" s="83"/>
      <c r="E809" s="102"/>
      <c r="F809" s="102"/>
      <c r="G809" s="88"/>
      <c r="H809" s="88"/>
      <c r="I809" s="87"/>
      <c r="J809" s="87"/>
      <c r="K809" s="88"/>
      <c r="L809" s="90"/>
    </row>
    <row r="810">
      <c r="A810" s="128"/>
      <c r="B810" s="83"/>
      <c r="C810" s="83"/>
      <c r="D810" s="83"/>
      <c r="E810" s="102"/>
      <c r="F810" s="102"/>
      <c r="G810" s="88"/>
      <c r="H810" s="88"/>
      <c r="I810" s="87"/>
      <c r="J810" s="87"/>
      <c r="K810" s="88"/>
      <c r="L810" s="90"/>
    </row>
    <row r="811">
      <c r="A811" s="128"/>
      <c r="B811" s="83"/>
      <c r="C811" s="83"/>
      <c r="D811" s="83"/>
      <c r="E811" s="102"/>
      <c r="F811" s="102"/>
      <c r="G811" s="88"/>
      <c r="H811" s="88"/>
      <c r="I811" s="87"/>
      <c r="J811" s="87"/>
      <c r="K811" s="88"/>
      <c r="L811" s="90"/>
    </row>
    <row r="812">
      <c r="A812" s="128"/>
      <c r="B812" s="83"/>
      <c r="C812" s="83"/>
      <c r="D812" s="83"/>
      <c r="E812" s="102"/>
      <c r="F812" s="102"/>
      <c r="G812" s="88"/>
      <c r="H812" s="88"/>
      <c r="I812" s="87"/>
      <c r="J812" s="87"/>
      <c r="K812" s="88"/>
      <c r="L812" s="90"/>
    </row>
    <row r="813">
      <c r="A813" s="128"/>
      <c r="B813" s="83"/>
      <c r="C813" s="83"/>
      <c r="D813" s="83"/>
      <c r="E813" s="102"/>
      <c r="F813" s="102"/>
      <c r="G813" s="88"/>
      <c r="H813" s="88"/>
      <c r="I813" s="87"/>
      <c r="J813" s="87"/>
      <c r="K813" s="88"/>
      <c r="L813" s="90"/>
    </row>
    <row r="814">
      <c r="A814" s="128"/>
      <c r="B814" s="83"/>
      <c r="C814" s="83"/>
      <c r="D814" s="83"/>
      <c r="E814" s="102"/>
      <c r="F814" s="102"/>
      <c r="G814" s="88"/>
      <c r="H814" s="88"/>
      <c r="I814" s="87"/>
      <c r="J814" s="87"/>
      <c r="K814" s="88"/>
      <c r="L814" s="90"/>
    </row>
    <row r="815">
      <c r="A815" s="128"/>
      <c r="B815" s="83"/>
      <c r="C815" s="83"/>
      <c r="D815" s="83"/>
      <c r="E815" s="102"/>
      <c r="F815" s="102"/>
      <c r="G815" s="88"/>
      <c r="H815" s="88"/>
      <c r="I815" s="87"/>
      <c r="J815" s="87"/>
      <c r="K815" s="88"/>
      <c r="L815" s="90"/>
    </row>
    <row r="816">
      <c r="A816" s="128"/>
      <c r="B816" s="83"/>
      <c r="C816" s="83"/>
      <c r="D816" s="83"/>
      <c r="E816" s="102"/>
      <c r="F816" s="102"/>
      <c r="G816" s="88"/>
      <c r="H816" s="88"/>
      <c r="I816" s="87"/>
      <c r="J816" s="87"/>
      <c r="K816" s="88"/>
      <c r="L816" s="90"/>
    </row>
    <row r="817">
      <c r="A817" s="128"/>
      <c r="B817" s="83"/>
      <c r="C817" s="83"/>
      <c r="D817" s="83"/>
      <c r="E817" s="102"/>
      <c r="F817" s="102"/>
      <c r="G817" s="88"/>
      <c r="H817" s="88"/>
      <c r="I817" s="87"/>
      <c r="J817" s="87"/>
      <c r="K817" s="88"/>
      <c r="L817" s="90"/>
    </row>
    <row r="818">
      <c r="A818" s="128"/>
      <c r="B818" s="83"/>
      <c r="C818" s="83"/>
      <c r="D818" s="83"/>
      <c r="E818" s="102"/>
      <c r="F818" s="102"/>
      <c r="G818" s="88"/>
      <c r="H818" s="88"/>
      <c r="I818" s="87"/>
      <c r="J818" s="87"/>
      <c r="K818" s="88"/>
      <c r="L818" s="90"/>
    </row>
    <row r="819">
      <c r="A819" s="128"/>
      <c r="B819" s="83"/>
      <c r="C819" s="83"/>
      <c r="D819" s="83"/>
      <c r="E819" s="102"/>
      <c r="F819" s="102"/>
      <c r="G819" s="88"/>
      <c r="H819" s="88"/>
      <c r="I819" s="87"/>
      <c r="J819" s="87"/>
      <c r="K819" s="88"/>
      <c r="L819" s="90"/>
    </row>
    <row r="820">
      <c r="A820" s="128"/>
      <c r="B820" s="83"/>
      <c r="C820" s="83"/>
      <c r="D820" s="83"/>
      <c r="E820" s="102"/>
      <c r="F820" s="102"/>
      <c r="G820" s="88"/>
      <c r="H820" s="88"/>
      <c r="I820" s="87"/>
      <c r="J820" s="87"/>
      <c r="K820" s="88"/>
      <c r="L820" s="90"/>
    </row>
    <row r="821">
      <c r="A821" s="128"/>
      <c r="B821" s="83"/>
      <c r="C821" s="83"/>
      <c r="D821" s="83"/>
      <c r="E821" s="102"/>
      <c r="F821" s="102"/>
      <c r="G821" s="88"/>
      <c r="H821" s="88"/>
      <c r="I821" s="87"/>
      <c r="J821" s="87"/>
      <c r="K821" s="88"/>
      <c r="L821" s="90"/>
    </row>
    <row r="822">
      <c r="A822" s="128"/>
      <c r="B822" s="83"/>
      <c r="C822" s="83"/>
      <c r="D822" s="83"/>
      <c r="E822" s="102"/>
      <c r="F822" s="102"/>
      <c r="G822" s="88"/>
      <c r="H822" s="88"/>
      <c r="I822" s="87"/>
      <c r="J822" s="87"/>
      <c r="K822" s="88"/>
      <c r="L822" s="90"/>
    </row>
    <row r="823">
      <c r="A823" s="128"/>
      <c r="B823" s="83"/>
      <c r="C823" s="83"/>
      <c r="D823" s="83"/>
      <c r="E823" s="102"/>
      <c r="F823" s="102"/>
      <c r="G823" s="88"/>
      <c r="H823" s="88"/>
      <c r="I823" s="87"/>
      <c r="J823" s="87"/>
      <c r="K823" s="88"/>
      <c r="L823" s="90"/>
    </row>
    <row r="824">
      <c r="A824" s="128"/>
      <c r="B824" s="83"/>
      <c r="C824" s="83"/>
      <c r="D824" s="83"/>
      <c r="E824" s="102"/>
      <c r="F824" s="102"/>
      <c r="G824" s="88"/>
      <c r="H824" s="88"/>
      <c r="I824" s="87"/>
      <c r="J824" s="87"/>
      <c r="K824" s="88"/>
      <c r="L824" s="90"/>
    </row>
    <row r="825">
      <c r="A825" s="128"/>
      <c r="B825" s="83"/>
      <c r="C825" s="83"/>
      <c r="D825" s="83"/>
      <c r="E825" s="102"/>
      <c r="F825" s="102"/>
      <c r="G825" s="88"/>
      <c r="H825" s="88"/>
      <c r="I825" s="87"/>
      <c r="J825" s="87"/>
      <c r="K825" s="88"/>
      <c r="L825" s="90"/>
    </row>
    <row r="826">
      <c r="A826" s="128"/>
      <c r="B826" s="83"/>
      <c r="C826" s="83"/>
      <c r="D826" s="83"/>
      <c r="E826" s="102"/>
      <c r="F826" s="102"/>
      <c r="G826" s="88"/>
      <c r="H826" s="88"/>
      <c r="I826" s="87"/>
      <c r="J826" s="87"/>
      <c r="K826" s="88"/>
      <c r="L826" s="90"/>
    </row>
    <row r="827">
      <c r="A827" s="128"/>
      <c r="B827" s="83"/>
      <c r="C827" s="83"/>
      <c r="D827" s="83"/>
      <c r="E827" s="102"/>
      <c r="F827" s="102"/>
      <c r="G827" s="88"/>
      <c r="H827" s="88"/>
      <c r="I827" s="87"/>
      <c r="J827" s="87"/>
      <c r="K827" s="88"/>
      <c r="L827" s="90"/>
    </row>
    <row r="828">
      <c r="A828" s="128"/>
      <c r="B828" s="83"/>
      <c r="C828" s="83"/>
      <c r="D828" s="83"/>
      <c r="E828" s="102"/>
      <c r="F828" s="102"/>
      <c r="G828" s="88"/>
      <c r="H828" s="88"/>
      <c r="I828" s="87"/>
      <c r="J828" s="87"/>
      <c r="K828" s="88"/>
      <c r="L828" s="90"/>
    </row>
    <row r="829">
      <c r="A829" s="128"/>
      <c r="B829" s="83"/>
      <c r="C829" s="83"/>
      <c r="D829" s="83"/>
      <c r="E829" s="102"/>
      <c r="F829" s="102"/>
      <c r="G829" s="88"/>
      <c r="H829" s="88"/>
      <c r="I829" s="87"/>
      <c r="J829" s="87"/>
      <c r="K829" s="88"/>
      <c r="L829" s="90"/>
    </row>
    <row r="830">
      <c r="A830" s="128"/>
      <c r="B830" s="83"/>
      <c r="C830" s="83"/>
      <c r="D830" s="83"/>
      <c r="E830" s="102"/>
      <c r="F830" s="102"/>
      <c r="G830" s="88"/>
      <c r="H830" s="88"/>
      <c r="I830" s="87"/>
      <c r="J830" s="87"/>
      <c r="K830" s="88"/>
      <c r="L830" s="90"/>
    </row>
    <row r="831">
      <c r="A831" s="128"/>
      <c r="B831" s="83"/>
      <c r="C831" s="83"/>
      <c r="D831" s="83"/>
      <c r="E831" s="102"/>
      <c r="F831" s="102"/>
      <c r="G831" s="88"/>
      <c r="H831" s="88"/>
      <c r="I831" s="87"/>
      <c r="J831" s="87"/>
      <c r="K831" s="88"/>
      <c r="L831" s="90"/>
    </row>
    <row r="832">
      <c r="A832" s="128"/>
      <c r="B832" s="83"/>
      <c r="C832" s="83"/>
      <c r="D832" s="83"/>
      <c r="E832" s="102"/>
      <c r="F832" s="102"/>
      <c r="G832" s="88"/>
      <c r="H832" s="88"/>
      <c r="I832" s="87"/>
      <c r="J832" s="87"/>
      <c r="K832" s="88"/>
      <c r="L832" s="90"/>
    </row>
    <row r="833">
      <c r="A833" s="128"/>
      <c r="B833" s="83"/>
      <c r="C833" s="83"/>
      <c r="D833" s="83"/>
      <c r="E833" s="102"/>
      <c r="F833" s="102"/>
      <c r="G833" s="88"/>
      <c r="H833" s="88"/>
      <c r="I833" s="87"/>
      <c r="J833" s="87"/>
      <c r="K833" s="88"/>
      <c r="L833" s="90"/>
    </row>
    <row r="834">
      <c r="A834" s="128"/>
      <c r="B834" s="83"/>
      <c r="C834" s="83"/>
      <c r="D834" s="83"/>
      <c r="E834" s="102"/>
      <c r="F834" s="102"/>
      <c r="G834" s="88"/>
      <c r="H834" s="88"/>
      <c r="I834" s="87"/>
      <c r="J834" s="87"/>
      <c r="K834" s="88"/>
      <c r="L834" s="90"/>
    </row>
    <row r="835">
      <c r="A835" s="128"/>
      <c r="B835" s="83"/>
      <c r="C835" s="83"/>
      <c r="D835" s="83"/>
      <c r="E835" s="102"/>
      <c r="F835" s="102"/>
      <c r="G835" s="88"/>
      <c r="H835" s="88"/>
      <c r="I835" s="87"/>
      <c r="J835" s="87"/>
      <c r="K835" s="88"/>
      <c r="L835" s="90"/>
    </row>
    <row r="836">
      <c r="A836" s="128"/>
      <c r="B836" s="83"/>
      <c r="C836" s="83"/>
      <c r="D836" s="83"/>
      <c r="E836" s="102"/>
      <c r="F836" s="102"/>
      <c r="G836" s="88"/>
      <c r="H836" s="88"/>
      <c r="I836" s="87"/>
      <c r="J836" s="87"/>
      <c r="K836" s="88"/>
      <c r="L836" s="90"/>
    </row>
    <row r="837">
      <c r="A837" s="128"/>
      <c r="B837" s="83"/>
      <c r="C837" s="83"/>
      <c r="D837" s="83"/>
      <c r="E837" s="102"/>
      <c r="F837" s="102"/>
      <c r="G837" s="88"/>
      <c r="H837" s="88"/>
      <c r="I837" s="87"/>
      <c r="J837" s="87"/>
      <c r="K837" s="88"/>
      <c r="L837" s="90"/>
    </row>
    <row r="838">
      <c r="A838" s="128"/>
      <c r="B838" s="83"/>
      <c r="C838" s="83"/>
      <c r="D838" s="83"/>
      <c r="E838" s="102"/>
      <c r="F838" s="102"/>
      <c r="G838" s="88"/>
      <c r="H838" s="88"/>
      <c r="I838" s="87"/>
      <c r="J838" s="87"/>
      <c r="K838" s="88"/>
      <c r="L838" s="90"/>
    </row>
    <row r="839">
      <c r="A839" s="128"/>
      <c r="B839" s="83"/>
      <c r="C839" s="83"/>
      <c r="D839" s="83"/>
      <c r="E839" s="102"/>
      <c r="F839" s="102"/>
      <c r="G839" s="88"/>
      <c r="H839" s="88"/>
      <c r="I839" s="87"/>
      <c r="J839" s="87"/>
      <c r="K839" s="88"/>
      <c r="L839" s="90"/>
    </row>
    <row r="840">
      <c r="A840" s="128"/>
      <c r="B840" s="83"/>
      <c r="C840" s="83"/>
      <c r="D840" s="83"/>
      <c r="E840" s="102"/>
      <c r="F840" s="102"/>
      <c r="G840" s="88"/>
      <c r="H840" s="88"/>
      <c r="I840" s="87"/>
      <c r="J840" s="87"/>
      <c r="K840" s="88"/>
      <c r="L840" s="90"/>
    </row>
    <row r="841">
      <c r="A841" s="128"/>
      <c r="B841" s="83"/>
      <c r="C841" s="83"/>
      <c r="D841" s="83"/>
      <c r="E841" s="102"/>
      <c r="F841" s="102"/>
      <c r="G841" s="88"/>
      <c r="H841" s="88"/>
      <c r="I841" s="87"/>
      <c r="J841" s="87"/>
      <c r="K841" s="88"/>
      <c r="L841" s="90"/>
    </row>
    <row r="842">
      <c r="A842" s="128"/>
      <c r="B842" s="83"/>
      <c r="C842" s="83"/>
      <c r="D842" s="83"/>
      <c r="E842" s="102"/>
      <c r="F842" s="102"/>
      <c r="G842" s="88"/>
      <c r="H842" s="88"/>
      <c r="I842" s="87"/>
      <c r="J842" s="87"/>
      <c r="K842" s="88"/>
      <c r="L842" s="90"/>
    </row>
    <row r="843">
      <c r="A843" s="128"/>
      <c r="B843" s="83"/>
      <c r="C843" s="83"/>
      <c r="D843" s="83"/>
      <c r="E843" s="102"/>
      <c r="F843" s="102"/>
      <c r="G843" s="88"/>
      <c r="H843" s="88"/>
      <c r="I843" s="87"/>
      <c r="J843" s="87"/>
      <c r="K843" s="88"/>
      <c r="L843" s="90"/>
    </row>
    <row r="844">
      <c r="A844" s="128"/>
      <c r="B844" s="83"/>
      <c r="C844" s="83"/>
      <c r="D844" s="83"/>
      <c r="E844" s="102"/>
      <c r="F844" s="102"/>
      <c r="G844" s="88"/>
      <c r="H844" s="88"/>
      <c r="I844" s="87"/>
      <c r="J844" s="87"/>
      <c r="K844" s="88"/>
      <c r="L844" s="90"/>
    </row>
    <row r="845">
      <c r="A845" s="128"/>
      <c r="B845" s="83"/>
      <c r="C845" s="83"/>
      <c r="D845" s="83"/>
      <c r="E845" s="102"/>
      <c r="F845" s="102"/>
      <c r="G845" s="88"/>
      <c r="H845" s="88"/>
      <c r="I845" s="87"/>
      <c r="J845" s="87"/>
      <c r="K845" s="88"/>
      <c r="L845" s="90"/>
    </row>
    <row r="846">
      <c r="A846" s="128"/>
      <c r="B846" s="83"/>
      <c r="C846" s="83"/>
      <c r="D846" s="83"/>
      <c r="E846" s="102"/>
      <c r="F846" s="102"/>
      <c r="G846" s="88"/>
      <c r="H846" s="88"/>
      <c r="I846" s="87"/>
      <c r="J846" s="87"/>
      <c r="K846" s="88"/>
      <c r="L846" s="90"/>
    </row>
    <row r="847">
      <c r="A847" s="128"/>
      <c r="B847" s="83"/>
      <c r="C847" s="83"/>
      <c r="D847" s="83"/>
      <c r="E847" s="102"/>
      <c r="F847" s="102"/>
      <c r="G847" s="88"/>
      <c r="H847" s="88"/>
      <c r="I847" s="87"/>
      <c r="J847" s="87"/>
      <c r="K847" s="88"/>
      <c r="L847" s="90"/>
    </row>
    <row r="848">
      <c r="A848" s="128"/>
      <c r="B848" s="83"/>
      <c r="C848" s="83"/>
      <c r="D848" s="83"/>
      <c r="E848" s="102"/>
      <c r="F848" s="102"/>
      <c r="G848" s="88"/>
      <c r="H848" s="88"/>
      <c r="I848" s="87"/>
      <c r="J848" s="87"/>
      <c r="K848" s="88"/>
      <c r="L848" s="90"/>
    </row>
    <row r="849">
      <c r="A849" s="128"/>
      <c r="B849" s="83"/>
      <c r="C849" s="83"/>
      <c r="D849" s="83"/>
      <c r="E849" s="102"/>
      <c r="F849" s="102"/>
      <c r="G849" s="88"/>
      <c r="H849" s="88"/>
      <c r="I849" s="87"/>
      <c r="J849" s="87"/>
      <c r="K849" s="88"/>
      <c r="L849" s="90"/>
    </row>
    <row r="850">
      <c r="A850" s="128"/>
      <c r="B850" s="83"/>
      <c r="C850" s="83"/>
      <c r="D850" s="83"/>
      <c r="E850" s="102"/>
      <c r="F850" s="102"/>
      <c r="G850" s="88"/>
      <c r="H850" s="88"/>
      <c r="I850" s="87"/>
      <c r="J850" s="87"/>
      <c r="K850" s="88"/>
      <c r="L850" s="90"/>
    </row>
    <row r="851">
      <c r="A851" s="128"/>
      <c r="B851" s="83"/>
      <c r="C851" s="83"/>
      <c r="D851" s="83"/>
      <c r="E851" s="102"/>
      <c r="F851" s="102"/>
      <c r="G851" s="88"/>
      <c r="H851" s="88"/>
      <c r="I851" s="87"/>
      <c r="J851" s="87"/>
      <c r="K851" s="88"/>
      <c r="L851" s="90"/>
    </row>
    <row r="852">
      <c r="A852" s="128"/>
      <c r="B852" s="83"/>
      <c r="C852" s="83"/>
      <c r="D852" s="83"/>
      <c r="E852" s="102"/>
      <c r="F852" s="102"/>
      <c r="G852" s="88"/>
      <c r="H852" s="88"/>
      <c r="I852" s="87"/>
      <c r="J852" s="87"/>
      <c r="K852" s="88"/>
      <c r="L852" s="90"/>
    </row>
    <row r="853">
      <c r="A853" s="128"/>
      <c r="B853" s="83"/>
      <c r="C853" s="83"/>
      <c r="D853" s="83"/>
      <c r="E853" s="102"/>
      <c r="F853" s="102"/>
      <c r="G853" s="88"/>
      <c r="H853" s="88"/>
      <c r="I853" s="87"/>
      <c r="J853" s="87"/>
      <c r="K853" s="88"/>
      <c r="L853" s="90"/>
    </row>
    <row r="854">
      <c r="A854" s="128"/>
      <c r="B854" s="83"/>
      <c r="C854" s="83"/>
      <c r="D854" s="83"/>
      <c r="E854" s="102"/>
      <c r="F854" s="102"/>
      <c r="G854" s="88"/>
      <c r="H854" s="88"/>
      <c r="I854" s="87"/>
      <c r="J854" s="87"/>
      <c r="K854" s="88"/>
      <c r="L854" s="90"/>
    </row>
    <row r="855">
      <c r="A855" s="128"/>
      <c r="B855" s="83"/>
      <c r="C855" s="83"/>
      <c r="D855" s="83"/>
      <c r="E855" s="102"/>
      <c r="F855" s="102"/>
      <c r="G855" s="88"/>
      <c r="H855" s="88"/>
      <c r="I855" s="87"/>
      <c r="J855" s="87"/>
      <c r="K855" s="88"/>
      <c r="L855" s="90"/>
    </row>
    <row r="856">
      <c r="A856" s="128"/>
      <c r="B856" s="83"/>
      <c r="C856" s="83"/>
      <c r="D856" s="83"/>
      <c r="E856" s="102"/>
      <c r="F856" s="102"/>
      <c r="G856" s="88"/>
      <c r="H856" s="88"/>
      <c r="I856" s="87"/>
      <c r="J856" s="87"/>
      <c r="K856" s="88"/>
      <c r="L856" s="90"/>
    </row>
    <row r="857">
      <c r="A857" s="128"/>
      <c r="B857" s="83"/>
      <c r="C857" s="83"/>
      <c r="D857" s="83"/>
      <c r="E857" s="102"/>
      <c r="F857" s="102"/>
      <c r="G857" s="88"/>
      <c r="H857" s="88"/>
      <c r="I857" s="87"/>
      <c r="J857" s="87"/>
      <c r="K857" s="88"/>
      <c r="L857" s="90"/>
    </row>
    <row r="858">
      <c r="A858" s="128"/>
      <c r="B858" s="83"/>
      <c r="C858" s="83"/>
      <c r="D858" s="83"/>
      <c r="E858" s="102"/>
      <c r="F858" s="102"/>
      <c r="G858" s="88"/>
      <c r="H858" s="88"/>
      <c r="I858" s="87"/>
      <c r="J858" s="87"/>
      <c r="K858" s="88"/>
      <c r="L858" s="90"/>
    </row>
    <row r="859">
      <c r="A859" s="128"/>
      <c r="B859" s="83"/>
      <c r="C859" s="83"/>
      <c r="D859" s="83"/>
      <c r="E859" s="102"/>
      <c r="F859" s="102"/>
      <c r="G859" s="88"/>
      <c r="H859" s="88"/>
      <c r="I859" s="87"/>
      <c r="J859" s="87"/>
      <c r="K859" s="88"/>
      <c r="L859" s="90"/>
    </row>
    <row r="860">
      <c r="A860" s="128"/>
      <c r="B860" s="83"/>
      <c r="C860" s="83"/>
      <c r="D860" s="83"/>
      <c r="E860" s="102"/>
      <c r="F860" s="102"/>
      <c r="G860" s="88"/>
      <c r="H860" s="88"/>
      <c r="I860" s="87"/>
      <c r="J860" s="87"/>
      <c r="K860" s="88"/>
      <c r="L860" s="90"/>
    </row>
    <row r="861">
      <c r="A861" s="128"/>
      <c r="B861" s="83"/>
      <c r="C861" s="83"/>
      <c r="D861" s="83"/>
      <c r="E861" s="102"/>
      <c r="F861" s="102"/>
      <c r="G861" s="88"/>
      <c r="H861" s="88"/>
      <c r="I861" s="87"/>
      <c r="J861" s="87"/>
      <c r="K861" s="88"/>
      <c r="L861" s="90"/>
    </row>
    <row r="862">
      <c r="A862" s="128"/>
      <c r="B862" s="83"/>
      <c r="C862" s="83"/>
      <c r="D862" s="83"/>
      <c r="E862" s="102"/>
      <c r="F862" s="102"/>
      <c r="G862" s="88"/>
      <c r="H862" s="88"/>
      <c r="I862" s="87"/>
      <c r="J862" s="87"/>
      <c r="K862" s="88"/>
      <c r="L862" s="90"/>
    </row>
    <row r="863">
      <c r="A863" s="128"/>
      <c r="B863" s="83"/>
      <c r="C863" s="83"/>
      <c r="D863" s="83"/>
      <c r="E863" s="102"/>
      <c r="F863" s="102"/>
      <c r="G863" s="88"/>
      <c r="H863" s="88"/>
      <c r="I863" s="87"/>
      <c r="J863" s="87"/>
      <c r="K863" s="88"/>
      <c r="L863" s="90"/>
    </row>
    <row r="864">
      <c r="A864" s="128"/>
      <c r="B864" s="83"/>
      <c r="C864" s="83"/>
      <c r="D864" s="83"/>
      <c r="E864" s="102"/>
      <c r="F864" s="102"/>
      <c r="G864" s="88"/>
      <c r="H864" s="88"/>
      <c r="I864" s="87"/>
      <c r="J864" s="87"/>
      <c r="K864" s="88"/>
      <c r="L864" s="90"/>
    </row>
    <row r="865">
      <c r="A865" s="128"/>
      <c r="B865" s="83"/>
      <c r="C865" s="83"/>
      <c r="D865" s="83"/>
      <c r="E865" s="102"/>
      <c r="F865" s="102"/>
      <c r="G865" s="88"/>
      <c r="H865" s="88"/>
      <c r="I865" s="87"/>
      <c r="J865" s="87"/>
      <c r="K865" s="88"/>
      <c r="L865" s="90"/>
    </row>
    <row r="866">
      <c r="A866" s="128"/>
      <c r="B866" s="83"/>
      <c r="C866" s="83"/>
      <c r="D866" s="83"/>
      <c r="E866" s="102"/>
      <c r="F866" s="102"/>
      <c r="G866" s="88"/>
      <c r="H866" s="88"/>
      <c r="I866" s="87"/>
      <c r="J866" s="87"/>
      <c r="K866" s="88"/>
      <c r="L866" s="90"/>
    </row>
    <row r="867">
      <c r="A867" s="128"/>
      <c r="B867" s="83"/>
      <c r="C867" s="83"/>
      <c r="D867" s="83"/>
      <c r="E867" s="102"/>
      <c r="F867" s="102"/>
      <c r="G867" s="88"/>
      <c r="H867" s="88"/>
      <c r="I867" s="87"/>
      <c r="J867" s="87"/>
      <c r="K867" s="88"/>
      <c r="L867" s="90"/>
    </row>
    <row r="868">
      <c r="A868" s="128"/>
      <c r="B868" s="83"/>
      <c r="C868" s="83"/>
      <c r="D868" s="83"/>
      <c r="E868" s="102"/>
      <c r="F868" s="102"/>
      <c r="G868" s="88"/>
      <c r="H868" s="88"/>
      <c r="I868" s="87"/>
      <c r="J868" s="87"/>
      <c r="K868" s="88"/>
      <c r="L868" s="90"/>
    </row>
    <row r="869">
      <c r="A869" s="128"/>
      <c r="B869" s="83"/>
      <c r="C869" s="83"/>
      <c r="D869" s="83"/>
      <c r="E869" s="102"/>
      <c r="F869" s="102"/>
      <c r="G869" s="88"/>
      <c r="H869" s="88"/>
      <c r="I869" s="87"/>
      <c r="J869" s="87"/>
      <c r="K869" s="88"/>
      <c r="L869" s="90"/>
    </row>
    <row r="870">
      <c r="A870" s="128"/>
      <c r="B870" s="83"/>
      <c r="C870" s="83"/>
      <c r="D870" s="83"/>
      <c r="E870" s="102"/>
      <c r="F870" s="102"/>
      <c r="G870" s="88"/>
      <c r="H870" s="88"/>
      <c r="I870" s="87"/>
      <c r="J870" s="87"/>
      <c r="K870" s="88"/>
      <c r="L870" s="90"/>
    </row>
    <row r="871">
      <c r="A871" s="128"/>
      <c r="B871" s="83"/>
      <c r="C871" s="83"/>
      <c r="D871" s="83"/>
      <c r="E871" s="102"/>
      <c r="F871" s="102"/>
      <c r="G871" s="88"/>
      <c r="H871" s="88"/>
      <c r="I871" s="87"/>
      <c r="J871" s="87"/>
      <c r="K871" s="88"/>
      <c r="L871" s="90"/>
    </row>
    <row r="872">
      <c r="A872" s="128"/>
      <c r="B872" s="83"/>
      <c r="C872" s="83"/>
      <c r="D872" s="83"/>
      <c r="E872" s="102"/>
      <c r="F872" s="102"/>
      <c r="G872" s="88"/>
      <c r="H872" s="88"/>
      <c r="I872" s="87"/>
      <c r="J872" s="87"/>
      <c r="K872" s="88"/>
      <c r="L872" s="90"/>
    </row>
    <row r="873">
      <c r="A873" s="128"/>
      <c r="B873" s="83"/>
      <c r="C873" s="83"/>
      <c r="D873" s="83"/>
      <c r="E873" s="102"/>
      <c r="F873" s="102"/>
      <c r="G873" s="88"/>
      <c r="H873" s="88"/>
      <c r="I873" s="87"/>
      <c r="J873" s="87"/>
      <c r="K873" s="88"/>
      <c r="L873" s="90"/>
    </row>
    <row r="874">
      <c r="A874" s="128"/>
      <c r="B874" s="83"/>
      <c r="C874" s="83"/>
      <c r="D874" s="83"/>
      <c r="E874" s="102"/>
      <c r="F874" s="102"/>
      <c r="G874" s="88"/>
      <c r="H874" s="88"/>
      <c r="I874" s="87"/>
      <c r="J874" s="87"/>
      <c r="K874" s="88"/>
      <c r="L874" s="90"/>
    </row>
    <row r="875">
      <c r="A875" s="128"/>
      <c r="B875" s="83"/>
      <c r="C875" s="83"/>
      <c r="D875" s="83"/>
      <c r="E875" s="102"/>
      <c r="F875" s="102"/>
      <c r="G875" s="88"/>
      <c r="H875" s="88"/>
      <c r="I875" s="87"/>
      <c r="J875" s="87"/>
      <c r="K875" s="88"/>
      <c r="L875" s="90"/>
    </row>
    <row r="876">
      <c r="A876" s="128"/>
      <c r="B876" s="83"/>
      <c r="C876" s="83"/>
      <c r="D876" s="83"/>
      <c r="E876" s="102"/>
      <c r="F876" s="102"/>
      <c r="G876" s="88"/>
      <c r="H876" s="88"/>
      <c r="I876" s="87"/>
      <c r="J876" s="87"/>
      <c r="K876" s="88"/>
      <c r="L876" s="90"/>
    </row>
    <row r="877">
      <c r="A877" s="128"/>
      <c r="B877" s="83"/>
      <c r="C877" s="83"/>
      <c r="D877" s="83"/>
      <c r="E877" s="102"/>
      <c r="F877" s="102"/>
      <c r="G877" s="88"/>
      <c r="H877" s="88"/>
      <c r="I877" s="87"/>
      <c r="J877" s="87"/>
      <c r="K877" s="88"/>
      <c r="L877" s="90"/>
    </row>
    <row r="878">
      <c r="A878" s="128"/>
      <c r="B878" s="83"/>
      <c r="C878" s="83"/>
      <c r="D878" s="83"/>
      <c r="E878" s="102"/>
      <c r="F878" s="102"/>
      <c r="G878" s="88"/>
      <c r="H878" s="88"/>
      <c r="I878" s="87"/>
      <c r="J878" s="87"/>
      <c r="K878" s="88"/>
      <c r="L878" s="90"/>
    </row>
    <row r="879">
      <c r="A879" s="128"/>
      <c r="B879" s="83"/>
      <c r="C879" s="83"/>
      <c r="D879" s="83"/>
      <c r="E879" s="102"/>
      <c r="F879" s="102"/>
      <c r="G879" s="88"/>
      <c r="H879" s="88"/>
      <c r="I879" s="87"/>
      <c r="J879" s="87"/>
      <c r="K879" s="88"/>
      <c r="L879" s="90"/>
    </row>
    <row r="880">
      <c r="A880" s="128"/>
      <c r="B880" s="83"/>
      <c r="C880" s="83"/>
      <c r="D880" s="83"/>
      <c r="E880" s="102"/>
      <c r="F880" s="102"/>
      <c r="G880" s="88"/>
      <c r="H880" s="88"/>
      <c r="I880" s="87"/>
      <c r="J880" s="87"/>
      <c r="K880" s="88"/>
      <c r="L880" s="90"/>
    </row>
    <row r="881">
      <c r="A881" s="128"/>
      <c r="B881" s="83"/>
      <c r="C881" s="83"/>
      <c r="D881" s="83"/>
      <c r="E881" s="102"/>
      <c r="F881" s="102"/>
      <c r="G881" s="88"/>
      <c r="H881" s="88"/>
      <c r="I881" s="87"/>
      <c r="J881" s="87"/>
      <c r="K881" s="88"/>
      <c r="L881" s="90"/>
    </row>
    <row r="882">
      <c r="A882" s="128"/>
      <c r="B882" s="83"/>
      <c r="C882" s="83"/>
      <c r="D882" s="83"/>
      <c r="E882" s="102"/>
      <c r="F882" s="102"/>
      <c r="G882" s="88"/>
      <c r="H882" s="88"/>
      <c r="I882" s="87"/>
      <c r="J882" s="87"/>
      <c r="K882" s="88"/>
      <c r="L882" s="90"/>
    </row>
    <row r="883">
      <c r="A883" s="128"/>
      <c r="B883" s="83"/>
      <c r="C883" s="83"/>
      <c r="D883" s="83"/>
      <c r="E883" s="102"/>
      <c r="F883" s="102"/>
      <c r="G883" s="88"/>
      <c r="H883" s="88"/>
      <c r="I883" s="87"/>
      <c r="J883" s="87"/>
      <c r="K883" s="88"/>
      <c r="L883" s="90"/>
    </row>
    <row r="884">
      <c r="A884" s="128"/>
      <c r="B884" s="83"/>
      <c r="C884" s="83"/>
      <c r="D884" s="83"/>
      <c r="E884" s="102"/>
      <c r="F884" s="102"/>
      <c r="G884" s="88"/>
      <c r="H884" s="88"/>
      <c r="I884" s="87"/>
      <c r="J884" s="87"/>
      <c r="K884" s="88"/>
      <c r="L884" s="90"/>
    </row>
    <row r="885">
      <c r="A885" s="128"/>
      <c r="B885" s="83"/>
      <c r="C885" s="83"/>
      <c r="D885" s="83"/>
      <c r="E885" s="102"/>
      <c r="F885" s="102"/>
      <c r="G885" s="88"/>
      <c r="H885" s="88"/>
      <c r="I885" s="87"/>
      <c r="J885" s="87"/>
      <c r="K885" s="88"/>
      <c r="L885" s="90"/>
    </row>
    <row r="886">
      <c r="A886" s="128"/>
      <c r="B886" s="83"/>
      <c r="C886" s="83"/>
      <c r="D886" s="83"/>
      <c r="E886" s="102"/>
      <c r="F886" s="102"/>
      <c r="G886" s="88"/>
      <c r="H886" s="88"/>
      <c r="I886" s="87"/>
      <c r="J886" s="87"/>
      <c r="K886" s="88"/>
      <c r="L886" s="90"/>
    </row>
    <row r="887">
      <c r="A887" s="128"/>
      <c r="B887" s="83"/>
      <c r="C887" s="83"/>
      <c r="D887" s="83"/>
      <c r="E887" s="102"/>
      <c r="F887" s="102"/>
      <c r="G887" s="88"/>
      <c r="H887" s="88"/>
      <c r="I887" s="87"/>
      <c r="J887" s="87"/>
      <c r="K887" s="88"/>
      <c r="L887" s="90"/>
    </row>
    <row r="888">
      <c r="A888" s="128"/>
      <c r="B888" s="83"/>
      <c r="C888" s="83"/>
      <c r="D888" s="83"/>
      <c r="E888" s="102"/>
      <c r="F888" s="102"/>
      <c r="G888" s="88"/>
      <c r="H888" s="88"/>
      <c r="I888" s="87"/>
      <c r="J888" s="87"/>
      <c r="K888" s="88"/>
      <c r="L888" s="90"/>
    </row>
    <row r="889">
      <c r="A889" s="128"/>
      <c r="B889" s="83"/>
      <c r="C889" s="83"/>
      <c r="D889" s="83"/>
      <c r="E889" s="102"/>
      <c r="F889" s="102"/>
      <c r="G889" s="88"/>
      <c r="H889" s="88"/>
      <c r="I889" s="87"/>
      <c r="J889" s="87"/>
      <c r="K889" s="88"/>
      <c r="L889" s="90"/>
    </row>
    <row r="890">
      <c r="A890" s="128"/>
      <c r="B890" s="83"/>
      <c r="C890" s="83"/>
      <c r="D890" s="83"/>
      <c r="E890" s="102"/>
      <c r="F890" s="102"/>
      <c r="G890" s="88"/>
      <c r="H890" s="88"/>
      <c r="I890" s="87"/>
      <c r="J890" s="87"/>
      <c r="K890" s="88"/>
      <c r="L890" s="90"/>
    </row>
    <row r="891">
      <c r="A891" s="128"/>
      <c r="B891" s="83"/>
      <c r="C891" s="83"/>
      <c r="D891" s="83"/>
      <c r="E891" s="102"/>
      <c r="F891" s="102"/>
      <c r="G891" s="88"/>
      <c r="H891" s="88"/>
      <c r="I891" s="87"/>
      <c r="J891" s="87"/>
      <c r="K891" s="88"/>
      <c r="L891" s="90"/>
    </row>
    <row r="892">
      <c r="A892" s="128"/>
      <c r="B892" s="83"/>
      <c r="C892" s="83"/>
      <c r="D892" s="83"/>
      <c r="E892" s="102"/>
      <c r="F892" s="102"/>
      <c r="G892" s="88"/>
      <c r="H892" s="88"/>
      <c r="I892" s="87"/>
      <c r="J892" s="87"/>
      <c r="K892" s="88"/>
      <c r="L892" s="90"/>
    </row>
    <row r="893">
      <c r="A893" s="128"/>
      <c r="B893" s="83"/>
      <c r="C893" s="83"/>
      <c r="D893" s="83"/>
      <c r="E893" s="102"/>
      <c r="F893" s="102"/>
      <c r="G893" s="88"/>
      <c r="H893" s="88"/>
      <c r="I893" s="87"/>
      <c r="J893" s="87"/>
      <c r="K893" s="88"/>
      <c r="L893" s="90"/>
    </row>
    <row r="894">
      <c r="A894" s="128"/>
      <c r="B894" s="83"/>
      <c r="C894" s="83"/>
      <c r="D894" s="83"/>
      <c r="E894" s="102"/>
      <c r="F894" s="102"/>
      <c r="G894" s="88"/>
      <c r="H894" s="88"/>
      <c r="I894" s="87"/>
      <c r="J894" s="87"/>
      <c r="K894" s="88"/>
      <c r="L894" s="90"/>
    </row>
    <row r="895">
      <c r="A895" s="128"/>
      <c r="B895" s="83"/>
      <c r="C895" s="83"/>
      <c r="D895" s="83"/>
      <c r="E895" s="102"/>
      <c r="F895" s="102"/>
      <c r="G895" s="88"/>
      <c r="H895" s="88"/>
      <c r="I895" s="87"/>
      <c r="J895" s="87"/>
      <c r="K895" s="88"/>
      <c r="L895" s="90"/>
    </row>
    <row r="896">
      <c r="A896" s="128"/>
      <c r="B896" s="83"/>
      <c r="C896" s="83"/>
      <c r="D896" s="83"/>
      <c r="E896" s="102"/>
      <c r="F896" s="102"/>
      <c r="G896" s="88"/>
      <c r="H896" s="88"/>
      <c r="I896" s="87"/>
      <c r="J896" s="87"/>
      <c r="K896" s="88"/>
      <c r="L896" s="90"/>
    </row>
    <row r="897">
      <c r="A897" s="128"/>
      <c r="B897" s="83"/>
      <c r="C897" s="83"/>
      <c r="D897" s="83"/>
      <c r="E897" s="102"/>
      <c r="F897" s="102"/>
      <c r="G897" s="88"/>
      <c r="H897" s="88"/>
      <c r="I897" s="87"/>
      <c r="J897" s="87"/>
      <c r="K897" s="88"/>
      <c r="L897" s="90"/>
    </row>
    <row r="898">
      <c r="A898" s="128"/>
      <c r="B898" s="83"/>
      <c r="C898" s="83"/>
      <c r="D898" s="83"/>
      <c r="E898" s="102"/>
      <c r="F898" s="102"/>
      <c r="G898" s="88"/>
      <c r="H898" s="88"/>
      <c r="I898" s="87"/>
      <c r="J898" s="87"/>
      <c r="K898" s="88"/>
      <c r="L898" s="90"/>
    </row>
    <row r="899">
      <c r="A899" s="128"/>
      <c r="B899" s="83"/>
      <c r="C899" s="83"/>
      <c r="D899" s="83"/>
      <c r="E899" s="102"/>
      <c r="F899" s="102"/>
      <c r="G899" s="88"/>
      <c r="H899" s="88"/>
      <c r="I899" s="87"/>
      <c r="J899" s="87"/>
      <c r="K899" s="88"/>
      <c r="L899" s="90"/>
    </row>
    <row r="900">
      <c r="A900" s="128"/>
      <c r="B900" s="83"/>
      <c r="C900" s="83"/>
      <c r="D900" s="83"/>
      <c r="E900" s="102"/>
      <c r="F900" s="102"/>
      <c r="G900" s="88"/>
      <c r="H900" s="88"/>
      <c r="I900" s="87"/>
      <c r="J900" s="87"/>
      <c r="K900" s="88"/>
      <c r="L900" s="90"/>
    </row>
    <row r="901">
      <c r="A901" s="128"/>
      <c r="B901" s="83"/>
      <c r="C901" s="83"/>
      <c r="D901" s="83"/>
      <c r="E901" s="102"/>
      <c r="F901" s="102"/>
      <c r="G901" s="88"/>
      <c r="H901" s="88"/>
      <c r="I901" s="87"/>
      <c r="J901" s="87"/>
      <c r="K901" s="88"/>
      <c r="L901" s="90"/>
    </row>
    <row r="902">
      <c r="A902" s="128"/>
      <c r="B902" s="83"/>
      <c r="C902" s="83"/>
      <c r="D902" s="83"/>
      <c r="E902" s="102"/>
      <c r="F902" s="102"/>
      <c r="G902" s="88"/>
      <c r="H902" s="88"/>
      <c r="I902" s="87"/>
      <c r="J902" s="87"/>
      <c r="K902" s="88"/>
      <c r="L902" s="90"/>
    </row>
    <row r="903">
      <c r="A903" s="128"/>
      <c r="B903" s="83"/>
      <c r="C903" s="83"/>
      <c r="D903" s="83"/>
      <c r="E903" s="102"/>
      <c r="F903" s="102"/>
      <c r="G903" s="88"/>
      <c r="H903" s="88"/>
      <c r="I903" s="87"/>
      <c r="J903" s="87"/>
      <c r="K903" s="88"/>
      <c r="L903" s="90"/>
    </row>
    <row r="904">
      <c r="A904" s="128"/>
      <c r="B904" s="83"/>
      <c r="C904" s="83"/>
      <c r="D904" s="83"/>
      <c r="E904" s="102"/>
      <c r="F904" s="102"/>
      <c r="G904" s="88"/>
      <c r="H904" s="88"/>
      <c r="I904" s="87"/>
      <c r="J904" s="87"/>
      <c r="K904" s="88"/>
      <c r="L904" s="90"/>
    </row>
    <row r="905">
      <c r="A905" s="128"/>
      <c r="B905" s="83"/>
      <c r="C905" s="83"/>
      <c r="D905" s="83"/>
      <c r="E905" s="102"/>
      <c r="F905" s="102"/>
      <c r="G905" s="88"/>
      <c r="H905" s="88"/>
      <c r="I905" s="87"/>
      <c r="J905" s="87"/>
      <c r="K905" s="88"/>
      <c r="L905" s="90"/>
    </row>
    <row r="906">
      <c r="A906" s="128"/>
      <c r="B906" s="83"/>
      <c r="C906" s="83"/>
      <c r="D906" s="83"/>
      <c r="E906" s="102"/>
      <c r="F906" s="102"/>
      <c r="G906" s="88"/>
      <c r="H906" s="88"/>
      <c r="I906" s="87"/>
      <c r="J906" s="87"/>
      <c r="K906" s="88"/>
      <c r="L906" s="90"/>
    </row>
    <row r="907">
      <c r="A907" s="128"/>
      <c r="B907" s="83"/>
      <c r="C907" s="83"/>
      <c r="D907" s="83"/>
      <c r="E907" s="102"/>
      <c r="F907" s="102"/>
      <c r="G907" s="88"/>
      <c r="H907" s="88"/>
      <c r="I907" s="87"/>
      <c r="J907" s="87"/>
      <c r="K907" s="88"/>
      <c r="L907" s="90"/>
    </row>
    <row r="908">
      <c r="A908" s="128"/>
      <c r="B908" s="83"/>
      <c r="C908" s="83"/>
      <c r="D908" s="83"/>
      <c r="E908" s="102"/>
      <c r="F908" s="102"/>
      <c r="G908" s="88"/>
      <c r="H908" s="88"/>
      <c r="I908" s="87"/>
      <c r="J908" s="87"/>
      <c r="K908" s="88"/>
      <c r="L908" s="90"/>
    </row>
    <row r="909">
      <c r="A909" s="128"/>
      <c r="B909" s="83"/>
      <c r="C909" s="83"/>
      <c r="D909" s="83"/>
      <c r="E909" s="102"/>
      <c r="F909" s="102"/>
      <c r="G909" s="88"/>
      <c r="H909" s="88"/>
      <c r="I909" s="87"/>
      <c r="J909" s="87"/>
      <c r="K909" s="88"/>
      <c r="L909" s="90"/>
    </row>
    <row r="910">
      <c r="A910" s="128"/>
      <c r="B910" s="83"/>
      <c r="C910" s="83"/>
      <c r="D910" s="83"/>
      <c r="E910" s="102"/>
      <c r="F910" s="102"/>
      <c r="G910" s="88"/>
      <c r="H910" s="88"/>
      <c r="I910" s="87"/>
      <c r="J910" s="87"/>
      <c r="K910" s="88"/>
      <c r="L910" s="90"/>
    </row>
    <row r="911">
      <c r="A911" s="128"/>
      <c r="B911" s="83"/>
      <c r="C911" s="83"/>
      <c r="D911" s="83"/>
      <c r="E911" s="102"/>
      <c r="F911" s="102"/>
      <c r="G911" s="88"/>
      <c r="H911" s="88"/>
      <c r="I911" s="87"/>
      <c r="J911" s="87"/>
      <c r="K911" s="88"/>
      <c r="L911" s="90"/>
    </row>
    <row r="912">
      <c r="A912" s="128"/>
      <c r="B912" s="83"/>
      <c r="C912" s="83"/>
      <c r="D912" s="83"/>
      <c r="E912" s="102"/>
      <c r="F912" s="102"/>
      <c r="G912" s="88"/>
      <c r="H912" s="88"/>
      <c r="I912" s="87"/>
      <c r="J912" s="87"/>
      <c r="K912" s="88"/>
      <c r="L912" s="90"/>
    </row>
    <row r="913">
      <c r="A913" s="128"/>
      <c r="B913" s="83"/>
      <c r="C913" s="83"/>
      <c r="D913" s="83"/>
      <c r="E913" s="102"/>
      <c r="F913" s="102"/>
      <c r="G913" s="88"/>
      <c r="H913" s="88"/>
      <c r="I913" s="87"/>
      <c r="J913" s="87"/>
      <c r="K913" s="88"/>
      <c r="L913" s="90"/>
    </row>
    <row r="914">
      <c r="A914" s="128"/>
      <c r="B914" s="83"/>
      <c r="C914" s="83"/>
      <c r="D914" s="83"/>
      <c r="E914" s="102"/>
      <c r="F914" s="102"/>
      <c r="G914" s="88"/>
      <c r="H914" s="88"/>
      <c r="I914" s="87"/>
      <c r="J914" s="87"/>
      <c r="K914" s="88"/>
      <c r="L914" s="90"/>
    </row>
  </sheetData>
  <mergeCells count="4">
    <mergeCell ref="A2:L2"/>
    <mergeCell ref="A3:L3"/>
    <mergeCell ref="A6:L6"/>
    <mergeCell ref="A8:L8"/>
  </mergeCells>
  <hyperlinks>
    <hyperlink r:id="rId1" ref="A2"/>
  </hyperlinks>
  <printOptions gridLines="1" horizontalCentered="1"/>
  <pageMargins bottom="0.75" footer="0.0" header="0.0" left="0.7" right="0.7" top="0.75"/>
  <pageSetup fitToHeight="0" paperSize="9" cellComments="atEnd" orientation="landscape" pageOrder="overThenDown"/>
  <drawing r:id="rId2"/>
  <tableParts count="1">
    <tablePart r:id="rId4"/>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69138"/>
    <outlinePr summaryBelow="0" summaryRight="0"/>
    <pageSetUpPr fitToPage="1"/>
  </sheetPr>
  <sheetViews>
    <sheetView workbookViewId="0"/>
  </sheetViews>
  <sheetFormatPr customHeight="1" defaultColWidth="12.63" defaultRowHeight="15.75"/>
  <cols>
    <col customWidth="1" min="1" max="1" width="15.5"/>
    <col customWidth="1" min="2" max="3" width="50.5"/>
    <col customWidth="1" min="4" max="4" width="39.13"/>
    <col customWidth="1" min="5" max="5" width="62.75"/>
    <col customWidth="1" min="6" max="6" width="20.88"/>
    <col customWidth="1" min="7" max="7" width="18.25"/>
    <col customWidth="1" min="8" max="8" width="9.0"/>
    <col customWidth="1" min="9" max="9" width="25.75"/>
  </cols>
  <sheetData>
    <row r="1">
      <c r="A1" s="48" t="s">
        <v>2</v>
      </c>
      <c r="B1" s="48" t="s">
        <v>154</v>
      </c>
      <c r="C1" s="48" t="s">
        <v>0</v>
      </c>
      <c r="D1" s="48" t="s">
        <v>3</v>
      </c>
      <c r="E1" s="49" t="s">
        <v>124</v>
      </c>
      <c r="F1" s="129" t="s">
        <v>125</v>
      </c>
      <c r="G1" s="129" t="s">
        <v>126</v>
      </c>
      <c r="H1" s="48" t="s">
        <v>130</v>
      </c>
      <c r="I1" s="48" t="s">
        <v>155</v>
      </c>
      <c r="J1" s="48" t="s">
        <v>131</v>
      </c>
    </row>
    <row r="2">
      <c r="A2" s="130" t="s">
        <v>156</v>
      </c>
      <c r="B2" s="56"/>
      <c r="C2" s="56"/>
      <c r="D2" s="56"/>
      <c r="E2" s="56"/>
      <c r="F2" s="56"/>
      <c r="G2" s="56"/>
      <c r="H2" s="56"/>
      <c r="I2" s="56"/>
      <c r="J2" s="57"/>
    </row>
    <row r="3" ht="45.0" customHeight="1">
      <c r="A3" s="131" t="s">
        <v>157</v>
      </c>
      <c r="B3" s="132">
        <v>1227386.0</v>
      </c>
      <c r="C3" s="132" t="s">
        <v>158</v>
      </c>
      <c r="D3" s="133" t="s">
        <v>159</v>
      </c>
      <c r="E3" s="134" t="s">
        <v>160</v>
      </c>
      <c r="F3" s="135">
        <v>45901.0</v>
      </c>
      <c r="G3" s="136">
        <v>45960.0</v>
      </c>
      <c r="H3" s="137" t="s">
        <v>161</v>
      </c>
      <c r="I3" s="138" t="s">
        <v>162</v>
      </c>
      <c r="J3" s="139" t="s">
        <v>163</v>
      </c>
    </row>
    <row r="4">
      <c r="A4" s="131" t="s">
        <v>157</v>
      </c>
      <c r="B4" s="140" t="s">
        <v>164</v>
      </c>
      <c r="C4" s="140" t="s">
        <v>165</v>
      </c>
      <c r="D4" s="141" t="s">
        <v>166</v>
      </c>
      <c r="E4" s="142" t="s">
        <v>167</v>
      </c>
      <c r="F4" s="143">
        <v>45931.0</v>
      </c>
      <c r="G4" s="144">
        <v>45977.0</v>
      </c>
      <c r="H4" s="145" t="s">
        <v>161</v>
      </c>
      <c r="I4" s="146" t="s">
        <v>168</v>
      </c>
      <c r="J4" s="147"/>
    </row>
    <row r="5" ht="46.5" customHeight="1">
      <c r="A5" s="131" t="s">
        <v>157</v>
      </c>
      <c r="B5" s="132" t="s">
        <v>169</v>
      </c>
      <c r="C5" s="132" t="s">
        <v>165</v>
      </c>
      <c r="D5" s="133" t="s">
        <v>170</v>
      </c>
      <c r="E5" s="148" t="s">
        <v>171</v>
      </c>
      <c r="F5" s="149">
        <v>45901.0</v>
      </c>
      <c r="G5" s="136">
        <v>45977.0</v>
      </c>
      <c r="H5" s="137" t="s">
        <v>161</v>
      </c>
      <c r="I5" s="138" t="s">
        <v>172</v>
      </c>
      <c r="J5" s="139"/>
    </row>
    <row r="6" ht="46.5" customHeight="1">
      <c r="A6" s="131" t="s">
        <v>157</v>
      </c>
      <c r="B6" s="140"/>
      <c r="C6" s="140" t="s">
        <v>165</v>
      </c>
      <c r="D6" s="141" t="s">
        <v>173</v>
      </c>
      <c r="E6" s="142" t="s">
        <v>174</v>
      </c>
      <c r="F6" s="143">
        <v>45946.0</v>
      </c>
      <c r="G6" s="144">
        <v>45978.0</v>
      </c>
      <c r="H6" s="145" t="s">
        <v>161</v>
      </c>
      <c r="I6" s="146"/>
      <c r="J6" s="150" t="s">
        <v>163</v>
      </c>
    </row>
    <row r="7" ht="46.5" customHeight="1">
      <c r="A7" s="131"/>
      <c r="B7" s="132"/>
      <c r="C7" s="132"/>
      <c r="D7" s="133"/>
      <c r="E7" s="148"/>
      <c r="F7" s="149"/>
      <c r="G7" s="136"/>
      <c r="H7" s="151"/>
      <c r="I7" s="138"/>
      <c r="J7" s="139"/>
    </row>
    <row r="8" ht="46.5" customHeight="1">
      <c r="A8" s="131" t="s">
        <v>175</v>
      </c>
      <c r="B8" s="140">
        <v>1218359.0</v>
      </c>
      <c r="C8" s="140" t="s">
        <v>176</v>
      </c>
      <c r="D8" s="141" t="s">
        <v>177</v>
      </c>
      <c r="E8" s="142" t="s">
        <v>178</v>
      </c>
      <c r="F8" s="143">
        <v>45947.0</v>
      </c>
      <c r="G8" s="144">
        <v>45962.0</v>
      </c>
      <c r="H8" s="145" t="s">
        <v>161</v>
      </c>
      <c r="I8" s="146"/>
      <c r="J8" s="150" t="s">
        <v>163</v>
      </c>
    </row>
    <row r="9">
      <c r="A9" s="131" t="s">
        <v>179</v>
      </c>
      <c r="B9" s="152" t="s">
        <v>180</v>
      </c>
      <c r="C9" s="80"/>
      <c r="D9" s="81"/>
      <c r="E9" s="153" t="s">
        <v>181</v>
      </c>
      <c r="F9" s="149">
        <v>45945.0</v>
      </c>
      <c r="G9" s="136">
        <v>46022.0</v>
      </c>
      <c r="H9" s="154" t="s">
        <v>161</v>
      </c>
      <c r="I9" s="154" t="s">
        <v>182</v>
      </c>
      <c r="J9" s="139" t="s">
        <v>163</v>
      </c>
    </row>
    <row r="10">
      <c r="A10" s="130" t="s">
        <v>183</v>
      </c>
      <c r="B10" s="56"/>
      <c r="C10" s="56"/>
      <c r="D10" s="56"/>
      <c r="E10" s="56"/>
      <c r="F10" s="56"/>
      <c r="G10" s="56"/>
      <c r="H10" s="56"/>
      <c r="I10" s="56"/>
      <c r="J10" s="57"/>
    </row>
    <row r="11">
      <c r="A11" s="131" t="s">
        <v>184</v>
      </c>
      <c r="B11" s="132"/>
      <c r="C11" s="132" t="s">
        <v>165</v>
      </c>
      <c r="D11" s="133" t="s">
        <v>185</v>
      </c>
      <c r="E11" s="148"/>
      <c r="F11" s="135"/>
      <c r="G11" s="155"/>
      <c r="H11" s="151"/>
      <c r="I11" s="156"/>
      <c r="J11" s="157"/>
    </row>
    <row r="12">
      <c r="A12" s="131" t="s">
        <v>184</v>
      </c>
      <c r="B12" s="140" t="s">
        <v>186</v>
      </c>
      <c r="C12" s="140" t="s">
        <v>165</v>
      </c>
      <c r="D12" s="141" t="s">
        <v>170</v>
      </c>
      <c r="E12" s="142" t="s">
        <v>187</v>
      </c>
      <c r="F12" s="158">
        <v>45931.0</v>
      </c>
      <c r="G12" s="159">
        <v>45960.0</v>
      </c>
      <c r="H12" s="145" t="s">
        <v>130</v>
      </c>
      <c r="I12" s="160">
        <v>1214578.0</v>
      </c>
      <c r="J12" s="161" t="s">
        <v>163</v>
      </c>
    </row>
    <row r="13">
      <c r="A13" s="131" t="s">
        <v>184</v>
      </c>
      <c r="B13" s="132" t="s">
        <v>164</v>
      </c>
      <c r="C13" s="132" t="s">
        <v>165</v>
      </c>
      <c r="D13" s="133" t="s">
        <v>188</v>
      </c>
      <c r="E13" s="148" t="s">
        <v>189</v>
      </c>
      <c r="F13" s="135">
        <v>45931.0</v>
      </c>
      <c r="G13" s="155">
        <v>45960.0</v>
      </c>
      <c r="H13" s="137" t="s">
        <v>130</v>
      </c>
      <c r="I13" s="156">
        <v>1209327.0</v>
      </c>
      <c r="J13" s="157" t="s">
        <v>163</v>
      </c>
    </row>
    <row r="14" ht="20.25" customHeight="1">
      <c r="A14" s="131" t="s">
        <v>190</v>
      </c>
      <c r="B14" s="162" t="s">
        <v>191</v>
      </c>
      <c r="C14" s="162" t="s">
        <v>192</v>
      </c>
      <c r="D14" s="163" t="s">
        <v>193</v>
      </c>
      <c r="E14" s="164" t="s">
        <v>194</v>
      </c>
      <c r="F14" s="165">
        <v>45945.0</v>
      </c>
      <c r="G14" s="166">
        <v>45976.0</v>
      </c>
      <c r="H14" s="167" t="s">
        <v>130</v>
      </c>
      <c r="I14" s="168">
        <v>1231022.0</v>
      </c>
      <c r="J14" s="161" t="s">
        <v>163</v>
      </c>
    </row>
    <row r="15" ht="40.5" customHeight="1">
      <c r="A15" s="169" t="s">
        <v>195</v>
      </c>
      <c r="B15" s="80"/>
      <c r="C15" s="80"/>
      <c r="D15" s="80"/>
      <c r="E15" s="80"/>
      <c r="F15" s="80"/>
      <c r="G15" s="80"/>
      <c r="H15" s="80"/>
      <c r="I15" s="80"/>
      <c r="J15" s="81"/>
    </row>
    <row r="16" ht="45.0" customHeight="1">
      <c r="A16" s="130" t="s">
        <v>196</v>
      </c>
      <c r="B16" s="56"/>
      <c r="C16" s="56"/>
      <c r="D16" s="56"/>
      <c r="E16" s="56"/>
      <c r="F16" s="56"/>
      <c r="G16" s="56"/>
      <c r="H16" s="56"/>
      <c r="I16" s="56"/>
      <c r="J16" s="57"/>
    </row>
    <row r="17">
      <c r="A17" s="131" t="s">
        <v>197</v>
      </c>
      <c r="B17" s="132" t="s">
        <v>198</v>
      </c>
      <c r="C17" s="132" t="s">
        <v>199</v>
      </c>
      <c r="D17" s="133" t="s">
        <v>200</v>
      </c>
      <c r="E17" s="148" t="s">
        <v>201</v>
      </c>
      <c r="F17" s="149">
        <v>45931.0</v>
      </c>
      <c r="G17" s="155">
        <v>45960.0</v>
      </c>
      <c r="H17" s="137" t="s">
        <v>161</v>
      </c>
      <c r="I17" s="138" t="s">
        <v>202</v>
      </c>
      <c r="J17" s="157" t="s">
        <v>163</v>
      </c>
    </row>
    <row r="18">
      <c r="A18" s="131" t="s">
        <v>203</v>
      </c>
      <c r="B18" s="140" t="s">
        <v>204</v>
      </c>
      <c r="C18" s="140" t="s">
        <v>176</v>
      </c>
      <c r="D18" s="141" t="s">
        <v>205</v>
      </c>
      <c r="E18" s="142" t="s">
        <v>206</v>
      </c>
      <c r="F18" s="158">
        <v>45931.0</v>
      </c>
      <c r="G18" s="159">
        <v>45960.0</v>
      </c>
      <c r="H18" s="145" t="s">
        <v>130</v>
      </c>
      <c r="I18" s="170" t="s">
        <v>207</v>
      </c>
      <c r="J18" s="171" t="s">
        <v>163</v>
      </c>
    </row>
    <row r="19" ht="33.0" customHeight="1">
      <c r="A19" s="172"/>
      <c r="B19" s="172"/>
      <c r="C19" s="172"/>
      <c r="D19" s="172"/>
      <c r="E19" s="173"/>
      <c r="F19" s="174"/>
      <c r="G19" s="175"/>
      <c r="H19" s="151"/>
      <c r="I19" s="174"/>
      <c r="J19" s="176"/>
    </row>
    <row r="20" ht="33.0" customHeight="1">
      <c r="A20" s="177"/>
      <c r="B20" s="177"/>
      <c r="C20" s="177"/>
      <c r="D20" s="177"/>
      <c r="E20" s="178"/>
      <c r="F20" s="179"/>
      <c r="G20" s="180"/>
      <c r="H20" s="167"/>
      <c r="I20" s="179"/>
      <c r="J20" s="181"/>
    </row>
    <row r="21" ht="33.0" customHeight="1">
      <c r="A21" s="172"/>
      <c r="B21" s="172"/>
      <c r="C21" s="172"/>
      <c r="D21" s="172"/>
      <c r="E21" s="173"/>
      <c r="F21" s="174"/>
      <c r="G21" s="175"/>
      <c r="H21" s="151"/>
      <c r="I21" s="174"/>
      <c r="J21" s="176"/>
    </row>
    <row r="22" ht="33.0" customHeight="1">
      <c r="A22" s="177"/>
      <c r="B22" s="177"/>
      <c r="C22" s="177"/>
      <c r="D22" s="177"/>
      <c r="E22" s="178"/>
      <c r="F22" s="179"/>
      <c r="G22" s="180"/>
      <c r="H22" s="167"/>
      <c r="I22" s="179"/>
      <c r="J22" s="181"/>
    </row>
    <row r="23" ht="33.0" customHeight="1">
      <c r="A23" s="172"/>
      <c r="B23" s="172"/>
      <c r="C23" s="172"/>
      <c r="D23" s="172"/>
      <c r="E23" s="173"/>
      <c r="F23" s="174"/>
      <c r="G23" s="175"/>
      <c r="H23" s="151"/>
      <c r="I23" s="174"/>
      <c r="J23" s="176"/>
    </row>
    <row r="24" ht="33.0" customHeight="1">
      <c r="A24" s="177"/>
      <c r="B24" s="177"/>
      <c r="C24" s="177"/>
      <c r="D24" s="177"/>
      <c r="E24" s="178"/>
      <c r="F24" s="179"/>
      <c r="G24" s="180"/>
      <c r="H24" s="167"/>
      <c r="I24" s="179"/>
      <c r="J24" s="181"/>
    </row>
    <row r="25" ht="33.0" customHeight="1">
      <c r="A25" s="172"/>
      <c r="B25" s="172"/>
      <c r="C25" s="172"/>
      <c r="D25" s="172"/>
      <c r="E25" s="173"/>
      <c r="F25" s="174"/>
      <c r="G25" s="175"/>
      <c r="H25" s="151"/>
      <c r="I25" s="174"/>
      <c r="J25" s="176"/>
    </row>
    <row r="26" ht="33.0" customHeight="1">
      <c r="A26" s="177"/>
      <c r="B26" s="177"/>
      <c r="C26" s="177"/>
      <c r="D26" s="177"/>
      <c r="E26" s="178"/>
      <c r="F26" s="179"/>
      <c r="G26" s="180"/>
      <c r="H26" s="167"/>
      <c r="I26" s="179"/>
      <c r="J26" s="181"/>
    </row>
    <row r="27" ht="33.0" customHeight="1">
      <c r="A27" s="172"/>
      <c r="B27" s="172"/>
      <c r="C27" s="172"/>
      <c r="D27" s="172"/>
      <c r="E27" s="173"/>
      <c r="F27" s="174"/>
      <c r="G27" s="175"/>
      <c r="H27" s="151"/>
      <c r="I27" s="174"/>
      <c r="J27" s="176"/>
    </row>
    <row r="28" ht="33.0" customHeight="1">
      <c r="A28" s="177"/>
      <c r="B28" s="177"/>
      <c r="C28" s="177"/>
      <c r="D28" s="177"/>
      <c r="E28" s="178"/>
      <c r="F28" s="179"/>
      <c r="G28" s="180"/>
      <c r="H28" s="167"/>
      <c r="I28" s="179"/>
      <c r="J28" s="181"/>
    </row>
    <row r="29" ht="33.0" customHeight="1">
      <c r="A29" s="172"/>
      <c r="B29" s="172"/>
      <c r="C29" s="172"/>
      <c r="D29" s="172"/>
      <c r="E29" s="173"/>
      <c r="F29" s="174"/>
      <c r="G29" s="175"/>
      <c r="H29" s="151"/>
      <c r="I29" s="174"/>
      <c r="J29" s="176"/>
    </row>
    <row r="30" ht="33.0" customHeight="1">
      <c r="A30" s="177"/>
      <c r="B30" s="177"/>
      <c r="C30" s="177"/>
      <c r="D30" s="177"/>
      <c r="E30" s="178"/>
      <c r="F30" s="179"/>
      <c r="G30" s="180"/>
      <c r="H30" s="167"/>
      <c r="I30" s="179"/>
      <c r="J30" s="181"/>
    </row>
    <row r="31" ht="33.0" customHeight="1">
      <c r="A31" s="172"/>
      <c r="B31" s="172"/>
      <c r="C31" s="172"/>
      <c r="D31" s="172"/>
      <c r="E31" s="173"/>
      <c r="F31" s="174"/>
      <c r="G31" s="175"/>
      <c r="H31" s="151"/>
      <c r="I31" s="174"/>
      <c r="J31" s="176"/>
    </row>
    <row r="32" ht="33.0" customHeight="1">
      <c r="A32" s="182"/>
      <c r="B32" s="182"/>
      <c r="C32" s="182"/>
      <c r="D32" s="183"/>
      <c r="E32" s="184"/>
      <c r="F32" s="184"/>
      <c r="G32" s="185"/>
      <c r="H32" s="186"/>
      <c r="I32" s="187"/>
      <c r="J32" s="187"/>
    </row>
    <row r="33" ht="33.0" customHeight="1">
      <c r="A33" s="188"/>
      <c r="B33" s="189"/>
      <c r="C33" s="189"/>
      <c r="D33" s="189"/>
      <c r="E33" s="190"/>
      <c r="F33" s="191"/>
      <c r="G33" s="192"/>
      <c r="H33" s="193"/>
      <c r="I33" s="194"/>
      <c r="J33" s="195"/>
    </row>
    <row r="34" ht="33.0" customHeight="1">
      <c r="A34" s="188"/>
      <c r="B34" s="189"/>
      <c r="C34" s="189"/>
      <c r="D34" s="189"/>
      <c r="E34" s="190"/>
      <c r="F34" s="191"/>
      <c r="G34" s="192"/>
      <c r="H34" s="193"/>
      <c r="I34" s="194"/>
      <c r="J34" s="195"/>
    </row>
    <row r="35" ht="33.0" customHeight="1">
      <c r="A35" s="188"/>
      <c r="B35" s="189"/>
      <c r="C35" s="189"/>
      <c r="D35" s="189"/>
      <c r="E35" s="190"/>
      <c r="F35" s="191"/>
      <c r="G35" s="192"/>
      <c r="H35" s="193"/>
      <c r="I35" s="194"/>
      <c r="J35" s="195"/>
    </row>
    <row r="36" ht="33.0" customHeight="1">
      <c r="A36" s="188"/>
      <c r="B36" s="189"/>
      <c r="C36" s="189"/>
      <c r="D36" s="189"/>
      <c r="E36" s="190"/>
      <c r="F36" s="191"/>
      <c r="G36" s="192"/>
      <c r="H36" s="193"/>
      <c r="I36" s="194"/>
      <c r="J36" s="195"/>
    </row>
    <row r="37" ht="33.0" customHeight="1">
      <c r="A37" s="188"/>
      <c r="B37" s="189"/>
      <c r="C37" s="189"/>
      <c r="D37" s="189"/>
      <c r="E37" s="190"/>
      <c r="F37" s="191"/>
      <c r="G37" s="192"/>
      <c r="H37" s="193"/>
      <c r="I37" s="194"/>
      <c r="J37" s="195"/>
    </row>
    <row r="38" ht="33.0" customHeight="1">
      <c r="A38" s="188"/>
      <c r="B38" s="189"/>
      <c r="C38" s="189"/>
      <c r="D38" s="189"/>
      <c r="E38" s="190"/>
      <c r="F38" s="191"/>
      <c r="G38" s="192"/>
      <c r="H38" s="193"/>
      <c r="I38" s="194"/>
      <c r="J38" s="195"/>
    </row>
    <row r="39" ht="33.0" customHeight="1">
      <c r="A39" s="188"/>
      <c r="B39" s="189"/>
      <c r="C39" s="189"/>
      <c r="D39" s="189"/>
      <c r="E39" s="190"/>
      <c r="F39" s="191"/>
      <c r="G39" s="192"/>
      <c r="H39" s="193"/>
      <c r="I39" s="194"/>
      <c r="J39" s="195"/>
    </row>
    <row r="40" ht="33.0" customHeight="1">
      <c r="A40" s="188"/>
      <c r="B40" s="189"/>
      <c r="C40" s="189"/>
      <c r="D40" s="189"/>
      <c r="E40" s="190"/>
      <c r="F40" s="191"/>
      <c r="G40" s="192"/>
      <c r="H40" s="193"/>
      <c r="I40" s="194"/>
      <c r="J40" s="195"/>
    </row>
    <row r="41" ht="33.0" customHeight="1">
      <c r="A41" s="188"/>
      <c r="B41" s="189"/>
      <c r="C41" s="189"/>
      <c r="D41" s="189"/>
      <c r="E41" s="190"/>
      <c r="F41" s="191"/>
      <c r="G41" s="192"/>
      <c r="H41" s="193"/>
      <c r="I41" s="194"/>
      <c r="J41" s="195"/>
    </row>
    <row r="42" ht="33.0" customHeight="1">
      <c r="A42" s="188"/>
      <c r="B42" s="189"/>
      <c r="C42" s="189"/>
      <c r="D42" s="189"/>
      <c r="E42" s="190"/>
      <c r="F42" s="191"/>
      <c r="G42" s="192"/>
      <c r="H42" s="193"/>
      <c r="I42" s="194"/>
      <c r="J42" s="195"/>
    </row>
    <row r="43" ht="33.0" customHeight="1">
      <c r="A43" s="188"/>
      <c r="B43" s="189"/>
      <c r="C43" s="189"/>
      <c r="D43" s="189"/>
      <c r="E43" s="190"/>
      <c r="F43" s="191"/>
      <c r="G43" s="192"/>
      <c r="H43" s="193"/>
      <c r="I43" s="194"/>
      <c r="J43" s="195"/>
    </row>
    <row r="44" ht="33.0" customHeight="1">
      <c r="A44" s="188"/>
      <c r="B44" s="189"/>
      <c r="C44" s="189"/>
      <c r="D44" s="189"/>
      <c r="E44" s="190"/>
      <c r="F44" s="191"/>
      <c r="G44" s="192"/>
      <c r="H44" s="193"/>
      <c r="I44" s="194"/>
      <c r="J44" s="195"/>
    </row>
    <row r="45" ht="33.0" customHeight="1">
      <c r="A45" s="188"/>
      <c r="B45" s="189"/>
      <c r="C45" s="189"/>
      <c r="D45" s="189"/>
      <c r="E45" s="190"/>
      <c r="F45" s="191"/>
      <c r="G45" s="192"/>
      <c r="H45" s="193"/>
      <c r="I45" s="194"/>
      <c r="J45" s="195"/>
    </row>
    <row r="46" ht="33.0" customHeight="1">
      <c r="A46" s="188"/>
      <c r="B46" s="189"/>
      <c r="C46" s="189"/>
      <c r="D46" s="189"/>
      <c r="E46" s="190"/>
      <c r="F46" s="191"/>
      <c r="G46" s="192"/>
      <c r="H46" s="193"/>
      <c r="I46" s="194"/>
      <c r="J46" s="195"/>
    </row>
    <row r="47" ht="33.0" customHeight="1">
      <c r="A47" s="188"/>
      <c r="B47" s="189"/>
      <c r="C47" s="189"/>
      <c r="D47" s="189"/>
      <c r="E47" s="190"/>
      <c r="F47" s="191"/>
      <c r="G47" s="192"/>
      <c r="H47" s="193"/>
      <c r="I47" s="194"/>
      <c r="J47" s="195"/>
    </row>
    <row r="48" ht="33.0" customHeight="1">
      <c r="A48" s="188"/>
      <c r="B48" s="189"/>
      <c r="C48" s="189"/>
      <c r="D48" s="189"/>
      <c r="E48" s="190"/>
      <c r="F48" s="191"/>
      <c r="G48" s="192"/>
      <c r="H48" s="193"/>
      <c r="I48" s="194"/>
      <c r="J48" s="195"/>
    </row>
    <row r="49" ht="33.0" customHeight="1">
      <c r="A49" s="188"/>
      <c r="B49" s="189"/>
      <c r="C49" s="189"/>
      <c r="D49" s="189"/>
      <c r="E49" s="190"/>
      <c r="F49" s="191"/>
      <c r="G49" s="192"/>
      <c r="H49" s="193"/>
      <c r="I49" s="194"/>
      <c r="J49" s="195"/>
    </row>
    <row r="50" ht="33.0" customHeight="1">
      <c r="A50" s="188"/>
      <c r="B50" s="189"/>
      <c r="C50" s="189"/>
      <c r="D50" s="189"/>
      <c r="E50" s="190"/>
      <c r="F50" s="191"/>
      <c r="G50" s="192"/>
      <c r="H50" s="193"/>
      <c r="I50" s="194"/>
      <c r="J50" s="195"/>
    </row>
    <row r="51" ht="33.0" customHeight="1">
      <c r="A51" s="188"/>
      <c r="B51" s="189"/>
      <c r="C51" s="189"/>
      <c r="D51" s="189"/>
      <c r="E51" s="190"/>
      <c r="F51" s="191"/>
      <c r="G51" s="192"/>
      <c r="H51" s="193"/>
      <c r="I51" s="194"/>
      <c r="J51" s="195"/>
    </row>
    <row r="52" ht="33.0" customHeight="1">
      <c r="A52" s="188"/>
      <c r="B52" s="189"/>
      <c r="C52" s="189"/>
      <c r="D52" s="189"/>
      <c r="E52" s="190"/>
      <c r="F52" s="191"/>
      <c r="G52" s="192"/>
      <c r="H52" s="193"/>
      <c r="I52" s="194"/>
      <c r="J52" s="195"/>
    </row>
    <row r="53" ht="33.0" customHeight="1">
      <c r="A53" s="188"/>
      <c r="B53" s="189"/>
      <c r="C53" s="189"/>
      <c r="D53" s="189"/>
      <c r="E53" s="190"/>
      <c r="F53" s="191"/>
      <c r="G53" s="192"/>
      <c r="H53" s="193"/>
      <c r="I53" s="194"/>
      <c r="J53" s="195"/>
    </row>
    <row r="54" ht="33.0" customHeight="1">
      <c r="A54" s="188"/>
      <c r="B54" s="189"/>
      <c r="C54" s="189"/>
      <c r="D54" s="189"/>
      <c r="E54" s="190"/>
      <c r="F54" s="191"/>
      <c r="G54" s="192"/>
      <c r="H54" s="193"/>
      <c r="I54" s="194"/>
      <c r="J54" s="195"/>
    </row>
    <row r="55" ht="33.0" customHeight="1">
      <c r="A55" s="188"/>
      <c r="B55" s="189"/>
      <c r="C55" s="189"/>
      <c r="D55" s="189"/>
      <c r="E55" s="190"/>
      <c r="F55" s="191"/>
      <c r="G55" s="192"/>
      <c r="H55" s="193"/>
      <c r="I55" s="194"/>
      <c r="J55" s="195"/>
    </row>
    <row r="56" ht="33.0" customHeight="1">
      <c r="A56" s="188"/>
      <c r="B56" s="189"/>
      <c r="C56" s="189"/>
      <c r="D56" s="189"/>
      <c r="E56" s="190"/>
      <c r="F56" s="191"/>
      <c r="G56" s="192"/>
      <c r="H56" s="193"/>
      <c r="I56" s="194"/>
      <c r="J56" s="195"/>
    </row>
    <row r="57" ht="33.0" customHeight="1">
      <c r="A57" s="188"/>
      <c r="B57" s="189"/>
      <c r="C57" s="189"/>
      <c r="D57" s="189"/>
      <c r="E57" s="190"/>
      <c r="F57" s="191"/>
      <c r="G57" s="192"/>
      <c r="H57" s="193"/>
      <c r="I57" s="194"/>
      <c r="J57" s="195"/>
    </row>
    <row r="58" ht="33.0" customHeight="1">
      <c r="A58" s="188"/>
      <c r="B58" s="189"/>
      <c r="C58" s="189"/>
      <c r="D58" s="189"/>
      <c r="E58" s="190"/>
      <c r="F58" s="191"/>
      <c r="G58" s="192"/>
      <c r="H58" s="193"/>
      <c r="I58" s="194"/>
      <c r="J58" s="195"/>
    </row>
    <row r="59" ht="33.0" customHeight="1">
      <c r="A59" s="188"/>
      <c r="B59" s="189"/>
      <c r="C59" s="189"/>
      <c r="D59" s="189"/>
      <c r="E59" s="190"/>
      <c r="F59" s="191"/>
      <c r="G59" s="192"/>
      <c r="H59" s="193"/>
      <c r="I59" s="194"/>
      <c r="J59" s="195"/>
    </row>
    <row r="60" ht="33.0" customHeight="1">
      <c r="A60" s="188"/>
      <c r="B60" s="189"/>
      <c r="C60" s="189"/>
      <c r="D60" s="189"/>
      <c r="E60" s="190"/>
      <c r="F60" s="191"/>
      <c r="G60" s="192"/>
      <c r="H60" s="193"/>
      <c r="I60" s="194"/>
      <c r="J60" s="195"/>
    </row>
    <row r="61" ht="33.0" customHeight="1">
      <c r="A61" s="188"/>
      <c r="B61" s="189"/>
      <c r="C61" s="189"/>
      <c r="D61" s="189"/>
      <c r="E61" s="190"/>
      <c r="F61" s="191"/>
      <c r="G61" s="192"/>
      <c r="H61" s="193"/>
      <c r="I61" s="194"/>
      <c r="J61" s="195"/>
    </row>
    <row r="62" ht="33.0" customHeight="1">
      <c r="A62" s="188"/>
      <c r="B62" s="189"/>
      <c r="C62" s="189"/>
      <c r="D62" s="189"/>
      <c r="E62" s="190"/>
      <c r="F62" s="191"/>
      <c r="G62" s="192"/>
      <c r="H62" s="193"/>
      <c r="I62" s="194"/>
      <c r="J62" s="195"/>
    </row>
    <row r="63" ht="33.0" customHeight="1">
      <c r="A63" s="188"/>
      <c r="B63" s="189"/>
      <c r="C63" s="189"/>
      <c r="D63" s="189"/>
      <c r="E63" s="190"/>
      <c r="F63" s="191"/>
      <c r="G63" s="192"/>
      <c r="H63" s="193"/>
      <c r="I63" s="194"/>
      <c r="J63" s="195"/>
    </row>
    <row r="64" ht="33.0" customHeight="1">
      <c r="A64" s="188"/>
      <c r="B64" s="189"/>
      <c r="C64" s="189"/>
      <c r="D64" s="189"/>
      <c r="E64" s="190"/>
      <c r="F64" s="191"/>
      <c r="G64" s="192"/>
      <c r="H64" s="193"/>
      <c r="I64" s="194"/>
      <c r="J64" s="195"/>
    </row>
    <row r="65" ht="33.0" customHeight="1">
      <c r="A65" s="188"/>
      <c r="B65" s="189"/>
      <c r="C65" s="189"/>
      <c r="D65" s="189"/>
      <c r="E65" s="190"/>
      <c r="F65" s="191"/>
      <c r="G65" s="192"/>
      <c r="H65" s="193"/>
      <c r="I65" s="194"/>
      <c r="J65" s="195"/>
    </row>
    <row r="66" ht="33.0" customHeight="1">
      <c r="A66" s="188"/>
      <c r="B66" s="189"/>
      <c r="C66" s="189"/>
      <c r="D66" s="189"/>
      <c r="E66" s="190"/>
      <c r="F66" s="191"/>
      <c r="G66" s="192"/>
      <c r="H66" s="193"/>
      <c r="I66" s="194"/>
      <c r="J66" s="195"/>
    </row>
    <row r="67" ht="33.0" customHeight="1">
      <c r="A67" s="188"/>
      <c r="B67" s="189"/>
      <c r="C67" s="189"/>
      <c r="D67" s="189"/>
      <c r="E67" s="190"/>
      <c r="F67" s="191"/>
      <c r="G67" s="192"/>
      <c r="H67" s="193"/>
      <c r="I67" s="194"/>
      <c r="J67" s="195"/>
    </row>
    <row r="68" ht="33.0" customHeight="1">
      <c r="A68" s="188"/>
      <c r="B68" s="189"/>
      <c r="C68" s="189"/>
      <c r="D68" s="189"/>
      <c r="E68" s="190"/>
      <c r="F68" s="191"/>
      <c r="G68" s="192"/>
      <c r="H68" s="193"/>
      <c r="I68" s="194"/>
      <c r="J68" s="195"/>
    </row>
    <row r="69" ht="33.0" customHeight="1">
      <c r="A69" s="188"/>
      <c r="B69" s="189"/>
      <c r="C69" s="189"/>
      <c r="D69" s="189"/>
      <c r="E69" s="190"/>
      <c r="F69" s="191"/>
      <c r="G69" s="192"/>
      <c r="H69" s="193"/>
      <c r="I69" s="194"/>
      <c r="J69" s="195"/>
    </row>
    <row r="70" ht="33.0" customHeight="1">
      <c r="A70" s="188"/>
      <c r="B70" s="189"/>
      <c r="C70" s="189"/>
      <c r="D70" s="189"/>
      <c r="E70" s="190"/>
      <c r="F70" s="191"/>
      <c r="G70" s="192"/>
      <c r="H70" s="193"/>
      <c r="I70" s="194"/>
      <c r="J70" s="195"/>
    </row>
    <row r="71" ht="33.0" customHeight="1">
      <c r="A71" s="188"/>
      <c r="B71" s="189"/>
      <c r="C71" s="189"/>
      <c r="D71" s="189"/>
      <c r="E71" s="190"/>
      <c r="F71" s="191"/>
      <c r="G71" s="192"/>
      <c r="H71" s="193"/>
      <c r="I71" s="194"/>
      <c r="J71" s="195"/>
    </row>
    <row r="72" ht="33.0" customHeight="1">
      <c r="A72" s="188"/>
      <c r="B72" s="189"/>
      <c r="C72" s="189"/>
      <c r="D72" s="189"/>
      <c r="E72" s="190"/>
      <c r="F72" s="191"/>
      <c r="G72" s="192"/>
      <c r="H72" s="193"/>
      <c r="I72" s="194"/>
      <c r="J72" s="195"/>
    </row>
    <row r="73" ht="33.0" customHeight="1">
      <c r="A73" s="188"/>
      <c r="B73" s="189"/>
      <c r="C73" s="189"/>
      <c r="D73" s="189"/>
      <c r="E73" s="190"/>
      <c r="F73" s="191"/>
      <c r="G73" s="192"/>
      <c r="H73" s="193"/>
      <c r="I73" s="194"/>
      <c r="J73" s="195"/>
    </row>
    <row r="74" ht="33.0" customHeight="1">
      <c r="A74" s="188"/>
      <c r="B74" s="189"/>
      <c r="C74" s="189"/>
      <c r="D74" s="189"/>
      <c r="E74" s="190"/>
      <c r="F74" s="191"/>
      <c r="G74" s="192"/>
      <c r="H74" s="193"/>
      <c r="I74" s="194"/>
      <c r="J74" s="195"/>
    </row>
    <row r="75" ht="33.0" customHeight="1">
      <c r="A75" s="188"/>
      <c r="B75" s="189"/>
      <c r="C75" s="189"/>
      <c r="D75" s="189"/>
      <c r="E75" s="190"/>
      <c r="F75" s="191"/>
      <c r="G75" s="192"/>
      <c r="H75" s="193"/>
      <c r="I75" s="194"/>
      <c r="J75" s="195"/>
    </row>
    <row r="76" ht="33.0" customHeight="1">
      <c r="A76" s="188"/>
      <c r="B76" s="189"/>
      <c r="C76" s="189"/>
      <c r="D76" s="189"/>
      <c r="E76" s="190"/>
      <c r="F76" s="191"/>
      <c r="G76" s="192"/>
      <c r="H76" s="193"/>
      <c r="I76" s="194"/>
      <c r="J76" s="195"/>
    </row>
    <row r="77" ht="33.0" customHeight="1">
      <c r="A77" s="188"/>
      <c r="B77" s="189"/>
      <c r="C77" s="189"/>
      <c r="D77" s="189"/>
      <c r="E77" s="190"/>
      <c r="F77" s="191"/>
      <c r="G77" s="192"/>
      <c r="H77" s="193"/>
      <c r="I77" s="194"/>
      <c r="J77" s="195"/>
    </row>
    <row r="78" ht="33.0" customHeight="1">
      <c r="A78" s="188"/>
      <c r="B78" s="189"/>
      <c r="C78" s="189"/>
      <c r="D78" s="189"/>
      <c r="E78" s="190"/>
      <c r="F78" s="191"/>
      <c r="G78" s="192"/>
      <c r="H78" s="193"/>
      <c r="I78" s="194"/>
      <c r="J78" s="195"/>
    </row>
    <row r="79" ht="33.0" customHeight="1">
      <c r="A79" s="188"/>
      <c r="B79" s="189"/>
      <c r="C79" s="189"/>
      <c r="D79" s="189"/>
      <c r="E79" s="190"/>
      <c r="F79" s="191"/>
      <c r="G79" s="192"/>
      <c r="H79" s="193"/>
      <c r="I79" s="194"/>
      <c r="J79" s="195"/>
    </row>
    <row r="80" ht="33.0" customHeight="1">
      <c r="A80" s="188"/>
      <c r="B80" s="189"/>
      <c r="C80" s="189"/>
      <c r="D80" s="189"/>
      <c r="E80" s="190"/>
      <c r="F80" s="191"/>
      <c r="G80" s="192"/>
      <c r="H80" s="193"/>
      <c r="I80" s="194"/>
      <c r="J80" s="195"/>
    </row>
    <row r="81" ht="33.0" customHeight="1">
      <c r="A81" s="188"/>
      <c r="B81" s="189"/>
      <c r="C81" s="189"/>
      <c r="D81" s="189"/>
      <c r="E81" s="190"/>
      <c r="F81" s="191"/>
      <c r="G81" s="192"/>
      <c r="H81" s="193"/>
      <c r="I81" s="194"/>
      <c r="J81" s="195"/>
    </row>
    <row r="82" ht="33.0" customHeight="1">
      <c r="A82" s="188"/>
      <c r="B82" s="189"/>
      <c r="C82" s="189"/>
      <c r="D82" s="189"/>
      <c r="E82" s="190"/>
      <c r="F82" s="191"/>
      <c r="G82" s="192"/>
      <c r="H82" s="193"/>
      <c r="I82" s="194"/>
      <c r="J82" s="195"/>
    </row>
    <row r="83" ht="33.0" customHeight="1">
      <c r="A83" s="188"/>
      <c r="B83" s="189"/>
      <c r="C83" s="189"/>
      <c r="D83" s="189"/>
      <c r="E83" s="190"/>
      <c r="F83" s="191"/>
      <c r="G83" s="192"/>
      <c r="H83" s="193"/>
      <c r="I83" s="194"/>
      <c r="J83" s="195"/>
    </row>
    <row r="84" ht="33.0" customHeight="1">
      <c r="A84" s="188"/>
      <c r="B84" s="189"/>
      <c r="C84" s="189"/>
      <c r="D84" s="189"/>
      <c r="E84" s="190"/>
      <c r="F84" s="191"/>
      <c r="G84" s="192"/>
      <c r="H84" s="193"/>
      <c r="I84" s="194"/>
      <c r="J84" s="195"/>
    </row>
    <row r="85" ht="33.0" customHeight="1">
      <c r="A85" s="188"/>
      <c r="B85" s="189"/>
      <c r="C85" s="189"/>
      <c r="D85" s="189"/>
      <c r="E85" s="190"/>
      <c r="F85" s="191"/>
      <c r="G85" s="192"/>
      <c r="H85" s="193"/>
      <c r="I85" s="194"/>
      <c r="J85" s="195"/>
    </row>
    <row r="86" ht="33.0" customHeight="1">
      <c r="A86" s="188"/>
      <c r="B86" s="189"/>
      <c r="C86" s="189"/>
      <c r="D86" s="189"/>
      <c r="E86" s="190"/>
      <c r="F86" s="191"/>
      <c r="G86" s="192"/>
      <c r="H86" s="193"/>
      <c r="I86" s="194"/>
      <c r="J86" s="195"/>
    </row>
    <row r="87" ht="33.0" customHeight="1">
      <c r="A87" s="188"/>
      <c r="B87" s="189"/>
      <c r="C87" s="189"/>
      <c r="D87" s="189"/>
      <c r="E87" s="190"/>
      <c r="F87" s="191"/>
      <c r="G87" s="192"/>
      <c r="H87" s="193"/>
      <c r="I87" s="194"/>
      <c r="J87" s="195"/>
    </row>
    <row r="88" ht="33.0" customHeight="1">
      <c r="A88" s="188"/>
      <c r="B88" s="189"/>
      <c r="C88" s="189"/>
      <c r="D88" s="189"/>
      <c r="E88" s="190"/>
      <c r="F88" s="191"/>
      <c r="G88" s="192"/>
      <c r="H88" s="193"/>
      <c r="I88" s="194"/>
      <c r="J88" s="195"/>
    </row>
    <row r="89" ht="33.0" customHeight="1">
      <c r="A89" s="188"/>
      <c r="B89" s="189"/>
      <c r="C89" s="189"/>
      <c r="D89" s="189"/>
      <c r="E89" s="190"/>
      <c r="F89" s="191"/>
      <c r="G89" s="192"/>
      <c r="H89" s="193"/>
      <c r="I89" s="194"/>
      <c r="J89" s="195"/>
    </row>
    <row r="90" ht="33.0" customHeight="1">
      <c r="A90" s="188"/>
      <c r="B90" s="189"/>
      <c r="C90" s="189"/>
      <c r="D90" s="189"/>
      <c r="E90" s="190"/>
      <c r="F90" s="191"/>
      <c r="G90" s="192"/>
      <c r="H90" s="193"/>
      <c r="I90" s="194"/>
      <c r="J90" s="195"/>
    </row>
    <row r="91" ht="33.0" customHeight="1">
      <c r="A91" s="188"/>
      <c r="B91" s="189"/>
      <c r="C91" s="189"/>
      <c r="D91" s="189"/>
      <c r="E91" s="190"/>
      <c r="F91" s="191"/>
      <c r="G91" s="192"/>
      <c r="H91" s="193"/>
      <c r="I91" s="194"/>
      <c r="J91" s="195"/>
    </row>
    <row r="92" ht="33.0" customHeight="1">
      <c r="A92" s="188"/>
      <c r="B92" s="189"/>
      <c r="C92" s="189"/>
      <c r="D92" s="189"/>
      <c r="E92" s="190"/>
      <c r="F92" s="191"/>
      <c r="G92" s="192"/>
      <c r="H92" s="193"/>
      <c r="I92" s="194"/>
      <c r="J92" s="195"/>
    </row>
    <row r="93" ht="33.0" customHeight="1">
      <c r="A93" s="188"/>
      <c r="B93" s="189"/>
      <c r="C93" s="189"/>
      <c r="D93" s="189"/>
      <c r="E93" s="190"/>
      <c r="F93" s="191"/>
      <c r="G93" s="192"/>
      <c r="H93" s="193"/>
      <c r="I93" s="194"/>
      <c r="J93" s="195"/>
    </row>
    <row r="94" ht="33.0" customHeight="1">
      <c r="A94" s="188"/>
      <c r="B94" s="189"/>
      <c r="C94" s="189"/>
      <c r="D94" s="189"/>
      <c r="E94" s="190"/>
      <c r="F94" s="191"/>
      <c r="G94" s="192"/>
      <c r="H94" s="193"/>
      <c r="I94" s="194"/>
      <c r="J94" s="195"/>
    </row>
    <row r="95" ht="33.0" customHeight="1">
      <c r="A95" s="188"/>
      <c r="B95" s="189"/>
      <c r="C95" s="189"/>
      <c r="D95" s="189"/>
      <c r="E95" s="190"/>
      <c r="F95" s="191"/>
      <c r="G95" s="192"/>
      <c r="H95" s="193"/>
      <c r="I95" s="194"/>
      <c r="J95" s="195"/>
    </row>
    <row r="96" ht="33.0" customHeight="1">
      <c r="A96" s="188"/>
      <c r="B96" s="189"/>
      <c r="C96" s="189"/>
      <c r="D96" s="189"/>
      <c r="E96" s="190"/>
      <c r="F96" s="191"/>
      <c r="G96" s="192"/>
      <c r="H96" s="193"/>
      <c r="I96" s="194"/>
      <c r="J96" s="195"/>
    </row>
    <row r="97" ht="33.0" customHeight="1">
      <c r="A97" s="188"/>
      <c r="B97" s="189"/>
      <c r="C97" s="189"/>
      <c r="D97" s="189"/>
      <c r="E97" s="190"/>
      <c r="F97" s="191"/>
      <c r="G97" s="192"/>
      <c r="H97" s="193"/>
      <c r="I97" s="194"/>
      <c r="J97" s="195"/>
    </row>
    <row r="98" ht="33.0" customHeight="1">
      <c r="A98" s="188"/>
      <c r="B98" s="189"/>
      <c r="C98" s="189"/>
      <c r="D98" s="189"/>
      <c r="E98" s="190"/>
      <c r="F98" s="191"/>
      <c r="G98" s="192"/>
      <c r="H98" s="193"/>
      <c r="I98" s="194"/>
      <c r="J98" s="195"/>
    </row>
    <row r="99" ht="33.0" customHeight="1">
      <c r="A99" s="188"/>
      <c r="B99" s="189"/>
      <c r="C99" s="189"/>
      <c r="D99" s="189"/>
      <c r="E99" s="190"/>
      <c r="F99" s="191"/>
      <c r="G99" s="192"/>
      <c r="H99" s="193"/>
      <c r="I99" s="194"/>
      <c r="J99" s="195"/>
    </row>
    <row r="100" ht="33.0" customHeight="1">
      <c r="A100" s="188"/>
      <c r="B100" s="189"/>
      <c r="C100" s="189"/>
      <c r="D100" s="189"/>
      <c r="E100" s="190"/>
      <c r="F100" s="191"/>
      <c r="G100" s="192"/>
      <c r="H100" s="193"/>
      <c r="I100" s="194"/>
      <c r="J100" s="195"/>
    </row>
    <row r="101" ht="33.0" customHeight="1">
      <c r="A101" s="188"/>
      <c r="B101" s="189"/>
      <c r="C101" s="189"/>
      <c r="D101" s="189"/>
      <c r="E101" s="190"/>
      <c r="F101" s="191"/>
      <c r="G101" s="192"/>
      <c r="H101" s="193"/>
      <c r="I101" s="194"/>
      <c r="J101" s="195"/>
    </row>
    <row r="102" ht="33.0" customHeight="1">
      <c r="A102" s="188"/>
      <c r="B102" s="189"/>
      <c r="C102" s="189"/>
      <c r="D102" s="189"/>
      <c r="E102" s="190"/>
      <c r="F102" s="191"/>
      <c r="G102" s="192"/>
      <c r="H102" s="193"/>
      <c r="I102" s="194"/>
      <c r="J102" s="195"/>
    </row>
    <row r="103" ht="33.0" customHeight="1">
      <c r="A103" s="188"/>
      <c r="B103" s="189"/>
      <c r="C103" s="189"/>
      <c r="D103" s="189"/>
      <c r="E103" s="190"/>
      <c r="F103" s="191"/>
      <c r="G103" s="192"/>
      <c r="H103" s="193"/>
      <c r="I103" s="194"/>
      <c r="J103" s="195"/>
    </row>
    <row r="104" ht="33.0" customHeight="1">
      <c r="A104" s="188"/>
      <c r="B104" s="189"/>
      <c r="C104" s="189"/>
      <c r="D104" s="189"/>
      <c r="E104" s="190"/>
      <c r="F104" s="191"/>
      <c r="G104" s="192"/>
      <c r="H104" s="193"/>
      <c r="I104" s="194"/>
      <c r="J104" s="195"/>
    </row>
    <row r="105" ht="33.0" customHeight="1">
      <c r="A105" s="188"/>
      <c r="B105" s="189"/>
      <c r="C105" s="189"/>
      <c r="D105" s="189"/>
      <c r="E105" s="190"/>
      <c r="F105" s="191"/>
      <c r="G105" s="192"/>
      <c r="H105" s="193"/>
      <c r="I105" s="194"/>
      <c r="J105" s="195"/>
    </row>
    <row r="106" ht="33.0" customHeight="1">
      <c r="A106" s="188"/>
      <c r="B106" s="189"/>
      <c r="C106" s="189"/>
      <c r="D106" s="189"/>
      <c r="E106" s="190"/>
      <c r="F106" s="191"/>
      <c r="G106" s="192"/>
      <c r="H106" s="193"/>
      <c r="I106" s="194"/>
      <c r="J106" s="195"/>
    </row>
    <row r="107" ht="33.0" customHeight="1">
      <c r="A107" s="188"/>
      <c r="B107" s="189"/>
      <c r="C107" s="189"/>
      <c r="D107" s="189"/>
      <c r="E107" s="190"/>
      <c r="F107" s="191"/>
      <c r="G107" s="192"/>
      <c r="H107" s="193"/>
      <c r="I107" s="194"/>
      <c r="J107" s="195"/>
    </row>
    <row r="108" ht="33.0" customHeight="1">
      <c r="A108" s="188"/>
      <c r="B108" s="189"/>
      <c r="C108" s="189"/>
      <c r="D108" s="189"/>
      <c r="E108" s="190"/>
      <c r="F108" s="191"/>
      <c r="G108" s="192"/>
      <c r="H108" s="193"/>
      <c r="I108" s="194"/>
      <c r="J108" s="195"/>
    </row>
    <row r="109" ht="33.0" customHeight="1">
      <c r="A109" s="188"/>
      <c r="B109" s="189"/>
      <c r="C109" s="189"/>
      <c r="D109" s="189"/>
      <c r="E109" s="190"/>
      <c r="F109" s="191"/>
      <c r="G109" s="192"/>
      <c r="H109" s="193"/>
      <c r="I109" s="194"/>
      <c r="J109" s="195"/>
    </row>
    <row r="110" ht="33.0" customHeight="1">
      <c r="A110" s="188"/>
      <c r="B110" s="189"/>
      <c r="C110" s="189"/>
      <c r="D110" s="189"/>
      <c r="E110" s="190"/>
      <c r="F110" s="191"/>
      <c r="G110" s="192"/>
      <c r="H110" s="193"/>
      <c r="I110" s="194"/>
      <c r="J110" s="195"/>
    </row>
    <row r="111" ht="33.0" customHeight="1">
      <c r="A111" s="188"/>
      <c r="B111" s="189"/>
      <c r="C111" s="189"/>
      <c r="D111" s="189"/>
      <c r="E111" s="190"/>
      <c r="F111" s="191"/>
      <c r="G111" s="192"/>
      <c r="H111" s="193"/>
      <c r="I111" s="194"/>
      <c r="J111" s="195"/>
    </row>
    <row r="112" ht="33.0" customHeight="1">
      <c r="A112" s="188"/>
      <c r="B112" s="189"/>
      <c r="C112" s="189"/>
      <c r="D112" s="189"/>
      <c r="E112" s="190"/>
      <c r="F112" s="191"/>
      <c r="G112" s="192"/>
      <c r="H112" s="193"/>
      <c r="I112" s="194"/>
      <c r="J112" s="195"/>
    </row>
    <row r="113" ht="33.0" customHeight="1">
      <c r="A113" s="188"/>
      <c r="B113" s="189"/>
      <c r="C113" s="189"/>
      <c r="D113" s="189"/>
      <c r="E113" s="190"/>
      <c r="F113" s="191"/>
      <c r="G113" s="192"/>
      <c r="H113" s="193"/>
      <c r="I113" s="194"/>
      <c r="J113" s="195"/>
    </row>
    <row r="114" ht="33.0" customHeight="1">
      <c r="A114" s="188"/>
      <c r="B114" s="189"/>
      <c r="C114" s="189"/>
      <c r="D114" s="189"/>
      <c r="E114" s="190"/>
      <c r="F114" s="191"/>
      <c r="G114" s="192"/>
      <c r="H114" s="193"/>
      <c r="I114" s="194"/>
      <c r="J114" s="195"/>
    </row>
    <row r="115" ht="33.0" customHeight="1">
      <c r="A115" s="188"/>
      <c r="B115" s="189"/>
      <c r="C115" s="189"/>
      <c r="D115" s="189"/>
      <c r="E115" s="190"/>
      <c r="F115" s="191"/>
      <c r="G115" s="192"/>
      <c r="H115" s="193"/>
      <c r="I115" s="194"/>
      <c r="J115" s="195"/>
    </row>
    <row r="116" ht="33.0" customHeight="1">
      <c r="A116" s="188"/>
      <c r="B116" s="189"/>
      <c r="C116" s="189"/>
      <c r="D116" s="189"/>
      <c r="E116" s="190"/>
      <c r="F116" s="191"/>
      <c r="G116" s="192"/>
      <c r="H116" s="193"/>
      <c r="I116" s="194"/>
      <c r="J116" s="195"/>
    </row>
    <row r="117" ht="33.0" customHeight="1">
      <c r="A117" s="188"/>
      <c r="B117" s="189"/>
      <c r="C117" s="189"/>
      <c r="D117" s="189"/>
      <c r="E117" s="190"/>
      <c r="F117" s="191"/>
      <c r="G117" s="192"/>
      <c r="H117" s="193"/>
      <c r="I117" s="194"/>
      <c r="J117" s="195"/>
    </row>
    <row r="118" ht="33.0" customHeight="1">
      <c r="A118" s="188"/>
      <c r="B118" s="189"/>
      <c r="C118" s="189"/>
      <c r="D118" s="189"/>
      <c r="E118" s="190"/>
      <c r="F118" s="191"/>
      <c r="G118" s="192"/>
      <c r="H118" s="193"/>
      <c r="I118" s="194"/>
      <c r="J118" s="195"/>
    </row>
    <row r="119" ht="33.0" customHeight="1">
      <c r="A119" s="188"/>
      <c r="B119" s="189"/>
      <c r="C119" s="189"/>
      <c r="D119" s="189"/>
      <c r="E119" s="190"/>
      <c r="F119" s="191"/>
      <c r="G119" s="192"/>
      <c r="H119" s="193"/>
      <c r="I119" s="194"/>
      <c r="J119" s="195"/>
    </row>
    <row r="120" ht="33.0" customHeight="1">
      <c r="A120" s="188"/>
      <c r="B120" s="189"/>
      <c r="C120" s="189"/>
      <c r="D120" s="189"/>
      <c r="E120" s="190"/>
      <c r="F120" s="191"/>
      <c r="G120" s="192"/>
      <c r="H120" s="193"/>
      <c r="I120" s="194"/>
      <c r="J120" s="195"/>
    </row>
    <row r="121" ht="33.0" customHeight="1">
      <c r="A121" s="188"/>
      <c r="B121" s="189"/>
      <c r="C121" s="189"/>
      <c r="D121" s="189"/>
      <c r="E121" s="190"/>
      <c r="F121" s="191"/>
      <c r="G121" s="192"/>
      <c r="H121" s="193"/>
      <c r="I121" s="194"/>
      <c r="J121" s="195"/>
    </row>
    <row r="122" ht="33.0" customHeight="1">
      <c r="A122" s="188"/>
      <c r="B122" s="189"/>
      <c r="C122" s="189"/>
      <c r="D122" s="189"/>
      <c r="E122" s="190"/>
      <c r="F122" s="191"/>
      <c r="G122" s="192"/>
      <c r="H122" s="193"/>
      <c r="I122" s="194"/>
      <c r="J122" s="195"/>
    </row>
    <row r="123" ht="33.0" customHeight="1">
      <c r="A123" s="188"/>
      <c r="B123" s="189"/>
      <c r="C123" s="189"/>
      <c r="D123" s="189"/>
      <c r="E123" s="190"/>
      <c r="F123" s="191"/>
      <c r="G123" s="192"/>
      <c r="H123" s="193"/>
      <c r="I123" s="194"/>
      <c r="J123" s="195"/>
    </row>
    <row r="124" ht="33.0" customHeight="1">
      <c r="A124" s="188"/>
      <c r="B124" s="189"/>
      <c r="C124" s="189"/>
      <c r="D124" s="189"/>
      <c r="E124" s="190"/>
      <c r="F124" s="191"/>
      <c r="G124" s="192"/>
      <c r="H124" s="193"/>
      <c r="I124" s="194"/>
      <c r="J124" s="195"/>
    </row>
    <row r="125" ht="33.0" customHeight="1">
      <c r="A125" s="188"/>
      <c r="B125" s="189"/>
      <c r="C125" s="189"/>
      <c r="D125" s="189"/>
      <c r="E125" s="190"/>
      <c r="F125" s="191"/>
      <c r="G125" s="192"/>
      <c r="H125" s="193"/>
      <c r="I125" s="194"/>
      <c r="J125" s="195"/>
    </row>
    <row r="126" ht="33.0" customHeight="1">
      <c r="A126" s="188"/>
      <c r="B126" s="189"/>
      <c r="C126" s="189"/>
      <c r="D126" s="189"/>
      <c r="E126" s="190"/>
      <c r="F126" s="191"/>
      <c r="G126" s="192"/>
      <c r="H126" s="193"/>
      <c r="I126" s="194"/>
      <c r="J126" s="195"/>
    </row>
    <row r="127" ht="33.0" customHeight="1">
      <c r="A127" s="188"/>
      <c r="B127" s="189"/>
      <c r="C127" s="189"/>
      <c r="D127" s="189"/>
      <c r="E127" s="190"/>
      <c r="F127" s="191"/>
      <c r="G127" s="192"/>
      <c r="H127" s="193"/>
      <c r="I127" s="194"/>
      <c r="J127" s="195"/>
    </row>
    <row r="128" ht="33.0" customHeight="1">
      <c r="A128" s="188"/>
      <c r="B128" s="189"/>
      <c r="C128" s="189"/>
      <c r="D128" s="189"/>
      <c r="E128" s="190"/>
      <c r="F128" s="191"/>
      <c r="G128" s="192"/>
      <c r="H128" s="193"/>
      <c r="I128" s="194"/>
      <c r="J128" s="195"/>
    </row>
    <row r="129" ht="33.0" customHeight="1">
      <c r="A129" s="188"/>
      <c r="B129" s="189"/>
      <c r="C129" s="189"/>
      <c r="D129" s="189"/>
      <c r="E129" s="190"/>
      <c r="F129" s="191"/>
      <c r="G129" s="192"/>
      <c r="H129" s="193"/>
      <c r="I129" s="194"/>
      <c r="J129" s="195"/>
    </row>
    <row r="130" ht="33.0" customHeight="1">
      <c r="A130" s="188"/>
      <c r="B130" s="189"/>
      <c r="C130" s="189"/>
      <c r="D130" s="189"/>
      <c r="E130" s="190"/>
      <c r="F130" s="191"/>
      <c r="G130" s="192"/>
      <c r="H130" s="193"/>
      <c r="I130" s="194"/>
      <c r="J130" s="195"/>
    </row>
    <row r="131" ht="33.0" customHeight="1">
      <c r="A131" s="188"/>
      <c r="B131" s="189"/>
      <c r="C131" s="189"/>
      <c r="D131" s="189"/>
      <c r="E131" s="190"/>
      <c r="F131" s="191"/>
      <c r="G131" s="192"/>
      <c r="H131" s="193"/>
      <c r="I131" s="194"/>
      <c r="J131" s="195"/>
    </row>
    <row r="132" ht="33.0" customHeight="1">
      <c r="A132" s="188"/>
      <c r="B132" s="189"/>
      <c r="C132" s="189"/>
      <c r="D132" s="189"/>
      <c r="E132" s="190"/>
      <c r="F132" s="191"/>
      <c r="G132" s="192"/>
      <c r="H132" s="193"/>
      <c r="I132" s="194"/>
      <c r="J132" s="195"/>
    </row>
    <row r="133" ht="33.0" customHeight="1">
      <c r="A133" s="188"/>
      <c r="B133" s="189"/>
      <c r="C133" s="189"/>
      <c r="D133" s="189"/>
      <c r="E133" s="190"/>
      <c r="F133" s="191"/>
      <c r="G133" s="192"/>
      <c r="H133" s="193"/>
      <c r="I133" s="194"/>
      <c r="J133" s="195"/>
    </row>
    <row r="134" ht="33.0" customHeight="1">
      <c r="A134" s="188"/>
      <c r="B134" s="189"/>
      <c r="C134" s="189"/>
      <c r="D134" s="189"/>
      <c r="E134" s="190"/>
      <c r="F134" s="191"/>
      <c r="G134" s="192"/>
      <c r="H134" s="193"/>
      <c r="I134" s="194"/>
      <c r="J134" s="195"/>
    </row>
    <row r="135" ht="33.0" customHeight="1">
      <c r="A135" s="188"/>
      <c r="B135" s="189"/>
      <c r="C135" s="189"/>
      <c r="D135" s="189"/>
      <c r="E135" s="190"/>
      <c r="F135" s="191"/>
      <c r="G135" s="192"/>
      <c r="H135" s="193"/>
      <c r="I135" s="194"/>
      <c r="J135" s="195"/>
    </row>
    <row r="136" ht="33.0" customHeight="1">
      <c r="A136" s="188"/>
      <c r="B136" s="189"/>
      <c r="C136" s="189"/>
      <c r="D136" s="189"/>
      <c r="E136" s="190"/>
      <c r="F136" s="191"/>
      <c r="G136" s="192"/>
      <c r="H136" s="193"/>
      <c r="I136" s="194"/>
      <c r="J136" s="195"/>
    </row>
    <row r="137" ht="33.0" customHeight="1">
      <c r="A137" s="188"/>
      <c r="B137" s="189"/>
      <c r="C137" s="189"/>
      <c r="D137" s="189"/>
      <c r="E137" s="190"/>
      <c r="F137" s="191"/>
      <c r="G137" s="192"/>
      <c r="H137" s="193"/>
      <c r="I137" s="194"/>
      <c r="J137" s="195"/>
    </row>
    <row r="138" ht="33.0" customHeight="1">
      <c r="A138" s="188"/>
      <c r="B138" s="189"/>
      <c r="C138" s="189"/>
      <c r="D138" s="189"/>
      <c r="E138" s="190"/>
      <c r="F138" s="191"/>
      <c r="G138" s="192"/>
      <c r="H138" s="193"/>
      <c r="I138" s="194"/>
      <c r="J138" s="195"/>
    </row>
    <row r="139" ht="33.0" customHeight="1">
      <c r="A139" s="188"/>
      <c r="B139" s="189"/>
      <c r="C139" s="189"/>
      <c r="D139" s="189"/>
      <c r="E139" s="190"/>
      <c r="F139" s="191"/>
      <c r="G139" s="192"/>
      <c r="H139" s="193"/>
      <c r="I139" s="194"/>
      <c r="J139" s="195"/>
    </row>
    <row r="140" ht="33.0" customHeight="1">
      <c r="A140" s="188"/>
      <c r="B140" s="189"/>
      <c r="C140" s="189"/>
      <c r="D140" s="189"/>
      <c r="E140" s="190"/>
      <c r="F140" s="191"/>
      <c r="G140" s="192"/>
      <c r="H140" s="193"/>
      <c r="I140" s="194"/>
      <c r="J140" s="195"/>
    </row>
    <row r="141" ht="33.0" customHeight="1">
      <c r="A141" s="188"/>
      <c r="B141" s="189"/>
      <c r="C141" s="189"/>
      <c r="D141" s="189"/>
      <c r="E141" s="190"/>
      <c r="F141" s="191"/>
      <c r="G141" s="192"/>
      <c r="H141" s="193"/>
      <c r="I141" s="194"/>
      <c r="J141" s="195"/>
    </row>
    <row r="142" ht="33.0" customHeight="1">
      <c r="A142" s="188"/>
      <c r="B142" s="189"/>
      <c r="C142" s="189"/>
      <c r="D142" s="189"/>
      <c r="E142" s="190"/>
      <c r="F142" s="191"/>
      <c r="G142" s="192"/>
      <c r="H142" s="193"/>
      <c r="I142" s="194"/>
      <c r="J142" s="195"/>
    </row>
    <row r="143" ht="33.0" customHeight="1">
      <c r="A143" s="188"/>
      <c r="B143" s="189"/>
      <c r="C143" s="189"/>
      <c r="D143" s="189"/>
      <c r="E143" s="190"/>
      <c r="F143" s="191"/>
      <c r="G143" s="192"/>
      <c r="H143" s="193"/>
      <c r="I143" s="194"/>
      <c r="J143" s="195"/>
    </row>
    <row r="144" ht="33.0" customHeight="1">
      <c r="A144" s="188"/>
      <c r="B144" s="189"/>
      <c r="C144" s="189"/>
      <c r="D144" s="189"/>
      <c r="E144" s="190"/>
      <c r="F144" s="191"/>
      <c r="G144" s="192"/>
      <c r="H144" s="193"/>
      <c r="I144" s="194"/>
      <c r="J144" s="195"/>
    </row>
    <row r="145" ht="33.0" customHeight="1">
      <c r="A145" s="188"/>
      <c r="B145" s="189"/>
      <c r="C145" s="189"/>
      <c r="D145" s="189"/>
      <c r="E145" s="190"/>
      <c r="F145" s="191"/>
      <c r="G145" s="192"/>
      <c r="H145" s="193"/>
      <c r="I145" s="194"/>
      <c r="J145" s="195"/>
    </row>
    <row r="146" ht="33.0" customHeight="1">
      <c r="A146" s="188"/>
      <c r="B146" s="189"/>
      <c r="C146" s="189"/>
      <c r="D146" s="189"/>
      <c r="E146" s="190"/>
      <c r="F146" s="191"/>
      <c r="G146" s="192"/>
      <c r="H146" s="193"/>
      <c r="I146" s="194"/>
      <c r="J146" s="195"/>
    </row>
    <row r="147" ht="33.0" customHeight="1">
      <c r="A147" s="188"/>
      <c r="B147" s="189"/>
      <c r="C147" s="189"/>
      <c r="D147" s="189"/>
      <c r="E147" s="190"/>
      <c r="F147" s="191"/>
      <c r="G147" s="192"/>
      <c r="H147" s="193"/>
      <c r="I147" s="194"/>
      <c r="J147" s="195"/>
    </row>
    <row r="148" ht="33.0" customHeight="1">
      <c r="A148" s="188"/>
      <c r="B148" s="189"/>
      <c r="C148" s="189"/>
      <c r="D148" s="189"/>
      <c r="E148" s="190"/>
      <c r="F148" s="191"/>
      <c r="G148" s="192"/>
      <c r="H148" s="193"/>
      <c r="I148" s="194"/>
      <c r="J148" s="195"/>
    </row>
    <row r="149" ht="33.0" customHeight="1">
      <c r="A149" s="188"/>
      <c r="B149" s="189"/>
      <c r="C149" s="189"/>
      <c r="D149" s="189"/>
      <c r="E149" s="190"/>
      <c r="F149" s="191"/>
      <c r="G149" s="192"/>
      <c r="H149" s="193"/>
      <c r="I149" s="194"/>
      <c r="J149" s="195"/>
    </row>
    <row r="150" ht="33.0" customHeight="1">
      <c r="A150" s="188"/>
      <c r="B150" s="189"/>
      <c r="C150" s="189"/>
      <c r="D150" s="189"/>
      <c r="E150" s="190"/>
      <c r="F150" s="191"/>
      <c r="G150" s="192"/>
      <c r="H150" s="193"/>
      <c r="I150" s="194"/>
      <c r="J150" s="195"/>
    </row>
    <row r="151" ht="33.0" customHeight="1">
      <c r="A151" s="188"/>
      <c r="B151" s="189"/>
      <c r="C151" s="189"/>
      <c r="D151" s="189"/>
      <c r="E151" s="190"/>
      <c r="F151" s="191"/>
      <c r="G151" s="192"/>
      <c r="H151" s="193"/>
      <c r="I151" s="194"/>
      <c r="J151" s="195"/>
    </row>
    <row r="152" ht="33.0" customHeight="1">
      <c r="A152" s="188"/>
      <c r="B152" s="189"/>
      <c r="C152" s="189"/>
      <c r="D152" s="189"/>
      <c r="E152" s="190"/>
      <c r="F152" s="191"/>
      <c r="G152" s="192"/>
      <c r="H152" s="193"/>
      <c r="I152" s="194"/>
      <c r="J152" s="195"/>
    </row>
    <row r="153" ht="33.0" customHeight="1">
      <c r="A153" s="188"/>
      <c r="B153" s="189"/>
      <c r="C153" s="189"/>
      <c r="D153" s="189"/>
      <c r="E153" s="190"/>
      <c r="F153" s="191"/>
      <c r="G153" s="192"/>
      <c r="H153" s="193"/>
      <c r="I153" s="194"/>
      <c r="J153" s="195"/>
    </row>
    <row r="154" ht="33.0" customHeight="1">
      <c r="A154" s="188"/>
      <c r="B154" s="189"/>
      <c r="C154" s="189"/>
      <c r="D154" s="189"/>
      <c r="E154" s="190"/>
      <c r="F154" s="191"/>
      <c r="G154" s="192"/>
      <c r="H154" s="193"/>
      <c r="I154" s="194"/>
      <c r="J154" s="195"/>
    </row>
    <row r="155" ht="33.0" customHeight="1">
      <c r="A155" s="188"/>
      <c r="B155" s="189"/>
      <c r="C155" s="189"/>
      <c r="D155" s="189"/>
      <c r="E155" s="190"/>
      <c r="F155" s="191"/>
      <c r="G155" s="192"/>
      <c r="H155" s="193"/>
      <c r="I155" s="194"/>
      <c r="J155" s="195"/>
    </row>
    <row r="156" ht="33.0" customHeight="1">
      <c r="A156" s="188"/>
      <c r="B156" s="189"/>
      <c r="C156" s="189"/>
      <c r="D156" s="189"/>
      <c r="E156" s="190"/>
      <c r="F156" s="191"/>
      <c r="G156" s="192"/>
      <c r="H156" s="193"/>
      <c r="I156" s="194"/>
      <c r="J156" s="195"/>
    </row>
    <row r="157" ht="33.0" customHeight="1">
      <c r="A157" s="188"/>
      <c r="B157" s="189"/>
      <c r="C157" s="189"/>
      <c r="D157" s="189"/>
      <c r="E157" s="190"/>
      <c r="F157" s="191"/>
      <c r="G157" s="192"/>
      <c r="H157" s="193"/>
      <c r="I157" s="194"/>
      <c r="J157" s="195"/>
    </row>
    <row r="158" ht="33.0" customHeight="1">
      <c r="A158" s="188"/>
      <c r="B158" s="189"/>
      <c r="C158" s="189"/>
      <c r="D158" s="189"/>
      <c r="E158" s="190"/>
      <c r="F158" s="191"/>
      <c r="G158" s="192"/>
      <c r="H158" s="193"/>
      <c r="I158" s="194"/>
      <c r="J158" s="195"/>
    </row>
    <row r="159" ht="33.0" customHeight="1">
      <c r="A159" s="188"/>
      <c r="B159" s="189"/>
      <c r="C159" s="189"/>
      <c r="D159" s="189"/>
      <c r="E159" s="190"/>
      <c r="F159" s="191"/>
      <c r="G159" s="192"/>
      <c r="H159" s="193"/>
      <c r="I159" s="194"/>
      <c r="J159" s="195"/>
    </row>
    <row r="160" ht="33.0" customHeight="1">
      <c r="A160" s="188"/>
      <c r="B160" s="189"/>
      <c r="C160" s="189"/>
      <c r="D160" s="189"/>
      <c r="E160" s="190"/>
      <c r="F160" s="191"/>
      <c r="G160" s="192"/>
      <c r="H160" s="193"/>
      <c r="I160" s="194"/>
      <c r="J160" s="195"/>
    </row>
    <row r="161" ht="33.0" customHeight="1">
      <c r="A161" s="188"/>
      <c r="B161" s="189"/>
      <c r="C161" s="189"/>
      <c r="D161" s="189"/>
      <c r="E161" s="190"/>
      <c r="F161" s="191"/>
      <c r="G161" s="192"/>
      <c r="H161" s="193"/>
      <c r="I161" s="194"/>
      <c r="J161" s="195"/>
    </row>
    <row r="162" ht="33.0" customHeight="1">
      <c r="A162" s="188"/>
      <c r="B162" s="189"/>
      <c r="C162" s="189"/>
      <c r="D162" s="189"/>
      <c r="E162" s="190"/>
      <c r="F162" s="191"/>
      <c r="G162" s="192"/>
      <c r="H162" s="193"/>
      <c r="I162" s="194"/>
      <c r="J162" s="195"/>
    </row>
    <row r="163" ht="33.0" customHeight="1">
      <c r="A163" s="188"/>
      <c r="B163" s="189"/>
      <c r="C163" s="189"/>
      <c r="D163" s="189"/>
      <c r="E163" s="190"/>
      <c r="F163" s="191"/>
      <c r="G163" s="192"/>
      <c r="H163" s="193"/>
      <c r="I163" s="194"/>
      <c r="J163" s="195"/>
    </row>
    <row r="164" ht="33.0" customHeight="1">
      <c r="A164" s="188"/>
      <c r="B164" s="189"/>
      <c r="C164" s="189"/>
      <c r="D164" s="189"/>
      <c r="E164" s="190"/>
      <c r="F164" s="191"/>
      <c r="G164" s="192"/>
      <c r="H164" s="193"/>
      <c r="I164" s="194"/>
      <c r="J164" s="195"/>
    </row>
    <row r="165" ht="33.0" customHeight="1">
      <c r="A165" s="188"/>
      <c r="B165" s="189"/>
      <c r="C165" s="189"/>
      <c r="D165" s="189"/>
      <c r="E165" s="190"/>
      <c r="F165" s="191"/>
      <c r="G165" s="192"/>
      <c r="H165" s="193"/>
      <c r="I165" s="194"/>
      <c r="J165" s="195"/>
    </row>
    <row r="166" ht="33.0" customHeight="1">
      <c r="A166" s="188"/>
      <c r="B166" s="189"/>
      <c r="C166" s="189"/>
      <c r="D166" s="189"/>
      <c r="E166" s="190"/>
      <c r="F166" s="191"/>
      <c r="G166" s="192"/>
      <c r="H166" s="193"/>
      <c r="I166" s="194"/>
      <c r="J166" s="195"/>
    </row>
    <row r="167" ht="33.0" customHeight="1">
      <c r="A167" s="188"/>
      <c r="B167" s="189"/>
      <c r="C167" s="189"/>
      <c r="D167" s="189"/>
      <c r="E167" s="190"/>
      <c r="F167" s="191"/>
      <c r="G167" s="192"/>
      <c r="H167" s="193"/>
      <c r="I167" s="194"/>
      <c r="J167" s="195"/>
    </row>
    <row r="168" ht="33.0" customHeight="1">
      <c r="A168" s="188"/>
      <c r="B168" s="189"/>
      <c r="C168" s="189"/>
      <c r="D168" s="189"/>
      <c r="E168" s="190"/>
      <c r="F168" s="191"/>
      <c r="G168" s="192"/>
      <c r="H168" s="193"/>
      <c r="I168" s="194"/>
      <c r="J168" s="195"/>
    </row>
    <row r="169" ht="33.0" customHeight="1">
      <c r="A169" s="188"/>
      <c r="B169" s="189"/>
      <c r="C169" s="189"/>
      <c r="D169" s="189"/>
      <c r="E169" s="190"/>
      <c r="F169" s="191"/>
      <c r="G169" s="192"/>
      <c r="H169" s="193"/>
      <c r="I169" s="194"/>
      <c r="J169" s="195"/>
    </row>
    <row r="170" ht="33.0" customHeight="1">
      <c r="A170" s="188"/>
      <c r="B170" s="189"/>
      <c r="C170" s="189"/>
      <c r="D170" s="189"/>
      <c r="E170" s="190"/>
      <c r="F170" s="191"/>
      <c r="G170" s="192"/>
      <c r="H170" s="193"/>
      <c r="I170" s="194"/>
      <c r="J170" s="195"/>
    </row>
    <row r="171" ht="33.0" customHeight="1">
      <c r="A171" s="188"/>
      <c r="B171" s="189"/>
      <c r="C171" s="189"/>
      <c r="D171" s="189"/>
      <c r="E171" s="190"/>
      <c r="F171" s="191"/>
      <c r="G171" s="192"/>
      <c r="H171" s="193"/>
      <c r="I171" s="194"/>
      <c r="J171" s="195"/>
    </row>
    <row r="172" ht="33.0" customHeight="1">
      <c r="A172" s="188"/>
      <c r="B172" s="189"/>
      <c r="C172" s="189"/>
      <c r="D172" s="189"/>
      <c r="E172" s="190"/>
      <c r="F172" s="191"/>
      <c r="G172" s="192"/>
      <c r="H172" s="193"/>
      <c r="I172" s="194"/>
      <c r="J172" s="195"/>
    </row>
    <row r="173" ht="33.0" customHeight="1">
      <c r="A173" s="188"/>
      <c r="B173" s="189"/>
      <c r="C173" s="189"/>
      <c r="D173" s="189"/>
      <c r="E173" s="190"/>
      <c r="F173" s="191"/>
      <c r="G173" s="192"/>
      <c r="H173" s="193"/>
      <c r="I173" s="194"/>
      <c r="J173" s="195"/>
    </row>
    <row r="174" ht="33.0" customHeight="1">
      <c r="A174" s="188"/>
      <c r="B174" s="189"/>
      <c r="C174" s="189"/>
      <c r="D174" s="189"/>
      <c r="E174" s="190"/>
      <c r="F174" s="191"/>
      <c r="G174" s="192"/>
      <c r="H174" s="193"/>
      <c r="I174" s="194"/>
      <c r="J174" s="195"/>
    </row>
    <row r="175" ht="33.0" customHeight="1">
      <c r="A175" s="188"/>
      <c r="B175" s="189"/>
      <c r="C175" s="189"/>
      <c r="D175" s="189"/>
      <c r="E175" s="190"/>
      <c r="F175" s="191"/>
      <c r="G175" s="192"/>
      <c r="H175" s="193"/>
      <c r="I175" s="194"/>
      <c r="J175" s="195"/>
    </row>
    <row r="176" ht="33.0" customHeight="1">
      <c r="A176" s="188"/>
      <c r="B176" s="189"/>
      <c r="C176" s="189"/>
      <c r="D176" s="189"/>
      <c r="E176" s="190"/>
      <c r="F176" s="191"/>
      <c r="G176" s="192"/>
      <c r="H176" s="193"/>
      <c r="I176" s="194"/>
      <c r="J176" s="195"/>
    </row>
    <row r="177" ht="33.0" customHeight="1">
      <c r="A177" s="188"/>
      <c r="B177" s="189"/>
      <c r="C177" s="189"/>
      <c r="D177" s="189"/>
      <c r="E177" s="190"/>
      <c r="F177" s="191"/>
      <c r="G177" s="192"/>
      <c r="H177" s="193"/>
      <c r="I177" s="194"/>
      <c r="J177" s="195"/>
    </row>
    <row r="178" ht="33.0" customHeight="1">
      <c r="A178" s="188"/>
      <c r="B178" s="189"/>
      <c r="C178" s="189"/>
      <c r="D178" s="189"/>
      <c r="E178" s="190"/>
      <c r="F178" s="191"/>
      <c r="G178" s="192"/>
      <c r="H178" s="193"/>
      <c r="I178" s="194"/>
      <c r="J178" s="195"/>
    </row>
    <row r="179" ht="33.0" customHeight="1">
      <c r="A179" s="188"/>
      <c r="B179" s="189"/>
      <c r="C179" s="189"/>
      <c r="D179" s="189"/>
      <c r="E179" s="190"/>
      <c r="F179" s="191"/>
      <c r="G179" s="192"/>
      <c r="H179" s="193"/>
      <c r="I179" s="194"/>
      <c r="J179" s="195"/>
    </row>
    <row r="180" ht="33.0" customHeight="1">
      <c r="A180" s="188"/>
      <c r="B180" s="189"/>
      <c r="C180" s="189"/>
      <c r="D180" s="189"/>
      <c r="E180" s="190"/>
      <c r="F180" s="191"/>
      <c r="G180" s="192"/>
      <c r="H180" s="193"/>
      <c r="I180" s="194"/>
      <c r="J180" s="195"/>
    </row>
    <row r="181" ht="33.0" customHeight="1">
      <c r="A181" s="188"/>
      <c r="B181" s="189"/>
      <c r="C181" s="189"/>
      <c r="D181" s="189"/>
      <c r="E181" s="190"/>
      <c r="F181" s="191"/>
      <c r="G181" s="192"/>
      <c r="H181" s="193"/>
      <c r="I181" s="194"/>
      <c r="J181" s="195"/>
    </row>
    <row r="182" ht="33.0" customHeight="1">
      <c r="A182" s="188"/>
      <c r="B182" s="189"/>
      <c r="C182" s="189"/>
      <c r="D182" s="189"/>
      <c r="E182" s="190"/>
      <c r="F182" s="191"/>
      <c r="G182" s="192"/>
      <c r="H182" s="193"/>
      <c r="I182" s="194"/>
      <c r="J182" s="195"/>
    </row>
    <row r="183" ht="33.0" customHeight="1">
      <c r="A183" s="188"/>
      <c r="B183" s="189"/>
      <c r="C183" s="189"/>
      <c r="D183" s="189"/>
      <c r="E183" s="190"/>
      <c r="F183" s="191"/>
      <c r="G183" s="192"/>
      <c r="H183" s="193"/>
      <c r="I183" s="194"/>
      <c r="J183" s="195"/>
    </row>
    <row r="184" ht="33.0" customHeight="1">
      <c r="A184" s="188"/>
      <c r="B184" s="189"/>
      <c r="C184" s="189"/>
      <c r="D184" s="189"/>
      <c r="E184" s="190"/>
      <c r="F184" s="191"/>
      <c r="G184" s="192"/>
      <c r="H184" s="193"/>
      <c r="I184" s="194"/>
      <c r="J184" s="195"/>
    </row>
    <row r="185" ht="33.0" customHeight="1">
      <c r="A185" s="188"/>
      <c r="B185" s="189"/>
      <c r="C185" s="189"/>
      <c r="D185" s="189"/>
      <c r="E185" s="190"/>
      <c r="F185" s="191"/>
      <c r="G185" s="192"/>
      <c r="H185" s="193"/>
      <c r="I185" s="194"/>
      <c r="J185" s="195"/>
    </row>
    <row r="186" ht="33.0" customHeight="1">
      <c r="A186" s="188"/>
      <c r="B186" s="189"/>
      <c r="C186" s="189"/>
      <c r="D186" s="189"/>
      <c r="E186" s="190"/>
      <c r="F186" s="191"/>
      <c r="G186" s="192"/>
      <c r="H186" s="193"/>
      <c r="I186" s="194"/>
      <c r="J186" s="195"/>
    </row>
    <row r="187" ht="33.0" customHeight="1">
      <c r="A187" s="188"/>
      <c r="B187" s="189"/>
      <c r="C187" s="189"/>
      <c r="D187" s="189"/>
      <c r="E187" s="190"/>
      <c r="F187" s="191"/>
      <c r="G187" s="192"/>
      <c r="H187" s="193"/>
      <c r="I187" s="194"/>
      <c r="J187" s="195"/>
    </row>
    <row r="188" ht="33.0" customHeight="1">
      <c r="A188" s="188"/>
      <c r="B188" s="189"/>
      <c r="C188" s="189"/>
      <c r="D188" s="189"/>
      <c r="E188" s="190"/>
      <c r="F188" s="191"/>
      <c r="G188" s="192"/>
      <c r="H188" s="193"/>
      <c r="I188" s="194"/>
      <c r="J188" s="195"/>
    </row>
    <row r="189" ht="33.0" customHeight="1">
      <c r="A189" s="188"/>
      <c r="B189" s="189"/>
      <c r="C189" s="189"/>
      <c r="D189" s="189"/>
      <c r="E189" s="190"/>
      <c r="F189" s="191"/>
      <c r="G189" s="192"/>
      <c r="H189" s="193"/>
      <c r="I189" s="194"/>
      <c r="J189" s="195"/>
    </row>
    <row r="190" ht="33.0" customHeight="1">
      <c r="A190" s="188"/>
      <c r="B190" s="189"/>
      <c r="C190" s="189"/>
      <c r="D190" s="189"/>
      <c r="E190" s="190"/>
      <c r="F190" s="191"/>
      <c r="G190" s="192"/>
      <c r="H190" s="193"/>
      <c r="I190" s="194"/>
      <c r="J190" s="195"/>
    </row>
    <row r="191" ht="33.0" customHeight="1">
      <c r="A191" s="188"/>
      <c r="B191" s="189"/>
      <c r="C191" s="189"/>
      <c r="D191" s="189"/>
      <c r="E191" s="190"/>
      <c r="F191" s="191"/>
      <c r="G191" s="192"/>
      <c r="H191" s="193"/>
      <c r="I191" s="194"/>
      <c r="J191" s="195"/>
    </row>
    <row r="192" ht="33.0" customHeight="1">
      <c r="A192" s="188"/>
      <c r="B192" s="189"/>
      <c r="C192" s="189"/>
      <c r="D192" s="189"/>
      <c r="E192" s="190"/>
      <c r="F192" s="191"/>
      <c r="G192" s="192"/>
      <c r="H192" s="193"/>
      <c r="I192" s="194"/>
      <c r="J192" s="195"/>
    </row>
    <row r="193" ht="33.0" customHeight="1">
      <c r="A193" s="188"/>
      <c r="B193" s="189"/>
      <c r="C193" s="189"/>
      <c r="D193" s="189"/>
      <c r="E193" s="190"/>
      <c r="F193" s="191"/>
      <c r="G193" s="192"/>
      <c r="H193" s="193"/>
      <c r="I193" s="194"/>
      <c r="J193" s="195"/>
    </row>
    <row r="194" ht="33.0" customHeight="1">
      <c r="A194" s="188"/>
      <c r="B194" s="189"/>
      <c r="C194" s="189"/>
      <c r="D194" s="189"/>
      <c r="E194" s="190"/>
      <c r="F194" s="191"/>
      <c r="G194" s="192"/>
      <c r="H194" s="193"/>
      <c r="I194" s="194"/>
      <c r="J194" s="195"/>
    </row>
    <row r="195" ht="33.0" customHeight="1">
      <c r="A195" s="188"/>
      <c r="B195" s="189"/>
      <c r="C195" s="189"/>
      <c r="D195" s="189"/>
      <c r="E195" s="190"/>
      <c r="F195" s="191"/>
      <c r="G195" s="192"/>
      <c r="H195" s="193"/>
      <c r="I195" s="194"/>
      <c r="J195" s="195"/>
    </row>
    <row r="196" ht="33.0" customHeight="1">
      <c r="A196" s="188"/>
      <c r="B196" s="189"/>
      <c r="C196" s="189"/>
      <c r="D196" s="189"/>
      <c r="E196" s="190"/>
      <c r="F196" s="191"/>
      <c r="G196" s="192"/>
      <c r="H196" s="193"/>
      <c r="I196" s="194"/>
      <c r="J196" s="195"/>
    </row>
    <row r="197" ht="33.0" customHeight="1">
      <c r="A197" s="188"/>
      <c r="B197" s="189"/>
      <c r="C197" s="189"/>
      <c r="D197" s="189"/>
      <c r="E197" s="190"/>
      <c r="F197" s="191"/>
      <c r="G197" s="192"/>
      <c r="H197" s="193"/>
      <c r="I197" s="194"/>
      <c r="J197" s="195"/>
    </row>
    <row r="198" ht="33.0" customHeight="1">
      <c r="A198" s="188"/>
      <c r="B198" s="189"/>
      <c r="C198" s="189"/>
      <c r="D198" s="189"/>
      <c r="E198" s="190"/>
      <c r="F198" s="191"/>
      <c r="G198" s="192"/>
      <c r="H198" s="193"/>
      <c r="I198" s="194"/>
      <c r="J198" s="195"/>
    </row>
    <row r="199" ht="33.0" customHeight="1">
      <c r="A199" s="188"/>
      <c r="B199" s="189"/>
      <c r="C199" s="189"/>
      <c r="D199" s="189"/>
      <c r="E199" s="190"/>
      <c r="F199" s="191"/>
      <c r="G199" s="192"/>
      <c r="H199" s="193"/>
      <c r="I199" s="194"/>
      <c r="J199" s="195"/>
    </row>
    <row r="200" ht="33.0" customHeight="1">
      <c r="A200" s="188"/>
      <c r="B200" s="189"/>
      <c r="C200" s="189"/>
      <c r="D200" s="189"/>
      <c r="E200" s="190"/>
      <c r="F200" s="191"/>
      <c r="G200" s="192"/>
      <c r="H200" s="193"/>
      <c r="I200" s="194"/>
      <c r="J200" s="195"/>
    </row>
    <row r="201" ht="33.0" customHeight="1">
      <c r="A201" s="188"/>
      <c r="B201" s="189"/>
      <c r="C201" s="189"/>
      <c r="D201" s="189"/>
      <c r="E201" s="190"/>
      <c r="F201" s="191"/>
      <c r="G201" s="192"/>
      <c r="H201" s="193"/>
      <c r="I201" s="194"/>
      <c r="J201" s="195"/>
    </row>
    <row r="202" ht="33.0" customHeight="1">
      <c r="A202" s="188"/>
      <c r="B202" s="189"/>
      <c r="C202" s="189"/>
      <c r="D202" s="189"/>
      <c r="E202" s="190"/>
      <c r="F202" s="191"/>
      <c r="G202" s="192"/>
      <c r="H202" s="193"/>
      <c r="I202" s="194"/>
      <c r="J202" s="195"/>
    </row>
    <row r="203" ht="33.0" customHeight="1">
      <c r="A203" s="188"/>
      <c r="B203" s="189"/>
      <c r="C203" s="189"/>
      <c r="D203" s="189"/>
      <c r="E203" s="190"/>
      <c r="F203" s="191"/>
      <c r="G203" s="192"/>
      <c r="H203" s="193"/>
      <c r="I203" s="194"/>
      <c r="J203" s="195"/>
    </row>
    <row r="204" ht="33.0" customHeight="1">
      <c r="A204" s="188"/>
      <c r="B204" s="189"/>
      <c r="C204" s="189"/>
      <c r="D204" s="189"/>
      <c r="E204" s="190"/>
      <c r="F204" s="191"/>
      <c r="G204" s="192"/>
      <c r="H204" s="193"/>
      <c r="I204" s="194"/>
      <c r="J204" s="195"/>
    </row>
    <row r="205" ht="33.0" customHeight="1">
      <c r="A205" s="188"/>
      <c r="B205" s="189"/>
      <c r="C205" s="189"/>
      <c r="D205" s="189"/>
      <c r="E205" s="190"/>
      <c r="F205" s="191"/>
      <c r="G205" s="192"/>
      <c r="H205" s="193"/>
      <c r="I205" s="194"/>
      <c r="J205" s="195"/>
    </row>
    <row r="206" ht="33.0" customHeight="1">
      <c r="A206" s="188"/>
      <c r="B206" s="189"/>
      <c r="C206" s="189"/>
      <c r="D206" s="189"/>
      <c r="E206" s="190"/>
      <c r="F206" s="191"/>
      <c r="G206" s="192"/>
      <c r="H206" s="193"/>
      <c r="I206" s="194"/>
      <c r="J206" s="195"/>
    </row>
    <row r="207" ht="33.0" customHeight="1">
      <c r="A207" s="188"/>
      <c r="B207" s="189"/>
      <c r="C207" s="189"/>
      <c r="D207" s="189"/>
      <c r="E207" s="190"/>
      <c r="F207" s="191"/>
      <c r="G207" s="192"/>
      <c r="H207" s="193"/>
      <c r="I207" s="194"/>
      <c r="J207" s="195"/>
    </row>
    <row r="208" ht="33.0" customHeight="1">
      <c r="A208" s="188"/>
      <c r="B208" s="189"/>
      <c r="C208" s="189"/>
      <c r="D208" s="189"/>
      <c r="E208" s="190"/>
      <c r="F208" s="191"/>
      <c r="G208" s="192"/>
      <c r="H208" s="193"/>
      <c r="I208" s="194"/>
      <c r="J208" s="195"/>
    </row>
    <row r="209" ht="33.0" customHeight="1">
      <c r="A209" s="188"/>
      <c r="B209" s="189"/>
      <c r="C209" s="189"/>
      <c r="D209" s="189"/>
      <c r="E209" s="190"/>
      <c r="F209" s="191"/>
      <c r="G209" s="192"/>
      <c r="H209" s="193"/>
      <c r="I209" s="194"/>
      <c r="J209" s="195"/>
    </row>
    <row r="210" ht="33.0" customHeight="1">
      <c r="A210" s="188"/>
      <c r="B210" s="189"/>
      <c r="C210" s="189"/>
      <c r="D210" s="189"/>
      <c r="E210" s="190"/>
      <c r="F210" s="191"/>
      <c r="G210" s="192"/>
      <c r="H210" s="193"/>
      <c r="I210" s="194"/>
      <c r="J210" s="195"/>
    </row>
    <row r="211" ht="33.0" customHeight="1">
      <c r="A211" s="188"/>
      <c r="B211" s="189"/>
      <c r="C211" s="189"/>
      <c r="D211" s="189"/>
      <c r="E211" s="190"/>
      <c r="F211" s="191"/>
      <c r="G211" s="192"/>
      <c r="H211" s="193"/>
      <c r="I211" s="194"/>
      <c r="J211" s="195"/>
    </row>
    <row r="212" ht="33.0" customHeight="1">
      <c r="A212" s="188"/>
      <c r="B212" s="189"/>
      <c r="C212" s="189"/>
      <c r="D212" s="189"/>
      <c r="E212" s="190"/>
      <c r="F212" s="191"/>
      <c r="G212" s="192"/>
      <c r="H212" s="193"/>
      <c r="I212" s="194"/>
      <c r="J212" s="195"/>
    </row>
    <row r="213" ht="33.0" customHeight="1">
      <c r="A213" s="188"/>
      <c r="B213" s="189"/>
      <c r="C213" s="189"/>
      <c r="D213" s="189"/>
      <c r="E213" s="190"/>
      <c r="F213" s="191"/>
      <c r="G213" s="192"/>
      <c r="H213" s="193"/>
      <c r="I213" s="194"/>
      <c r="J213" s="195"/>
    </row>
    <row r="214" ht="33.0" customHeight="1">
      <c r="A214" s="188"/>
      <c r="B214" s="189"/>
      <c r="C214" s="189"/>
      <c r="D214" s="189"/>
      <c r="E214" s="190"/>
      <c r="F214" s="191"/>
      <c r="G214" s="192"/>
      <c r="H214" s="193"/>
      <c r="I214" s="194"/>
      <c r="J214" s="195"/>
    </row>
    <row r="215" ht="33.0" customHeight="1">
      <c r="A215" s="188"/>
      <c r="B215" s="189"/>
      <c r="C215" s="189"/>
      <c r="D215" s="189"/>
      <c r="E215" s="190"/>
      <c r="F215" s="191"/>
      <c r="G215" s="192"/>
      <c r="H215" s="193"/>
      <c r="I215" s="194"/>
      <c r="J215" s="195"/>
    </row>
    <row r="216" ht="33.0" customHeight="1">
      <c r="A216" s="188"/>
      <c r="B216" s="189"/>
      <c r="C216" s="189"/>
      <c r="D216" s="189"/>
      <c r="E216" s="190"/>
      <c r="F216" s="191"/>
      <c r="G216" s="192"/>
      <c r="H216" s="193"/>
      <c r="I216" s="194"/>
      <c r="J216" s="195"/>
    </row>
    <row r="217" ht="33.0" customHeight="1">
      <c r="A217" s="188"/>
      <c r="B217" s="189"/>
      <c r="C217" s="189"/>
      <c r="D217" s="189"/>
      <c r="E217" s="190"/>
      <c r="F217" s="191"/>
      <c r="G217" s="192"/>
      <c r="H217" s="193"/>
      <c r="I217" s="194"/>
      <c r="J217" s="195"/>
    </row>
    <row r="218" ht="33.0" customHeight="1">
      <c r="A218" s="188"/>
      <c r="B218" s="189"/>
      <c r="C218" s="189"/>
      <c r="D218" s="189"/>
      <c r="E218" s="190"/>
      <c r="F218" s="191"/>
      <c r="G218" s="192"/>
      <c r="H218" s="193"/>
      <c r="I218" s="194"/>
      <c r="J218" s="195"/>
    </row>
    <row r="219" ht="33.0" customHeight="1">
      <c r="A219" s="188"/>
      <c r="B219" s="189"/>
      <c r="C219" s="189"/>
      <c r="D219" s="189"/>
      <c r="E219" s="190"/>
      <c r="F219" s="191"/>
      <c r="G219" s="192"/>
      <c r="H219" s="193"/>
      <c r="I219" s="194"/>
      <c r="J219" s="195"/>
    </row>
    <row r="220" ht="33.0" customHeight="1">
      <c r="A220" s="188"/>
      <c r="B220" s="189"/>
      <c r="C220" s="189"/>
      <c r="D220" s="189"/>
      <c r="E220" s="190"/>
      <c r="F220" s="191"/>
      <c r="G220" s="192"/>
      <c r="H220" s="193"/>
      <c r="I220" s="194"/>
      <c r="J220" s="195"/>
    </row>
    <row r="221" ht="33.0" customHeight="1">
      <c r="A221" s="188"/>
      <c r="B221" s="189"/>
      <c r="C221" s="189"/>
      <c r="D221" s="189"/>
      <c r="E221" s="190"/>
      <c r="F221" s="191"/>
      <c r="G221" s="192"/>
      <c r="H221" s="193"/>
      <c r="I221" s="194"/>
      <c r="J221" s="195"/>
    </row>
    <row r="222" ht="33.0" customHeight="1">
      <c r="A222" s="188"/>
      <c r="B222" s="189"/>
      <c r="C222" s="189"/>
      <c r="D222" s="189"/>
      <c r="E222" s="190"/>
      <c r="F222" s="191"/>
      <c r="G222" s="192"/>
      <c r="H222" s="193"/>
      <c r="I222" s="194"/>
      <c r="J222" s="195"/>
    </row>
    <row r="223" ht="33.0" customHeight="1">
      <c r="A223" s="188"/>
      <c r="B223" s="189"/>
      <c r="C223" s="189"/>
      <c r="D223" s="189"/>
      <c r="E223" s="190"/>
      <c r="F223" s="191"/>
      <c r="G223" s="192"/>
      <c r="H223" s="193"/>
      <c r="I223" s="194"/>
      <c r="J223" s="195"/>
    </row>
    <row r="224" ht="33.0" customHeight="1">
      <c r="A224" s="188"/>
      <c r="B224" s="189"/>
      <c r="C224" s="189"/>
      <c r="D224" s="189"/>
      <c r="E224" s="190"/>
      <c r="F224" s="191"/>
      <c r="G224" s="192"/>
      <c r="H224" s="193"/>
      <c r="I224" s="194"/>
      <c r="J224" s="195"/>
    </row>
    <row r="225" ht="33.0" customHeight="1">
      <c r="A225" s="188"/>
      <c r="B225" s="189"/>
      <c r="C225" s="189"/>
      <c r="D225" s="189"/>
      <c r="E225" s="190"/>
      <c r="F225" s="191"/>
      <c r="G225" s="192"/>
      <c r="H225" s="193"/>
      <c r="I225" s="194"/>
      <c r="J225" s="195"/>
    </row>
    <row r="226" ht="33.0" customHeight="1">
      <c r="A226" s="188"/>
      <c r="B226" s="189"/>
      <c r="C226" s="189"/>
      <c r="D226" s="189"/>
      <c r="E226" s="190"/>
      <c r="F226" s="191"/>
      <c r="G226" s="192"/>
      <c r="H226" s="193"/>
      <c r="I226" s="194"/>
      <c r="J226" s="195"/>
    </row>
    <row r="227" ht="33.0" customHeight="1">
      <c r="A227" s="188"/>
      <c r="B227" s="189"/>
      <c r="C227" s="189"/>
      <c r="D227" s="189"/>
      <c r="E227" s="190"/>
      <c r="F227" s="191"/>
      <c r="G227" s="192"/>
      <c r="H227" s="193"/>
      <c r="I227" s="194"/>
      <c r="J227" s="195"/>
    </row>
    <row r="228" ht="33.0" customHeight="1">
      <c r="A228" s="188"/>
      <c r="B228" s="189"/>
      <c r="C228" s="189"/>
      <c r="D228" s="189"/>
      <c r="E228" s="190"/>
      <c r="F228" s="191"/>
      <c r="G228" s="192"/>
      <c r="H228" s="193"/>
      <c r="I228" s="194"/>
      <c r="J228" s="195"/>
    </row>
    <row r="229" ht="33.0" customHeight="1">
      <c r="A229" s="188"/>
      <c r="B229" s="189"/>
      <c r="C229" s="189"/>
      <c r="D229" s="189"/>
      <c r="E229" s="190"/>
      <c r="F229" s="191"/>
      <c r="G229" s="192"/>
      <c r="H229" s="193"/>
      <c r="I229" s="194"/>
      <c r="J229" s="195"/>
    </row>
    <row r="230" ht="33.0" customHeight="1">
      <c r="A230" s="188"/>
      <c r="B230" s="189"/>
      <c r="C230" s="189"/>
      <c r="D230" s="189"/>
      <c r="E230" s="190"/>
      <c r="F230" s="191"/>
      <c r="G230" s="192"/>
      <c r="H230" s="193"/>
      <c r="I230" s="194"/>
      <c r="J230" s="195"/>
    </row>
    <row r="231" ht="33.0" customHeight="1">
      <c r="A231" s="188"/>
      <c r="B231" s="189"/>
      <c r="C231" s="189"/>
      <c r="D231" s="189"/>
      <c r="E231" s="190"/>
      <c r="F231" s="191"/>
      <c r="G231" s="192"/>
      <c r="H231" s="193"/>
      <c r="I231" s="194"/>
      <c r="J231" s="195"/>
    </row>
    <row r="232" ht="33.0" customHeight="1">
      <c r="A232" s="188"/>
      <c r="B232" s="189"/>
      <c r="C232" s="189"/>
      <c r="D232" s="189"/>
      <c r="E232" s="190"/>
      <c r="F232" s="191"/>
      <c r="G232" s="192"/>
      <c r="H232" s="193"/>
      <c r="I232" s="194"/>
      <c r="J232" s="195"/>
    </row>
    <row r="233" ht="33.0" customHeight="1">
      <c r="A233" s="188"/>
      <c r="B233" s="189"/>
      <c r="C233" s="189"/>
      <c r="D233" s="189"/>
      <c r="E233" s="190"/>
      <c r="F233" s="191"/>
      <c r="G233" s="192"/>
      <c r="H233" s="193"/>
      <c r="I233" s="194"/>
      <c r="J233" s="195"/>
    </row>
    <row r="234" ht="33.0" customHeight="1">
      <c r="A234" s="188"/>
      <c r="B234" s="189"/>
      <c r="C234" s="189"/>
      <c r="D234" s="189"/>
      <c r="E234" s="190"/>
      <c r="F234" s="191"/>
      <c r="G234" s="192"/>
      <c r="H234" s="193"/>
      <c r="I234" s="194"/>
      <c r="J234" s="195"/>
    </row>
    <row r="235" ht="33.0" customHeight="1">
      <c r="A235" s="188"/>
      <c r="B235" s="189"/>
      <c r="C235" s="189"/>
      <c r="D235" s="189"/>
      <c r="E235" s="190"/>
      <c r="F235" s="191"/>
      <c r="G235" s="192"/>
      <c r="H235" s="193"/>
      <c r="I235" s="194"/>
      <c r="J235" s="195"/>
    </row>
    <row r="236" ht="33.0" customHeight="1">
      <c r="A236" s="188"/>
      <c r="B236" s="189"/>
      <c r="C236" s="189"/>
      <c r="D236" s="189"/>
      <c r="E236" s="190"/>
      <c r="F236" s="191"/>
      <c r="G236" s="192"/>
      <c r="H236" s="193"/>
      <c r="I236" s="194"/>
      <c r="J236" s="195"/>
    </row>
    <row r="237" ht="33.0" customHeight="1">
      <c r="A237" s="188"/>
      <c r="B237" s="189"/>
      <c r="C237" s="189"/>
      <c r="D237" s="189"/>
      <c r="E237" s="190"/>
      <c r="F237" s="191"/>
      <c r="G237" s="192"/>
      <c r="H237" s="193"/>
      <c r="I237" s="194"/>
      <c r="J237" s="195"/>
    </row>
    <row r="238" ht="33.0" customHeight="1">
      <c r="A238" s="188"/>
      <c r="B238" s="189"/>
      <c r="C238" s="189"/>
      <c r="D238" s="189"/>
      <c r="E238" s="190"/>
      <c r="F238" s="191"/>
      <c r="G238" s="192"/>
      <c r="H238" s="193"/>
      <c r="I238" s="194"/>
      <c r="J238" s="195"/>
    </row>
    <row r="239" ht="33.0" customHeight="1">
      <c r="A239" s="188"/>
      <c r="B239" s="189"/>
      <c r="C239" s="189"/>
      <c r="D239" s="189"/>
      <c r="E239" s="190"/>
      <c r="F239" s="191"/>
      <c r="G239" s="192"/>
      <c r="H239" s="193"/>
      <c r="I239" s="194"/>
      <c r="J239" s="195"/>
    </row>
    <row r="240" ht="33.0" customHeight="1">
      <c r="A240" s="188"/>
      <c r="B240" s="189"/>
      <c r="C240" s="189"/>
      <c r="D240" s="189"/>
      <c r="E240" s="190"/>
      <c r="F240" s="191"/>
      <c r="G240" s="192"/>
      <c r="H240" s="193"/>
      <c r="I240" s="194"/>
      <c r="J240" s="195"/>
    </row>
    <row r="241" ht="33.0" customHeight="1">
      <c r="A241" s="188"/>
      <c r="B241" s="189"/>
      <c r="C241" s="189"/>
      <c r="D241" s="189"/>
      <c r="E241" s="190"/>
      <c r="F241" s="191"/>
      <c r="G241" s="192"/>
      <c r="H241" s="193"/>
      <c r="I241" s="194"/>
      <c r="J241" s="195"/>
    </row>
    <row r="242" ht="33.0" customHeight="1">
      <c r="A242" s="188"/>
      <c r="B242" s="189"/>
      <c r="C242" s="189"/>
      <c r="D242" s="189"/>
      <c r="E242" s="190"/>
      <c r="F242" s="191"/>
      <c r="G242" s="192"/>
      <c r="H242" s="193"/>
      <c r="I242" s="194"/>
      <c r="J242" s="195"/>
    </row>
    <row r="243" ht="33.0" customHeight="1">
      <c r="A243" s="188"/>
      <c r="B243" s="189"/>
      <c r="C243" s="189"/>
      <c r="D243" s="189"/>
      <c r="E243" s="190"/>
      <c r="F243" s="191"/>
      <c r="G243" s="192"/>
      <c r="H243" s="193"/>
      <c r="I243" s="194"/>
      <c r="J243" s="195"/>
    </row>
    <row r="244" ht="33.0" customHeight="1">
      <c r="A244" s="188"/>
      <c r="B244" s="189"/>
      <c r="C244" s="189"/>
      <c r="D244" s="189"/>
      <c r="E244" s="190"/>
      <c r="F244" s="191"/>
      <c r="G244" s="192"/>
      <c r="H244" s="193"/>
      <c r="I244" s="194"/>
      <c r="J244" s="195"/>
    </row>
    <row r="245" ht="33.0" customHeight="1">
      <c r="A245" s="188"/>
      <c r="B245" s="189"/>
      <c r="C245" s="189"/>
      <c r="D245" s="189"/>
      <c r="E245" s="190"/>
      <c r="F245" s="191"/>
      <c r="G245" s="192"/>
      <c r="H245" s="193"/>
      <c r="I245" s="194"/>
      <c r="J245" s="195"/>
    </row>
    <row r="246" ht="33.0" customHeight="1">
      <c r="A246" s="188"/>
      <c r="B246" s="189"/>
      <c r="C246" s="189"/>
      <c r="D246" s="189"/>
      <c r="E246" s="190"/>
      <c r="F246" s="191"/>
      <c r="G246" s="192"/>
      <c r="H246" s="193"/>
      <c r="I246" s="194"/>
      <c r="J246" s="195"/>
    </row>
    <row r="247" ht="33.0" customHeight="1">
      <c r="A247" s="188"/>
      <c r="B247" s="189"/>
      <c r="C247" s="189"/>
      <c r="D247" s="189"/>
      <c r="E247" s="190"/>
      <c r="F247" s="191"/>
      <c r="G247" s="192"/>
      <c r="H247" s="193"/>
      <c r="I247" s="194"/>
      <c r="J247" s="195"/>
    </row>
    <row r="248" ht="33.0" customHeight="1">
      <c r="A248" s="188"/>
      <c r="B248" s="189"/>
      <c r="C248" s="189"/>
      <c r="D248" s="189"/>
      <c r="E248" s="190"/>
      <c r="F248" s="191"/>
      <c r="G248" s="192"/>
      <c r="H248" s="193"/>
      <c r="I248" s="194"/>
      <c r="J248" s="195"/>
    </row>
    <row r="249" ht="33.0" customHeight="1">
      <c r="A249" s="188"/>
      <c r="B249" s="189"/>
      <c r="C249" s="189"/>
      <c r="D249" s="189"/>
      <c r="E249" s="190"/>
      <c r="F249" s="191"/>
      <c r="G249" s="192"/>
      <c r="H249" s="193"/>
      <c r="I249" s="194"/>
      <c r="J249" s="195"/>
    </row>
    <row r="250" ht="33.0" customHeight="1">
      <c r="A250" s="188"/>
      <c r="B250" s="189"/>
      <c r="C250" s="189"/>
      <c r="D250" s="189"/>
      <c r="E250" s="190"/>
      <c r="F250" s="191"/>
      <c r="G250" s="192"/>
      <c r="H250" s="193"/>
      <c r="I250" s="194"/>
      <c r="J250" s="195"/>
    </row>
    <row r="251" ht="33.0" customHeight="1">
      <c r="A251" s="188"/>
      <c r="B251" s="189"/>
      <c r="C251" s="189"/>
      <c r="D251" s="189"/>
      <c r="E251" s="190"/>
      <c r="F251" s="191"/>
      <c r="G251" s="192"/>
      <c r="H251" s="193"/>
      <c r="I251" s="194"/>
      <c r="J251" s="195"/>
    </row>
    <row r="252" ht="33.0" customHeight="1">
      <c r="A252" s="188"/>
      <c r="B252" s="189"/>
      <c r="C252" s="189"/>
      <c r="D252" s="189"/>
      <c r="E252" s="190"/>
      <c r="F252" s="191"/>
      <c r="G252" s="192"/>
      <c r="H252" s="193"/>
      <c r="I252" s="194"/>
      <c r="J252" s="195"/>
    </row>
    <row r="253" ht="33.0" customHeight="1">
      <c r="A253" s="188"/>
      <c r="B253" s="189"/>
      <c r="C253" s="189"/>
      <c r="D253" s="189"/>
      <c r="E253" s="190"/>
      <c r="F253" s="191"/>
      <c r="G253" s="192"/>
      <c r="H253" s="193"/>
      <c r="I253" s="194"/>
      <c r="J253" s="195"/>
    </row>
    <row r="254" ht="33.0" customHeight="1">
      <c r="A254" s="188"/>
      <c r="B254" s="189"/>
      <c r="C254" s="189"/>
      <c r="D254" s="189"/>
      <c r="E254" s="190"/>
      <c r="F254" s="191"/>
      <c r="G254" s="192"/>
      <c r="H254" s="193"/>
      <c r="I254" s="194"/>
      <c r="J254" s="195"/>
    </row>
    <row r="255" ht="33.0" customHeight="1">
      <c r="A255" s="188"/>
      <c r="B255" s="189"/>
      <c r="C255" s="189"/>
      <c r="D255" s="189"/>
      <c r="E255" s="190"/>
      <c r="F255" s="191"/>
      <c r="G255" s="192"/>
      <c r="H255" s="193"/>
      <c r="I255" s="194"/>
      <c r="J255" s="195"/>
    </row>
    <row r="256" ht="33.0" customHeight="1">
      <c r="A256" s="188"/>
      <c r="B256" s="189"/>
      <c r="C256" s="189"/>
      <c r="D256" s="189"/>
      <c r="E256" s="190"/>
      <c r="F256" s="191"/>
      <c r="G256" s="192"/>
      <c r="H256" s="193"/>
      <c r="I256" s="194"/>
      <c r="J256" s="195"/>
    </row>
    <row r="257" ht="33.0" customHeight="1">
      <c r="A257" s="188"/>
      <c r="B257" s="189"/>
      <c r="C257" s="189"/>
      <c r="D257" s="189"/>
      <c r="E257" s="190"/>
      <c r="F257" s="191"/>
      <c r="G257" s="192"/>
      <c r="H257" s="193"/>
      <c r="I257" s="194"/>
      <c r="J257" s="195"/>
    </row>
    <row r="258" ht="33.0" customHeight="1">
      <c r="A258" s="188"/>
      <c r="B258" s="189"/>
      <c r="C258" s="189"/>
      <c r="D258" s="189"/>
      <c r="E258" s="190"/>
      <c r="F258" s="191"/>
      <c r="G258" s="192"/>
      <c r="H258" s="193"/>
      <c r="I258" s="194"/>
      <c r="J258" s="195"/>
    </row>
    <row r="259" ht="33.0" customHeight="1">
      <c r="A259" s="188"/>
      <c r="B259" s="189"/>
      <c r="C259" s="189"/>
      <c r="D259" s="189"/>
      <c r="E259" s="190"/>
      <c r="F259" s="191"/>
      <c r="G259" s="192"/>
      <c r="H259" s="193"/>
      <c r="I259" s="194"/>
      <c r="J259" s="195"/>
    </row>
    <row r="260" ht="33.0" customHeight="1">
      <c r="A260" s="188"/>
      <c r="B260" s="189"/>
      <c r="C260" s="189"/>
      <c r="D260" s="189"/>
      <c r="E260" s="190"/>
      <c r="F260" s="191"/>
      <c r="G260" s="192"/>
      <c r="H260" s="193"/>
      <c r="I260" s="194"/>
      <c r="J260" s="195"/>
    </row>
    <row r="261" ht="33.0" customHeight="1">
      <c r="A261" s="188"/>
      <c r="B261" s="189"/>
      <c r="C261" s="189"/>
      <c r="D261" s="189"/>
      <c r="E261" s="190"/>
      <c r="F261" s="191"/>
      <c r="G261" s="192"/>
      <c r="H261" s="193"/>
      <c r="I261" s="194"/>
      <c r="J261" s="195"/>
    </row>
    <row r="262" ht="33.0" customHeight="1">
      <c r="A262" s="188"/>
      <c r="B262" s="189"/>
      <c r="C262" s="189"/>
      <c r="D262" s="189"/>
      <c r="E262" s="190"/>
      <c r="F262" s="191"/>
      <c r="G262" s="192"/>
      <c r="H262" s="193"/>
      <c r="I262" s="194"/>
      <c r="J262" s="195"/>
    </row>
    <row r="263" ht="33.0" customHeight="1">
      <c r="A263" s="188"/>
      <c r="B263" s="189"/>
      <c r="C263" s="189"/>
      <c r="D263" s="189"/>
      <c r="E263" s="190"/>
      <c r="F263" s="191"/>
      <c r="G263" s="192"/>
      <c r="H263" s="193"/>
      <c r="I263" s="194"/>
      <c r="J263" s="195"/>
    </row>
    <row r="264" ht="33.0" customHeight="1">
      <c r="A264" s="188"/>
      <c r="B264" s="189"/>
      <c r="C264" s="189"/>
      <c r="D264" s="189"/>
      <c r="E264" s="190"/>
      <c r="F264" s="191"/>
      <c r="G264" s="192"/>
      <c r="H264" s="193"/>
      <c r="I264" s="194"/>
      <c r="J264" s="195"/>
    </row>
    <row r="265" ht="33.0" customHeight="1">
      <c r="A265" s="188"/>
      <c r="B265" s="189"/>
      <c r="C265" s="189"/>
      <c r="D265" s="189"/>
      <c r="E265" s="190"/>
      <c r="F265" s="191"/>
      <c r="G265" s="192"/>
      <c r="H265" s="193"/>
      <c r="I265" s="194"/>
      <c r="J265" s="195"/>
    </row>
    <row r="266" ht="33.0" customHeight="1">
      <c r="A266" s="188"/>
      <c r="B266" s="189"/>
      <c r="C266" s="189"/>
      <c r="D266" s="189"/>
      <c r="E266" s="190"/>
      <c r="F266" s="191"/>
      <c r="G266" s="192"/>
      <c r="H266" s="193"/>
      <c r="I266" s="194"/>
      <c r="J266" s="195"/>
    </row>
    <row r="267" ht="33.0" customHeight="1">
      <c r="A267" s="188"/>
      <c r="B267" s="189"/>
      <c r="C267" s="189"/>
      <c r="D267" s="189"/>
      <c r="E267" s="190"/>
      <c r="F267" s="191"/>
      <c r="G267" s="192"/>
      <c r="H267" s="193"/>
      <c r="I267" s="194"/>
      <c r="J267" s="195"/>
    </row>
    <row r="268" ht="33.0" customHeight="1">
      <c r="A268" s="188"/>
      <c r="B268" s="189"/>
      <c r="C268" s="189"/>
      <c r="D268" s="189"/>
      <c r="E268" s="190"/>
      <c r="F268" s="191"/>
      <c r="G268" s="192"/>
      <c r="H268" s="193"/>
      <c r="I268" s="194"/>
      <c r="J268" s="195"/>
    </row>
    <row r="269" ht="33.0" customHeight="1">
      <c r="A269" s="188"/>
      <c r="B269" s="189"/>
      <c r="C269" s="189"/>
      <c r="D269" s="189"/>
      <c r="E269" s="190"/>
      <c r="F269" s="191"/>
      <c r="G269" s="192"/>
      <c r="H269" s="193"/>
      <c r="I269" s="194"/>
      <c r="J269" s="195"/>
    </row>
    <row r="270" ht="33.0" customHeight="1">
      <c r="A270" s="188"/>
      <c r="B270" s="189"/>
      <c r="C270" s="189"/>
      <c r="D270" s="189"/>
      <c r="E270" s="190"/>
      <c r="F270" s="191"/>
      <c r="G270" s="192"/>
      <c r="H270" s="193"/>
      <c r="I270" s="194"/>
      <c r="J270" s="195"/>
    </row>
    <row r="271" ht="33.0" customHeight="1">
      <c r="A271" s="188"/>
      <c r="B271" s="189"/>
      <c r="C271" s="189"/>
      <c r="D271" s="189"/>
      <c r="E271" s="190"/>
      <c r="F271" s="191"/>
      <c r="G271" s="192"/>
      <c r="H271" s="193"/>
      <c r="I271" s="194"/>
      <c r="J271" s="195"/>
    </row>
    <row r="272" ht="33.0" customHeight="1">
      <c r="A272" s="188"/>
      <c r="B272" s="189"/>
      <c r="C272" s="189"/>
      <c r="D272" s="189"/>
      <c r="E272" s="190"/>
      <c r="F272" s="191"/>
      <c r="G272" s="192"/>
      <c r="H272" s="193"/>
      <c r="I272" s="194"/>
      <c r="J272" s="195"/>
    </row>
    <row r="273" ht="33.0" customHeight="1">
      <c r="A273" s="188"/>
      <c r="B273" s="189"/>
      <c r="C273" s="189"/>
      <c r="D273" s="189"/>
      <c r="E273" s="190"/>
      <c r="F273" s="191"/>
      <c r="G273" s="192"/>
      <c r="H273" s="193"/>
      <c r="I273" s="194"/>
      <c r="J273" s="195"/>
    </row>
    <row r="274" ht="33.0" customHeight="1">
      <c r="A274" s="188"/>
      <c r="B274" s="189"/>
      <c r="C274" s="189"/>
      <c r="D274" s="189"/>
      <c r="E274" s="190"/>
      <c r="F274" s="191"/>
      <c r="G274" s="192"/>
      <c r="H274" s="193"/>
      <c r="I274" s="194"/>
      <c r="J274" s="195"/>
    </row>
    <row r="275" ht="33.0" customHeight="1">
      <c r="A275" s="188"/>
      <c r="B275" s="189"/>
      <c r="C275" s="189"/>
      <c r="D275" s="189"/>
      <c r="E275" s="190"/>
      <c r="F275" s="191"/>
      <c r="G275" s="192"/>
      <c r="H275" s="193"/>
      <c r="I275" s="194"/>
      <c r="J275" s="195"/>
    </row>
    <row r="276" ht="33.0" customHeight="1">
      <c r="A276" s="188"/>
      <c r="B276" s="189"/>
      <c r="C276" s="189"/>
      <c r="D276" s="189"/>
      <c r="E276" s="190"/>
      <c r="F276" s="191"/>
      <c r="G276" s="192"/>
      <c r="H276" s="193"/>
      <c r="I276" s="194"/>
      <c r="J276" s="195"/>
    </row>
    <row r="277" ht="33.0" customHeight="1">
      <c r="A277" s="188"/>
      <c r="B277" s="189"/>
      <c r="C277" s="189"/>
      <c r="D277" s="189"/>
      <c r="E277" s="190"/>
      <c r="F277" s="191"/>
      <c r="G277" s="192"/>
      <c r="H277" s="193"/>
      <c r="I277" s="194"/>
      <c r="J277" s="195"/>
    </row>
    <row r="278" ht="33.0" customHeight="1">
      <c r="A278" s="188"/>
      <c r="B278" s="189"/>
      <c r="C278" s="189"/>
      <c r="D278" s="189"/>
      <c r="E278" s="190"/>
      <c r="F278" s="191"/>
      <c r="G278" s="192"/>
      <c r="H278" s="193"/>
      <c r="I278" s="194"/>
      <c r="J278" s="195"/>
    </row>
    <row r="279" ht="33.0" customHeight="1">
      <c r="A279" s="188"/>
      <c r="B279" s="189"/>
      <c r="C279" s="189"/>
      <c r="D279" s="189"/>
      <c r="E279" s="190"/>
      <c r="F279" s="191"/>
      <c r="G279" s="192"/>
      <c r="H279" s="193"/>
      <c r="I279" s="194"/>
      <c r="J279" s="195"/>
    </row>
    <row r="280" ht="33.0" customHeight="1">
      <c r="A280" s="188"/>
      <c r="B280" s="189"/>
      <c r="C280" s="189"/>
      <c r="D280" s="189"/>
      <c r="E280" s="190"/>
      <c r="F280" s="191"/>
      <c r="G280" s="192"/>
      <c r="H280" s="193"/>
      <c r="I280" s="194"/>
      <c r="J280" s="195"/>
    </row>
    <row r="281" ht="33.0" customHeight="1">
      <c r="A281" s="188"/>
      <c r="B281" s="189"/>
      <c r="C281" s="189"/>
      <c r="D281" s="189"/>
      <c r="E281" s="190"/>
      <c r="F281" s="191"/>
      <c r="G281" s="192"/>
      <c r="H281" s="193"/>
      <c r="I281" s="194"/>
      <c r="J281" s="195"/>
    </row>
    <row r="282" ht="33.0" customHeight="1">
      <c r="A282" s="188"/>
      <c r="B282" s="189"/>
      <c r="C282" s="189"/>
      <c r="D282" s="189"/>
      <c r="E282" s="190"/>
      <c r="F282" s="191"/>
      <c r="G282" s="192"/>
      <c r="H282" s="193"/>
      <c r="I282" s="194"/>
      <c r="J282" s="195"/>
    </row>
    <row r="283" ht="33.0" customHeight="1">
      <c r="A283" s="188"/>
      <c r="B283" s="189"/>
      <c r="C283" s="189"/>
      <c r="D283" s="189"/>
      <c r="E283" s="190"/>
      <c r="F283" s="191"/>
      <c r="G283" s="192"/>
      <c r="H283" s="193"/>
      <c r="I283" s="194"/>
      <c r="J283" s="195"/>
    </row>
    <row r="284" ht="33.0" customHeight="1">
      <c r="A284" s="188"/>
      <c r="B284" s="189"/>
      <c r="C284" s="189"/>
      <c r="D284" s="189"/>
      <c r="E284" s="190"/>
      <c r="F284" s="191"/>
      <c r="G284" s="192"/>
      <c r="H284" s="193"/>
      <c r="I284" s="194"/>
      <c r="J284" s="195"/>
    </row>
    <row r="285" ht="33.0" customHeight="1">
      <c r="A285" s="188"/>
      <c r="B285" s="189"/>
      <c r="C285" s="189"/>
      <c r="D285" s="189"/>
      <c r="E285" s="190"/>
      <c r="F285" s="191"/>
      <c r="G285" s="192"/>
      <c r="H285" s="193"/>
      <c r="I285" s="194"/>
      <c r="J285" s="195"/>
    </row>
    <row r="286" ht="33.0" customHeight="1">
      <c r="A286" s="188"/>
      <c r="B286" s="189"/>
      <c r="C286" s="189"/>
      <c r="D286" s="189"/>
      <c r="E286" s="190"/>
      <c r="F286" s="191"/>
      <c r="G286" s="192"/>
      <c r="H286" s="193"/>
      <c r="I286" s="194"/>
      <c r="J286" s="195"/>
    </row>
    <row r="287" ht="33.0" customHeight="1">
      <c r="A287" s="188"/>
      <c r="B287" s="189"/>
      <c r="C287" s="189"/>
      <c r="D287" s="189"/>
      <c r="E287" s="190"/>
      <c r="F287" s="191"/>
      <c r="G287" s="192"/>
      <c r="H287" s="193"/>
      <c r="I287" s="194"/>
      <c r="J287" s="195"/>
    </row>
    <row r="288" ht="33.0" customHeight="1">
      <c r="A288" s="188"/>
      <c r="B288" s="189"/>
      <c r="C288" s="189"/>
      <c r="D288" s="189"/>
      <c r="E288" s="190"/>
      <c r="F288" s="191"/>
      <c r="G288" s="192"/>
      <c r="H288" s="193"/>
      <c r="I288" s="194"/>
      <c r="J288" s="195"/>
    </row>
    <row r="289" ht="33.0" customHeight="1">
      <c r="A289" s="188"/>
      <c r="B289" s="189"/>
      <c r="C289" s="189"/>
      <c r="D289" s="189"/>
      <c r="E289" s="190"/>
      <c r="F289" s="191"/>
      <c r="G289" s="192"/>
      <c r="H289" s="193"/>
      <c r="I289" s="194"/>
      <c r="J289" s="195"/>
    </row>
    <row r="290" ht="33.0" customHeight="1">
      <c r="A290" s="188"/>
      <c r="B290" s="189"/>
      <c r="C290" s="189"/>
      <c r="D290" s="189"/>
      <c r="E290" s="190"/>
      <c r="F290" s="191"/>
      <c r="G290" s="192"/>
      <c r="H290" s="193"/>
      <c r="I290" s="194"/>
      <c r="J290" s="195"/>
    </row>
    <row r="291" ht="33.0" customHeight="1">
      <c r="A291" s="188"/>
      <c r="B291" s="189"/>
      <c r="C291" s="189"/>
      <c r="D291" s="189"/>
      <c r="E291" s="190"/>
      <c r="F291" s="191"/>
      <c r="G291" s="192"/>
      <c r="H291" s="193"/>
      <c r="I291" s="194"/>
      <c r="J291" s="195"/>
    </row>
    <row r="292" ht="33.0" customHeight="1">
      <c r="A292" s="188"/>
      <c r="B292" s="189"/>
      <c r="C292" s="189"/>
      <c r="D292" s="189"/>
      <c r="E292" s="190"/>
      <c r="F292" s="191"/>
      <c r="G292" s="192"/>
      <c r="H292" s="193"/>
      <c r="I292" s="194"/>
      <c r="J292" s="195"/>
    </row>
    <row r="293" ht="33.0" customHeight="1">
      <c r="A293" s="188"/>
      <c r="B293" s="189"/>
      <c r="C293" s="189"/>
      <c r="D293" s="189"/>
      <c r="E293" s="190"/>
      <c r="F293" s="191"/>
      <c r="G293" s="192"/>
      <c r="H293" s="193"/>
      <c r="I293" s="194"/>
      <c r="J293" s="195"/>
    </row>
    <row r="294" ht="33.0" customHeight="1">
      <c r="A294" s="188"/>
      <c r="B294" s="189"/>
      <c r="C294" s="189"/>
      <c r="D294" s="189"/>
      <c r="E294" s="190"/>
      <c r="F294" s="191"/>
      <c r="G294" s="192"/>
      <c r="H294" s="193"/>
      <c r="I294" s="194"/>
      <c r="J294" s="195"/>
    </row>
    <row r="295" ht="33.0" customHeight="1">
      <c r="A295" s="188"/>
      <c r="B295" s="189"/>
      <c r="C295" s="189"/>
      <c r="D295" s="189"/>
      <c r="E295" s="190"/>
      <c r="F295" s="191"/>
      <c r="G295" s="192"/>
      <c r="H295" s="193"/>
      <c r="I295" s="194"/>
      <c r="J295" s="195"/>
    </row>
    <row r="296" ht="33.0" customHeight="1">
      <c r="A296" s="188"/>
      <c r="B296" s="189"/>
      <c r="C296" s="189"/>
      <c r="D296" s="189"/>
      <c r="E296" s="190"/>
      <c r="F296" s="191"/>
      <c r="G296" s="192"/>
      <c r="H296" s="193"/>
      <c r="I296" s="194"/>
      <c r="J296" s="195"/>
    </row>
    <row r="297" ht="33.0" customHeight="1">
      <c r="A297" s="188"/>
      <c r="B297" s="189"/>
      <c r="C297" s="189"/>
      <c r="D297" s="189"/>
      <c r="E297" s="190"/>
      <c r="F297" s="191"/>
      <c r="G297" s="192"/>
      <c r="H297" s="193"/>
      <c r="I297" s="194"/>
      <c r="J297" s="195"/>
    </row>
    <row r="298" ht="33.0" customHeight="1">
      <c r="A298" s="188"/>
      <c r="B298" s="189"/>
      <c r="C298" s="189"/>
      <c r="D298" s="189"/>
      <c r="E298" s="190"/>
      <c r="F298" s="191"/>
      <c r="G298" s="192"/>
      <c r="H298" s="193"/>
      <c r="I298" s="194"/>
      <c r="J298" s="195"/>
    </row>
    <row r="299" ht="33.0" customHeight="1">
      <c r="A299" s="188"/>
      <c r="B299" s="189"/>
      <c r="C299" s="189"/>
      <c r="D299" s="189"/>
      <c r="E299" s="190"/>
      <c r="F299" s="191"/>
      <c r="G299" s="192"/>
      <c r="H299" s="193"/>
      <c r="I299" s="194"/>
      <c r="J299" s="195"/>
    </row>
    <row r="300" ht="33.0" customHeight="1">
      <c r="A300" s="188"/>
      <c r="B300" s="189"/>
      <c r="C300" s="189"/>
      <c r="D300" s="189"/>
      <c r="E300" s="190"/>
      <c r="F300" s="191"/>
      <c r="G300" s="192"/>
      <c r="H300" s="193"/>
      <c r="I300" s="194"/>
      <c r="J300" s="195"/>
    </row>
    <row r="301" ht="33.0" customHeight="1">
      <c r="A301" s="188"/>
      <c r="B301" s="189"/>
      <c r="C301" s="189"/>
      <c r="D301" s="189"/>
      <c r="E301" s="190"/>
      <c r="F301" s="191"/>
      <c r="G301" s="192"/>
      <c r="H301" s="193"/>
      <c r="I301" s="194"/>
      <c r="J301" s="195"/>
    </row>
    <row r="302" ht="33.0" customHeight="1">
      <c r="A302" s="188"/>
      <c r="B302" s="189"/>
      <c r="C302" s="189"/>
      <c r="D302" s="189"/>
      <c r="E302" s="190"/>
      <c r="F302" s="191"/>
      <c r="G302" s="192"/>
      <c r="H302" s="193"/>
      <c r="I302" s="194"/>
      <c r="J302" s="195"/>
    </row>
    <row r="303" ht="33.0" customHeight="1">
      <c r="A303" s="188"/>
      <c r="B303" s="189"/>
      <c r="C303" s="189"/>
      <c r="D303" s="189"/>
      <c r="E303" s="190"/>
      <c r="F303" s="191"/>
      <c r="G303" s="192"/>
      <c r="H303" s="193"/>
      <c r="I303" s="194"/>
      <c r="J303" s="195"/>
    </row>
    <row r="304" ht="33.0" customHeight="1">
      <c r="A304" s="188"/>
      <c r="B304" s="189"/>
      <c r="C304" s="189"/>
      <c r="D304" s="189"/>
      <c r="E304" s="190"/>
      <c r="F304" s="191"/>
      <c r="G304" s="192"/>
      <c r="H304" s="193"/>
      <c r="I304" s="194"/>
      <c r="J304" s="195"/>
    </row>
    <row r="305" ht="33.0" customHeight="1">
      <c r="A305" s="188"/>
      <c r="B305" s="189"/>
      <c r="C305" s="189"/>
      <c r="D305" s="189"/>
      <c r="E305" s="190"/>
      <c r="F305" s="191"/>
      <c r="G305" s="192"/>
      <c r="H305" s="193"/>
      <c r="I305" s="194"/>
      <c r="J305" s="195"/>
    </row>
    <row r="306" ht="33.0" customHeight="1">
      <c r="A306" s="188"/>
      <c r="B306" s="189"/>
      <c r="C306" s="189"/>
      <c r="D306" s="189"/>
      <c r="E306" s="190"/>
      <c r="F306" s="191"/>
      <c r="G306" s="192"/>
      <c r="H306" s="193"/>
      <c r="I306" s="194"/>
      <c r="J306" s="195"/>
    </row>
    <row r="307" ht="33.0" customHeight="1">
      <c r="A307" s="188"/>
      <c r="B307" s="189"/>
      <c r="C307" s="189"/>
      <c r="D307" s="189"/>
      <c r="E307" s="190"/>
      <c r="F307" s="191"/>
      <c r="G307" s="192"/>
      <c r="H307" s="193"/>
      <c r="I307" s="194"/>
      <c r="J307" s="195"/>
    </row>
    <row r="308" ht="33.0" customHeight="1">
      <c r="A308" s="188"/>
      <c r="B308" s="189"/>
      <c r="C308" s="189"/>
      <c r="D308" s="189"/>
      <c r="E308" s="190"/>
      <c r="F308" s="191"/>
      <c r="G308" s="192"/>
      <c r="H308" s="193"/>
      <c r="I308" s="194"/>
      <c r="J308" s="195"/>
    </row>
    <row r="309" ht="33.0" customHeight="1">
      <c r="A309" s="188"/>
      <c r="B309" s="189"/>
      <c r="C309" s="189"/>
      <c r="D309" s="189"/>
      <c r="E309" s="190"/>
      <c r="F309" s="191"/>
      <c r="G309" s="192"/>
      <c r="H309" s="193"/>
      <c r="I309" s="194"/>
      <c r="J309" s="195"/>
    </row>
    <row r="310" ht="33.0" customHeight="1">
      <c r="A310" s="188"/>
      <c r="B310" s="189"/>
      <c r="C310" s="189"/>
      <c r="D310" s="189"/>
      <c r="E310" s="190"/>
      <c r="F310" s="191"/>
      <c r="G310" s="192"/>
      <c r="H310" s="193"/>
      <c r="I310" s="194"/>
      <c r="J310" s="195"/>
    </row>
    <row r="311" ht="33.0" customHeight="1">
      <c r="A311" s="188"/>
      <c r="B311" s="189"/>
      <c r="C311" s="189"/>
      <c r="D311" s="189"/>
      <c r="E311" s="190"/>
      <c r="F311" s="191"/>
      <c r="G311" s="192"/>
      <c r="H311" s="193"/>
      <c r="I311" s="194"/>
      <c r="J311" s="195"/>
    </row>
    <row r="312" ht="33.0" customHeight="1">
      <c r="A312" s="188"/>
      <c r="B312" s="189"/>
      <c r="C312" s="189"/>
      <c r="D312" s="189"/>
      <c r="E312" s="190"/>
      <c r="F312" s="191"/>
      <c r="G312" s="192"/>
      <c r="H312" s="193"/>
      <c r="I312" s="194"/>
      <c r="J312" s="195"/>
    </row>
    <row r="313" ht="33.0" customHeight="1">
      <c r="A313" s="188"/>
      <c r="B313" s="189"/>
      <c r="C313" s="189"/>
      <c r="D313" s="189"/>
      <c r="E313" s="190"/>
      <c r="F313" s="191"/>
      <c r="G313" s="192"/>
      <c r="H313" s="193"/>
      <c r="I313" s="194"/>
      <c r="J313" s="195"/>
    </row>
    <row r="314" ht="33.0" customHeight="1">
      <c r="A314" s="188"/>
      <c r="B314" s="189"/>
      <c r="C314" s="189"/>
      <c r="D314" s="189"/>
      <c r="E314" s="190"/>
      <c r="F314" s="191"/>
      <c r="G314" s="192"/>
      <c r="H314" s="193"/>
      <c r="I314" s="194"/>
      <c r="J314" s="195"/>
    </row>
    <row r="315" ht="33.0" customHeight="1">
      <c r="A315" s="188"/>
      <c r="B315" s="189"/>
      <c r="C315" s="189"/>
      <c r="D315" s="189"/>
      <c r="E315" s="190"/>
      <c r="F315" s="191"/>
      <c r="G315" s="192"/>
      <c r="H315" s="193"/>
      <c r="I315" s="194"/>
      <c r="J315" s="195"/>
    </row>
    <row r="316" ht="33.0" customHeight="1">
      <c r="A316" s="188"/>
      <c r="B316" s="189"/>
      <c r="C316" s="189"/>
      <c r="D316" s="189"/>
      <c r="E316" s="190"/>
      <c r="F316" s="191"/>
      <c r="G316" s="192"/>
      <c r="H316" s="193"/>
      <c r="I316" s="194"/>
      <c r="J316" s="195"/>
    </row>
    <row r="317" ht="33.0" customHeight="1">
      <c r="A317" s="188"/>
      <c r="B317" s="189"/>
      <c r="C317" s="189"/>
      <c r="D317" s="189"/>
      <c r="E317" s="190"/>
      <c r="F317" s="191"/>
      <c r="G317" s="192"/>
      <c r="H317" s="193"/>
      <c r="I317" s="194"/>
      <c r="J317" s="195"/>
    </row>
    <row r="318" ht="33.0" customHeight="1">
      <c r="A318" s="188"/>
      <c r="B318" s="189"/>
      <c r="C318" s="189"/>
      <c r="D318" s="189"/>
      <c r="E318" s="190"/>
      <c r="F318" s="191"/>
      <c r="G318" s="192"/>
      <c r="H318" s="193"/>
      <c r="I318" s="194"/>
      <c r="J318" s="195"/>
    </row>
    <row r="319" ht="33.0" customHeight="1">
      <c r="A319" s="188"/>
      <c r="B319" s="189"/>
      <c r="C319" s="189"/>
      <c r="D319" s="189"/>
      <c r="E319" s="190"/>
      <c r="F319" s="191"/>
      <c r="G319" s="192"/>
      <c r="H319" s="193"/>
      <c r="I319" s="194"/>
      <c r="J319" s="195"/>
    </row>
    <row r="320" ht="33.0" customHeight="1">
      <c r="A320" s="188"/>
      <c r="B320" s="189"/>
      <c r="C320" s="189"/>
      <c r="D320" s="189"/>
      <c r="E320" s="190"/>
      <c r="F320" s="191"/>
      <c r="G320" s="192"/>
      <c r="H320" s="193"/>
      <c r="I320" s="194"/>
      <c r="J320" s="195"/>
    </row>
    <row r="321" ht="33.0" customHeight="1">
      <c r="A321" s="188"/>
      <c r="B321" s="189"/>
      <c r="C321" s="189"/>
      <c r="D321" s="189"/>
      <c r="E321" s="190"/>
      <c r="F321" s="191"/>
      <c r="G321" s="192"/>
      <c r="H321" s="193"/>
      <c r="I321" s="194"/>
      <c r="J321" s="195"/>
    </row>
    <row r="322" ht="33.0" customHeight="1">
      <c r="A322" s="188"/>
      <c r="B322" s="189"/>
      <c r="C322" s="189"/>
      <c r="D322" s="189"/>
      <c r="E322" s="190"/>
      <c r="F322" s="191"/>
      <c r="G322" s="192"/>
      <c r="H322" s="193"/>
      <c r="I322" s="194"/>
      <c r="J322" s="195"/>
    </row>
    <row r="323" ht="33.0" customHeight="1">
      <c r="A323" s="188"/>
      <c r="B323" s="189"/>
      <c r="C323" s="189"/>
      <c r="D323" s="189"/>
      <c r="E323" s="190"/>
      <c r="F323" s="191"/>
      <c r="G323" s="192"/>
      <c r="H323" s="193"/>
      <c r="I323" s="194"/>
      <c r="J323" s="195"/>
    </row>
    <row r="324" ht="33.0" customHeight="1">
      <c r="A324" s="188"/>
      <c r="B324" s="189"/>
      <c r="C324" s="189"/>
      <c r="D324" s="189"/>
      <c r="E324" s="190"/>
      <c r="F324" s="191"/>
      <c r="G324" s="192"/>
      <c r="H324" s="193"/>
      <c r="I324" s="194"/>
      <c r="J324" s="195"/>
    </row>
    <row r="325" ht="33.0" customHeight="1">
      <c r="A325" s="188"/>
      <c r="B325" s="189"/>
      <c r="C325" s="189"/>
      <c r="D325" s="189"/>
      <c r="E325" s="190"/>
      <c r="F325" s="191"/>
      <c r="G325" s="192"/>
      <c r="H325" s="193"/>
      <c r="I325" s="194"/>
      <c r="J325" s="195"/>
    </row>
    <row r="326" ht="33.0" customHeight="1">
      <c r="A326" s="188"/>
      <c r="B326" s="189"/>
      <c r="C326" s="189"/>
      <c r="D326" s="189"/>
      <c r="E326" s="190"/>
      <c r="F326" s="191"/>
      <c r="G326" s="192"/>
      <c r="H326" s="193"/>
      <c r="I326" s="194"/>
      <c r="J326" s="195"/>
    </row>
    <row r="327" ht="33.0" customHeight="1">
      <c r="A327" s="188"/>
      <c r="B327" s="189"/>
      <c r="C327" s="189"/>
      <c r="D327" s="189"/>
      <c r="E327" s="190"/>
      <c r="F327" s="191"/>
      <c r="G327" s="192"/>
      <c r="H327" s="193"/>
      <c r="I327" s="194"/>
      <c r="J327" s="195"/>
    </row>
    <row r="328" ht="33.0" customHeight="1">
      <c r="A328" s="188"/>
      <c r="B328" s="189"/>
      <c r="C328" s="189"/>
      <c r="D328" s="189"/>
      <c r="E328" s="190"/>
      <c r="F328" s="191"/>
      <c r="G328" s="192"/>
      <c r="H328" s="193"/>
      <c r="I328" s="194"/>
      <c r="J328" s="195"/>
    </row>
    <row r="329" ht="33.0" customHeight="1">
      <c r="A329" s="188"/>
      <c r="B329" s="189"/>
      <c r="C329" s="189"/>
      <c r="D329" s="189"/>
      <c r="E329" s="190"/>
      <c r="F329" s="191"/>
      <c r="G329" s="192"/>
      <c r="H329" s="193"/>
      <c r="I329" s="194"/>
      <c r="J329" s="195"/>
    </row>
    <row r="330" ht="33.0" customHeight="1">
      <c r="A330" s="188"/>
      <c r="B330" s="189"/>
      <c r="C330" s="189"/>
      <c r="D330" s="189"/>
      <c r="E330" s="190"/>
      <c r="F330" s="191"/>
      <c r="G330" s="192"/>
      <c r="H330" s="193"/>
      <c r="I330" s="194"/>
      <c r="J330" s="195"/>
    </row>
    <row r="331" ht="33.0" customHeight="1">
      <c r="A331" s="188"/>
      <c r="B331" s="189"/>
      <c r="C331" s="189"/>
      <c r="D331" s="189"/>
      <c r="E331" s="190"/>
      <c r="F331" s="191"/>
      <c r="G331" s="192"/>
      <c r="H331" s="193"/>
      <c r="I331" s="194"/>
      <c r="J331" s="195"/>
    </row>
    <row r="332" ht="33.0" customHeight="1">
      <c r="A332" s="188"/>
      <c r="B332" s="189"/>
      <c r="C332" s="189"/>
      <c r="D332" s="189"/>
      <c r="E332" s="190"/>
      <c r="F332" s="191"/>
      <c r="G332" s="192"/>
      <c r="H332" s="193"/>
      <c r="I332" s="194"/>
      <c r="J332" s="195"/>
    </row>
    <row r="333" ht="33.0" customHeight="1">
      <c r="A333" s="188"/>
      <c r="B333" s="189"/>
      <c r="C333" s="189"/>
      <c r="D333" s="189"/>
      <c r="E333" s="190"/>
      <c r="F333" s="191"/>
      <c r="G333" s="192"/>
      <c r="H333" s="193"/>
      <c r="I333" s="194"/>
      <c r="J333" s="195"/>
    </row>
    <row r="334" ht="33.0" customHeight="1">
      <c r="A334" s="188"/>
      <c r="B334" s="189"/>
      <c r="C334" s="189"/>
      <c r="D334" s="189"/>
      <c r="E334" s="190"/>
      <c r="F334" s="191"/>
      <c r="G334" s="192"/>
      <c r="H334" s="193"/>
      <c r="I334" s="194"/>
      <c r="J334" s="195"/>
    </row>
    <row r="335" ht="33.0" customHeight="1">
      <c r="A335" s="188"/>
      <c r="B335" s="189"/>
      <c r="C335" s="189"/>
      <c r="D335" s="189"/>
      <c r="E335" s="190"/>
      <c r="F335" s="191"/>
      <c r="G335" s="192"/>
      <c r="H335" s="193"/>
      <c r="I335" s="194"/>
      <c r="J335" s="195"/>
    </row>
    <row r="336" ht="33.0" customHeight="1">
      <c r="A336" s="188"/>
      <c r="B336" s="189"/>
      <c r="C336" s="189"/>
      <c r="D336" s="189"/>
      <c r="E336" s="190"/>
      <c r="F336" s="191"/>
      <c r="G336" s="192"/>
      <c r="H336" s="193"/>
      <c r="I336" s="194"/>
      <c r="J336" s="195"/>
    </row>
    <row r="337" ht="33.0" customHeight="1">
      <c r="A337" s="188"/>
      <c r="B337" s="189"/>
      <c r="C337" s="189"/>
      <c r="D337" s="189"/>
      <c r="E337" s="190"/>
      <c r="F337" s="191"/>
      <c r="G337" s="192"/>
      <c r="H337" s="193"/>
      <c r="I337" s="194"/>
      <c r="J337" s="195"/>
    </row>
    <row r="338" ht="33.0" customHeight="1">
      <c r="A338" s="188"/>
      <c r="B338" s="189"/>
      <c r="C338" s="189"/>
      <c r="D338" s="189"/>
      <c r="E338" s="190"/>
      <c r="F338" s="191"/>
      <c r="G338" s="192"/>
      <c r="H338" s="193"/>
      <c r="I338" s="194"/>
      <c r="J338" s="195"/>
    </row>
    <row r="339" ht="33.0" customHeight="1">
      <c r="A339" s="188"/>
      <c r="B339" s="189"/>
      <c r="C339" s="189"/>
      <c r="D339" s="189"/>
      <c r="E339" s="190"/>
      <c r="F339" s="191"/>
      <c r="G339" s="192"/>
      <c r="H339" s="193"/>
      <c r="I339" s="194"/>
      <c r="J339" s="195"/>
    </row>
    <row r="340" ht="33.0" customHeight="1">
      <c r="A340" s="188"/>
      <c r="B340" s="189"/>
      <c r="C340" s="189"/>
      <c r="D340" s="189"/>
      <c r="E340" s="190"/>
      <c r="F340" s="191"/>
      <c r="G340" s="192"/>
      <c r="H340" s="193"/>
      <c r="I340" s="194"/>
      <c r="J340" s="195"/>
    </row>
    <row r="341" ht="33.0" customHeight="1">
      <c r="A341" s="188"/>
      <c r="B341" s="189"/>
      <c r="C341" s="189"/>
      <c r="D341" s="189"/>
      <c r="E341" s="190"/>
      <c r="F341" s="191"/>
      <c r="G341" s="192"/>
      <c r="H341" s="193"/>
      <c r="I341" s="194"/>
      <c r="J341" s="195"/>
    </row>
    <row r="342" ht="33.0" customHeight="1">
      <c r="A342" s="188"/>
      <c r="B342" s="189"/>
      <c r="C342" s="189"/>
      <c r="D342" s="189"/>
      <c r="E342" s="190"/>
      <c r="F342" s="191"/>
      <c r="G342" s="192"/>
      <c r="H342" s="193"/>
      <c r="I342" s="194"/>
      <c r="J342" s="195"/>
    </row>
    <row r="343" ht="33.0" customHeight="1">
      <c r="A343" s="188"/>
      <c r="B343" s="189"/>
      <c r="C343" s="189"/>
      <c r="D343" s="189"/>
      <c r="E343" s="190"/>
      <c r="F343" s="191"/>
      <c r="G343" s="192"/>
      <c r="H343" s="193"/>
      <c r="I343" s="194"/>
      <c r="J343" s="195"/>
    </row>
    <row r="344" ht="33.0" customHeight="1">
      <c r="A344" s="188"/>
      <c r="B344" s="189"/>
      <c r="C344" s="189"/>
      <c r="D344" s="189"/>
      <c r="E344" s="190"/>
      <c r="F344" s="191"/>
      <c r="G344" s="192"/>
      <c r="H344" s="193"/>
      <c r="I344" s="194"/>
      <c r="J344" s="195"/>
    </row>
    <row r="345" ht="33.0" customHeight="1">
      <c r="A345" s="188"/>
      <c r="B345" s="189"/>
      <c r="C345" s="189"/>
      <c r="D345" s="189"/>
      <c r="E345" s="190"/>
      <c r="F345" s="191"/>
      <c r="G345" s="192"/>
      <c r="H345" s="193"/>
      <c r="I345" s="194"/>
      <c r="J345" s="195"/>
    </row>
    <row r="346" ht="33.0" customHeight="1">
      <c r="A346" s="188"/>
      <c r="B346" s="189"/>
      <c r="C346" s="189"/>
      <c r="D346" s="189"/>
      <c r="E346" s="190"/>
      <c r="F346" s="191"/>
      <c r="G346" s="192"/>
      <c r="H346" s="193"/>
      <c r="I346" s="194"/>
      <c r="J346" s="195"/>
    </row>
    <row r="347" ht="33.0" customHeight="1">
      <c r="A347" s="188"/>
      <c r="B347" s="189"/>
      <c r="C347" s="189"/>
      <c r="D347" s="189"/>
      <c r="E347" s="190"/>
      <c r="F347" s="191"/>
      <c r="G347" s="192"/>
      <c r="H347" s="193"/>
      <c r="I347" s="194"/>
      <c r="J347" s="195"/>
    </row>
    <row r="348" ht="33.0" customHeight="1">
      <c r="A348" s="188"/>
      <c r="B348" s="189"/>
      <c r="C348" s="189"/>
      <c r="D348" s="189"/>
      <c r="E348" s="190"/>
      <c r="F348" s="191"/>
      <c r="G348" s="192"/>
      <c r="H348" s="193"/>
      <c r="I348" s="194"/>
      <c r="J348" s="195"/>
    </row>
    <row r="349" ht="33.0" customHeight="1">
      <c r="A349" s="188"/>
      <c r="B349" s="189"/>
      <c r="C349" s="189"/>
      <c r="D349" s="189"/>
      <c r="E349" s="190"/>
      <c r="F349" s="191"/>
      <c r="G349" s="192"/>
      <c r="H349" s="193"/>
      <c r="I349" s="194"/>
      <c r="J349" s="195"/>
    </row>
    <row r="350" ht="33.0" customHeight="1">
      <c r="A350" s="188"/>
      <c r="B350" s="189"/>
      <c r="C350" s="189"/>
      <c r="D350" s="189"/>
      <c r="E350" s="190"/>
      <c r="F350" s="191"/>
      <c r="G350" s="192"/>
      <c r="H350" s="193"/>
      <c r="I350" s="194"/>
      <c r="J350" s="195"/>
    </row>
    <row r="351" ht="33.0" customHeight="1">
      <c r="A351" s="188"/>
      <c r="B351" s="189"/>
      <c r="C351" s="189"/>
      <c r="D351" s="189"/>
      <c r="E351" s="190"/>
      <c r="F351" s="191"/>
      <c r="G351" s="192"/>
      <c r="H351" s="193"/>
      <c r="I351" s="194"/>
      <c r="J351" s="195"/>
    </row>
    <row r="352" ht="33.0" customHeight="1">
      <c r="A352" s="188"/>
      <c r="B352" s="189"/>
      <c r="C352" s="189"/>
      <c r="D352" s="189"/>
      <c r="E352" s="190"/>
      <c r="F352" s="191"/>
      <c r="G352" s="192"/>
      <c r="H352" s="193"/>
      <c r="I352" s="194"/>
      <c r="J352" s="195"/>
    </row>
    <row r="353" ht="33.0" customHeight="1">
      <c r="A353" s="188"/>
      <c r="B353" s="189"/>
      <c r="C353" s="189"/>
      <c r="D353" s="189"/>
      <c r="E353" s="190"/>
      <c r="F353" s="191"/>
      <c r="G353" s="192"/>
      <c r="H353" s="193"/>
      <c r="I353" s="194"/>
      <c r="J353" s="195"/>
    </row>
    <row r="354" ht="33.0" customHeight="1">
      <c r="A354" s="188"/>
      <c r="B354" s="189"/>
      <c r="C354" s="189"/>
      <c r="D354" s="189"/>
      <c r="E354" s="190"/>
      <c r="F354" s="191"/>
      <c r="G354" s="192"/>
      <c r="H354" s="193"/>
      <c r="I354" s="194"/>
      <c r="J354" s="195"/>
    </row>
    <row r="355" ht="33.0" customHeight="1">
      <c r="A355" s="188"/>
      <c r="B355" s="189"/>
      <c r="C355" s="189"/>
      <c r="D355" s="189"/>
      <c r="E355" s="190"/>
      <c r="F355" s="191"/>
      <c r="G355" s="192"/>
      <c r="H355" s="193"/>
      <c r="I355" s="194"/>
      <c r="J355" s="195"/>
    </row>
    <row r="356" ht="33.0" customHeight="1">
      <c r="A356" s="188"/>
      <c r="B356" s="189"/>
      <c r="C356" s="189"/>
      <c r="D356" s="189"/>
      <c r="E356" s="190"/>
      <c r="F356" s="191"/>
      <c r="G356" s="192"/>
      <c r="H356" s="193"/>
      <c r="I356" s="194"/>
      <c r="J356" s="195"/>
    </row>
    <row r="357" ht="33.0" customHeight="1">
      <c r="A357" s="188"/>
      <c r="B357" s="189"/>
      <c r="C357" s="189"/>
      <c r="D357" s="189"/>
      <c r="E357" s="190"/>
      <c r="F357" s="191"/>
      <c r="G357" s="192"/>
      <c r="H357" s="193"/>
      <c r="I357" s="194"/>
      <c r="J357" s="195"/>
    </row>
    <row r="358" ht="33.0" customHeight="1">
      <c r="A358" s="188"/>
      <c r="B358" s="189"/>
      <c r="C358" s="189"/>
      <c r="D358" s="189"/>
      <c r="E358" s="190"/>
      <c r="F358" s="191"/>
      <c r="G358" s="192"/>
      <c r="H358" s="193"/>
      <c r="I358" s="194"/>
      <c r="J358" s="195"/>
    </row>
    <row r="359" ht="33.0" customHeight="1">
      <c r="A359" s="188"/>
      <c r="B359" s="189"/>
      <c r="C359" s="189"/>
      <c r="D359" s="189"/>
      <c r="E359" s="190"/>
      <c r="F359" s="191"/>
      <c r="G359" s="192"/>
      <c r="H359" s="193"/>
      <c r="I359" s="194"/>
      <c r="J359" s="195"/>
    </row>
    <row r="360" ht="33.0" customHeight="1">
      <c r="A360" s="188"/>
      <c r="B360" s="189"/>
      <c r="C360" s="189"/>
      <c r="D360" s="189"/>
      <c r="E360" s="190"/>
      <c r="F360" s="191"/>
      <c r="G360" s="192"/>
      <c r="H360" s="193"/>
      <c r="I360" s="194"/>
      <c r="J360" s="195"/>
    </row>
    <row r="361" ht="33.0" customHeight="1">
      <c r="A361" s="188"/>
      <c r="B361" s="189"/>
      <c r="C361" s="189"/>
      <c r="D361" s="189"/>
      <c r="E361" s="190"/>
      <c r="F361" s="191"/>
      <c r="G361" s="192"/>
      <c r="H361" s="193"/>
      <c r="I361" s="194"/>
      <c r="J361" s="195"/>
    </row>
    <row r="362" ht="33.0" customHeight="1">
      <c r="A362" s="188"/>
      <c r="B362" s="189"/>
      <c r="C362" s="189"/>
      <c r="D362" s="189"/>
      <c r="E362" s="190"/>
      <c r="F362" s="191"/>
      <c r="G362" s="192"/>
      <c r="H362" s="193"/>
      <c r="I362" s="194"/>
      <c r="J362" s="195"/>
    </row>
    <row r="363" ht="33.0" customHeight="1">
      <c r="A363" s="188"/>
      <c r="B363" s="189"/>
      <c r="C363" s="189"/>
      <c r="D363" s="189"/>
      <c r="E363" s="190"/>
      <c r="F363" s="191"/>
      <c r="G363" s="192"/>
      <c r="H363" s="193"/>
      <c r="I363" s="194"/>
      <c r="J363" s="195"/>
    </row>
    <row r="364" ht="33.0" customHeight="1">
      <c r="A364" s="188"/>
      <c r="B364" s="189"/>
      <c r="C364" s="189"/>
      <c r="D364" s="189"/>
      <c r="E364" s="190"/>
      <c r="F364" s="191"/>
      <c r="G364" s="192"/>
      <c r="H364" s="193"/>
      <c r="I364" s="194"/>
      <c r="J364" s="195"/>
    </row>
    <row r="365" ht="33.0" customHeight="1">
      <c r="A365" s="188"/>
      <c r="B365" s="189"/>
      <c r="C365" s="189"/>
      <c r="D365" s="189"/>
      <c r="E365" s="190"/>
      <c r="F365" s="191"/>
      <c r="G365" s="192"/>
      <c r="H365" s="193"/>
      <c r="I365" s="194"/>
      <c r="J365" s="195"/>
    </row>
    <row r="366" ht="33.0" customHeight="1">
      <c r="A366" s="188"/>
      <c r="B366" s="189"/>
      <c r="C366" s="189"/>
      <c r="D366" s="189"/>
      <c r="E366" s="190"/>
      <c r="F366" s="191"/>
      <c r="G366" s="192"/>
      <c r="H366" s="193"/>
      <c r="I366" s="194"/>
      <c r="J366" s="195"/>
    </row>
    <row r="367" ht="33.0" customHeight="1">
      <c r="A367" s="188"/>
      <c r="B367" s="189"/>
      <c r="C367" s="189"/>
      <c r="D367" s="189"/>
      <c r="E367" s="190"/>
      <c r="F367" s="191"/>
      <c r="G367" s="192"/>
      <c r="H367" s="193"/>
      <c r="I367" s="194"/>
      <c r="J367" s="195"/>
    </row>
    <row r="368" ht="33.0" customHeight="1">
      <c r="A368" s="188"/>
      <c r="B368" s="189"/>
      <c r="C368" s="189"/>
      <c r="D368" s="189"/>
      <c r="E368" s="190"/>
      <c r="F368" s="191"/>
      <c r="G368" s="192"/>
      <c r="H368" s="193"/>
      <c r="I368" s="194"/>
      <c r="J368" s="195"/>
    </row>
    <row r="369" ht="33.0" customHeight="1">
      <c r="A369" s="188"/>
      <c r="B369" s="189"/>
      <c r="C369" s="189"/>
      <c r="D369" s="189"/>
      <c r="E369" s="190"/>
      <c r="F369" s="191"/>
      <c r="G369" s="192"/>
      <c r="H369" s="193"/>
      <c r="I369" s="194"/>
      <c r="J369" s="195"/>
    </row>
    <row r="370" ht="33.0" customHeight="1">
      <c r="A370" s="188"/>
      <c r="B370" s="189"/>
      <c r="C370" s="189"/>
      <c r="D370" s="189"/>
      <c r="E370" s="190"/>
      <c r="F370" s="191"/>
      <c r="G370" s="192"/>
      <c r="H370" s="193"/>
      <c r="I370" s="194"/>
      <c r="J370" s="195"/>
    </row>
    <row r="371" ht="33.0" customHeight="1">
      <c r="A371" s="188"/>
      <c r="B371" s="189"/>
      <c r="C371" s="189"/>
      <c r="D371" s="189"/>
      <c r="E371" s="190"/>
      <c r="F371" s="191"/>
      <c r="G371" s="192"/>
      <c r="H371" s="193"/>
      <c r="I371" s="194"/>
      <c r="J371" s="195"/>
    </row>
    <row r="372" ht="33.0" customHeight="1">
      <c r="A372" s="188"/>
      <c r="B372" s="189"/>
      <c r="C372" s="189"/>
      <c r="D372" s="189"/>
      <c r="E372" s="190"/>
      <c r="F372" s="191"/>
      <c r="G372" s="192"/>
      <c r="H372" s="193"/>
      <c r="I372" s="194"/>
      <c r="J372" s="195"/>
    </row>
    <row r="373" ht="33.0" customHeight="1">
      <c r="A373" s="188"/>
      <c r="B373" s="189"/>
      <c r="C373" s="189"/>
      <c r="D373" s="189"/>
      <c r="E373" s="190"/>
      <c r="F373" s="191"/>
      <c r="G373" s="192"/>
      <c r="H373" s="193"/>
      <c r="I373" s="194"/>
      <c r="J373" s="195"/>
    </row>
    <row r="374" ht="33.0" customHeight="1">
      <c r="A374" s="188"/>
      <c r="B374" s="189"/>
      <c r="C374" s="189"/>
      <c r="D374" s="189"/>
      <c r="E374" s="190"/>
      <c r="F374" s="191"/>
      <c r="G374" s="192"/>
      <c r="H374" s="193"/>
      <c r="I374" s="194"/>
      <c r="J374" s="195"/>
    </row>
    <row r="375" ht="33.0" customHeight="1">
      <c r="A375" s="188"/>
      <c r="B375" s="189"/>
      <c r="C375" s="189"/>
      <c r="D375" s="189"/>
      <c r="E375" s="190"/>
      <c r="F375" s="191"/>
      <c r="G375" s="192"/>
      <c r="H375" s="193"/>
      <c r="I375" s="194"/>
      <c r="J375" s="195"/>
    </row>
    <row r="376" ht="33.0" customHeight="1">
      <c r="A376" s="188"/>
      <c r="B376" s="189"/>
      <c r="C376" s="189"/>
      <c r="D376" s="189"/>
      <c r="E376" s="190"/>
      <c r="F376" s="191"/>
      <c r="G376" s="192"/>
      <c r="H376" s="193"/>
      <c r="I376" s="194"/>
      <c r="J376" s="195"/>
    </row>
    <row r="377" ht="33.0" customHeight="1">
      <c r="A377" s="188"/>
      <c r="B377" s="189"/>
      <c r="C377" s="189"/>
      <c r="D377" s="189"/>
      <c r="E377" s="190"/>
      <c r="F377" s="191"/>
      <c r="G377" s="192"/>
      <c r="H377" s="193"/>
      <c r="I377" s="194"/>
      <c r="J377" s="195"/>
    </row>
    <row r="378" ht="33.0" customHeight="1">
      <c r="A378" s="188"/>
      <c r="B378" s="189"/>
      <c r="C378" s="189"/>
      <c r="D378" s="189"/>
      <c r="E378" s="190"/>
      <c r="F378" s="191"/>
      <c r="G378" s="192"/>
      <c r="H378" s="193"/>
      <c r="I378" s="194"/>
      <c r="J378" s="195"/>
    </row>
    <row r="379" ht="33.0" customHeight="1">
      <c r="A379" s="188"/>
      <c r="B379" s="189"/>
      <c r="C379" s="189"/>
      <c r="D379" s="189"/>
      <c r="E379" s="190"/>
      <c r="F379" s="191"/>
      <c r="G379" s="192"/>
      <c r="H379" s="193"/>
      <c r="I379" s="194"/>
      <c r="J379" s="195"/>
    </row>
    <row r="380" ht="33.0" customHeight="1">
      <c r="A380" s="188"/>
      <c r="B380" s="189"/>
      <c r="C380" s="189"/>
      <c r="D380" s="189"/>
      <c r="E380" s="190"/>
      <c r="F380" s="191"/>
      <c r="G380" s="192"/>
      <c r="H380" s="193"/>
      <c r="I380" s="194"/>
      <c r="J380" s="195"/>
    </row>
    <row r="381" ht="33.0" customHeight="1">
      <c r="A381" s="188"/>
      <c r="B381" s="189"/>
      <c r="C381" s="189"/>
      <c r="D381" s="189"/>
      <c r="E381" s="190"/>
      <c r="F381" s="191"/>
      <c r="G381" s="192"/>
      <c r="H381" s="193"/>
      <c r="I381" s="194"/>
      <c r="J381" s="195"/>
    </row>
    <row r="382" ht="33.0" customHeight="1">
      <c r="A382" s="188"/>
      <c r="B382" s="189"/>
      <c r="C382" s="189"/>
      <c r="D382" s="189"/>
      <c r="E382" s="190"/>
      <c r="F382" s="191"/>
      <c r="G382" s="192"/>
      <c r="H382" s="193"/>
      <c r="I382" s="194"/>
      <c r="J382" s="195"/>
    </row>
    <row r="383" ht="33.0" customHeight="1">
      <c r="A383" s="188"/>
      <c r="B383" s="189"/>
      <c r="C383" s="189"/>
      <c r="D383" s="189"/>
      <c r="E383" s="190"/>
      <c r="F383" s="191"/>
      <c r="G383" s="192"/>
      <c r="H383" s="193"/>
      <c r="I383" s="194"/>
      <c r="J383" s="195"/>
    </row>
    <row r="384" ht="33.0" customHeight="1">
      <c r="A384" s="188"/>
      <c r="B384" s="189"/>
      <c r="C384" s="189"/>
      <c r="D384" s="189"/>
      <c r="E384" s="190"/>
      <c r="F384" s="191"/>
      <c r="G384" s="192"/>
      <c r="H384" s="193"/>
      <c r="I384" s="194"/>
      <c r="J384" s="195"/>
    </row>
    <row r="385" ht="33.0" customHeight="1">
      <c r="A385" s="188"/>
      <c r="B385" s="189"/>
      <c r="C385" s="189"/>
      <c r="D385" s="189"/>
      <c r="E385" s="190"/>
      <c r="F385" s="191"/>
      <c r="G385" s="192"/>
      <c r="H385" s="193"/>
      <c r="I385" s="194"/>
      <c r="J385" s="195"/>
    </row>
    <row r="386" ht="33.0" customHeight="1">
      <c r="A386" s="188"/>
      <c r="B386" s="189"/>
      <c r="C386" s="189"/>
      <c r="D386" s="189"/>
      <c r="E386" s="190"/>
      <c r="F386" s="191"/>
      <c r="G386" s="192"/>
      <c r="H386" s="193"/>
      <c r="I386" s="194"/>
      <c r="J386" s="195"/>
    </row>
    <row r="387" ht="33.0" customHeight="1">
      <c r="A387" s="188"/>
      <c r="B387" s="189"/>
      <c r="C387" s="189"/>
      <c r="D387" s="189"/>
      <c r="E387" s="190"/>
      <c r="F387" s="191"/>
      <c r="G387" s="192"/>
      <c r="H387" s="193"/>
      <c r="I387" s="194"/>
      <c r="J387" s="195"/>
    </row>
    <row r="388" ht="33.0" customHeight="1">
      <c r="A388" s="188"/>
      <c r="B388" s="189"/>
      <c r="C388" s="189"/>
      <c r="D388" s="189"/>
      <c r="E388" s="190"/>
      <c r="F388" s="191"/>
      <c r="G388" s="192"/>
      <c r="H388" s="193"/>
      <c r="I388" s="194"/>
      <c r="J388" s="195"/>
    </row>
    <row r="389" ht="33.0" customHeight="1">
      <c r="A389" s="188"/>
      <c r="B389" s="189"/>
      <c r="C389" s="189"/>
      <c r="D389" s="189"/>
      <c r="E389" s="190"/>
      <c r="F389" s="191"/>
      <c r="G389" s="192"/>
      <c r="H389" s="193"/>
      <c r="I389" s="194"/>
      <c r="J389" s="195"/>
    </row>
    <row r="390" ht="33.0" customHeight="1">
      <c r="A390" s="188"/>
      <c r="B390" s="189"/>
      <c r="C390" s="189"/>
      <c r="D390" s="189"/>
      <c r="E390" s="190"/>
      <c r="F390" s="191"/>
      <c r="G390" s="192"/>
      <c r="H390" s="193"/>
      <c r="I390" s="194"/>
      <c r="J390" s="195"/>
    </row>
    <row r="391" ht="33.0" customHeight="1">
      <c r="A391" s="188"/>
      <c r="B391" s="189"/>
      <c r="C391" s="189"/>
      <c r="D391" s="189"/>
      <c r="E391" s="190"/>
      <c r="F391" s="191"/>
      <c r="G391" s="192"/>
      <c r="H391" s="193"/>
      <c r="I391" s="194"/>
      <c r="J391" s="195"/>
    </row>
    <row r="392" ht="33.0" customHeight="1">
      <c r="A392" s="188"/>
      <c r="B392" s="189"/>
      <c r="C392" s="189"/>
      <c r="D392" s="189"/>
      <c r="E392" s="190"/>
      <c r="F392" s="191"/>
      <c r="G392" s="192"/>
      <c r="H392" s="193"/>
      <c r="I392" s="194"/>
      <c r="J392" s="195"/>
    </row>
    <row r="393" ht="33.0" customHeight="1">
      <c r="A393" s="188"/>
      <c r="B393" s="189"/>
      <c r="C393" s="189"/>
      <c r="D393" s="189"/>
      <c r="E393" s="190"/>
      <c r="F393" s="191"/>
      <c r="G393" s="192"/>
      <c r="H393" s="193"/>
      <c r="I393" s="194"/>
      <c r="J393" s="195"/>
    </row>
    <row r="394" ht="33.0" customHeight="1">
      <c r="A394" s="188"/>
      <c r="B394" s="189"/>
      <c r="C394" s="189"/>
      <c r="D394" s="189"/>
      <c r="E394" s="190"/>
      <c r="F394" s="191"/>
      <c r="G394" s="192"/>
      <c r="H394" s="193"/>
      <c r="I394" s="194"/>
      <c r="J394" s="195"/>
    </row>
    <row r="395" ht="33.0" customHeight="1">
      <c r="A395" s="188"/>
      <c r="B395" s="189"/>
      <c r="C395" s="189"/>
      <c r="D395" s="189"/>
      <c r="E395" s="190"/>
      <c r="F395" s="191"/>
      <c r="G395" s="192"/>
      <c r="H395" s="193"/>
      <c r="I395" s="194"/>
      <c r="J395" s="195"/>
    </row>
    <row r="396" ht="33.0" customHeight="1">
      <c r="A396" s="188"/>
      <c r="B396" s="189"/>
      <c r="C396" s="189"/>
      <c r="D396" s="189"/>
      <c r="E396" s="190"/>
      <c r="F396" s="191"/>
      <c r="G396" s="192"/>
      <c r="H396" s="193"/>
      <c r="I396" s="194"/>
      <c r="J396" s="195"/>
    </row>
    <row r="397" ht="33.0" customHeight="1">
      <c r="A397" s="188"/>
      <c r="B397" s="189"/>
      <c r="C397" s="189"/>
      <c r="D397" s="189"/>
      <c r="E397" s="190"/>
      <c r="F397" s="191"/>
      <c r="G397" s="192"/>
      <c r="H397" s="193"/>
      <c r="I397" s="194"/>
      <c r="J397" s="195"/>
    </row>
    <row r="398" ht="33.0" customHeight="1">
      <c r="A398" s="188"/>
      <c r="B398" s="189"/>
      <c r="C398" s="189"/>
      <c r="D398" s="189"/>
      <c r="E398" s="190"/>
      <c r="F398" s="191"/>
      <c r="G398" s="192"/>
      <c r="H398" s="193"/>
      <c r="I398" s="194"/>
      <c r="J398" s="195"/>
    </row>
    <row r="399" ht="33.0" customHeight="1">
      <c r="A399" s="188"/>
      <c r="B399" s="189"/>
      <c r="C399" s="189"/>
      <c r="D399" s="189"/>
      <c r="E399" s="190"/>
      <c r="F399" s="191"/>
      <c r="G399" s="192"/>
      <c r="H399" s="193"/>
      <c r="I399" s="194"/>
      <c r="J399" s="195"/>
    </row>
    <row r="400" ht="33.0" customHeight="1">
      <c r="A400" s="188"/>
      <c r="B400" s="189"/>
      <c r="C400" s="189"/>
      <c r="D400" s="189"/>
      <c r="E400" s="190"/>
      <c r="F400" s="191"/>
      <c r="G400" s="192"/>
      <c r="H400" s="193"/>
      <c r="I400" s="194"/>
      <c r="J400" s="195"/>
    </row>
    <row r="401" ht="33.0" customHeight="1">
      <c r="A401" s="188"/>
      <c r="B401" s="189"/>
      <c r="C401" s="189"/>
      <c r="D401" s="189"/>
      <c r="E401" s="190"/>
      <c r="F401" s="191"/>
      <c r="G401" s="192"/>
      <c r="H401" s="193"/>
      <c r="I401" s="194"/>
      <c r="J401" s="195"/>
    </row>
    <row r="402" ht="33.0" customHeight="1">
      <c r="A402" s="188"/>
      <c r="B402" s="189"/>
      <c r="C402" s="189"/>
      <c r="D402" s="189"/>
      <c r="E402" s="190"/>
      <c r="F402" s="191"/>
      <c r="G402" s="192"/>
      <c r="H402" s="193"/>
      <c r="I402" s="194"/>
      <c r="J402" s="195"/>
    </row>
    <row r="403" ht="33.0" customHeight="1">
      <c r="A403" s="188"/>
      <c r="B403" s="189"/>
      <c r="C403" s="189"/>
      <c r="D403" s="189"/>
      <c r="E403" s="190"/>
      <c r="F403" s="191"/>
      <c r="G403" s="192"/>
      <c r="H403" s="193"/>
      <c r="I403" s="194"/>
      <c r="J403" s="195"/>
    </row>
    <row r="404" ht="33.0" customHeight="1">
      <c r="A404" s="188"/>
      <c r="B404" s="189"/>
      <c r="C404" s="189"/>
      <c r="D404" s="189"/>
      <c r="E404" s="190"/>
      <c r="F404" s="191"/>
      <c r="G404" s="192"/>
      <c r="H404" s="193"/>
      <c r="I404" s="194"/>
      <c r="J404" s="195"/>
    </row>
    <row r="405" ht="33.0" customHeight="1">
      <c r="A405" s="188"/>
      <c r="B405" s="189"/>
      <c r="C405" s="189"/>
      <c r="D405" s="189"/>
      <c r="E405" s="190"/>
      <c r="F405" s="191"/>
      <c r="G405" s="192"/>
      <c r="H405" s="193"/>
      <c r="I405" s="194"/>
      <c r="J405" s="195"/>
    </row>
    <row r="406" ht="33.0" customHeight="1">
      <c r="A406" s="188"/>
      <c r="B406" s="189"/>
      <c r="C406" s="189"/>
      <c r="D406" s="189"/>
      <c r="E406" s="190"/>
      <c r="F406" s="191"/>
      <c r="G406" s="192"/>
      <c r="H406" s="193"/>
      <c r="I406" s="194"/>
      <c r="J406" s="195"/>
    </row>
    <row r="407" ht="33.0" customHeight="1">
      <c r="A407" s="188"/>
      <c r="B407" s="189"/>
      <c r="C407" s="189"/>
      <c r="D407" s="189"/>
      <c r="E407" s="190"/>
      <c r="F407" s="191"/>
      <c r="G407" s="192"/>
      <c r="H407" s="193"/>
      <c r="I407" s="194"/>
      <c r="J407" s="195"/>
    </row>
    <row r="408" ht="33.0" customHeight="1">
      <c r="A408" s="188"/>
      <c r="B408" s="189"/>
      <c r="C408" s="189"/>
      <c r="D408" s="189"/>
      <c r="E408" s="190"/>
      <c r="F408" s="191"/>
      <c r="G408" s="192"/>
      <c r="H408" s="193"/>
      <c r="I408" s="194"/>
      <c r="J408" s="195"/>
    </row>
    <row r="409" ht="33.0" customHeight="1">
      <c r="A409" s="188"/>
      <c r="B409" s="189"/>
      <c r="C409" s="189"/>
      <c r="D409" s="189"/>
      <c r="E409" s="190"/>
      <c r="F409" s="191"/>
      <c r="G409" s="192"/>
      <c r="H409" s="193"/>
      <c r="I409" s="194"/>
      <c r="J409" s="195"/>
    </row>
    <row r="410" ht="33.0" customHeight="1">
      <c r="A410" s="188"/>
      <c r="B410" s="189"/>
      <c r="C410" s="189"/>
      <c r="D410" s="189"/>
      <c r="E410" s="190"/>
      <c r="F410" s="191"/>
      <c r="G410" s="192"/>
      <c r="H410" s="193"/>
      <c r="I410" s="194"/>
      <c r="J410" s="195"/>
    </row>
    <row r="411" ht="33.0" customHeight="1">
      <c r="A411" s="188"/>
      <c r="B411" s="189"/>
      <c r="C411" s="189"/>
      <c r="D411" s="189"/>
      <c r="E411" s="190"/>
      <c r="F411" s="191"/>
      <c r="G411" s="192"/>
      <c r="H411" s="193"/>
      <c r="I411" s="194"/>
      <c r="J411" s="195"/>
    </row>
    <row r="412" ht="33.0" customHeight="1">
      <c r="A412" s="188"/>
      <c r="B412" s="189"/>
      <c r="C412" s="189"/>
      <c r="D412" s="189"/>
      <c r="E412" s="190"/>
      <c r="F412" s="191"/>
      <c r="G412" s="192"/>
      <c r="H412" s="193"/>
      <c r="I412" s="194"/>
      <c r="J412" s="195"/>
    </row>
    <row r="413" ht="33.0" customHeight="1">
      <c r="A413" s="188"/>
      <c r="B413" s="189"/>
      <c r="C413" s="189"/>
      <c r="D413" s="189"/>
      <c r="E413" s="190"/>
      <c r="F413" s="191"/>
      <c r="G413" s="192"/>
      <c r="H413" s="193"/>
      <c r="I413" s="194"/>
      <c r="J413" s="195"/>
    </row>
    <row r="414" ht="33.0" customHeight="1">
      <c r="A414" s="188"/>
      <c r="B414" s="189"/>
      <c r="C414" s="189"/>
      <c r="D414" s="189"/>
      <c r="E414" s="190"/>
      <c r="F414" s="191"/>
      <c r="G414" s="192"/>
      <c r="H414" s="193"/>
      <c r="I414" s="194"/>
      <c r="J414" s="195"/>
    </row>
    <row r="415" ht="33.0" customHeight="1">
      <c r="A415" s="188"/>
      <c r="B415" s="189"/>
      <c r="C415" s="189"/>
      <c r="D415" s="189"/>
      <c r="E415" s="190"/>
      <c r="F415" s="191"/>
      <c r="G415" s="192"/>
      <c r="H415" s="193"/>
      <c r="I415" s="194"/>
      <c r="J415" s="195"/>
    </row>
    <row r="416" ht="33.0" customHeight="1">
      <c r="A416" s="188"/>
      <c r="B416" s="189"/>
      <c r="C416" s="189"/>
      <c r="D416" s="189"/>
      <c r="E416" s="190"/>
      <c r="F416" s="191"/>
      <c r="G416" s="192"/>
      <c r="H416" s="193"/>
      <c r="I416" s="194"/>
      <c r="J416" s="195"/>
    </row>
    <row r="417" ht="33.0" customHeight="1">
      <c r="A417" s="188"/>
      <c r="B417" s="189"/>
      <c r="C417" s="189"/>
      <c r="D417" s="189"/>
      <c r="E417" s="190"/>
      <c r="F417" s="191"/>
      <c r="G417" s="192"/>
      <c r="H417" s="193"/>
      <c r="I417" s="194"/>
      <c r="J417" s="195"/>
    </row>
    <row r="418" ht="33.0" customHeight="1">
      <c r="A418" s="188"/>
      <c r="B418" s="189"/>
      <c r="C418" s="189"/>
      <c r="D418" s="189"/>
      <c r="E418" s="190"/>
      <c r="F418" s="191"/>
      <c r="G418" s="192"/>
      <c r="H418" s="193"/>
      <c r="I418" s="194"/>
      <c r="J418" s="195"/>
    </row>
    <row r="419" ht="33.0" customHeight="1">
      <c r="A419" s="188"/>
      <c r="B419" s="189"/>
      <c r="C419" s="189"/>
      <c r="D419" s="189"/>
      <c r="E419" s="190"/>
      <c r="F419" s="191"/>
      <c r="G419" s="192"/>
      <c r="H419" s="193"/>
      <c r="I419" s="194"/>
      <c r="J419" s="195"/>
    </row>
    <row r="420" ht="33.0" customHeight="1">
      <c r="A420" s="188"/>
      <c r="B420" s="189"/>
      <c r="C420" s="189"/>
      <c r="D420" s="189"/>
      <c r="E420" s="190"/>
      <c r="F420" s="191"/>
      <c r="G420" s="192"/>
      <c r="H420" s="193"/>
      <c r="I420" s="194"/>
      <c r="J420" s="195"/>
    </row>
    <row r="421" ht="33.0" customHeight="1">
      <c r="A421" s="188"/>
      <c r="B421" s="189"/>
      <c r="C421" s="189"/>
      <c r="D421" s="189"/>
      <c r="E421" s="190"/>
      <c r="F421" s="191"/>
      <c r="G421" s="192"/>
      <c r="H421" s="193"/>
      <c r="I421" s="194"/>
      <c r="J421" s="195"/>
    </row>
    <row r="422" ht="33.0" customHeight="1">
      <c r="A422" s="188"/>
      <c r="B422" s="189"/>
      <c r="C422" s="189"/>
      <c r="D422" s="189"/>
      <c r="E422" s="190"/>
      <c r="F422" s="191"/>
      <c r="G422" s="192"/>
      <c r="H422" s="193"/>
      <c r="I422" s="194"/>
      <c r="J422" s="195"/>
    </row>
    <row r="423" ht="33.0" customHeight="1">
      <c r="A423" s="188"/>
      <c r="B423" s="189"/>
      <c r="C423" s="189"/>
      <c r="D423" s="189"/>
      <c r="E423" s="190"/>
      <c r="F423" s="191"/>
      <c r="G423" s="192"/>
      <c r="H423" s="193"/>
      <c r="I423" s="194"/>
      <c r="J423" s="195"/>
    </row>
    <row r="424" ht="33.0" customHeight="1">
      <c r="A424" s="188"/>
      <c r="B424" s="189"/>
      <c r="C424" s="189"/>
      <c r="D424" s="189"/>
      <c r="E424" s="190"/>
      <c r="F424" s="191"/>
      <c r="G424" s="192"/>
      <c r="H424" s="193"/>
      <c r="I424" s="194"/>
      <c r="J424" s="195"/>
    </row>
    <row r="425" ht="33.0" customHeight="1">
      <c r="A425" s="188"/>
      <c r="B425" s="189"/>
      <c r="C425" s="189"/>
      <c r="D425" s="189"/>
      <c r="E425" s="190"/>
      <c r="F425" s="191"/>
      <c r="G425" s="192"/>
      <c r="H425" s="193"/>
      <c r="I425" s="194"/>
      <c r="J425" s="195"/>
    </row>
    <row r="426" ht="33.0" customHeight="1">
      <c r="A426" s="188"/>
      <c r="B426" s="189"/>
      <c r="C426" s="189"/>
      <c r="D426" s="189"/>
      <c r="E426" s="190"/>
      <c r="F426" s="191"/>
      <c r="G426" s="192"/>
      <c r="H426" s="193"/>
      <c r="I426" s="194"/>
      <c r="J426" s="195"/>
    </row>
    <row r="427" ht="33.0" customHeight="1">
      <c r="A427" s="188"/>
      <c r="B427" s="189"/>
      <c r="C427" s="189"/>
      <c r="D427" s="189"/>
      <c r="E427" s="190"/>
      <c r="F427" s="191"/>
      <c r="G427" s="192"/>
      <c r="H427" s="193"/>
      <c r="I427" s="194"/>
      <c r="J427" s="195"/>
    </row>
    <row r="428" ht="33.0" customHeight="1">
      <c r="A428" s="188"/>
      <c r="B428" s="189"/>
      <c r="C428" s="189"/>
      <c r="D428" s="189"/>
      <c r="E428" s="190"/>
      <c r="F428" s="191"/>
      <c r="G428" s="192"/>
      <c r="H428" s="193"/>
      <c r="I428" s="194"/>
      <c r="J428" s="195"/>
    </row>
    <row r="429" ht="33.0" customHeight="1">
      <c r="A429" s="188"/>
      <c r="B429" s="189"/>
      <c r="C429" s="189"/>
      <c r="D429" s="189"/>
      <c r="E429" s="190"/>
      <c r="F429" s="191"/>
      <c r="G429" s="192"/>
      <c r="H429" s="193"/>
      <c r="I429" s="194"/>
      <c r="J429" s="195"/>
    </row>
    <row r="430" ht="33.0" customHeight="1">
      <c r="A430" s="188"/>
      <c r="B430" s="189"/>
      <c r="C430" s="189"/>
      <c r="D430" s="189"/>
      <c r="E430" s="190"/>
      <c r="F430" s="191"/>
      <c r="G430" s="192"/>
      <c r="H430" s="193"/>
      <c r="I430" s="194"/>
      <c r="J430" s="195"/>
    </row>
    <row r="431" ht="33.0" customHeight="1">
      <c r="A431" s="188"/>
      <c r="B431" s="189"/>
      <c r="C431" s="189"/>
      <c r="D431" s="189"/>
      <c r="E431" s="190"/>
      <c r="F431" s="191"/>
      <c r="G431" s="192"/>
      <c r="H431" s="193"/>
      <c r="I431" s="194"/>
      <c r="J431" s="195"/>
    </row>
    <row r="432" ht="33.0" customHeight="1">
      <c r="A432" s="188"/>
      <c r="B432" s="189"/>
      <c r="C432" s="189"/>
      <c r="D432" s="189"/>
      <c r="E432" s="190"/>
      <c r="F432" s="191"/>
      <c r="G432" s="192"/>
      <c r="H432" s="193"/>
      <c r="I432" s="194"/>
      <c r="J432" s="195"/>
    </row>
    <row r="433" ht="33.0" customHeight="1">
      <c r="A433" s="188"/>
      <c r="B433" s="189"/>
      <c r="C433" s="189"/>
      <c r="D433" s="189"/>
      <c r="E433" s="190"/>
      <c r="F433" s="191"/>
      <c r="G433" s="192"/>
      <c r="H433" s="193"/>
      <c r="I433" s="194"/>
      <c r="J433" s="195"/>
    </row>
    <row r="434" ht="33.0" customHeight="1">
      <c r="A434" s="188"/>
      <c r="B434" s="189"/>
      <c r="C434" s="189"/>
      <c r="D434" s="189"/>
      <c r="E434" s="190"/>
      <c r="F434" s="191"/>
      <c r="G434" s="192"/>
      <c r="H434" s="193"/>
      <c r="I434" s="194"/>
      <c r="J434" s="195"/>
    </row>
    <row r="435" ht="33.0" customHeight="1">
      <c r="A435" s="188"/>
      <c r="B435" s="189"/>
      <c r="C435" s="189"/>
      <c r="D435" s="189"/>
      <c r="E435" s="190"/>
      <c r="F435" s="191"/>
      <c r="G435" s="192"/>
      <c r="H435" s="193"/>
      <c r="I435" s="194"/>
      <c r="J435" s="195"/>
    </row>
    <row r="436" ht="33.0" customHeight="1">
      <c r="A436" s="188"/>
      <c r="B436" s="189"/>
      <c r="C436" s="189"/>
      <c r="D436" s="189"/>
      <c r="E436" s="190"/>
      <c r="F436" s="191"/>
      <c r="G436" s="192"/>
      <c r="H436" s="193"/>
      <c r="I436" s="194"/>
      <c r="J436" s="195"/>
    </row>
    <row r="437" ht="33.0" customHeight="1">
      <c r="A437" s="188"/>
      <c r="B437" s="189"/>
      <c r="C437" s="189"/>
      <c r="D437" s="189"/>
      <c r="E437" s="190"/>
      <c r="F437" s="191"/>
      <c r="G437" s="192"/>
      <c r="H437" s="193"/>
      <c r="I437" s="194"/>
      <c r="J437" s="195"/>
    </row>
    <row r="438" ht="33.0" customHeight="1">
      <c r="A438" s="188"/>
      <c r="B438" s="189"/>
      <c r="C438" s="189"/>
      <c r="D438" s="189"/>
      <c r="E438" s="190"/>
      <c r="F438" s="191"/>
      <c r="G438" s="192"/>
      <c r="H438" s="193"/>
      <c r="I438" s="194"/>
      <c r="J438" s="195"/>
    </row>
    <row r="439" ht="33.0" customHeight="1">
      <c r="A439" s="188"/>
      <c r="B439" s="189"/>
      <c r="C439" s="189"/>
      <c r="D439" s="189"/>
      <c r="E439" s="190"/>
      <c r="F439" s="191"/>
      <c r="G439" s="192"/>
      <c r="H439" s="193"/>
      <c r="I439" s="194"/>
      <c r="J439" s="195"/>
    </row>
    <row r="440" ht="33.0" customHeight="1">
      <c r="A440" s="188"/>
      <c r="B440" s="189"/>
      <c r="C440" s="189"/>
      <c r="D440" s="189"/>
      <c r="E440" s="190"/>
      <c r="F440" s="191"/>
      <c r="G440" s="192"/>
      <c r="H440" s="193"/>
      <c r="I440" s="194"/>
      <c r="J440" s="195"/>
    </row>
    <row r="441" ht="33.0" customHeight="1">
      <c r="A441" s="188"/>
      <c r="B441" s="189"/>
      <c r="C441" s="189"/>
      <c r="D441" s="189"/>
      <c r="E441" s="190"/>
      <c r="F441" s="191"/>
      <c r="G441" s="192"/>
      <c r="H441" s="193"/>
      <c r="I441" s="194"/>
      <c r="J441" s="195"/>
    </row>
    <row r="442" ht="33.0" customHeight="1">
      <c r="A442" s="188"/>
      <c r="B442" s="189"/>
      <c r="C442" s="189"/>
      <c r="D442" s="189"/>
      <c r="E442" s="190"/>
      <c r="F442" s="191"/>
      <c r="G442" s="192"/>
      <c r="H442" s="193"/>
      <c r="I442" s="194"/>
      <c r="J442" s="195"/>
    </row>
    <row r="443" ht="33.0" customHeight="1">
      <c r="A443" s="188"/>
      <c r="B443" s="189"/>
      <c r="C443" s="189"/>
      <c r="D443" s="189"/>
      <c r="E443" s="190"/>
      <c r="F443" s="191"/>
      <c r="G443" s="192"/>
      <c r="H443" s="193"/>
      <c r="I443" s="194"/>
      <c r="J443" s="195"/>
    </row>
    <row r="444" ht="33.0" customHeight="1">
      <c r="A444" s="188"/>
      <c r="B444" s="189"/>
      <c r="C444" s="189"/>
      <c r="D444" s="189"/>
      <c r="E444" s="190"/>
      <c r="F444" s="191"/>
      <c r="G444" s="192"/>
      <c r="H444" s="193"/>
      <c r="I444" s="194"/>
      <c r="J444" s="195"/>
    </row>
    <row r="445" ht="33.0" customHeight="1">
      <c r="A445" s="188"/>
      <c r="B445" s="189"/>
      <c r="C445" s="189"/>
      <c r="D445" s="189"/>
      <c r="E445" s="190"/>
      <c r="F445" s="191"/>
      <c r="G445" s="192"/>
      <c r="H445" s="193"/>
      <c r="I445" s="194"/>
      <c r="J445" s="195"/>
    </row>
    <row r="446" ht="33.0" customHeight="1">
      <c r="A446" s="188"/>
      <c r="B446" s="189"/>
      <c r="C446" s="189"/>
      <c r="D446" s="189"/>
      <c r="E446" s="190"/>
      <c r="F446" s="191"/>
      <c r="G446" s="192"/>
      <c r="H446" s="193"/>
      <c r="I446" s="194"/>
      <c r="J446" s="195"/>
    </row>
    <row r="447" ht="33.0" customHeight="1">
      <c r="A447" s="188"/>
      <c r="B447" s="189"/>
      <c r="C447" s="189"/>
      <c r="D447" s="189"/>
      <c r="E447" s="190"/>
      <c r="F447" s="191"/>
      <c r="G447" s="192"/>
      <c r="H447" s="193"/>
      <c r="I447" s="194"/>
      <c r="J447" s="195"/>
    </row>
    <row r="448" ht="33.0" customHeight="1">
      <c r="A448" s="188"/>
      <c r="B448" s="189"/>
      <c r="C448" s="189"/>
      <c r="D448" s="189"/>
      <c r="E448" s="190"/>
      <c r="F448" s="191"/>
      <c r="G448" s="192"/>
      <c r="H448" s="193"/>
      <c r="I448" s="194"/>
      <c r="J448" s="195"/>
    </row>
    <row r="449" ht="33.0" customHeight="1">
      <c r="A449" s="188"/>
      <c r="B449" s="189"/>
      <c r="C449" s="189"/>
      <c r="D449" s="189"/>
      <c r="E449" s="190"/>
      <c r="F449" s="191"/>
      <c r="G449" s="192"/>
      <c r="H449" s="193"/>
      <c r="I449" s="194"/>
      <c r="J449" s="195"/>
    </row>
    <row r="450" ht="33.0" customHeight="1">
      <c r="A450" s="188"/>
      <c r="B450" s="189"/>
      <c r="C450" s="189"/>
      <c r="D450" s="189"/>
      <c r="E450" s="190"/>
      <c r="F450" s="191"/>
      <c r="G450" s="192"/>
      <c r="H450" s="193"/>
      <c r="I450" s="194"/>
      <c r="J450" s="195"/>
    </row>
    <row r="451" ht="33.0" customHeight="1">
      <c r="A451" s="188"/>
      <c r="B451" s="189"/>
      <c r="C451" s="189"/>
      <c r="D451" s="189"/>
      <c r="E451" s="190"/>
      <c r="F451" s="191"/>
      <c r="G451" s="192"/>
      <c r="H451" s="193"/>
      <c r="I451" s="194"/>
      <c r="J451" s="195"/>
    </row>
    <row r="452" ht="33.0" customHeight="1">
      <c r="A452" s="188"/>
      <c r="B452" s="189"/>
      <c r="C452" s="189"/>
      <c r="D452" s="189"/>
      <c r="E452" s="190"/>
      <c r="F452" s="191"/>
      <c r="G452" s="192"/>
      <c r="H452" s="193"/>
      <c r="I452" s="194"/>
      <c r="J452" s="195"/>
    </row>
    <row r="453" ht="33.0" customHeight="1">
      <c r="A453" s="188"/>
      <c r="B453" s="189"/>
      <c r="C453" s="189"/>
      <c r="D453" s="189"/>
      <c r="E453" s="190"/>
      <c r="F453" s="191"/>
      <c r="G453" s="192"/>
      <c r="H453" s="193"/>
      <c r="I453" s="194"/>
      <c r="J453" s="195"/>
    </row>
    <row r="454" ht="33.0" customHeight="1">
      <c r="A454" s="188"/>
      <c r="B454" s="189"/>
      <c r="C454" s="189"/>
      <c r="D454" s="189"/>
      <c r="E454" s="190"/>
      <c r="F454" s="191"/>
      <c r="G454" s="192"/>
      <c r="H454" s="193"/>
      <c r="I454" s="194"/>
      <c r="J454" s="195"/>
    </row>
    <row r="455" ht="33.0" customHeight="1">
      <c r="A455" s="188"/>
      <c r="B455" s="189"/>
      <c r="C455" s="189"/>
      <c r="D455" s="189"/>
      <c r="E455" s="190"/>
      <c r="F455" s="191"/>
      <c r="G455" s="192"/>
      <c r="H455" s="193"/>
      <c r="I455" s="194"/>
      <c r="J455" s="195"/>
    </row>
    <row r="456" ht="33.0" customHeight="1">
      <c r="A456" s="188"/>
      <c r="B456" s="189"/>
      <c r="C456" s="189"/>
      <c r="D456" s="189"/>
      <c r="E456" s="190"/>
      <c r="F456" s="191"/>
      <c r="G456" s="192"/>
      <c r="H456" s="193"/>
      <c r="I456" s="194"/>
      <c r="J456" s="195"/>
    </row>
    <row r="457" ht="33.0" customHeight="1">
      <c r="A457" s="188"/>
      <c r="B457" s="189"/>
      <c r="C457" s="189"/>
      <c r="D457" s="189"/>
      <c r="E457" s="190"/>
      <c r="F457" s="191"/>
      <c r="G457" s="192"/>
      <c r="H457" s="193"/>
      <c r="I457" s="194"/>
      <c r="J457" s="195"/>
    </row>
    <row r="458" ht="33.0" customHeight="1">
      <c r="A458" s="188"/>
      <c r="B458" s="189"/>
      <c r="C458" s="189"/>
      <c r="D458" s="189"/>
      <c r="E458" s="190"/>
      <c r="F458" s="191"/>
      <c r="G458" s="192"/>
      <c r="H458" s="193"/>
      <c r="I458" s="194"/>
      <c r="J458" s="195"/>
    </row>
    <row r="459" ht="33.0" customHeight="1">
      <c r="A459" s="188"/>
      <c r="B459" s="189"/>
      <c r="C459" s="189"/>
      <c r="D459" s="189"/>
      <c r="E459" s="190"/>
      <c r="F459" s="191"/>
      <c r="G459" s="192"/>
      <c r="H459" s="193"/>
      <c r="I459" s="194"/>
      <c r="J459" s="195"/>
    </row>
    <row r="460" ht="33.0" customHeight="1">
      <c r="A460" s="188"/>
      <c r="B460" s="189"/>
      <c r="C460" s="189"/>
      <c r="D460" s="189"/>
      <c r="E460" s="190"/>
      <c r="F460" s="191"/>
      <c r="G460" s="192"/>
      <c r="H460" s="193"/>
      <c r="I460" s="194"/>
      <c r="J460" s="195"/>
    </row>
    <row r="461" ht="33.0" customHeight="1">
      <c r="A461" s="188"/>
      <c r="B461" s="189"/>
      <c r="C461" s="189"/>
      <c r="D461" s="189"/>
      <c r="E461" s="190"/>
      <c r="F461" s="191"/>
      <c r="G461" s="192"/>
      <c r="H461" s="193"/>
      <c r="I461" s="194"/>
      <c r="J461" s="195"/>
    </row>
    <row r="462" ht="33.0" customHeight="1">
      <c r="A462" s="188"/>
      <c r="B462" s="189"/>
      <c r="C462" s="189"/>
      <c r="D462" s="189"/>
      <c r="E462" s="190"/>
      <c r="F462" s="191"/>
      <c r="G462" s="192"/>
      <c r="H462" s="193"/>
      <c r="I462" s="194"/>
      <c r="J462" s="195"/>
    </row>
    <row r="463" ht="33.0" customHeight="1">
      <c r="A463" s="188"/>
      <c r="B463" s="189"/>
      <c r="C463" s="189"/>
      <c r="D463" s="189"/>
      <c r="E463" s="190"/>
      <c r="F463" s="191"/>
      <c r="G463" s="192"/>
      <c r="H463" s="193"/>
      <c r="I463" s="194"/>
      <c r="J463" s="195"/>
    </row>
    <row r="464" ht="33.0" customHeight="1">
      <c r="A464" s="188"/>
      <c r="B464" s="189"/>
      <c r="C464" s="189"/>
      <c r="D464" s="189"/>
      <c r="E464" s="190"/>
      <c r="F464" s="191"/>
      <c r="G464" s="192"/>
      <c r="H464" s="193"/>
      <c r="I464" s="194"/>
      <c r="J464" s="195"/>
    </row>
    <row r="465" ht="33.0" customHeight="1">
      <c r="A465" s="188"/>
      <c r="B465" s="189"/>
      <c r="C465" s="189"/>
      <c r="D465" s="189"/>
      <c r="E465" s="190"/>
      <c r="F465" s="191"/>
      <c r="G465" s="192"/>
      <c r="H465" s="193"/>
      <c r="I465" s="194"/>
      <c r="J465" s="195"/>
    </row>
    <row r="466" ht="33.0" customHeight="1">
      <c r="A466" s="188"/>
      <c r="B466" s="189"/>
      <c r="C466" s="189"/>
      <c r="D466" s="189"/>
      <c r="E466" s="190"/>
      <c r="F466" s="191"/>
      <c r="G466" s="192"/>
      <c r="H466" s="193"/>
      <c r="I466" s="194"/>
      <c r="J466" s="195"/>
    </row>
    <row r="467" ht="33.0" customHeight="1">
      <c r="A467" s="188"/>
      <c r="B467" s="189"/>
      <c r="C467" s="189"/>
      <c r="D467" s="189"/>
      <c r="E467" s="190"/>
      <c r="F467" s="191"/>
      <c r="G467" s="192"/>
      <c r="H467" s="193"/>
      <c r="I467" s="194"/>
      <c r="J467" s="195"/>
    </row>
    <row r="468" ht="33.0" customHeight="1">
      <c r="A468" s="188"/>
      <c r="B468" s="189"/>
      <c r="C468" s="189"/>
      <c r="D468" s="189"/>
      <c r="E468" s="190"/>
      <c r="F468" s="191"/>
      <c r="G468" s="192"/>
      <c r="H468" s="193"/>
      <c r="I468" s="194"/>
      <c r="J468" s="195"/>
    </row>
    <row r="469" ht="33.0" customHeight="1">
      <c r="A469" s="188"/>
      <c r="B469" s="189"/>
      <c r="C469" s="189"/>
      <c r="D469" s="189"/>
      <c r="E469" s="190"/>
      <c r="F469" s="191"/>
      <c r="G469" s="192"/>
      <c r="H469" s="193"/>
      <c r="I469" s="194"/>
      <c r="J469" s="195"/>
    </row>
    <row r="470" ht="33.0" customHeight="1">
      <c r="A470" s="188"/>
      <c r="B470" s="189"/>
      <c r="C470" s="189"/>
      <c r="D470" s="189"/>
      <c r="E470" s="190"/>
      <c r="F470" s="191"/>
      <c r="G470" s="192"/>
      <c r="H470" s="193"/>
      <c r="I470" s="194"/>
      <c r="J470" s="195"/>
    </row>
    <row r="471" ht="33.0" customHeight="1">
      <c r="A471" s="188"/>
      <c r="B471" s="189"/>
      <c r="C471" s="189"/>
      <c r="D471" s="189"/>
      <c r="E471" s="190"/>
      <c r="F471" s="191"/>
      <c r="G471" s="192"/>
      <c r="H471" s="193"/>
      <c r="I471" s="194"/>
      <c r="J471" s="195"/>
    </row>
    <row r="472" ht="33.0" customHeight="1">
      <c r="A472" s="188"/>
      <c r="B472" s="189"/>
      <c r="C472" s="189"/>
      <c r="D472" s="189"/>
      <c r="E472" s="190"/>
      <c r="F472" s="191"/>
      <c r="G472" s="192"/>
      <c r="H472" s="193"/>
      <c r="I472" s="194"/>
      <c r="J472" s="195"/>
    </row>
    <row r="473" ht="33.0" customHeight="1">
      <c r="A473" s="188"/>
      <c r="B473" s="189"/>
      <c r="C473" s="189"/>
      <c r="D473" s="189"/>
      <c r="E473" s="190"/>
      <c r="F473" s="191"/>
      <c r="G473" s="192"/>
      <c r="H473" s="193"/>
      <c r="I473" s="194"/>
      <c r="J473" s="195"/>
    </row>
    <row r="474" ht="33.0" customHeight="1">
      <c r="A474" s="188"/>
      <c r="B474" s="189"/>
      <c r="C474" s="189"/>
      <c r="D474" s="189"/>
      <c r="E474" s="190"/>
      <c r="F474" s="191"/>
      <c r="G474" s="192"/>
      <c r="H474" s="193"/>
      <c r="I474" s="194"/>
      <c r="J474" s="195"/>
    </row>
    <row r="475" ht="33.0" customHeight="1">
      <c r="A475" s="188"/>
      <c r="B475" s="189"/>
      <c r="C475" s="189"/>
      <c r="D475" s="189"/>
      <c r="E475" s="190"/>
      <c r="F475" s="191"/>
      <c r="G475" s="192"/>
      <c r="H475" s="193"/>
      <c r="I475" s="194"/>
      <c r="J475" s="195"/>
    </row>
    <row r="476" ht="33.0" customHeight="1">
      <c r="A476" s="188"/>
      <c r="B476" s="189"/>
      <c r="C476" s="189"/>
      <c r="D476" s="189"/>
      <c r="E476" s="190"/>
      <c r="F476" s="191"/>
      <c r="G476" s="192"/>
      <c r="H476" s="193"/>
      <c r="I476" s="194"/>
      <c r="J476" s="195"/>
    </row>
    <row r="477" ht="33.0" customHeight="1">
      <c r="A477" s="188"/>
      <c r="B477" s="189"/>
      <c r="C477" s="189"/>
      <c r="D477" s="189"/>
      <c r="E477" s="190"/>
      <c r="F477" s="191"/>
      <c r="G477" s="192"/>
      <c r="H477" s="193"/>
      <c r="I477" s="194"/>
      <c r="J477" s="195"/>
    </row>
    <row r="478" ht="33.0" customHeight="1">
      <c r="A478" s="188"/>
      <c r="B478" s="189"/>
      <c r="C478" s="189"/>
      <c r="D478" s="189"/>
      <c r="E478" s="190"/>
      <c r="F478" s="191"/>
      <c r="G478" s="192"/>
      <c r="H478" s="193"/>
      <c r="I478" s="194"/>
      <c r="J478" s="195"/>
    </row>
    <row r="479" ht="33.0" customHeight="1">
      <c r="A479" s="188"/>
      <c r="B479" s="189"/>
      <c r="C479" s="189"/>
      <c r="D479" s="189"/>
      <c r="E479" s="190"/>
      <c r="F479" s="191"/>
      <c r="G479" s="192"/>
      <c r="H479" s="193"/>
      <c r="I479" s="194"/>
      <c r="J479" s="195"/>
    </row>
    <row r="480" ht="33.0" customHeight="1">
      <c r="A480" s="188"/>
      <c r="B480" s="189"/>
      <c r="C480" s="189"/>
      <c r="D480" s="189"/>
      <c r="E480" s="190"/>
      <c r="F480" s="191"/>
      <c r="G480" s="192"/>
      <c r="H480" s="193"/>
      <c r="I480" s="194"/>
      <c r="J480" s="195"/>
    </row>
    <row r="481" ht="33.0" customHeight="1">
      <c r="A481" s="188"/>
      <c r="B481" s="189"/>
      <c r="C481" s="189"/>
      <c r="D481" s="189"/>
      <c r="E481" s="190"/>
      <c r="F481" s="191"/>
      <c r="G481" s="192"/>
      <c r="H481" s="193"/>
      <c r="I481" s="194"/>
      <c r="J481" s="195"/>
    </row>
    <row r="482" ht="33.0" customHeight="1">
      <c r="A482" s="188"/>
      <c r="B482" s="189"/>
      <c r="C482" s="189"/>
      <c r="D482" s="189"/>
      <c r="E482" s="190"/>
      <c r="F482" s="191"/>
      <c r="G482" s="192"/>
      <c r="H482" s="193"/>
      <c r="I482" s="194"/>
      <c r="J482" s="195"/>
    </row>
    <row r="483" ht="33.0" customHeight="1">
      <c r="A483" s="188"/>
      <c r="B483" s="189"/>
      <c r="C483" s="189"/>
      <c r="D483" s="189"/>
      <c r="E483" s="190"/>
      <c r="F483" s="191"/>
      <c r="G483" s="192"/>
      <c r="H483" s="193"/>
      <c r="I483" s="194"/>
      <c r="J483" s="195"/>
    </row>
    <row r="484" ht="33.0" customHeight="1">
      <c r="A484" s="188"/>
      <c r="B484" s="189"/>
      <c r="C484" s="189"/>
      <c r="D484" s="189"/>
      <c r="E484" s="190"/>
      <c r="F484" s="191"/>
      <c r="G484" s="192"/>
      <c r="H484" s="193"/>
      <c r="I484" s="194"/>
      <c r="J484" s="195"/>
    </row>
    <row r="485" ht="33.0" customHeight="1">
      <c r="A485" s="188"/>
      <c r="B485" s="189"/>
      <c r="C485" s="189"/>
      <c r="D485" s="189"/>
      <c r="E485" s="190"/>
      <c r="F485" s="191"/>
      <c r="G485" s="192"/>
      <c r="H485" s="193"/>
      <c r="I485" s="194"/>
      <c r="J485" s="195"/>
    </row>
    <row r="486" ht="33.0" customHeight="1">
      <c r="A486" s="188"/>
      <c r="B486" s="189"/>
      <c r="C486" s="189"/>
      <c r="D486" s="189"/>
      <c r="E486" s="190"/>
      <c r="F486" s="191"/>
      <c r="G486" s="192"/>
      <c r="H486" s="193"/>
      <c r="I486" s="194"/>
      <c r="J486" s="195"/>
    </row>
    <row r="487" ht="33.0" customHeight="1">
      <c r="A487" s="188"/>
      <c r="B487" s="189"/>
      <c r="C487" s="189"/>
      <c r="D487" s="189"/>
      <c r="E487" s="190"/>
      <c r="F487" s="191"/>
      <c r="G487" s="192"/>
      <c r="H487" s="193"/>
      <c r="I487" s="194"/>
      <c r="J487" s="195"/>
    </row>
    <row r="488" ht="33.0" customHeight="1">
      <c r="A488" s="188"/>
      <c r="B488" s="189"/>
      <c r="C488" s="189"/>
      <c r="D488" s="189"/>
      <c r="E488" s="190"/>
      <c r="F488" s="191"/>
      <c r="G488" s="192"/>
      <c r="H488" s="193"/>
      <c r="I488" s="194"/>
      <c r="J488" s="195"/>
    </row>
    <row r="489" ht="33.0" customHeight="1">
      <c r="A489" s="188"/>
      <c r="B489" s="189"/>
      <c r="C489" s="189"/>
      <c r="D489" s="189"/>
      <c r="E489" s="190"/>
      <c r="F489" s="191"/>
      <c r="G489" s="192"/>
      <c r="H489" s="193"/>
      <c r="I489" s="194"/>
      <c r="J489" s="195"/>
    </row>
    <row r="490" ht="33.0" customHeight="1">
      <c r="A490" s="188"/>
      <c r="B490" s="189"/>
      <c r="C490" s="189"/>
      <c r="D490" s="189"/>
      <c r="E490" s="190"/>
      <c r="F490" s="191"/>
      <c r="G490" s="192"/>
      <c r="H490" s="193"/>
      <c r="I490" s="194"/>
      <c r="J490" s="195"/>
    </row>
    <row r="491" ht="33.0" customHeight="1">
      <c r="A491" s="188"/>
      <c r="B491" s="189"/>
      <c r="C491" s="189"/>
      <c r="D491" s="189"/>
      <c r="E491" s="190"/>
      <c r="F491" s="191"/>
      <c r="G491" s="192"/>
      <c r="H491" s="193"/>
      <c r="I491" s="194"/>
      <c r="J491" s="195"/>
    </row>
    <row r="492" ht="33.0" customHeight="1">
      <c r="A492" s="188"/>
      <c r="B492" s="189"/>
      <c r="C492" s="189"/>
      <c r="D492" s="189"/>
      <c r="E492" s="190"/>
      <c r="F492" s="191"/>
      <c r="G492" s="192"/>
      <c r="H492" s="193"/>
      <c r="I492" s="194"/>
      <c r="J492" s="195"/>
    </row>
    <row r="493" ht="33.0" customHeight="1">
      <c r="A493" s="188"/>
      <c r="B493" s="189"/>
      <c r="C493" s="189"/>
      <c r="D493" s="189"/>
      <c r="E493" s="190"/>
      <c r="F493" s="191"/>
      <c r="G493" s="192"/>
      <c r="H493" s="193"/>
      <c r="I493" s="194"/>
      <c r="J493" s="195"/>
    </row>
    <row r="494" ht="33.0" customHeight="1">
      <c r="A494" s="188"/>
      <c r="B494" s="189"/>
      <c r="C494" s="189"/>
      <c r="D494" s="189"/>
      <c r="E494" s="190"/>
      <c r="F494" s="191"/>
      <c r="G494" s="192"/>
      <c r="H494" s="193"/>
      <c r="I494" s="194"/>
      <c r="J494" s="195"/>
    </row>
    <row r="495" ht="33.0" customHeight="1">
      <c r="A495" s="188"/>
      <c r="B495" s="189"/>
      <c r="C495" s="189"/>
      <c r="D495" s="189"/>
      <c r="E495" s="190"/>
      <c r="F495" s="191"/>
      <c r="G495" s="192"/>
      <c r="H495" s="193"/>
      <c r="I495" s="194"/>
      <c r="J495" s="195"/>
    </row>
    <row r="496" ht="33.0" customHeight="1">
      <c r="A496" s="188"/>
      <c r="B496" s="189"/>
      <c r="C496" s="189"/>
      <c r="D496" s="189"/>
      <c r="E496" s="190"/>
      <c r="F496" s="191"/>
      <c r="G496" s="192"/>
      <c r="H496" s="193"/>
      <c r="I496" s="194"/>
      <c r="J496" s="195"/>
    </row>
    <row r="497" ht="33.0" customHeight="1">
      <c r="A497" s="188"/>
      <c r="B497" s="189"/>
      <c r="C497" s="189"/>
      <c r="D497" s="189"/>
      <c r="E497" s="190"/>
      <c r="F497" s="191"/>
      <c r="G497" s="192"/>
      <c r="H497" s="193"/>
      <c r="I497" s="194"/>
      <c r="J497" s="195"/>
    </row>
    <row r="498" ht="33.0" customHeight="1">
      <c r="A498" s="188"/>
      <c r="B498" s="189"/>
      <c r="C498" s="189"/>
      <c r="D498" s="189"/>
      <c r="E498" s="190"/>
      <c r="F498" s="191"/>
      <c r="G498" s="192"/>
      <c r="H498" s="193"/>
      <c r="I498" s="194"/>
      <c r="J498" s="195"/>
    </row>
    <row r="499" ht="33.0" customHeight="1">
      <c r="A499" s="188"/>
      <c r="B499" s="189"/>
      <c r="C499" s="189"/>
      <c r="D499" s="189"/>
      <c r="E499" s="190"/>
      <c r="F499" s="191"/>
      <c r="G499" s="192"/>
      <c r="H499" s="193"/>
      <c r="I499" s="194"/>
      <c r="J499" s="195"/>
    </row>
    <row r="500" ht="33.0" customHeight="1">
      <c r="A500" s="188"/>
      <c r="B500" s="189"/>
      <c r="C500" s="189"/>
      <c r="D500" s="189"/>
      <c r="E500" s="190"/>
      <c r="F500" s="191"/>
      <c r="G500" s="192"/>
      <c r="H500" s="193"/>
      <c r="I500" s="194"/>
      <c r="J500" s="195"/>
    </row>
    <row r="501" ht="33.0" customHeight="1">
      <c r="A501" s="188"/>
      <c r="B501" s="189"/>
      <c r="C501" s="189"/>
      <c r="D501" s="189"/>
      <c r="E501" s="190"/>
      <c r="F501" s="191"/>
      <c r="G501" s="192"/>
      <c r="H501" s="193"/>
      <c r="I501" s="194"/>
      <c r="J501" s="195"/>
    </row>
    <row r="502" ht="33.0" customHeight="1">
      <c r="A502" s="188"/>
      <c r="B502" s="189"/>
      <c r="C502" s="189"/>
      <c r="D502" s="189"/>
      <c r="E502" s="190"/>
      <c r="F502" s="191"/>
      <c r="G502" s="192"/>
      <c r="H502" s="193"/>
      <c r="I502" s="194"/>
      <c r="J502" s="195"/>
    </row>
    <row r="503" ht="33.0" customHeight="1">
      <c r="A503" s="188"/>
      <c r="B503" s="189"/>
      <c r="C503" s="189"/>
      <c r="D503" s="189"/>
      <c r="E503" s="190"/>
      <c r="F503" s="191"/>
      <c r="G503" s="192"/>
      <c r="H503" s="193"/>
      <c r="I503" s="194"/>
      <c r="J503" s="195"/>
    </row>
    <row r="504" ht="33.0" customHeight="1">
      <c r="A504" s="188"/>
      <c r="B504" s="189"/>
      <c r="C504" s="189"/>
      <c r="D504" s="189"/>
      <c r="E504" s="190"/>
      <c r="F504" s="191"/>
      <c r="G504" s="192"/>
      <c r="H504" s="193"/>
      <c r="I504" s="194"/>
      <c r="J504" s="195"/>
    </row>
    <row r="505" ht="33.0" customHeight="1">
      <c r="A505" s="188"/>
      <c r="B505" s="189"/>
      <c r="C505" s="189"/>
      <c r="D505" s="189"/>
      <c r="E505" s="190"/>
      <c r="F505" s="191"/>
      <c r="G505" s="192"/>
      <c r="H505" s="193"/>
      <c r="I505" s="194"/>
      <c r="J505" s="195"/>
    </row>
    <row r="506" ht="33.0" customHeight="1">
      <c r="A506" s="188"/>
      <c r="B506" s="189"/>
      <c r="C506" s="189"/>
      <c r="D506" s="189"/>
      <c r="E506" s="190"/>
      <c r="F506" s="191"/>
      <c r="G506" s="192"/>
      <c r="H506" s="193"/>
      <c r="I506" s="194"/>
      <c r="J506" s="195"/>
    </row>
    <row r="507" ht="33.0" customHeight="1">
      <c r="A507" s="188"/>
      <c r="B507" s="189"/>
      <c r="C507" s="189"/>
      <c r="D507" s="189"/>
      <c r="E507" s="190"/>
      <c r="F507" s="191"/>
      <c r="G507" s="192"/>
      <c r="H507" s="193"/>
      <c r="I507" s="194"/>
      <c r="J507" s="195"/>
    </row>
    <row r="508" ht="33.0" customHeight="1">
      <c r="A508" s="188"/>
      <c r="B508" s="189"/>
      <c r="C508" s="189"/>
      <c r="D508" s="189"/>
      <c r="E508" s="190"/>
      <c r="F508" s="191"/>
      <c r="G508" s="192"/>
      <c r="H508" s="193"/>
      <c r="I508" s="194"/>
      <c r="J508" s="195"/>
    </row>
    <row r="509" ht="33.0" customHeight="1">
      <c r="A509" s="188"/>
      <c r="B509" s="189"/>
      <c r="C509" s="189"/>
      <c r="D509" s="189"/>
      <c r="E509" s="190"/>
      <c r="F509" s="191"/>
      <c r="G509" s="192"/>
      <c r="H509" s="193"/>
      <c r="I509" s="194"/>
      <c r="J509" s="195"/>
    </row>
    <row r="510" ht="33.0" customHeight="1">
      <c r="A510" s="188"/>
      <c r="B510" s="189"/>
      <c r="C510" s="189"/>
      <c r="D510" s="189"/>
      <c r="E510" s="190"/>
      <c r="F510" s="191"/>
      <c r="G510" s="192"/>
      <c r="H510" s="193"/>
      <c r="I510" s="194"/>
      <c r="J510" s="195"/>
    </row>
    <row r="511" ht="33.0" customHeight="1">
      <c r="A511" s="188"/>
      <c r="B511" s="189"/>
      <c r="C511" s="189"/>
      <c r="D511" s="189"/>
      <c r="E511" s="190"/>
      <c r="F511" s="191"/>
      <c r="G511" s="192"/>
      <c r="H511" s="193"/>
      <c r="I511" s="194"/>
      <c r="J511" s="195"/>
    </row>
    <row r="512" ht="33.0" customHeight="1">
      <c r="A512" s="188"/>
      <c r="B512" s="189"/>
      <c r="C512" s="189"/>
      <c r="D512" s="189"/>
      <c r="E512" s="190"/>
      <c r="F512" s="191"/>
      <c r="G512" s="192"/>
      <c r="H512" s="193"/>
      <c r="I512" s="194"/>
      <c r="J512" s="195"/>
    </row>
    <row r="513" ht="33.0" customHeight="1">
      <c r="A513" s="188"/>
      <c r="B513" s="189"/>
      <c r="C513" s="189"/>
      <c r="D513" s="189"/>
      <c r="E513" s="190"/>
      <c r="F513" s="191"/>
      <c r="G513" s="192"/>
      <c r="H513" s="193"/>
      <c r="I513" s="194"/>
      <c r="J513" s="195"/>
    </row>
    <row r="514" ht="33.0" customHeight="1">
      <c r="A514" s="188"/>
      <c r="B514" s="189"/>
      <c r="C514" s="189"/>
      <c r="D514" s="189"/>
      <c r="E514" s="190"/>
      <c r="F514" s="191"/>
      <c r="G514" s="192"/>
      <c r="H514" s="193"/>
      <c r="I514" s="194"/>
      <c r="J514" s="195"/>
    </row>
    <row r="515" ht="33.0" customHeight="1">
      <c r="A515" s="188"/>
      <c r="B515" s="189"/>
      <c r="C515" s="189"/>
      <c r="D515" s="189"/>
      <c r="E515" s="190"/>
      <c r="F515" s="191"/>
      <c r="G515" s="192"/>
      <c r="H515" s="193"/>
      <c r="I515" s="194"/>
      <c r="J515" s="195"/>
    </row>
    <row r="516" ht="33.0" customHeight="1">
      <c r="A516" s="188"/>
      <c r="B516" s="189"/>
      <c r="C516" s="189"/>
      <c r="D516" s="189"/>
      <c r="E516" s="190"/>
      <c r="F516" s="191"/>
      <c r="G516" s="192"/>
      <c r="H516" s="193"/>
      <c r="I516" s="194"/>
      <c r="J516" s="195"/>
    </row>
    <row r="517" ht="33.0" customHeight="1">
      <c r="A517" s="188"/>
      <c r="B517" s="189"/>
      <c r="C517" s="189"/>
      <c r="D517" s="189"/>
      <c r="E517" s="190"/>
      <c r="F517" s="191"/>
      <c r="G517" s="192"/>
      <c r="H517" s="193"/>
      <c r="I517" s="194"/>
      <c r="J517" s="195"/>
    </row>
    <row r="518" ht="33.0" customHeight="1">
      <c r="A518" s="188"/>
      <c r="B518" s="189"/>
      <c r="C518" s="189"/>
      <c r="D518" s="189"/>
      <c r="E518" s="190"/>
      <c r="F518" s="191"/>
      <c r="G518" s="192"/>
      <c r="H518" s="193"/>
      <c r="I518" s="194"/>
      <c r="J518" s="195"/>
    </row>
    <row r="519" ht="33.0" customHeight="1">
      <c r="A519" s="188"/>
      <c r="B519" s="189"/>
      <c r="C519" s="189"/>
      <c r="D519" s="189"/>
      <c r="E519" s="190"/>
      <c r="F519" s="191"/>
      <c r="G519" s="192"/>
      <c r="H519" s="193"/>
      <c r="I519" s="194"/>
      <c r="J519" s="195"/>
    </row>
    <row r="520" ht="33.0" customHeight="1">
      <c r="A520" s="188"/>
      <c r="B520" s="189"/>
      <c r="C520" s="189"/>
      <c r="D520" s="189"/>
      <c r="E520" s="190"/>
      <c r="F520" s="191"/>
      <c r="G520" s="192"/>
      <c r="H520" s="193"/>
      <c r="I520" s="194"/>
      <c r="J520" s="195"/>
    </row>
    <row r="521" ht="33.0" customHeight="1">
      <c r="A521" s="188"/>
      <c r="B521" s="189"/>
      <c r="C521" s="189"/>
      <c r="D521" s="189"/>
      <c r="E521" s="190"/>
      <c r="F521" s="191"/>
      <c r="G521" s="192"/>
      <c r="H521" s="193"/>
      <c r="I521" s="194"/>
      <c r="J521" s="195"/>
    </row>
    <row r="522" ht="33.0" customHeight="1">
      <c r="A522" s="188"/>
      <c r="B522" s="189"/>
      <c r="C522" s="189"/>
      <c r="D522" s="189"/>
      <c r="E522" s="190"/>
      <c r="F522" s="191"/>
      <c r="G522" s="192"/>
      <c r="H522" s="193"/>
      <c r="I522" s="194"/>
      <c r="J522" s="195"/>
    </row>
    <row r="523" ht="33.0" customHeight="1">
      <c r="A523" s="188"/>
      <c r="B523" s="189"/>
      <c r="C523" s="189"/>
      <c r="D523" s="189"/>
      <c r="E523" s="190"/>
      <c r="F523" s="191"/>
      <c r="G523" s="192"/>
      <c r="H523" s="193"/>
      <c r="I523" s="194"/>
      <c r="J523" s="195"/>
    </row>
    <row r="524" ht="33.0" customHeight="1">
      <c r="A524" s="188"/>
      <c r="B524" s="189"/>
      <c r="C524" s="189"/>
      <c r="D524" s="189"/>
      <c r="E524" s="190"/>
      <c r="F524" s="191"/>
      <c r="G524" s="192"/>
      <c r="H524" s="193"/>
      <c r="I524" s="194"/>
      <c r="J524" s="195"/>
    </row>
    <row r="525" ht="33.0" customHeight="1">
      <c r="A525" s="188"/>
      <c r="B525" s="189"/>
      <c r="C525" s="189"/>
      <c r="D525" s="189"/>
      <c r="E525" s="190"/>
      <c r="F525" s="191"/>
      <c r="G525" s="192"/>
      <c r="H525" s="193"/>
      <c r="I525" s="194"/>
      <c r="J525" s="195"/>
    </row>
    <row r="526" ht="33.0" customHeight="1">
      <c r="A526" s="188"/>
      <c r="B526" s="189"/>
      <c r="C526" s="189"/>
      <c r="D526" s="189"/>
      <c r="E526" s="190"/>
      <c r="F526" s="191"/>
      <c r="G526" s="192"/>
      <c r="H526" s="193"/>
      <c r="I526" s="194"/>
      <c r="J526" s="195"/>
    </row>
    <row r="527" ht="33.0" customHeight="1">
      <c r="A527" s="188"/>
      <c r="B527" s="189"/>
      <c r="C527" s="189"/>
      <c r="D527" s="189"/>
      <c r="E527" s="190"/>
      <c r="F527" s="191"/>
      <c r="G527" s="192"/>
      <c r="H527" s="193"/>
      <c r="I527" s="194"/>
      <c r="J527" s="195"/>
    </row>
    <row r="528" ht="33.0" customHeight="1">
      <c r="A528" s="188"/>
      <c r="B528" s="189"/>
      <c r="C528" s="189"/>
      <c r="D528" s="189"/>
      <c r="E528" s="190"/>
      <c r="F528" s="191"/>
      <c r="G528" s="192"/>
      <c r="H528" s="193"/>
      <c r="I528" s="194"/>
      <c r="J528" s="195"/>
    </row>
    <row r="529" ht="33.0" customHeight="1">
      <c r="A529" s="188"/>
      <c r="B529" s="189"/>
      <c r="C529" s="189"/>
      <c r="D529" s="189"/>
      <c r="E529" s="190"/>
      <c r="F529" s="191"/>
      <c r="G529" s="192"/>
      <c r="H529" s="193"/>
      <c r="I529" s="194"/>
      <c r="J529" s="195"/>
    </row>
    <row r="530" ht="33.0" customHeight="1">
      <c r="A530" s="188"/>
      <c r="B530" s="189"/>
      <c r="C530" s="189"/>
      <c r="D530" s="189"/>
      <c r="E530" s="190"/>
      <c r="F530" s="191"/>
      <c r="G530" s="192"/>
      <c r="H530" s="193"/>
      <c r="I530" s="194"/>
      <c r="J530" s="195"/>
    </row>
    <row r="531" ht="33.0" customHeight="1">
      <c r="A531" s="188"/>
      <c r="B531" s="189"/>
      <c r="C531" s="189"/>
      <c r="D531" s="189"/>
      <c r="E531" s="190"/>
      <c r="F531" s="191"/>
      <c r="G531" s="192"/>
      <c r="H531" s="193"/>
      <c r="I531" s="194"/>
      <c r="J531" s="195"/>
    </row>
    <row r="532" ht="33.0" customHeight="1">
      <c r="A532" s="188"/>
      <c r="B532" s="189"/>
      <c r="C532" s="189"/>
      <c r="D532" s="189"/>
      <c r="E532" s="190"/>
      <c r="F532" s="191"/>
      <c r="G532" s="192"/>
      <c r="H532" s="193"/>
      <c r="I532" s="194"/>
      <c r="J532" s="195"/>
    </row>
    <row r="533" ht="33.0" customHeight="1">
      <c r="A533" s="188"/>
      <c r="B533" s="189"/>
      <c r="C533" s="189"/>
      <c r="D533" s="189"/>
      <c r="E533" s="190"/>
      <c r="F533" s="191"/>
      <c r="G533" s="192"/>
      <c r="H533" s="193"/>
      <c r="I533" s="194"/>
      <c r="J533" s="195"/>
    </row>
    <row r="534" ht="33.0" customHeight="1">
      <c r="A534" s="188"/>
      <c r="B534" s="189"/>
      <c r="C534" s="189"/>
      <c r="D534" s="189"/>
      <c r="E534" s="190"/>
      <c r="F534" s="191"/>
      <c r="G534" s="192"/>
      <c r="H534" s="193"/>
      <c r="I534" s="194"/>
      <c r="J534" s="195"/>
    </row>
    <row r="535" ht="33.0" customHeight="1">
      <c r="A535" s="188"/>
      <c r="B535" s="189"/>
      <c r="C535" s="189"/>
      <c r="D535" s="189"/>
      <c r="E535" s="190"/>
      <c r="F535" s="191"/>
      <c r="G535" s="192"/>
      <c r="H535" s="193"/>
      <c r="I535" s="194"/>
      <c r="J535" s="195"/>
    </row>
    <row r="536" ht="33.0" customHeight="1">
      <c r="A536" s="188"/>
      <c r="B536" s="189"/>
      <c r="C536" s="189"/>
      <c r="D536" s="189"/>
      <c r="E536" s="190"/>
      <c r="F536" s="191"/>
      <c r="G536" s="192"/>
      <c r="H536" s="193"/>
      <c r="I536" s="194"/>
      <c r="J536" s="195"/>
    </row>
    <row r="537" ht="33.0" customHeight="1">
      <c r="A537" s="188"/>
      <c r="B537" s="189"/>
      <c r="C537" s="189"/>
      <c r="D537" s="189"/>
      <c r="E537" s="190"/>
      <c r="F537" s="191"/>
      <c r="G537" s="192"/>
      <c r="H537" s="193"/>
      <c r="I537" s="194"/>
      <c r="J537" s="195"/>
    </row>
    <row r="538" ht="33.0" customHeight="1">
      <c r="A538" s="188"/>
      <c r="B538" s="189"/>
      <c r="C538" s="189"/>
      <c r="D538" s="189"/>
      <c r="E538" s="190"/>
      <c r="F538" s="191"/>
      <c r="G538" s="192"/>
      <c r="H538" s="193"/>
      <c r="I538" s="194"/>
      <c r="J538" s="195"/>
    </row>
    <row r="539" ht="33.0" customHeight="1">
      <c r="A539" s="188"/>
      <c r="B539" s="189"/>
      <c r="C539" s="189"/>
      <c r="D539" s="189"/>
      <c r="E539" s="190"/>
      <c r="F539" s="191"/>
      <c r="G539" s="192"/>
      <c r="H539" s="193"/>
      <c r="I539" s="194"/>
      <c r="J539" s="195"/>
    </row>
    <row r="540" ht="33.0" customHeight="1">
      <c r="A540" s="188"/>
      <c r="B540" s="189"/>
      <c r="C540" s="189"/>
      <c r="D540" s="189"/>
      <c r="E540" s="190"/>
      <c r="F540" s="191"/>
      <c r="G540" s="192"/>
      <c r="H540" s="193"/>
      <c r="I540" s="194"/>
      <c r="J540" s="195"/>
    </row>
    <row r="541" ht="33.0" customHeight="1">
      <c r="A541" s="188"/>
      <c r="B541" s="189"/>
      <c r="C541" s="189"/>
      <c r="D541" s="189"/>
      <c r="E541" s="190"/>
      <c r="F541" s="191"/>
      <c r="G541" s="192"/>
      <c r="H541" s="193"/>
      <c r="I541" s="194"/>
      <c r="J541" s="195"/>
    </row>
    <row r="542" ht="33.0" customHeight="1">
      <c r="A542" s="188"/>
      <c r="B542" s="189"/>
      <c r="C542" s="189"/>
      <c r="D542" s="189"/>
      <c r="E542" s="190"/>
      <c r="F542" s="191"/>
      <c r="G542" s="192"/>
      <c r="H542" s="193"/>
      <c r="I542" s="194"/>
      <c r="J542" s="195"/>
    </row>
    <row r="543" ht="33.0" customHeight="1">
      <c r="A543" s="188"/>
      <c r="B543" s="189"/>
      <c r="C543" s="189"/>
      <c r="D543" s="189"/>
      <c r="E543" s="190"/>
      <c r="F543" s="191"/>
      <c r="G543" s="192"/>
      <c r="H543" s="193"/>
      <c r="I543" s="194"/>
      <c r="J543" s="195"/>
    </row>
    <row r="544" ht="33.0" customHeight="1">
      <c r="A544" s="188"/>
      <c r="B544" s="189"/>
      <c r="C544" s="189"/>
      <c r="D544" s="189"/>
      <c r="E544" s="190"/>
      <c r="F544" s="191"/>
      <c r="G544" s="192"/>
      <c r="H544" s="193"/>
      <c r="I544" s="194"/>
      <c r="J544" s="195"/>
    </row>
    <row r="545" ht="33.0" customHeight="1">
      <c r="A545" s="188"/>
      <c r="B545" s="189"/>
      <c r="C545" s="189"/>
      <c r="D545" s="189"/>
      <c r="E545" s="190"/>
      <c r="F545" s="191"/>
      <c r="G545" s="192"/>
      <c r="H545" s="193"/>
      <c r="I545" s="194"/>
      <c r="J545" s="195"/>
    </row>
    <row r="546" ht="33.0" customHeight="1">
      <c r="A546" s="188"/>
      <c r="B546" s="189"/>
      <c r="C546" s="189"/>
      <c r="D546" s="189"/>
      <c r="E546" s="190"/>
      <c r="F546" s="191"/>
      <c r="G546" s="192"/>
      <c r="H546" s="193"/>
      <c r="I546" s="194"/>
      <c r="J546" s="195"/>
    </row>
    <row r="547" ht="33.0" customHeight="1">
      <c r="A547" s="188"/>
      <c r="B547" s="189"/>
      <c r="C547" s="189"/>
      <c r="D547" s="189"/>
      <c r="E547" s="190"/>
      <c r="F547" s="191"/>
      <c r="G547" s="192"/>
      <c r="H547" s="193"/>
      <c r="I547" s="194"/>
      <c r="J547" s="195"/>
    </row>
    <row r="548" ht="33.0" customHeight="1">
      <c r="A548" s="188"/>
      <c r="B548" s="189"/>
      <c r="C548" s="189"/>
      <c r="D548" s="189"/>
      <c r="E548" s="190"/>
      <c r="F548" s="191"/>
      <c r="G548" s="192"/>
      <c r="H548" s="193"/>
      <c r="I548" s="194"/>
      <c r="J548" s="195"/>
    </row>
    <row r="549" ht="33.0" customHeight="1">
      <c r="A549" s="188"/>
      <c r="B549" s="189"/>
      <c r="C549" s="189"/>
      <c r="D549" s="189"/>
      <c r="E549" s="190"/>
      <c r="F549" s="191"/>
      <c r="G549" s="192"/>
      <c r="H549" s="193"/>
      <c r="I549" s="194"/>
      <c r="J549" s="195"/>
    </row>
    <row r="550" ht="33.0" customHeight="1">
      <c r="A550" s="188"/>
      <c r="B550" s="189"/>
      <c r="C550" s="189"/>
      <c r="D550" s="189"/>
      <c r="E550" s="190"/>
      <c r="F550" s="191"/>
      <c r="G550" s="192"/>
      <c r="H550" s="193"/>
      <c r="I550" s="194"/>
      <c r="J550" s="195"/>
    </row>
    <row r="551" ht="33.0" customHeight="1">
      <c r="A551" s="188"/>
      <c r="B551" s="189"/>
      <c r="C551" s="189"/>
      <c r="D551" s="189"/>
      <c r="E551" s="190"/>
      <c r="F551" s="191"/>
      <c r="G551" s="192"/>
      <c r="H551" s="193"/>
      <c r="I551" s="194"/>
      <c r="J551" s="195"/>
    </row>
    <row r="552" ht="33.0" customHeight="1">
      <c r="A552" s="188"/>
      <c r="B552" s="189"/>
      <c r="C552" s="189"/>
      <c r="D552" s="189"/>
      <c r="E552" s="190"/>
      <c r="F552" s="191"/>
      <c r="G552" s="192"/>
      <c r="H552" s="193"/>
      <c r="I552" s="194"/>
      <c r="J552" s="195"/>
    </row>
    <row r="553" ht="33.0" customHeight="1">
      <c r="A553" s="188"/>
      <c r="B553" s="189"/>
      <c r="C553" s="189"/>
      <c r="D553" s="189"/>
      <c r="E553" s="190"/>
      <c r="F553" s="191"/>
      <c r="G553" s="192"/>
      <c r="H553" s="193"/>
      <c r="I553" s="194"/>
      <c r="J553" s="195"/>
    </row>
    <row r="554" ht="33.0" customHeight="1">
      <c r="A554" s="188"/>
      <c r="B554" s="189"/>
      <c r="C554" s="189"/>
      <c r="D554" s="189"/>
      <c r="E554" s="190"/>
      <c r="F554" s="191"/>
      <c r="G554" s="192"/>
      <c r="H554" s="193"/>
      <c r="I554" s="194"/>
      <c r="J554" s="195"/>
    </row>
    <row r="555" ht="33.0" customHeight="1">
      <c r="A555" s="188"/>
      <c r="B555" s="189"/>
      <c r="C555" s="189"/>
      <c r="D555" s="189"/>
      <c r="E555" s="190"/>
      <c r="F555" s="191"/>
      <c r="G555" s="192"/>
      <c r="H555" s="193"/>
      <c r="I555" s="194"/>
      <c r="J555" s="195"/>
    </row>
    <row r="556" ht="33.0" customHeight="1">
      <c r="A556" s="188"/>
      <c r="B556" s="189"/>
      <c r="C556" s="189"/>
      <c r="D556" s="189"/>
      <c r="E556" s="190"/>
      <c r="F556" s="191"/>
      <c r="G556" s="192"/>
      <c r="H556" s="193"/>
      <c r="I556" s="194"/>
      <c r="J556" s="195"/>
    </row>
    <row r="557" ht="33.0" customHeight="1">
      <c r="A557" s="188"/>
      <c r="B557" s="189"/>
      <c r="C557" s="189"/>
      <c r="D557" s="189"/>
      <c r="E557" s="190"/>
      <c r="F557" s="191"/>
      <c r="G557" s="192"/>
      <c r="H557" s="193"/>
      <c r="I557" s="194"/>
      <c r="J557" s="195"/>
    </row>
    <row r="558" ht="33.0" customHeight="1">
      <c r="A558" s="188"/>
      <c r="B558" s="189"/>
      <c r="C558" s="189"/>
      <c r="D558" s="189"/>
      <c r="E558" s="190"/>
      <c r="F558" s="191"/>
      <c r="G558" s="192"/>
      <c r="H558" s="193"/>
      <c r="I558" s="194"/>
      <c r="J558" s="195"/>
    </row>
    <row r="559" ht="33.0" customHeight="1">
      <c r="A559" s="188"/>
      <c r="B559" s="189"/>
      <c r="C559" s="189"/>
      <c r="D559" s="189"/>
      <c r="E559" s="190"/>
      <c r="F559" s="191"/>
      <c r="G559" s="192"/>
      <c r="H559" s="193"/>
      <c r="I559" s="194"/>
      <c r="J559" s="195"/>
    </row>
    <row r="560" ht="33.0" customHeight="1">
      <c r="A560" s="188"/>
      <c r="B560" s="189"/>
      <c r="C560" s="189"/>
      <c r="D560" s="189"/>
      <c r="E560" s="190"/>
      <c r="F560" s="191"/>
      <c r="G560" s="192"/>
      <c r="H560" s="193"/>
      <c r="I560" s="194"/>
      <c r="J560" s="195"/>
    </row>
    <row r="561" ht="33.0" customHeight="1">
      <c r="A561" s="188"/>
      <c r="B561" s="189"/>
      <c r="C561" s="189"/>
      <c r="D561" s="189"/>
      <c r="E561" s="190"/>
      <c r="F561" s="191"/>
      <c r="G561" s="192"/>
      <c r="H561" s="193"/>
      <c r="I561" s="194"/>
      <c r="J561" s="195"/>
    </row>
    <row r="562" ht="33.0" customHeight="1">
      <c r="A562" s="188"/>
      <c r="B562" s="189"/>
      <c r="C562" s="189"/>
      <c r="D562" s="189"/>
      <c r="E562" s="190"/>
      <c r="F562" s="191"/>
      <c r="G562" s="192"/>
      <c r="H562" s="193"/>
      <c r="I562" s="194"/>
      <c r="J562" s="195"/>
    </row>
    <row r="563" ht="33.0" customHeight="1">
      <c r="A563" s="188"/>
      <c r="B563" s="189"/>
      <c r="C563" s="189"/>
      <c r="D563" s="189"/>
      <c r="E563" s="190"/>
      <c r="F563" s="191"/>
      <c r="G563" s="192"/>
      <c r="H563" s="193"/>
      <c r="I563" s="194"/>
      <c r="J563" s="195"/>
    </row>
    <row r="564" ht="33.0" customHeight="1">
      <c r="A564" s="188"/>
      <c r="B564" s="189"/>
      <c r="C564" s="189"/>
      <c r="D564" s="189"/>
      <c r="E564" s="190"/>
      <c r="F564" s="191"/>
      <c r="G564" s="192"/>
      <c r="H564" s="193"/>
      <c r="I564" s="194"/>
      <c r="J564" s="195"/>
    </row>
    <row r="565" ht="33.0" customHeight="1">
      <c r="A565" s="188"/>
      <c r="B565" s="189"/>
      <c r="C565" s="189"/>
      <c r="D565" s="189"/>
      <c r="E565" s="190"/>
      <c r="F565" s="191"/>
      <c r="G565" s="192"/>
      <c r="H565" s="193"/>
      <c r="I565" s="194"/>
      <c r="J565" s="195"/>
    </row>
    <row r="566" ht="33.0" customHeight="1">
      <c r="A566" s="188"/>
      <c r="B566" s="189"/>
      <c r="C566" s="189"/>
      <c r="D566" s="189"/>
      <c r="E566" s="190"/>
      <c r="F566" s="191"/>
      <c r="G566" s="192"/>
      <c r="H566" s="193"/>
      <c r="I566" s="194"/>
      <c r="J566" s="195"/>
    </row>
    <row r="567" ht="33.0" customHeight="1">
      <c r="A567" s="188"/>
      <c r="B567" s="189"/>
      <c r="C567" s="189"/>
      <c r="D567" s="189"/>
      <c r="E567" s="190"/>
      <c r="F567" s="191"/>
      <c r="G567" s="192"/>
      <c r="H567" s="193"/>
      <c r="I567" s="194"/>
      <c r="J567" s="195"/>
    </row>
    <row r="568" ht="33.0" customHeight="1">
      <c r="A568" s="188"/>
      <c r="B568" s="189"/>
      <c r="C568" s="189"/>
      <c r="D568" s="189"/>
      <c r="E568" s="190"/>
      <c r="F568" s="191"/>
      <c r="G568" s="192"/>
      <c r="H568" s="193"/>
      <c r="I568" s="194"/>
      <c r="J568" s="195"/>
    </row>
    <row r="569" ht="33.0" customHeight="1">
      <c r="A569" s="188"/>
      <c r="B569" s="189"/>
      <c r="C569" s="189"/>
      <c r="D569" s="189"/>
      <c r="E569" s="190"/>
      <c r="F569" s="191"/>
      <c r="G569" s="192"/>
      <c r="H569" s="193"/>
      <c r="I569" s="194"/>
      <c r="J569" s="195"/>
    </row>
    <row r="570" ht="33.0" customHeight="1">
      <c r="A570" s="188"/>
      <c r="B570" s="189"/>
      <c r="C570" s="189"/>
      <c r="D570" s="189"/>
      <c r="E570" s="190"/>
      <c r="F570" s="191"/>
      <c r="G570" s="192"/>
      <c r="H570" s="193"/>
      <c r="I570" s="194"/>
      <c r="J570" s="195"/>
    </row>
    <row r="571" ht="33.0" customHeight="1">
      <c r="A571" s="188"/>
      <c r="B571" s="189"/>
      <c r="C571" s="189"/>
      <c r="D571" s="189"/>
      <c r="E571" s="190"/>
      <c r="F571" s="191"/>
      <c r="G571" s="192"/>
      <c r="H571" s="193"/>
      <c r="I571" s="194"/>
      <c r="J571" s="195"/>
    </row>
    <row r="572" ht="33.0" customHeight="1">
      <c r="A572" s="188"/>
      <c r="B572" s="189"/>
      <c r="C572" s="189"/>
      <c r="D572" s="189"/>
      <c r="E572" s="190"/>
      <c r="F572" s="191"/>
      <c r="G572" s="192"/>
      <c r="H572" s="193"/>
      <c r="I572" s="194"/>
      <c r="J572" s="195"/>
    </row>
    <row r="573" ht="33.0" customHeight="1">
      <c r="A573" s="188"/>
      <c r="B573" s="189"/>
      <c r="C573" s="189"/>
      <c r="D573" s="189"/>
      <c r="E573" s="190"/>
      <c r="F573" s="191"/>
      <c r="G573" s="192"/>
      <c r="H573" s="193"/>
      <c r="I573" s="194"/>
      <c r="J573" s="195"/>
    </row>
    <row r="574" ht="33.0" customHeight="1">
      <c r="A574" s="188"/>
      <c r="B574" s="189"/>
      <c r="C574" s="189"/>
      <c r="D574" s="189"/>
      <c r="E574" s="190"/>
      <c r="F574" s="191"/>
      <c r="G574" s="192"/>
      <c r="H574" s="193"/>
      <c r="I574" s="194"/>
      <c r="J574" s="195"/>
    </row>
    <row r="575" ht="33.0" customHeight="1">
      <c r="A575" s="188"/>
      <c r="B575" s="189"/>
      <c r="C575" s="189"/>
      <c r="D575" s="189"/>
      <c r="E575" s="190"/>
      <c r="F575" s="191"/>
      <c r="G575" s="192"/>
      <c r="H575" s="193"/>
      <c r="I575" s="194"/>
      <c r="J575" s="195"/>
    </row>
    <row r="576" ht="33.0" customHeight="1">
      <c r="A576" s="188"/>
      <c r="B576" s="189"/>
      <c r="C576" s="189"/>
      <c r="D576" s="189"/>
      <c r="E576" s="190"/>
      <c r="F576" s="191"/>
      <c r="G576" s="192"/>
      <c r="H576" s="193"/>
      <c r="I576" s="194"/>
      <c r="J576" s="195"/>
    </row>
    <row r="577" ht="33.0" customHeight="1">
      <c r="A577" s="188"/>
      <c r="B577" s="189"/>
      <c r="C577" s="189"/>
      <c r="D577" s="189"/>
      <c r="E577" s="190"/>
      <c r="F577" s="191"/>
      <c r="G577" s="192"/>
      <c r="H577" s="193"/>
      <c r="I577" s="194"/>
      <c r="J577" s="195"/>
    </row>
    <row r="578" ht="33.0" customHeight="1">
      <c r="A578" s="188"/>
      <c r="B578" s="189"/>
      <c r="C578" s="189"/>
      <c r="D578" s="189"/>
      <c r="E578" s="190"/>
      <c r="F578" s="191"/>
      <c r="G578" s="192"/>
      <c r="H578" s="193"/>
      <c r="I578" s="194"/>
      <c r="J578" s="195"/>
    </row>
    <row r="579" ht="33.0" customHeight="1">
      <c r="A579" s="188"/>
      <c r="B579" s="189"/>
      <c r="C579" s="189"/>
      <c r="D579" s="189"/>
      <c r="E579" s="190"/>
      <c r="F579" s="191"/>
      <c r="G579" s="192"/>
      <c r="H579" s="193"/>
      <c r="I579" s="194"/>
      <c r="J579" s="195"/>
    </row>
    <row r="580" ht="33.0" customHeight="1">
      <c r="A580" s="188"/>
      <c r="B580" s="189"/>
      <c r="C580" s="189"/>
      <c r="D580" s="189"/>
      <c r="E580" s="190"/>
      <c r="F580" s="191"/>
      <c r="G580" s="192"/>
      <c r="H580" s="193"/>
      <c r="I580" s="194"/>
      <c r="J580" s="195"/>
    </row>
    <row r="581" ht="33.0" customHeight="1">
      <c r="A581" s="188"/>
      <c r="B581" s="189"/>
      <c r="C581" s="189"/>
      <c r="D581" s="189"/>
      <c r="E581" s="190"/>
      <c r="F581" s="191"/>
      <c r="G581" s="192"/>
      <c r="H581" s="193"/>
      <c r="I581" s="194"/>
      <c r="J581" s="196"/>
    </row>
  </sheetData>
  <mergeCells count="5">
    <mergeCell ref="A2:J2"/>
    <mergeCell ref="B9:D9"/>
    <mergeCell ref="A10:J10"/>
    <mergeCell ref="A15:J15"/>
    <mergeCell ref="A16:J16"/>
  </mergeCells>
  <hyperlinks>
    <hyperlink r:id="rId1" ref="H3"/>
    <hyperlink r:id="rId2" ref="H4"/>
    <hyperlink r:id="rId3" ref="H5"/>
    <hyperlink r:id="rId4" ref="H6"/>
    <hyperlink r:id="rId5" ref="H8"/>
    <hyperlink r:id="rId6" ref="H9"/>
    <hyperlink r:id="rId7" ref="I9"/>
    <hyperlink r:id="rId8" ref="H12"/>
    <hyperlink r:id="rId9" ref="H13"/>
    <hyperlink r:id="rId10" ref="H17"/>
    <hyperlink r:id="rId11" ref="H18"/>
  </hyperlinks>
  <printOptions gridLines="1" horizontalCentered="1"/>
  <pageMargins bottom="0.75" footer="0.0" header="0.0" left="0.25" right="0.25" top="0.75"/>
  <pageSetup fitToHeight="0" paperSize="9" cellComments="atEnd" orientation="landscape" pageOrder="overThenDown"/>
  <drawing r:id="rId1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pageSetUpPr fitToPage="1"/>
  </sheetPr>
  <sheetViews>
    <sheetView workbookViewId="0"/>
  </sheetViews>
  <sheetFormatPr customHeight="1" defaultColWidth="12.63" defaultRowHeight="15.75"/>
  <cols>
    <col customWidth="1" min="1" max="1" width="15.25"/>
    <col customWidth="1" min="2" max="2" width="50.75"/>
    <col customWidth="1" min="3" max="3" width="52.63"/>
    <col customWidth="1" min="4" max="4" width="14.38"/>
    <col customWidth="1" min="5" max="5" width="18.25"/>
    <col customWidth="1" min="6" max="6" width="31.5"/>
    <col customWidth="1" min="7" max="7" width="27.75"/>
    <col customWidth="1" min="8" max="8" width="16.0"/>
    <col customWidth="1" min="9" max="9" width="17.88"/>
    <col customWidth="1" min="10" max="10" width="14.5"/>
    <col customWidth="1" min="11" max="11" width="41.0"/>
    <col customWidth="1" hidden="1" min="12" max="15" width="19.38"/>
    <col customWidth="1" min="16" max="17" width="19.38"/>
  </cols>
  <sheetData>
    <row r="1" ht="39.75" customHeight="1">
      <c r="A1" s="197" t="s">
        <v>208</v>
      </c>
      <c r="B1" s="198"/>
      <c r="C1" s="198"/>
      <c r="D1" s="198"/>
      <c r="E1" s="198"/>
      <c r="F1" s="198"/>
      <c r="G1" s="198"/>
      <c r="H1" s="198"/>
      <c r="I1" s="198"/>
      <c r="J1" s="198"/>
      <c r="K1" s="199"/>
      <c r="L1" s="200"/>
      <c r="M1" s="200"/>
      <c r="N1" s="200"/>
      <c r="O1" s="200"/>
      <c r="P1" s="201"/>
      <c r="Q1" s="201"/>
    </row>
    <row r="2" ht="31.5" customHeight="1">
      <c r="A2" s="202" t="s">
        <v>2</v>
      </c>
      <c r="B2" s="202">
        <v>0.0</v>
      </c>
      <c r="C2" s="202" t="s">
        <v>209</v>
      </c>
      <c r="D2" s="202" t="s">
        <v>123</v>
      </c>
      <c r="E2" s="202" t="s">
        <v>210</v>
      </c>
      <c r="F2" s="203" t="s">
        <v>211</v>
      </c>
      <c r="G2" s="203" t="s">
        <v>212</v>
      </c>
      <c r="H2" s="202" t="s">
        <v>8</v>
      </c>
      <c r="I2" s="202" t="s">
        <v>9</v>
      </c>
      <c r="J2" s="202" t="s">
        <v>11</v>
      </c>
      <c r="K2" s="202" t="s">
        <v>10</v>
      </c>
      <c r="L2" s="204"/>
      <c r="M2" s="204"/>
      <c r="N2" s="204"/>
      <c r="O2" s="204"/>
      <c r="P2" s="205"/>
      <c r="Q2" s="205"/>
    </row>
    <row r="3">
      <c r="A3" s="182" t="s">
        <v>213</v>
      </c>
      <c r="B3" s="182" t="s">
        <v>214</v>
      </c>
      <c r="C3" s="206">
        <v>0.1</v>
      </c>
      <c r="D3" s="184" t="s">
        <v>215</v>
      </c>
      <c r="E3" s="182">
        <v>1220712.0</v>
      </c>
      <c r="F3" s="207"/>
      <c r="G3" s="207"/>
      <c r="H3" s="208">
        <v>45855.0</v>
      </c>
      <c r="I3" s="160" t="s">
        <v>141</v>
      </c>
      <c r="J3" s="209"/>
      <c r="K3" s="150"/>
      <c r="L3" s="160"/>
      <c r="M3" s="160"/>
      <c r="N3" s="160"/>
      <c r="O3" s="160"/>
      <c r="P3" s="210"/>
      <c r="Q3" s="210"/>
    </row>
    <row r="4">
      <c r="A4" s="182" t="s">
        <v>213</v>
      </c>
      <c r="B4" s="182" t="s">
        <v>216</v>
      </c>
      <c r="C4" s="206">
        <v>0.1</v>
      </c>
      <c r="D4" s="184" t="s">
        <v>217</v>
      </c>
      <c r="E4" s="182">
        <v>1226034.0</v>
      </c>
      <c r="F4" s="207"/>
      <c r="G4" s="207"/>
      <c r="H4" s="208">
        <v>45855.0</v>
      </c>
      <c r="I4" s="160" t="s">
        <v>141</v>
      </c>
      <c r="J4" s="209"/>
      <c r="K4" s="150"/>
      <c r="L4" s="160"/>
      <c r="M4" s="160"/>
      <c r="N4" s="160"/>
      <c r="O4" s="160"/>
      <c r="P4" s="210"/>
      <c r="Q4" s="210"/>
    </row>
    <row r="5">
      <c r="A5" s="182" t="s">
        <v>213</v>
      </c>
      <c r="B5" s="182" t="s">
        <v>218</v>
      </c>
      <c r="C5" s="206">
        <v>0.1</v>
      </c>
      <c r="D5" s="184" t="s">
        <v>219</v>
      </c>
      <c r="E5" s="182">
        <v>1226035.0</v>
      </c>
      <c r="F5" s="207"/>
      <c r="G5" s="207"/>
      <c r="H5" s="208">
        <v>45855.0</v>
      </c>
      <c r="I5" s="160" t="s">
        <v>141</v>
      </c>
      <c r="J5" s="209"/>
      <c r="K5" s="150"/>
      <c r="L5" s="160"/>
      <c r="M5" s="160"/>
      <c r="N5" s="160"/>
      <c r="O5" s="160"/>
      <c r="P5" s="210"/>
      <c r="Q5" s="210"/>
    </row>
    <row r="6" hidden="1">
      <c r="A6" s="130" t="s">
        <v>220</v>
      </c>
      <c r="B6" s="31"/>
      <c r="C6" s="31"/>
      <c r="D6" s="31"/>
      <c r="E6" s="31"/>
      <c r="F6" s="31"/>
      <c r="G6" s="31"/>
      <c r="H6" s="31"/>
      <c r="I6" s="31"/>
      <c r="J6" s="32"/>
      <c r="K6" s="211"/>
      <c r="L6" s="212"/>
      <c r="M6" s="212"/>
      <c r="N6" s="212"/>
      <c r="O6" s="212"/>
      <c r="P6" s="213"/>
      <c r="Q6" s="213"/>
    </row>
    <row r="7" ht="30.0" hidden="1" customHeight="1">
      <c r="A7" s="214" t="s">
        <v>221</v>
      </c>
      <c r="B7" s="31"/>
      <c r="C7" s="31"/>
      <c r="D7" s="31"/>
      <c r="E7" s="31"/>
      <c r="F7" s="31"/>
      <c r="G7" s="31"/>
      <c r="H7" s="31"/>
      <c r="I7" s="31"/>
      <c r="J7" s="31"/>
      <c r="K7" s="31"/>
      <c r="L7" s="31"/>
      <c r="M7" s="31"/>
      <c r="N7" s="31"/>
      <c r="O7" s="32"/>
      <c r="P7" s="215"/>
      <c r="Q7" s="215"/>
    </row>
    <row r="8" ht="31.5" hidden="1" customHeight="1">
      <c r="A8" s="202" t="s">
        <v>2</v>
      </c>
      <c r="B8" s="202" t="s">
        <v>222</v>
      </c>
      <c r="C8" s="202" t="s">
        <v>209</v>
      </c>
      <c r="D8" s="202" t="s">
        <v>123</v>
      </c>
      <c r="E8" s="202" t="s">
        <v>210</v>
      </c>
      <c r="F8" s="203" t="s">
        <v>211</v>
      </c>
      <c r="G8" s="203" t="s">
        <v>212</v>
      </c>
      <c r="H8" s="202" t="s">
        <v>8</v>
      </c>
      <c r="I8" s="202" t="s">
        <v>9</v>
      </c>
      <c r="J8" s="202" t="s">
        <v>11</v>
      </c>
      <c r="K8" s="202" t="s">
        <v>10</v>
      </c>
      <c r="L8" s="204"/>
      <c r="M8" s="204"/>
      <c r="N8" s="204"/>
      <c r="O8" s="204"/>
      <c r="P8" s="205"/>
      <c r="Q8" s="205"/>
    </row>
    <row r="9" ht="30.0" hidden="1" customHeight="1">
      <c r="A9" s="214" t="s">
        <v>223</v>
      </c>
      <c r="B9" s="31"/>
      <c r="C9" s="31"/>
      <c r="D9" s="31"/>
      <c r="E9" s="31"/>
      <c r="F9" s="31"/>
      <c r="G9" s="31"/>
      <c r="H9" s="31"/>
      <c r="I9" s="31"/>
      <c r="J9" s="31"/>
      <c r="K9" s="31"/>
      <c r="L9" s="31"/>
      <c r="M9" s="31"/>
      <c r="N9" s="31"/>
      <c r="O9" s="32"/>
      <c r="P9" s="215"/>
      <c r="Q9" s="215"/>
    </row>
    <row r="10" ht="39.75" customHeight="1">
      <c r="A10" s="130" t="s">
        <v>165</v>
      </c>
      <c r="B10" s="31"/>
      <c r="C10" s="31"/>
      <c r="D10" s="31"/>
      <c r="E10" s="31"/>
      <c r="F10" s="31"/>
      <c r="G10" s="31"/>
      <c r="H10" s="31"/>
      <c r="I10" s="31"/>
      <c r="J10" s="31"/>
      <c r="K10" s="32"/>
      <c r="L10" s="200"/>
      <c r="M10" s="200"/>
      <c r="N10" s="200"/>
      <c r="O10" s="200"/>
      <c r="P10" s="201"/>
      <c r="Q10" s="201"/>
    </row>
    <row r="11" ht="30.75" customHeight="1">
      <c r="A11" s="214"/>
      <c r="B11" s="31"/>
      <c r="C11" s="31"/>
      <c r="D11" s="31"/>
      <c r="E11" s="31"/>
      <c r="F11" s="31"/>
      <c r="G11" s="31"/>
      <c r="H11" s="31"/>
      <c r="I11" s="31"/>
      <c r="J11" s="31"/>
      <c r="K11" s="31"/>
      <c r="L11" s="31"/>
      <c r="M11" s="31"/>
      <c r="N11" s="31"/>
      <c r="O11" s="32"/>
      <c r="P11" s="215"/>
      <c r="Q11" s="215"/>
    </row>
    <row r="12" ht="31.5" customHeight="1">
      <c r="A12" s="202" t="s">
        <v>2</v>
      </c>
      <c r="B12" s="202" t="s">
        <v>222</v>
      </c>
      <c r="C12" s="202" t="s">
        <v>209</v>
      </c>
      <c r="D12" s="202" t="s">
        <v>123</v>
      </c>
      <c r="E12" s="202" t="s">
        <v>210</v>
      </c>
      <c r="F12" s="203" t="s">
        <v>211</v>
      </c>
      <c r="G12" s="203" t="s">
        <v>212</v>
      </c>
      <c r="H12" s="202" t="s">
        <v>8</v>
      </c>
      <c r="I12" s="202" t="s">
        <v>9</v>
      </c>
      <c r="J12" s="202" t="s">
        <v>11</v>
      </c>
      <c r="K12" s="202" t="s">
        <v>10</v>
      </c>
      <c r="L12" s="204"/>
      <c r="M12" s="204"/>
      <c r="N12" s="204"/>
      <c r="O12" s="204"/>
      <c r="P12" s="205"/>
      <c r="Q12" s="205"/>
    </row>
    <row r="13" ht="15.75" customHeight="1">
      <c r="A13" s="184" t="s">
        <v>224</v>
      </c>
      <c r="B13" s="184" t="s">
        <v>225</v>
      </c>
      <c r="C13" s="216" t="s">
        <v>226</v>
      </c>
      <c r="D13" s="184">
        <v>1195475.0</v>
      </c>
      <c r="E13" s="184">
        <v>1223145.0</v>
      </c>
      <c r="F13" s="184"/>
      <c r="G13" s="184"/>
      <c r="H13" s="217">
        <v>45944.0</v>
      </c>
      <c r="I13" s="217">
        <v>45974.0</v>
      </c>
      <c r="J13" s="184"/>
      <c r="K13" s="218" t="s">
        <v>163</v>
      </c>
      <c r="L13" s="184"/>
      <c r="M13" s="184"/>
      <c r="N13" s="184"/>
      <c r="O13" s="184"/>
      <c r="P13" s="219"/>
      <c r="Q13" s="219"/>
    </row>
    <row r="14" ht="15.75" customHeight="1">
      <c r="A14" s="184" t="s">
        <v>227</v>
      </c>
      <c r="B14" s="184" t="s">
        <v>228</v>
      </c>
      <c r="C14" s="216" t="s">
        <v>226</v>
      </c>
      <c r="D14" s="184">
        <v>1221549.0</v>
      </c>
      <c r="E14" s="184">
        <v>1231204.0</v>
      </c>
      <c r="F14" s="184"/>
      <c r="G14" s="184"/>
      <c r="H14" s="217">
        <v>45943.0</v>
      </c>
      <c r="I14" s="217">
        <v>45974.0</v>
      </c>
      <c r="J14" s="184"/>
      <c r="K14" s="218" t="s">
        <v>163</v>
      </c>
      <c r="L14" s="184"/>
      <c r="M14" s="184"/>
      <c r="N14" s="184"/>
      <c r="O14" s="184"/>
      <c r="P14" s="219"/>
      <c r="Q14" s="219"/>
    </row>
    <row r="15" ht="15.75" customHeight="1">
      <c r="A15" s="184" t="s">
        <v>227</v>
      </c>
      <c r="B15" s="184" t="s">
        <v>229</v>
      </c>
      <c r="C15" s="216" t="s">
        <v>230</v>
      </c>
      <c r="D15" s="184">
        <v>1221603.0</v>
      </c>
      <c r="E15" s="184">
        <v>1231450.0</v>
      </c>
      <c r="F15" s="184"/>
      <c r="G15" s="184"/>
      <c r="H15" s="217">
        <v>45961.0</v>
      </c>
      <c r="I15" s="217">
        <v>45977.0</v>
      </c>
      <c r="J15" s="184"/>
      <c r="K15" s="218" t="s">
        <v>163</v>
      </c>
      <c r="L15" s="184"/>
      <c r="M15" s="184"/>
      <c r="N15" s="184"/>
      <c r="O15" s="184"/>
      <c r="P15" s="219"/>
      <c r="Q15" s="219"/>
    </row>
    <row r="16" ht="15.75" customHeight="1">
      <c r="A16" s="184" t="s">
        <v>231</v>
      </c>
      <c r="B16" s="184" t="s">
        <v>232</v>
      </c>
      <c r="C16" s="216" t="s">
        <v>230</v>
      </c>
      <c r="D16" s="184">
        <v>1221983.0</v>
      </c>
      <c r="E16" s="184">
        <v>1226393.0</v>
      </c>
      <c r="F16" s="184"/>
      <c r="G16" s="184"/>
      <c r="H16" s="217">
        <v>45962.0</v>
      </c>
      <c r="I16" s="217">
        <v>45974.0</v>
      </c>
      <c r="J16" s="184"/>
      <c r="K16" s="218" t="s">
        <v>163</v>
      </c>
      <c r="L16" s="184"/>
      <c r="M16" s="184"/>
      <c r="N16" s="184"/>
      <c r="O16" s="184"/>
      <c r="P16" s="219"/>
      <c r="Q16" s="219"/>
    </row>
    <row r="17" ht="15.75" customHeight="1">
      <c r="A17" s="184" t="s">
        <v>231</v>
      </c>
      <c r="B17" s="184" t="s">
        <v>233</v>
      </c>
      <c r="C17" s="216" t="s">
        <v>234</v>
      </c>
      <c r="D17" s="184">
        <v>1221916.0</v>
      </c>
      <c r="E17" s="184">
        <v>1231676.0</v>
      </c>
      <c r="F17" s="184"/>
      <c r="G17" s="184"/>
      <c r="H17" s="217">
        <v>45962.0</v>
      </c>
      <c r="I17" s="217">
        <v>45992.0</v>
      </c>
      <c r="J17" s="184"/>
      <c r="K17" s="218" t="s">
        <v>163</v>
      </c>
      <c r="L17" s="184"/>
      <c r="M17" s="184"/>
      <c r="N17" s="184"/>
      <c r="O17" s="184"/>
      <c r="P17" s="219"/>
      <c r="Q17" s="219"/>
    </row>
    <row r="18" ht="15.75" customHeight="1">
      <c r="A18" s="184" t="s">
        <v>231</v>
      </c>
      <c r="B18" s="184" t="s">
        <v>235</v>
      </c>
      <c r="C18" s="216" t="s">
        <v>230</v>
      </c>
      <c r="D18" s="184">
        <v>1221959.0</v>
      </c>
      <c r="E18" s="184">
        <v>1228863.0</v>
      </c>
      <c r="F18" s="184"/>
      <c r="G18" s="184"/>
      <c r="H18" s="217">
        <v>45962.0</v>
      </c>
      <c r="I18" s="217">
        <v>45992.0</v>
      </c>
      <c r="J18" s="184"/>
      <c r="K18" s="218" t="s">
        <v>163</v>
      </c>
      <c r="L18" s="184"/>
      <c r="M18" s="184"/>
      <c r="N18" s="184"/>
      <c r="O18" s="184"/>
      <c r="P18" s="219"/>
      <c r="Q18" s="219"/>
    </row>
    <row r="19" ht="15.75" customHeight="1">
      <c r="A19" s="184" t="s">
        <v>227</v>
      </c>
      <c r="B19" s="184" t="s">
        <v>236</v>
      </c>
      <c r="C19" s="216" t="s">
        <v>237</v>
      </c>
      <c r="D19" s="184">
        <v>1229522.0</v>
      </c>
      <c r="E19" s="184">
        <v>1232012.0</v>
      </c>
      <c r="F19" s="184"/>
      <c r="G19" s="184"/>
      <c r="H19" s="217">
        <v>45967.0</v>
      </c>
      <c r="I19" s="217">
        <v>45977.0</v>
      </c>
      <c r="J19" s="184"/>
      <c r="K19" s="218" t="s">
        <v>163</v>
      </c>
      <c r="L19" s="184"/>
      <c r="M19" s="184"/>
      <c r="N19" s="184"/>
      <c r="O19" s="184"/>
      <c r="P19" s="219"/>
      <c r="Q19" s="219"/>
    </row>
    <row r="20" ht="15.75" customHeight="1">
      <c r="A20" s="184" t="s">
        <v>227</v>
      </c>
      <c r="B20" s="184" t="s">
        <v>238</v>
      </c>
      <c r="C20" s="216" t="s">
        <v>239</v>
      </c>
      <c r="D20" s="184">
        <v>1229528.0</v>
      </c>
      <c r="E20" s="184">
        <v>1232013.0</v>
      </c>
      <c r="F20" s="184"/>
      <c r="G20" s="184"/>
      <c r="H20" s="217">
        <v>45967.0</v>
      </c>
      <c r="I20" s="217">
        <v>45977.0</v>
      </c>
      <c r="J20" s="184"/>
      <c r="K20" s="218" t="s">
        <v>163</v>
      </c>
      <c r="L20" s="184"/>
      <c r="M20" s="184"/>
      <c r="N20" s="184"/>
      <c r="O20" s="184"/>
      <c r="P20" s="219"/>
      <c r="Q20" s="219"/>
    </row>
    <row r="21" ht="15.75" customHeight="1">
      <c r="A21" s="184" t="s">
        <v>227</v>
      </c>
      <c r="B21" s="184" t="s">
        <v>240</v>
      </c>
      <c r="C21" s="216" t="s">
        <v>241</v>
      </c>
      <c r="D21" s="184">
        <v>1229525.0</v>
      </c>
      <c r="E21" s="184">
        <v>1231950.0</v>
      </c>
      <c r="F21" s="184"/>
      <c r="G21" s="184"/>
      <c r="H21" s="217">
        <v>45967.0</v>
      </c>
      <c r="I21" s="217">
        <v>45977.0</v>
      </c>
      <c r="J21" s="184"/>
      <c r="K21" s="218" t="s">
        <v>163</v>
      </c>
      <c r="L21" s="184"/>
      <c r="M21" s="184"/>
      <c r="N21" s="184"/>
      <c r="O21" s="184"/>
      <c r="P21" s="219"/>
      <c r="Q21" s="219"/>
    </row>
    <row r="22" ht="15.75" hidden="1" customHeight="1">
      <c r="A22" s="184" t="s">
        <v>227</v>
      </c>
      <c r="B22" s="184" t="s">
        <v>240</v>
      </c>
      <c r="C22" s="216" t="s">
        <v>242</v>
      </c>
      <c r="D22" s="184">
        <v>1229525.0</v>
      </c>
      <c r="E22" s="184">
        <v>1231971.0</v>
      </c>
      <c r="F22" s="184"/>
      <c r="G22" s="184"/>
      <c r="H22" s="217">
        <v>45961.0</v>
      </c>
      <c r="I22" s="217">
        <v>45964.0</v>
      </c>
      <c r="J22" s="184"/>
      <c r="K22" s="218" t="s">
        <v>163</v>
      </c>
      <c r="L22" s="184"/>
      <c r="M22" s="184"/>
      <c r="N22" s="184"/>
      <c r="O22" s="184"/>
      <c r="P22" s="219"/>
      <c r="Q22" s="219"/>
    </row>
    <row r="23" ht="30.75" customHeight="1">
      <c r="A23" s="214" t="s">
        <v>243</v>
      </c>
      <c r="B23" s="31"/>
      <c r="C23" s="31"/>
      <c r="D23" s="31"/>
      <c r="E23" s="31"/>
      <c r="F23" s="31"/>
      <c r="G23" s="31"/>
      <c r="H23" s="31"/>
      <c r="I23" s="31"/>
      <c r="J23" s="31"/>
      <c r="K23" s="31"/>
      <c r="L23" s="31"/>
      <c r="M23" s="31"/>
      <c r="N23" s="31"/>
      <c r="O23" s="32"/>
      <c r="P23" s="215"/>
      <c r="Q23" s="215"/>
    </row>
    <row r="24" ht="31.5" customHeight="1">
      <c r="A24" s="202" t="s">
        <v>2</v>
      </c>
      <c r="B24" s="202" t="s">
        <v>222</v>
      </c>
      <c r="C24" s="202" t="s">
        <v>209</v>
      </c>
      <c r="D24" s="202" t="s">
        <v>123</v>
      </c>
      <c r="E24" s="202" t="s">
        <v>210</v>
      </c>
      <c r="F24" s="203" t="s">
        <v>211</v>
      </c>
      <c r="G24" s="203" t="s">
        <v>212</v>
      </c>
      <c r="H24" s="202" t="s">
        <v>8</v>
      </c>
      <c r="I24" s="202" t="s">
        <v>9</v>
      </c>
      <c r="J24" s="202" t="s">
        <v>11</v>
      </c>
      <c r="K24" s="202" t="s">
        <v>10</v>
      </c>
      <c r="L24" s="204"/>
      <c r="M24" s="204"/>
      <c r="N24" s="204"/>
      <c r="O24" s="204"/>
      <c r="P24" s="205"/>
      <c r="Q24" s="205"/>
    </row>
    <row r="25" ht="15.75" customHeight="1">
      <c r="A25" s="184" t="s">
        <v>227</v>
      </c>
      <c r="B25" s="184" t="s">
        <v>244</v>
      </c>
      <c r="C25" s="216">
        <v>100.0</v>
      </c>
      <c r="D25" s="184">
        <v>1221656.0</v>
      </c>
      <c r="E25" s="184">
        <v>1230093.0</v>
      </c>
      <c r="F25" s="184"/>
      <c r="G25" s="184"/>
      <c r="H25" s="217">
        <v>45924.0</v>
      </c>
      <c r="I25" s="217">
        <v>46022.0</v>
      </c>
      <c r="J25" s="184"/>
      <c r="K25" s="218" t="s">
        <v>163</v>
      </c>
      <c r="L25" s="184"/>
      <c r="M25" s="184"/>
      <c r="N25" s="184"/>
      <c r="O25" s="184"/>
      <c r="P25" s="219"/>
      <c r="Q25" s="219"/>
    </row>
    <row r="26" ht="15.75" customHeight="1">
      <c r="A26" s="184" t="s">
        <v>227</v>
      </c>
      <c r="B26" s="184" t="s">
        <v>245</v>
      </c>
      <c r="C26" s="216">
        <v>100.0</v>
      </c>
      <c r="D26" s="184">
        <v>1221657.0</v>
      </c>
      <c r="E26" s="184">
        <v>1230094.0</v>
      </c>
      <c r="F26" s="184"/>
      <c r="G26" s="184"/>
      <c r="H26" s="217">
        <v>45924.0</v>
      </c>
      <c r="I26" s="217">
        <v>46022.0</v>
      </c>
      <c r="J26" s="184"/>
      <c r="K26" s="218" t="s">
        <v>163</v>
      </c>
      <c r="L26" s="184"/>
      <c r="M26" s="184"/>
      <c r="N26" s="184"/>
      <c r="O26" s="184"/>
      <c r="P26" s="219"/>
      <c r="Q26" s="219"/>
    </row>
    <row r="27" ht="15.75" customHeight="1">
      <c r="A27" s="184" t="s">
        <v>227</v>
      </c>
      <c r="B27" s="184" t="s">
        <v>246</v>
      </c>
      <c r="C27" s="216">
        <v>100.0</v>
      </c>
      <c r="D27" s="184">
        <v>1221658.0</v>
      </c>
      <c r="E27" s="184">
        <v>1230095.0</v>
      </c>
      <c r="F27" s="184"/>
      <c r="G27" s="184"/>
      <c r="H27" s="217">
        <v>45924.0</v>
      </c>
      <c r="I27" s="217">
        <v>46022.0</v>
      </c>
      <c r="J27" s="184"/>
      <c r="K27" s="218" t="s">
        <v>163</v>
      </c>
      <c r="L27" s="184"/>
      <c r="M27" s="184"/>
      <c r="N27" s="184"/>
      <c r="O27" s="184"/>
      <c r="P27" s="219"/>
      <c r="Q27" s="219"/>
    </row>
    <row r="28" ht="15.75" customHeight="1">
      <c r="A28" s="184" t="s">
        <v>227</v>
      </c>
      <c r="B28" s="184" t="s">
        <v>247</v>
      </c>
      <c r="C28" s="216">
        <v>100.0</v>
      </c>
      <c r="D28" s="184">
        <v>1221231.0</v>
      </c>
      <c r="E28" s="184">
        <v>1230096.0</v>
      </c>
      <c r="F28" s="184"/>
      <c r="G28" s="184"/>
      <c r="H28" s="217">
        <v>45924.0</v>
      </c>
      <c r="I28" s="217">
        <v>46022.0</v>
      </c>
      <c r="J28" s="184"/>
      <c r="K28" s="218" t="s">
        <v>163</v>
      </c>
      <c r="L28" s="184"/>
      <c r="M28" s="184"/>
      <c r="N28" s="184"/>
      <c r="O28" s="184"/>
      <c r="P28" s="219"/>
      <c r="Q28" s="219"/>
    </row>
    <row r="29" ht="15.75" customHeight="1">
      <c r="A29" s="184" t="s">
        <v>227</v>
      </c>
      <c r="B29" s="184" t="s">
        <v>248</v>
      </c>
      <c r="C29" s="216">
        <v>100.0</v>
      </c>
      <c r="D29" s="184">
        <v>1221233.0</v>
      </c>
      <c r="E29" s="184">
        <v>1230097.0</v>
      </c>
      <c r="F29" s="184"/>
      <c r="G29" s="184"/>
      <c r="H29" s="217">
        <v>45924.0</v>
      </c>
      <c r="I29" s="217">
        <v>46022.0</v>
      </c>
      <c r="J29" s="184"/>
      <c r="K29" s="218" t="s">
        <v>163</v>
      </c>
      <c r="L29" s="184"/>
      <c r="M29" s="184"/>
      <c r="N29" s="184"/>
      <c r="O29" s="184"/>
      <c r="P29" s="219"/>
      <c r="Q29" s="219"/>
    </row>
    <row r="30" ht="26.25" customHeight="1">
      <c r="A30" s="214" t="s">
        <v>249</v>
      </c>
      <c r="B30" s="31"/>
      <c r="C30" s="31"/>
      <c r="D30" s="31"/>
      <c r="E30" s="31"/>
      <c r="F30" s="31"/>
      <c r="G30" s="31"/>
      <c r="H30" s="31"/>
      <c r="I30" s="31"/>
      <c r="J30" s="31"/>
      <c r="K30" s="31"/>
      <c r="L30" s="31"/>
      <c r="M30" s="31"/>
      <c r="N30" s="31"/>
      <c r="O30" s="32"/>
      <c r="P30" s="219"/>
      <c r="Q30" s="219"/>
    </row>
    <row r="31" ht="30.75" customHeight="1">
      <c r="A31" s="184" t="s">
        <v>227</v>
      </c>
      <c r="B31" s="184" t="s">
        <v>250</v>
      </c>
      <c r="C31" s="184" t="s">
        <v>251</v>
      </c>
      <c r="D31" s="184">
        <v>1221655.0</v>
      </c>
      <c r="E31" s="184">
        <v>1223057.0</v>
      </c>
      <c r="F31" s="184"/>
      <c r="G31" s="184"/>
      <c r="H31" s="217">
        <v>45931.0</v>
      </c>
      <c r="I31" s="217">
        <v>45977.0</v>
      </c>
      <c r="J31" s="184"/>
      <c r="K31" s="218" t="s">
        <v>163</v>
      </c>
      <c r="L31" s="184"/>
      <c r="M31" s="184"/>
      <c r="N31" s="184"/>
      <c r="O31" s="184"/>
      <c r="P31" s="215"/>
      <c r="Q31" s="215"/>
    </row>
    <row r="32" ht="15.75" customHeight="1">
      <c r="A32" s="184" t="s">
        <v>227</v>
      </c>
      <c r="B32" s="184" t="s">
        <v>252</v>
      </c>
      <c r="C32" s="184" t="s">
        <v>251</v>
      </c>
      <c r="D32" s="184">
        <v>1221656.0</v>
      </c>
      <c r="E32" s="184">
        <v>1223059.0</v>
      </c>
      <c r="F32" s="184"/>
      <c r="G32" s="184"/>
      <c r="H32" s="217">
        <v>45931.0</v>
      </c>
      <c r="I32" s="217">
        <v>45977.0</v>
      </c>
      <c r="J32" s="184"/>
      <c r="K32" s="218" t="s">
        <v>163</v>
      </c>
      <c r="L32" s="184"/>
      <c r="M32" s="184"/>
      <c r="N32" s="184"/>
      <c r="O32" s="184"/>
      <c r="P32" s="219"/>
      <c r="Q32" s="219"/>
    </row>
    <row r="33" ht="15.75" customHeight="1">
      <c r="A33" s="184" t="s">
        <v>227</v>
      </c>
      <c r="B33" s="184" t="s">
        <v>253</v>
      </c>
      <c r="C33" s="184" t="s">
        <v>251</v>
      </c>
      <c r="D33" s="184">
        <v>1221606.0</v>
      </c>
      <c r="E33" s="184">
        <v>1223062.0</v>
      </c>
      <c r="F33" s="184"/>
      <c r="G33" s="184"/>
      <c r="H33" s="217">
        <v>45931.0</v>
      </c>
      <c r="I33" s="217">
        <v>45977.0</v>
      </c>
      <c r="J33" s="184"/>
      <c r="K33" s="218" t="s">
        <v>163</v>
      </c>
      <c r="L33" s="184"/>
      <c r="M33" s="184"/>
      <c r="N33" s="184"/>
      <c r="O33" s="184"/>
      <c r="P33" s="219"/>
      <c r="Q33" s="219"/>
    </row>
    <row r="34" ht="15.75" customHeight="1">
      <c r="A34" s="184" t="s">
        <v>227</v>
      </c>
      <c r="B34" s="184" t="s">
        <v>254</v>
      </c>
      <c r="C34" s="184" t="s">
        <v>251</v>
      </c>
      <c r="D34" s="184">
        <v>1221679.0</v>
      </c>
      <c r="E34" s="184">
        <v>1224474.0</v>
      </c>
      <c r="F34" s="184"/>
      <c r="G34" s="184"/>
      <c r="H34" s="217">
        <v>45931.0</v>
      </c>
      <c r="I34" s="217">
        <v>45977.0</v>
      </c>
      <c r="J34" s="184"/>
      <c r="K34" s="218" t="s">
        <v>163</v>
      </c>
      <c r="L34" s="184"/>
      <c r="M34" s="184"/>
      <c r="N34" s="184"/>
      <c r="O34" s="184"/>
      <c r="P34" s="219"/>
      <c r="Q34" s="219"/>
    </row>
    <row r="35" ht="15.75" customHeight="1">
      <c r="A35" s="184" t="s">
        <v>227</v>
      </c>
      <c r="B35" s="184" t="s">
        <v>255</v>
      </c>
      <c r="C35" s="184" t="s">
        <v>251</v>
      </c>
      <c r="D35" s="184">
        <v>1221657.0</v>
      </c>
      <c r="E35" s="184">
        <v>1223058.0</v>
      </c>
      <c r="F35" s="184"/>
      <c r="G35" s="184"/>
      <c r="H35" s="217">
        <v>45931.0</v>
      </c>
      <c r="I35" s="217">
        <v>45977.0</v>
      </c>
      <c r="J35" s="184"/>
      <c r="K35" s="218" t="s">
        <v>163</v>
      </c>
      <c r="L35" s="184"/>
      <c r="M35" s="184"/>
      <c r="N35" s="184"/>
      <c r="O35" s="184"/>
      <c r="P35" s="219"/>
      <c r="Q35" s="219"/>
    </row>
    <row r="36" ht="15.75" customHeight="1">
      <c r="A36" s="184" t="s">
        <v>227</v>
      </c>
      <c r="B36" s="184" t="s">
        <v>256</v>
      </c>
      <c r="C36" s="184" t="s">
        <v>251</v>
      </c>
      <c r="D36" s="184">
        <v>1221607.0</v>
      </c>
      <c r="E36" s="184">
        <v>1223064.0</v>
      </c>
      <c r="F36" s="184"/>
      <c r="G36" s="184"/>
      <c r="H36" s="217">
        <v>45931.0</v>
      </c>
      <c r="I36" s="217">
        <v>45977.0</v>
      </c>
      <c r="J36" s="184"/>
      <c r="K36" s="218" t="s">
        <v>163</v>
      </c>
      <c r="L36" s="184"/>
      <c r="M36" s="184"/>
      <c r="N36" s="184"/>
      <c r="O36" s="184"/>
      <c r="P36" s="219"/>
      <c r="Q36" s="219"/>
    </row>
    <row r="37" ht="15.75" customHeight="1">
      <c r="A37" s="184" t="s">
        <v>227</v>
      </c>
      <c r="B37" s="184" t="s">
        <v>257</v>
      </c>
      <c r="C37" s="184" t="s">
        <v>251</v>
      </c>
      <c r="D37" s="184">
        <v>1221658.0</v>
      </c>
      <c r="E37" s="184">
        <v>1223060.0</v>
      </c>
      <c r="F37" s="184"/>
      <c r="G37" s="184"/>
      <c r="H37" s="217">
        <v>45931.0</v>
      </c>
      <c r="I37" s="217">
        <v>45977.0</v>
      </c>
      <c r="J37" s="184"/>
      <c r="K37" s="218" t="s">
        <v>163</v>
      </c>
      <c r="L37" s="184"/>
      <c r="M37" s="184"/>
      <c r="N37" s="184"/>
      <c r="O37" s="184"/>
      <c r="P37" s="219"/>
      <c r="Q37" s="219"/>
    </row>
    <row r="38" ht="15.75" customHeight="1">
      <c r="A38" s="184" t="s">
        <v>227</v>
      </c>
      <c r="B38" s="184" t="s">
        <v>258</v>
      </c>
      <c r="C38" s="184" t="s">
        <v>251</v>
      </c>
      <c r="D38" s="184">
        <v>1221232.0</v>
      </c>
      <c r="E38" s="184">
        <v>1223054.0</v>
      </c>
      <c r="F38" s="184"/>
      <c r="G38" s="184"/>
      <c r="H38" s="217">
        <v>45931.0</v>
      </c>
      <c r="I38" s="217">
        <v>45977.0</v>
      </c>
      <c r="J38" s="184"/>
      <c r="K38" s="218" t="s">
        <v>163</v>
      </c>
      <c r="L38" s="184"/>
      <c r="M38" s="184"/>
      <c r="N38" s="184"/>
      <c r="O38" s="184"/>
      <c r="P38" s="219"/>
      <c r="Q38" s="219"/>
    </row>
    <row r="39" ht="15.75" customHeight="1">
      <c r="A39" s="184" t="s">
        <v>227</v>
      </c>
      <c r="B39" s="184" t="s">
        <v>259</v>
      </c>
      <c r="C39" s="184" t="s">
        <v>251</v>
      </c>
      <c r="D39" s="184">
        <v>1221233.0</v>
      </c>
      <c r="E39" s="184">
        <v>1223055.0</v>
      </c>
      <c r="F39" s="184"/>
      <c r="G39" s="184"/>
      <c r="H39" s="217">
        <v>45931.0</v>
      </c>
      <c r="I39" s="217">
        <v>45977.0</v>
      </c>
      <c r="J39" s="184"/>
      <c r="K39" s="218" t="s">
        <v>163</v>
      </c>
      <c r="L39" s="184"/>
      <c r="M39" s="184"/>
      <c r="N39" s="184"/>
      <c r="O39" s="184"/>
      <c r="P39" s="219"/>
      <c r="Q39" s="219"/>
    </row>
    <row r="40" ht="15.75" customHeight="1">
      <c r="A40" s="184" t="s">
        <v>227</v>
      </c>
      <c r="B40" s="184" t="s">
        <v>260</v>
      </c>
      <c r="C40" s="184" t="s">
        <v>251</v>
      </c>
      <c r="D40" s="184">
        <v>1221234.0</v>
      </c>
      <c r="E40" s="184">
        <v>1224469.0</v>
      </c>
      <c r="F40" s="184"/>
      <c r="G40" s="184"/>
      <c r="H40" s="217">
        <v>45931.0</v>
      </c>
      <c r="I40" s="217">
        <v>45977.0</v>
      </c>
      <c r="J40" s="184"/>
      <c r="K40" s="218" t="s">
        <v>163</v>
      </c>
      <c r="L40" s="184"/>
      <c r="M40" s="184"/>
      <c r="N40" s="184"/>
      <c r="O40" s="184"/>
      <c r="P40" s="219"/>
      <c r="Q40" s="219"/>
    </row>
    <row r="41" ht="15.75" customHeight="1">
      <c r="A41" s="184" t="s">
        <v>227</v>
      </c>
      <c r="B41" s="184" t="s">
        <v>261</v>
      </c>
      <c r="C41" s="184" t="s">
        <v>251</v>
      </c>
      <c r="D41" s="184">
        <v>1221235.0</v>
      </c>
      <c r="E41" s="184">
        <v>1224471.0</v>
      </c>
      <c r="F41" s="184"/>
      <c r="G41" s="184"/>
      <c r="H41" s="217">
        <v>45931.0</v>
      </c>
      <c r="I41" s="217">
        <v>45977.0</v>
      </c>
      <c r="J41" s="184"/>
      <c r="K41" s="218" t="s">
        <v>163</v>
      </c>
      <c r="L41" s="184"/>
      <c r="M41" s="184"/>
      <c r="N41" s="184"/>
      <c r="O41" s="184"/>
      <c r="P41" s="219"/>
      <c r="Q41" s="219"/>
    </row>
    <row r="42" ht="15.75" customHeight="1">
      <c r="A42" s="184" t="s">
        <v>227</v>
      </c>
      <c r="B42" s="184" t="s">
        <v>262</v>
      </c>
      <c r="C42" s="184" t="s">
        <v>251</v>
      </c>
      <c r="D42" s="184">
        <v>1221619.0</v>
      </c>
      <c r="E42" s="184">
        <v>1224466.0</v>
      </c>
      <c r="F42" s="184"/>
      <c r="G42" s="184"/>
      <c r="H42" s="217">
        <v>45931.0</v>
      </c>
      <c r="I42" s="217">
        <v>45977.0</v>
      </c>
      <c r="J42" s="184"/>
      <c r="K42" s="218" t="s">
        <v>163</v>
      </c>
      <c r="L42" s="184"/>
      <c r="M42" s="184"/>
      <c r="N42" s="184"/>
      <c r="O42" s="184"/>
      <c r="P42" s="219"/>
      <c r="Q42" s="219"/>
    </row>
    <row r="43" ht="15.75" customHeight="1">
      <c r="A43" s="184" t="s">
        <v>227</v>
      </c>
      <c r="B43" s="184" t="s">
        <v>263</v>
      </c>
      <c r="C43" s="184" t="s">
        <v>251</v>
      </c>
      <c r="D43" s="184">
        <v>1221613.0</v>
      </c>
      <c r="E43" s="184">
        <v>1224414.0</v>
      </c>
      <c r="F43" s="184"/>
      <c r="G43" s="184"/>
      <c r="H43" s="217">
        <v>45931.0</v>
      </c>
      <c r="I43" s="217">
        <v>45977.0</v>
      </c>
      <c r="J43" s="184"/>
      <c r="K43" s="218" t="s">
        <v>163</v>
      </c>
      <c r="L43" s="184"/>
      <c r="M43" s="184"/>
      <c r="N43" s="184"/>
      <c r="O43" s="184"/>
      <c r="P43" s="219"/>
      <c r="Q43" s="219"/>
    </row>
    <row r="44" ht="15.75" customHeight="1">
      <c r="A44" s="184" t="s">
        <v>227</v>
      </c>
      <c r="B44" s="184" t="s">
        <v>264</v>
      </c>
      <c r="C44" s="184" t="s">
        <v>251</v>
      </c>
      <c r="D44" s="184">
        <v>1221614.0</v>
      </c>
      <c r="E44" s="184">
        <v>1224415.0</v>
      </c>
      <c r="F44" s="184"/>
      <c r="G44" s="184"/>
      <c r="H44" s="217">
        <v>45931.0</v>
      </c>
      <c r="I44" s="217">
        <v>45977.0</v>
      </c>
      <c r="J44" s="184"/>
      <c r="K44" s="218" t="s">
        <v>163</v>
      </c>
      <c r="L44" s="184"/>
      <c r="M44" s="184"/>
      <c r="N44" s="184"/>
      <c r="O44" s="184"/>
      <c r="P44" s="219"/>
      <c r="Q44" s="219"/>
    </row>
    <row r="45" ht="15.75" customHeight="1">
      <c r="A45" s="184" t="s">
        <v>227</v>
      </c>
      <c r="B45" s="184" t="s">
        <v>265</v>
      </c>
      <c r="C45" s="184" t="s">
        <v>251</v>
      </c>
      <c r="D45" s="184">
        <v>1221616.0</v>
      </c>
      <c r="E45" s="184">
        <v>1224416.0</v>
      </c>
      <c r="F45" s="184"/>
      <c r="G45" s="184"/>
      <c r="H45" s="217">
        <v>45931.0</v>
      </c>
      <c r="I45" s="217">
        <v>45977.0</v>
      </c>
      <c r="J45" s="184"/>
      <c r="K45" s="218" t="s">
        <v>163</v>
      </c>
      <c r="L45" s="184"/>
      <c r="M45" s="184"/>
      <c r="N45" s="184"/>
      <c r="O45" s="184"/>
      <c r="P45" s="219"/>
      <c r="Q45" s="219"/>
    </row>
    <row r="46" ht="15.75" customHeight="1">
      <c r="A46" s="184" t="s">
        <v>227</v>
      </c>
      <c r="B46" s="184" t="s">
        <v>266</v>
      </c>
      <c r="C46" s="184" t="s">
        <v>251</v>
      </c>
      <c r="D46" s="184">
        <v>1222043.0</v>
      </c>
      <c r="E46" s="184">
        <v>1226083.0</v>
      </c>
      <c r="F46" s="184"/>
      <c r="G46" s="184"/>
      <c r="H46" s="217">
        <v>45931.0</v>
      </c>
      <c r="I46" s="217">
        <v>45977.0</v>
      </c>
      <c r="J46" s="184"/>
      <c r="K46" s="218" t="s">
        <v>163</v>
      </c>
      <c r="L46" s="184"/>
      <c r="M46" s="184"/>
      <c r="N46" s="184"/>
      <c r="O46" s="184"/>
      <c r="P46" s="219"/>
      <c r="Q46" s="219"/>
    </row>
    <row r="47" ht="15.75" customHeight="1">
      <c r="A47" s="184" t="s">
        <v>227</v>
      </c>
      <c r="B47" s="184" t="s">
        <v>267</v>
      </c>
      <c r="C47" s="184" t="s">
        <v>251</v>
      </c>
      <c r="D47" s="184">
        <v>1221609.0</v>
      </c>
      <c r="E47" s="184">
        <v>1223063.0</v>
      </c>
      <c r="F47" s="184"/>
      <c r="G47" s="184"/>
      <c r="H47" s="217">
        <v>45931.0</v>
      </c>
      <c r="I47" s="217">
        <v>45977.0</v>
      </c>
      <c r="J47" s="184"/>
      <c r="K47" s="218" t="s">
        <v>163</v>
      </c>
      <c r="L47" s="184"/>
      <c r="M47" s="184"/>
      <c r="N47" s="184"/>
      <c r="O47" s="184"/>
      <c r="P47" s="219"/>
      <c r="Q47" s="219"/>
    </row>
    <row r="48">
      <c r="A48" s="184" t="s">
        <v>227</v>
      </c>
      <c r="B48" s="184" t="s">
        <v>268</v>
      </c>
      <c r="C48" s="184" t="s">
        <v>251</v>
      </c>
      <c r="D48" s="184">
        <v>1221231.0</v>
      </c>
      <c r="E48" s="184">
        <v>1224467.0</v>
      </c>
      <c r="F48" s="220"/>
      <c r="G48" s="220"/>
      <c r="H48" s="217">
        <v>45931.0</v>
      </c>
      <c r="I48" s="217">
        <v>45977.0</v>
      </c>
      <c r="J48" s="220"/>
      <c r="K48" s="218" t="s">
        <v>163</v>
      </c>
      <c r="L48" s="220"/>
      <c r="M48" s="220"/>
      <c r="N48" s="220"/>
      <c r="O48" s="220"/>
      <c r="P48" s="221"/>
      <c r="Q48" s="221"/>
    </row>
    <row r="49">
      <c r="A49" s="184" t="s">
        <v>227</v>
      </c>
      <c r="B49" s="184" t="s">
        <v>269</v>
      </c>
      <c r="C49" s="184" t="s">
        <v>251</v>
      </c>
      <c r="D49" s="184">
        <v>1221611.0</v>
      </c>
      <c r="E49" s="184">
        <v>1230091.0</v>
      </c>
      <c r="F49" s="220"/>
      <c r="G49" s="220"/>
      <c r="H49" s="217">
        <v>45931.0</v>
      </c>
      <c r="I49" s="217">
        <v>45977.0</v>
      </c>
      <c r="J49" s="220"/>
      <c r="K49" s="218" t="s">
        <v>163</v>
      </c>
      <c r="L49" s="220"/>
      <c r="M49" s="220"/>
      <c r="N49" s="220"/>
      <c r="O49" s="220"/>
      <c r="P49" s="221"/>
      <c r="Q49" s="221"/>
    </row>
    <row r="50">
      <c r="A50" s="184" t="s">
        <v>227</v>
      </c>
      <c r="B50" s="184" t="s">
        <v>270</v>
      </c>
      <c r="C50" s="184" t="s">
        <v>251</v>
      </c>
      <c r="D50" s="184">
        <v>1221612.0</v>
      </c>
      <c r="E50" s="184">
        <v>1230181.0</v>
      </c>
      <c r="F50" s="220"/>
      <c r="G50" s="220"/>
      <c r="H50" s="217">
        <v>45931.0</v>
      </c>
      <c r="I50" s="217">
        <v>45977.0</v>
      </c>
      <c r="J50" s="220"/>
      <c r="K50" s="218" t="s">
        <v>163</v>
      </c>
      <c r="L50" s="220"/>
      <c r="M50" s="220"/>
      <c r="N50" s="220"/>
      <c r="O50" s="220"/>
      <c r="P50" s="221"/>
      <c r="Q50" s="221"/>
    </row>
    <row r="51">
      <c r="A51" s="184" t="s">
        <v>227</v>
      </c>
      <c r="B51" s="184" t="s">
        <v>271</v>
      </c>
      <c r="C51" s="184" t="s">
        <v>251</v>
      </c>
      <c r="D51" s="184">
        <v>1228822.0</v>
      </c>
      <c r="E51" s="184">
        <v>1230182.0</v>
      </c>
      <c r="F51" s="220"/>
      <c r="G51" s="220"/>
      <c r="H51" s="217">
        <v>45931.0</v>
      </c>
      <c r="I51" s="217">
        <v>45977.0</v>
      </c>
      <c r="J51" s="220"/>
      <c r="K51" s="218" t="s">
        <v>163</v>
      </c>
      <c r="L51" s="220"/>
      <c r="M51" s="220"/>
      <c r="N51" s="220"/>
      <c r="O51" s="220"/>
      <c r="P51" s="221"/>
      <c r="Q51" s="221"/>
    </row>
    <row r="52">
      <c r="A52" s="184" t="s">
        <v>227</v>
      </c>
      <c r="B52" s="184" t="s">
        <v>272</v>
      </c>
      <c r="C52" s="184" t="s">
        <v>251</v>
      </c>
      <c r="D52" s="184">
        <v>1221659.0</v>
      </c>
      <c r="E52" s="184">
        <v>1224417.0</v>
      </c>
      <c r="F52" s="220"/>
      <c r="G52" s="220"/>
      <c r="H52" s="217">
        <v>45931.0</v>
      </c>
      <c r="I52" s="217">
        <v>45977.0</v>
      </c>
      <c r="J52" s="220"/>
      <c r="K52" s="218" t="s">
        <v>163</v>
      </c>
      <c r="L52" s="220"/>
      <c r="M52" s="220"/>
      <c r="N52" s="220"/>
      <c r="O52" s="220"/>
      <c r="P52" s="221"/>
      <c r="Q52" s="221"/>
    </row>
    <row r="53">
      <c r="A53" s="130" t="s">
        <v>273</v>
      </c>
      <c r="B53" s="31"/>
      <c r="C53" s="31"/>
      <c r="D53" s="31"/>
      <c r="E53" s="31"/>
      <c r="F53" s="31"/>
      <c r="G53" s="31"/>
      <c r="H53" s="31"/>
      <c r="I53" s="31"/>
      <c r="J53" s="31"/>
      <c r="K53" s="31"/>
      <c r="L53" s="31"/>
      <c r="M53" s="31"/>
      <c r="N53" s="31"/>
      <c r="O53" s="32"/>
      <c r="P53" s="222"/>
      <c r="Q53" s="222"/>
    </row>
    <row r="54" ht="30.75" customHeight="1">
      <c r="A54" s="214" t="s">
        <v>274</v>
      </c>
      <c r="B54" s="31"/>
      <c r="C54" s="31"/>
      <c r="D54" s="31"/>
      <c r="E54" s="31"/>
      <c r="F54" s="31"/>
      <c r="G54" s="31"/>
      <c r="H54" s="31"/>
      <c r="I54" s="31"/>
      <c r="J54" s="31"/>
      <c r="K54" s="31"/>
      <c r="L54" s="31"/>
      <c r="M54" s="31"/>
      <c r="N54" s="31"/>
      <c r="O54" s="32"/>
      <c r="P54" s="215"/>
      <c r="Q54" s="215"/>
    </row>
    <row r="55" ht="28.5" customHeight="1">
      <c r="A55" s="202" t="s">
        <v>2</v>
      </c>
      <c r="B55" s="202" t="s">
        <v>222</v>
      </c>
      <c r="C55" s="202" t="s">
        <v>209</v>
      </c>
      <c r="D55" s="202" t="s">
        <v>123</v>
      </c>
      <c r="E55" s="202" t="s">
        <v>210</v>
      </c>
      <c r="F55" s="203" t="s">
        <v>211</v>
      </c>
      <c r="G55" s="203" t="s">
        <v>212</v>
      </c>
      <c r="H55" s="202" t="s">
        <v>8</v>
      </c>
      <c r="I55" s="202" t="s">
        <v>9</v>
      </c>
      <c r="J55" s="202" t="s">
        <v>11</v>
      </c>
      <c r="K55" s="202" t="s">
        <v>10</v>
      </c>
      <c r="L55" s="204"/>
      <c r="M55" s="204"/>
      <c r="N55" s="204"/>
      <c r="O55" s="204"/>
      <c r="P55" s="205"/>
      <c r="Q55" s="205"/>
    </row>
    <row r="56">
      <c r="A56" s="184" t="s">
        <v>227</v>
      </c>
      <c r="B56" s="184" t="s">
        <v>275</v>
      </c>
      <c r="C56" s="184" t="s">
        <v>276</v>
      </c>
      <c r="D56" s="184">
        <v>1204556.0</v>
      </c>
      <c r="E56" s="184"/>
      <c r="F56" s="185">
        <v>999.0</v>
      </c>
      <c r="G56" s="185">
        <v>769.0</v>
      </c>
      <c r="H56" s="223" t="s">
        <v>277</v>
      </c>
      <c r="I56" s="32"/>
      <c r="J56" s="224" t="s">
        <v>130</v>
      </c>
      <c r="K56" s="224"/>
      <c r="L56" s="225"/>
      <c r="M56" s="225"/>
      <c r="N56" s="225"/>
      <c r="O56" s="225"/>
      <c r="P56" s="226"/>
      <c r="Q56" s="226"/>
    </row>
    <row r="57">
      <c r="A57" s="184" t="s">
        <v>227</v>
      </c>
      <c r="B57" s="184" t="s">
        <v>278</v>
      </c>
      <c r="C57" s="184" t="s">
        <v>276</v>
      </c>
      <c r="D57" s="184">
        <v>1204559.0</v>
      </c>
      <c r="E57" s="184"/>
      <c r="F57" s="185">
        <v>999.0</v>
      </c>
      <c r="G57" s="185">
        <v>849.0</v>
      </c>
      <c r="H57" s="223" t="s">
        <v>277</v>
      </c>
      <c r="I57" s="32"/>
      <c r="J57" s="224" t="s">
        <v>130</v>
      </c>
      <c r="K57" s="224"/>
      <c r="L57" s="225"/>
      <c r="M57" s="225"/>
      <c r="N57" s="225"/>
      <c r="O57" s="225"/>
      <c r="P57" s="226"/>
      <c r="Q57" s="226"/>
    </row>
    <row r="58">
      <c r="A58" s="184" t="s">
        <v>227</v>
      </c>
      <c r="B58" s="184" t="s">
        <v>279</v>
      </c>
      <c r="C58" s="184" t="s">
        <v>276</v>
      </c>
      <c r="D58" s="184">
        <v>1204568.0</v>
      </c>
      <c r="E58" s="184"/>
      <c r="F58" s="185">
        <v>1590.0</v>
      </c>
      <c r="G58" s="185">
        <v>1190.0</v>
      </c>
      <c r="H58" s="223" t="s">
        <v>277</v>
      </c>
      <c r="I58" s="32"/>
      <c r="J58" s="227" t="s">
        <v>130</v>
      </c>
      <c r="K58" s="224"/>
      <c r="L58" s="225"/>
      <c r="M58" s="225"/>
      <c r="N58" s="225"/>
      <c r="O58" s="225"/>
      <c r="P58" s="226"/>
      <c r="Q58" s="226"/>
    </row>
    <row r="59">
      <c r="A59" s="184" t="s">
        <v>227</v>
      </c>
      <c r="B59" s="184" t="s">
        <v>280</v>
      </c>
      <c r="C59" s="184" t="s">
        <v>276</v>
      </c>
      <c r="D59" s="184">
        <v>1204572.0</v>
      </c>
      <c r="E59" s="184"/>
      <c r="F59" s="185">
        <v>2990.0</v>
      </c>
      <c r="G59" s="185">
        <v>2790.0</v>
      </c>
      <c r="H59" s="223" t="s">
        <v>277</v>
      </c>
      <c r="I59" s="32"/>
      <c r="J59" s="224" t="s">
        <v>130</v>
      </c>
      <c r="K59" s="224"/>
      <c r="L59" s="225"/>
      <c r="M59" s="225"/>
      <c r="N59" s="225"/>
      <c r="O59" s="225"/>
      <c r="P59" s="226"/>
      <c r="Q59" s="226"/>
    </row>
    <row r="60">
      <c r="A60" s="184" t="s">
        <v>227</v>
      </c>
      <c r="B60" s="184" t="s">
        <v>281</v>
      </c>
      <c r="C60" s="184" t="s">
        <v>276</v>
      </c>
      <c r="D60" s="184">
        <v>1204459.0</v>
      </c>
      <c r="E60" s="184"/>
      <c r="F60" s="185">
        <v>599.0</v>
      </c>
      <c r="G60" s="185">
        <v>479.0</v>
      </c>
      <c r="H60" s="223" t="s">
        <v>277</v>
      </c>
      <c r="I60" s="32"/>
      <c r="J60" s="224" t="s">
        <v>130</v>
      </c>
      <c r="K60" s="224"/>
      <c r="L60" s="225"/>
      <c r="M60" s="225"/>
      <c r="N60" s="225"/>
      <c r="O60" s="225"/>
      <c r="P60" s="226"/>
      <c r="Q60" s="226"/>
    </row>
    <row r="61">
      <c r="A61" s="184" t="s">
        <v>227</v>
      </c>
      <c r="B61" s="184" t="s">
        <v>282</v>
      </c>
      <c r="C61" s="184" t="s">
        <v>276</v>
      </c>
      <c r="D61" s="184">
        <v>1204472.0</v>
      </c>
      <c r="E61" s="184"/>
      <c r="F61" s="185">
        <v>599.0</v>
      </c>
      <c r="G61" s="185">
        <v>549.0</v>
      </c>
      <c r="H61" s="223" t="s">
        <v>277</v>
      </c>
      <c r="I61" s="32"/>
      <c r="J61" s="224" t="s">
        <v>130</v>
      </c>
      <c r="K61" s="224"/>
      <c r="L61" s="225"/>
      <c r="M61" s="225"/>
      <c r="N61" s="225"/>
      <c r="O61" s="225"/>
      <c r="P61" s="226"/>
      <c r="Q61" s="226"/>
    </row>
    <row r="62">
      <c r="A62" s="184" t="s">
        <v>227</v>
      </c>
      <c r="B62" s="184" t="s">
        <v>283</v>
      </c>
      <c r="C62" s="184" t="s">
        <v>276</v>
      </c>
      <c r="D62" s="184">
        <v>1204476.0</v>
      </c>
      <c r="E62" s="184"/>
      <c r="F62" s="185">
        <v>749.0</v>
      </c>
      <c r="G62" s="185">
        <v>649.0</v>
      </c>
      <c r="H62" s="223" t="s">
        <v>277</v>
      </c>
      <c r="I62" s="32"/>
      <c r="J62" s="224" t="s">
        <v>130</v>
      </c>
      <c r="K62" s="224"/>
      <c r="L62" s="225"/>
      <c r="M62" s="225"/>
      <c r="N62" s="225"/>
      <c r="O62" s="225"/>
      <c r="P62" s="226"/>
      <c r="Q62" s="226"/>
    </row>
    <row r="63">
      <c r="A63" s="184" t="s">
        <v>227</v>
      </c>
      <c r="B63" s="184" t="s">
        <v>284</v>
      </c>
      <c r="C63" s="184" t="s">
        <v>276</v>
      </c>
      <c r="D63" s="184">
        <v>1204478.0</v>
      </c>
      <c r="E63" s="184"/>
      <c r="F63" s="185">
        <v>999.0</v>
      </c>
      <c r="G63" s="185">
        <v>899.0</v>
      </c>
      <c r="H63" s="223" t="s">
        <v>277</v>
      </c>
      <c r="I63" s="32"/>
      <c r="J63" s="224" t="s">
        <v>130</v>
      </c>
      <c r="K63" s="224"/>
      <c r="L63" s="225"/>
      <c r="M63" s="225"/>
      <c r="N63" s="225"/>
      <c r="O63" s="225"/>
      <c r="P63" s="226"/>
      <c r="Q63" s="226"/>
    </row>
    <row r="64">
      <c r="A64" s="184" t="s">
        <v>227</v>
      </c>
      <c r="B64" s="184" t="s">
        <v>285</v>
      </c>
      <c r="C64" s="184" t="s">
        <v>276</v>
      </c>
      <c r="D64" s="184">
        <v>1190204.0</v>
      </c>
      <c r="E64" s="184"/>
      <c r="F64" s="185">
        <v>349.0</v>
      </c>
      <c r="G64" s="185">
        <v>249.0</v>
      </c>
      <c r="H64" s="223" t="s">
        <v>277</v>
      </c>
      <c r="I64" s="32"/>
      <c r="J64" s="224" t="s">
        <v>130</v>
      </c>
      <c r="K64" s="224"/>
      <c r="L64" s="225"/>
      <c r="M64" s="225"/>
      <c r="N64" s="225"/>
      <c r="O64" s="225"/>
      <c r="P64" s="226"/>
      <c r="Q64" s="226"/>
    </row>
    <row r="65">
      <c r="A65" s="184" t="s">
        <v>227</v>
      </c>
      <c r="B65" s="184" t="s">
        <v>286</v>
      </c>
      <c r="C65" s="184" t="s">
        <v>276</v>
      </c>
      <c r="D65" s="184">
        <v>1190210.0</v>
      </c>
      <c r="E65" s="184"/>
      <c r="F65" s="185">
        <v>399.0</v>
      </c>
      <c r="G65" s="185">
        <v>329.0</v>
      </c>
      <c r="H65" s="223" t="s">
        <v>277</v>
      </c>
      <c r="I65" s="32"/>
      <c r="J65" s="224" t="s">
        <v>130</v>
      </c>
      <c r="K65" s="224"/>
      <c r="L65" s="225"/>
      <c r="M65" s="225"/>
      <c r="N65" s="225"/>
      <c r="O65" s="225"/>
      <c r="P65" s="226"/>
      <c r="Q65" s="226"/>
    </row>
    <row r="66" ht="30.75" customHeight="1">
      <c r="A66" s="214" t="s">
        <v>287</v>
      </c>
      <c r="B66" s="31"/>
      <c r="C66" s="31"/>
      <c r="D66" s="31"/>
      <c r="E66" s="31"/>
      <c r="F66" s="31"/>
      <c r="G66" s="31"/>
      <c r="H66" s="31"/>
      <c r="I66" s="31"/>
      <c r="J66" s="31"/>
      <c r="K66" s="31"/>
      <c r="L66" s="31"/>
      <c r="M66" s="31"/>
      <c r="N66" s="31"/>
      <c r="O66" s="32"/>
      <c r="P66" s="215"/>
      <c r="Q66" s="215"/>
    </row>
    <row r="67">
      <c r="A67" s="184" t="s">
        <v>227</v>
      </c>
      <c r="B67" s="184" t="s">
        <v>288</v>
      </c>
      <c r="C67" s="184" t="s">
        <v>251</v>
      </c>
      <c r="D67" s="184">
        <v>1222708.0</v>
      </c>
      <c r="E67" s="184">
        <v>1224529.0</v>
      </c>
      <c r="F67" s="185"/>
      <c r="G67" s="185"/>
      <c r="H67" s="187">
        <v>45931.0</v>
      </c>
      <c r="I67" s="187">
        <v>45974.0</v>
      </c>
      <c r="J67" s="228"/>
      <c r="K67" s="218" t="s">
        <v>163</v>
      </c>
      <c r="L67" s="229"/>
      <c r="M67" s="212"/>
      <c r="N67" s="212"/>
      <c r="O67" s="212"/>
      <c r="P67" s="213"/>
      <c r="Q67" s="213"/>
    </row>
    <row r="68">
      <c r="A68" s="184" t="s">
        <v>227</v>
      </c>
      <c r="B68" s="184" t="s">
        <v>289</v>
      </c>
      <c r="C68" s="184" t="s">
        <v>251</v>
      </c>
      <c r="D68" s="184">
        <v>1220756.0</v>
      </c>
      <c r="E68" s="184">
        <v>1224527.0</v>
      </c>
      <c r="F68" s="185"/>
      <c r="G68" s="185"/>
      <c r="H68" s="187">
        <v>45931.0</v>
      </c>
      <c r="I68" s="187">
        <v>45974.0</v>
      </c>
      <c r="J68" s="228"/>
      <c r="K68" s="218" t="s">
        <v>163</v>
      </c>
      <c r="L68" s="229"/>
      <c r="M68" s="212"/>
      <c r="N68" s="212"/>
      <c r="O68" s="212"/>
      <c r="P68" s="213"/>
      <c r="Q68" s="213"/>
    </row>
    <row r="69">
      <c r="A69" s="184" t="s">
        <v>227</v>
      </c>
      <c r="B69" s="184" t="s">
        <v>290</v>
      </c>
      <c r="C69" s="184" t="s">
        <v>251</v>
      </c>
      <c r="D69" s="184">
        <v>1220759.0</v>
      </c>
      <c r="E69" s="184">
        <v>1224528.0</v>
      </c>
      <c r="F69" s="185"/>
      <c r="G69" s="185"/>
      <c r="H69" s="187">
        <v>45931.0</v>
      </c>
      <c r="I69" s="187">
        <v>45974.0</v>
      </c>
      <c r="J69" s="228"/>
      <c r="K69" s="218" t="s">
        <v>163</v>
      </c>
      <c r="L69" s="229"/>
      <c r="M69" s="212"/>
      <c r="N69" s="212"/>
      <c r="O69" s="212"/>
      <c r="P69" s="213"/>
      <c r="Q69" s="213"/>
    </row>
    <row r="70">
      <c r="A70" s="184" t="s">
        <v>227</v>
      </c>
      <c r="B70" s="184" t="s">
        <v>291</v>
      </c>
      <c r="C70" s="184" t="s">
        <v>251</v>
      </c>
      <c r="D70" s="184">
        <v>1220724.0</v>
      </c>
      <c r="E70" s="184">
        <v>1224530.0</v>
      </c>
      <c r="F70" s="185"/>
      <c r="G70" s="185"/>
      <c r="H70" s="187">
        <v>45964.0</v>
      </c>
      <c r="I70" s="187">
        <v>45977.0</v>
      </c>
      <c r="J70" s="228"/>
      <c r="K70" s="218" t="s">
        <v>163</v>
      </c>
      <c r="L70" s="229"/>
      <c r="M70" s="212"/>
      <c r="N70" s="212"/>
      <c r="O70" s="212"/>
      <c r="P70" s="213"/>
      <c r="Q70" s="213"/>
    </row>
    <row r="71">
      <c r="A71" s="184" t="s">
        <v>227</v>
      </c>
      <c r="B71" s="184" t="s">
        <v>292</v>
      </c>
      <c r="C71" s="184" t="s">
        <v>251</v>
      </c>
      <c r="D71" s="184">
        <v>1220583.0</v>
      </c>
      <c r="E71" s="184">
        <v>1220583.0</v>
      </c>
      <c r="F71" s="185"/>
      <c r="G71" s="185"/>
      <c r="H71" s="187">
        <v>45964.0</v>
      </c>
      <c r="I71" s="187">
        <v>45977.0</v>
      </c>
      <c r="J71" s="228"/>
      <c r="K71" s="218" t="s">
        <v>163</v>
      </c>
      <c r="L71" s="229"/>
      <c r="M71" s="212"/>
      <c r="N71" s="212"/>
      <c r="O71" s="212"/>
      <c r="P71" s="213"/>
      <c r="Q71" s="213"/>
    </row>
    <row r="72">
      <c r="A72" s="184" t="s">
        <v>227</v>
      </c>
      <c r="B72" s="184" t="s">
        <v>293</v>
      </c>
      <c r="C72" s="184" t="s">
        <v>251</v>
      </c>
      <c r="D72" s="184">
        <v>1220723.0</v>
      </c>
      <c r="E72" s="184">
        <v>1224998.0</v>
      </c>
      <c r="F72" s="185"/>
      <c r="G72" s="185"/>
      <c r="H72" s="187">
        <v>45964.0</v>
      </c>
      <c r="I72" s="187">
        <v>45977.0</v>
      </c>
      <c r="J72" s="228"/>
      <c r="K72" s="218" t="s">
        <v>163</v>
      </c>
      <c r="L72" s="229"/>
      <c r="M72" s="212"/>
      <c r="N72" s="212"/>
      <c r="O72" s="212"/>
      <c r="P72" s="213"/>
      <c r="Q72" s="213"/>
    </row>
    <row r="73">
      <c r="A73" s="184" t="s">
        <v>227</v>
      </c>
      <c r="B73" s="184" t="s">
        <v>294</v>
      </c>
      <c r="C73" s="184" t="s">
        <v>251</v>
      </c>
      <c r="D73" s="184">
        <v>1220582.0</v>
      </c>
      <c r="E73" s="184">
        <v>1222331.0</v>
      </c>
      <c r="F73" s="185"/>
      <c r="G73" s="185"/>
      <c r="H73" s="187">
        <v>45964.0</v>
      </c>
      <c r="I73" s="187">
        <v>45977.0</v>
      </c>
      <c r="J73" s="228"/>
      <c r="K73" s="218" t="s">
        <v>163</v>
      </c>
      <c r="L73" s="229"/>
      <c r="M73" s="212"/>
      <c r="N73" s="212"/>
      <c r="O73" s="212"/>
      <c r="P73" s="213"/>
      <c r="Q73" s="213"/>
    </row>
    <row r="74">
      <c r="A74" s="184" t="s">
        <v>227</v>
      </c>
      <c r="B74" s="184" t="s">
        <v>295</v>
      </c>
      <c r="C74" s="184" t="s">
        <v>251</v>
      </c>
      <c r="D74" s="184">
        <v>1220581.0</v>
      </c>
      <c r="E74" s="184">
        <v>1223403.0</v>
      </c>
      <c r="F74" s="185"/>
      <c r="G74" s="185"/>
      <c r="H74" s="187">
        <v>45964.0</v>
      </c>
      <c r="I74" s="187">
        <v>45977.0</v>
      </c>
      <c r="J74" s="228"/>
      <c r="K74" s="218" t="s">
        <v>163</v>
      </c>
      <c r="L74" s="229"/>
      <c r="M74" s="212"/>
      <c r="N74" s="212"/>
      <c r="O74" s="212"/>
      <c r="P74" s="213"/>
      <c r="Q74" s="213"/>
    </row>
    <row r="75">
      <c r="A75" s="184" t="s">
        <v>227</v>
      </c>
      <c r="B75" s="184" t="s">
        <v>296</v>
      </c>
      <c r="C75" s="184" t="s">
        <v>251</v>
      </c>
      <c r="D75" s="184">
        <v>1220766.0</v>
      </c>
      <c r="E75" s="184">
        <v>1226319.0</v>
      </c>
      <c r="F75" s="185"/>
      <c r="G75" s="185"/>
      <c r="H75" s="187">
        <v>45964.0</v>
      </c>
      <c r="I75" s="187">
        <v>45977.0</v>
      </c>
      <c r="J75" s="228"/>
      <c r="K75" s="218" t="s">
        <v>163</v>
      </c>
      <c r="L75" s="229"/>
      <c r="M75" s="212"/>
      <c r="N75" s="212"/>
      <c r="O75" s="212"/>
      <c r="P75" s="213"/>
      <c r="Q75" s="213"/>
    </row>
    <row r="76">
      <c r="A76" s="184" t="s">
        <v>227</v>
      </c>
      <c r="B76" s="184" t="s">
        <v>297</v>
      </c>
      <c r="C76" s="184" t="s">
        <v>298</v>
      </c>
      <c r="D76" s="184">
        <v>1204569.0</v>
      </c>
      <c r="E76" s="184">
        <v>1222359.0</v>
      </c>
      <c r="F76" s="185"/>
      <c r="G76" s="185"/>
      <c r="H76" s="187">
        <v>45919.0</v>
      </c>
      <c r="I76" s="187">
        <v>46022.0</v>
      </c>
      <c r="J76" s="228"/>
      <c r="K76" s="218" t="s">
        <v>163</v>
      </c>
      <c r="L76" s="229"/>
      <c r="M76" s="212"/>
      <c r="N76" s="212"/>
      <c r="O76" s="212"/>
      <c r="P76" s="213"/>
      <c r="Q76" s="213"/>
    </row>
    <row r="77">
      <c r="A77" s="184" t="s">
        <v>227</v>
      </c>
      <c r="B77" s="184" t="s">
        <v>299</v>
      </c>
      <c r="C77" s="184" t="s">
        <v>298</v>
      </c>
      <c r="D77" s="184">
        <v>1204564.0</v>
      </c>
      <c r="E77" s="184">
        <v>1222360.0</v>
      </c>
      <c r="F77" s="185"/>
      <c r="G77" s="185"/>
      <c r="H77" s="187">
        <v>45919.0</v>
      </c>
      <c r="I77" s="187">
        <v>46022.0</v>
      </c>
      <c r="J77" s="228"/>
      <c r="K77" s="218" t="s">
        <v>163</v>
      </c>
      <c r="L77" s="229"/>
      <c r="M77" s="212"/>
      <c r="N77" s="212"/>
      <c r="O77" s="212"/>
      <c r="P77" s="213"/>
      <c r="Q77" s="213"/>
    </row>
    <row r="78" ht="30.75" customHeight="1">
      <c r="A78" s="214" t="s">
        <v>300</v>
      </c>
      <c r="B78" s="31"/>
      <c r="C78" s="31"/>
      <c r="D78" s="31"/>
      <c r="E78" s="31"/>
      <c r="F78" s="31"/>
      <c r="G78" s="31"/>
      <c r="H78" s="31"/>
      <c r="I78" s="31"/>
      <c r="J78" s="31"/>
      <c r="K78" s="31"/>
      <c r="L78" s="31"/>
      <c r="M78" s="31"/>
      <c r="N78" s="31"/>
      <c r="O78" s="32"/>
      <c r="P78" s="215"/>
      <c r="Q78" s="215"/>
    </row>
    <row r="79">
      <c r="A79" s="184" t="s">
        <v>227</v>
      </c>
      <c r="B79" s="184" t="s">
        <v>301</v>
      </c>
      <c r="C79" s="184" t="s">
        <v>302</v>
      </c>
      <c r="D79" s="184">
        <v>1220711.0</v>
      </c>
      <c r="E79" s="184">
        <v>1231939.0</v>
      </c>
      <c r="F79" s="185"/>
      <c r="G79" s="185"/>
      <c r="H79" s="187">
        <v>45964.0</v>
      </c>
      <c r="I79" s="187">
        <v>45992.0</v>
      </c>
      <c r="J79" s="228"/>
      <c r="K79" s="218" t="s">
        <v>163</v>
      </c>
      <c r="L79" s="229"/>
      <c r="M79" s="212"/>
      <c r="N79" s="212"/>
      <c r="O79" s="212"/>
      <c r="P79" s="213"/>
      <c r="Q79" s="213"/>
    </row>
    <row r="80">
      <c r="A80" s="184" t="s">
        <v>227</v>
      </c>
      <c r="B80" s="184" t="s">
        <v>291</v>
      </c>
      <c r="C80" s="184" t="s">
        <v>303</v>
      </c>
      <c r="D80" s="184">
        <v>1220724.0</v>
      </c>
      <c r="E80" s="184">
        <v>1230588.0</v>
      </c>
      <c r="F80" s="185"/>
      <c r="G80" s="185"/>
      <c r="H80" s="187">
        <v>45964.0</v>
      </c>
      <c r="I80" s="187">
        <v>45977.0</v>
      </c>
      <c r="J80" s="228"/>
      <c r="K80" s="218" t="s">
        <v>163</v>
      </c>
      <c r="L80" s="229"/>
      <c r="M80" s="212"/>
      <c r="N80" s="212"/>
      <c r="O80" s="212"/>
      <c r="P80" s="213"/>
      <c r="Q80" s="213"/>
    </row>
    <row r="81">
      <c r="A81" s="184" t="s">
        <v>227</v>
      </c>
      <c r="B81" s="184" t="s">
        <v>292</v>
      </c>
      <c r="C81" s="184" t="s">
        <v>304</v>
      </c>
      <c r="D81" s="184">
        <v>1220583.0</v>
      </c>
      <c r="E81" s="184">
        <v>1224950.0</v>
      </c>
      <c r="F81" s="185"/>
      <c r="G81" s="185"/>
      <c r="H81" s="187">
        <v>45964.0</v>
      </c>
      <c r="I81" s="187">
        <v>45977.0</v>
      </c>
      <c r="J81" s="228"/>
      <c r="K81" s="218" t="s">
        <v>163</v>
      </c>
      <c r="L81" s="229"/>
      <c r="M81" s="212"/>
      <c r="N81" s="212"/>
      <c r="O81" s="212"/>
      <c r="P81" s="213"/>
      <c r="Q81" s="213"/>
    </row>
    <row r="82">
      <c r="A82" s="184" t="s">
        <v>227</v>
      </c>
      <c r="B82" s="184" t="s">
        <v>293</v>
      </c>
      <c r="C82" s="184" t="s">
        <v>305</v>
      </c>
      <c r="D82" s="184">
        <v>1220723.0</v>
      </c>
      <c r="E82" s="184">
        <v>1230587.0</v>
      </c>
      <c r="F82" s="185"/>
      <c r="G82" s="185"/>
      <c r="H82" s="187">
        <v>45964.0</v>
      </c>
      <c r="I82" s="187">
        <v>45977.0</v>
      </c>
      <c r="J82" s="228"/>
      <c r="K82" s="218" t="s">
        <v>163</v>
      </c>
      <c r="L82" s="229"/>
      <c r="M82" s="212"/>
      <c r="N82" s="212"/>
      <c r="O82" s="212"/>
      <c r="P82" s="213"/>
      <c r="Q82" s="213"/>
    </row>
    <row r="83">
      <c r="A83" s="184" t="s">
        <v>227</v>
      </c>
      <c r="B83" s="184" t="s">
        <v>294</v>
      </c>
      <c r="C83" s="184" t="s">
        <v>306</v>
      </c>
      <c r="D83" s="184">
        <v>1220582.0</v>
      </c>
      <c r="E83" s="184">
        <v>1230586.0</v>
      </c>
      <c r="F83" s="185"/>
      <c r="G83" s="185"/>
      <c r="H83" s="187">
        <v>45964.0</v>
      </c>
      <c r="I83" s="187">
        <v>45977.0</v>
      </c>
      <c r="J83" s="228"/>
      <c r="K83" s="218" t="s">
        <v>163</v>
      </c>
      <c r="L83" s="229"/>
      <c r="M83" s="212"/>
      <c r="N83" s="212"/>
      <c r="O83" s="212"/>
      <c r="P83" s="213"/>
      <c r="Q83" s="213"/>
    </row>
    <row r="84">
      <c r="A84" s="184" t="s">
        <v>227</v>
      </c>
      <c r="B84" s="184" t="s">
        <v>295</v>
      </c>
      <c r="C84" s="184" t="s">
        <v>307</v>
      </c>
      <c r="D84" s="184">
        <v>1220581.0</v>
      </c>
      <c r="E84" s="184">
        <v>1231963.0</v>
      </c>
      <c r="F84" s="185"/>
      <c r="G84" s="185"/>
      <c r="H84" s="187">
        <v>45964.0</v>
      </c>
      <c r="I84" s="187">
        <v>45977.0</v>
      </c>
      <c r="J84" s="228"/>
      <c r="K84" s="218" t="s">
        <v>163</v>
      </c>
      <c r="L84" s="229"/>
      <c r="M84" s="212"/>
      <c r="N84" s="212"/>
      <c r="O84" s="212"/>
      <c r="P84" s="213"/>
      <c r="Q84" s="213"/>
    </row>
    <row r="85">
      <c r="A85" s="184" t="s">
        <v>227</v>
      </c>
      <c r="B85" s="184" t="s">
        <v>308</v>
      </c>
      <c r="C85" s="184" t="s">
        <v>230</v>
      </c>
      <c r="D85" s="184">
        <v>1220765.0</v>
      </c>
      <c r="E85" s="184">
        <v>1227556.0</v>
      </c>
      <c r="F85" s="185"/>
      <c r="G85" s="185"/>
      <c r="H85" s="187">
        <v>45964.0</v>
      </c>
      <c r="I85" s="187">
        <v>45977.0</v>
      </c>
      <c r="J85" s="228"/>
      <c r="K85" s="218" t="s">
        <v>163</v>
      </c>
      <c r="L85" s="229"/>
      <c r="M85" s="212"/>
      <c r="N85" s="212"/>
      <c r="O85" s="212"/>
      <c r="P85" s="213"/>
      <c r="Q85" s="213"/>
    </row>
    <row r="86">
      <c r="A86" s="184" t="s">
        <v>227</v>
      </c>
      <c r="B86" s="184" t="s">
        <v>296</v>
      </c>
      <c r="C86" s="184" t="s">
        <v>309</v>
      </c>
      <c r="D86" s="184">
        <v>1220766.0</v>
      </c>
      <c r="E86" s="184">
        <v>1227564.0</v>
      </c>
      <c r="F86" s="185"/>
      <c r="G86" s="185"/>
      <c r="H86" s="187">
        <v>45964.0</v>
      </c>
      <c r="I86" s="187">
        <v>45977.0</v>
      </c>
      <c r="J86" s="228"/>
      <c r="K86" s="218" t="s">
        <v>163</v>
      </c>
      <c r="L86" s="229"/>
      <c r="M86" s="212"/>
      <c r="N86" s="212"/>
      <c r="O86" s="212"/>
      <c r="P86" s="213"/>
      <c r="Q86" s="213"/>
    </row>
    <row r="87">
      <c r="A87" s="184" t="s">
        <v>227</v>
      </c>
      <c r="B87" s="184" t="s">
        <v>290</v>
      </c>
      <c r="C87" s="184" t="s">
        <v>310</v>
      </c>
      <c r="D87" s="184">
        <v>1220759.0</v>
      </c>
      <c r="E87" s="184">
        <v>1231972.0</v>
      </c>
      <c r="F87" s="185"/>
      <c r="G87" s="185"/>
      <c r="H87" s="187">
        <v>45961.0</v>
      </c>
      <c r="I87" s="187">
        <v>45974.0</v>
      </c>
      <c r="J87" s="228"/>
      <c r="K87" s="218" t="s">
        <v>163</v>
      </c>
      <c r="L87" s="229"/>
      <c r="M87" s="212"/>
      <c r="N87" s="212"/>
      <c r="O87" s="212"/>
      <c r="P87" s="213"/>
      <c r="Q87" s="213"/>
    </row>
    <row r="88">
      <c r="A88" s="184" t="s">
        <v>227</v>
      </c>
      <c r="B88" s="184" t="s">
        <v>289</v>
      </c>
      <c r="C88" s="184" t="s">
        <v>311</v>
      </c>
      <c r="D88" s="184">
        <v>1220756.0</v>
      </c>
      <c r="E88" s="184">
        <v>1231973.0</v>
      </c>
      <c r="F88" s="185"/>
      <c r="G88" s="185"/>
      <c r="H88" s="187">
        <v>45961.0</v>
      </c>
      <c r="I88" s="187">
        <v>45974.0</v>
      </c>
      <c r="J88" s="228"/>
      <c r="K88" s="218" t="s">
        <v>163</v>
      </c>
      <c r="L88" s="229"/>
      <c r="M88" s="212"/>
      <c r="N88" s="212"/>
      <c r="O88" s="212"/>
      <c r="P88" s="213"/>
      <c r="Q88" s="213"/>
    </row>
    <row r="89">
      <c r="A89" s="184" t="s">
        <v>227</v>
      </c>
      <c r="B89" s="184" t="s">
        <v>288</v>
      </c>
      <c r="C89" s="184" t="s">
        <v>312</v>
      </c>
      <c r="D89" s="184">
        <v>1222708.0</v>
      </c>
      <c r="E89" s="184">
        <v>1231974.0</v>
      </c>
      <c r="F89" s="185"/>
      <c r="G89" s="185"/>
      <c r="H89" s="187">
        <v>45961.0</v>
      </c>
      <c r="I89" s="187">
        <v>45974.0</v>
      </c>
      <c r="J89" s="228"/>
      <c r="K89" s="218" t="s">
        <v>163</v>
      </c>
      <c r="L89" s="229"/>
      <c r="M89" s="212"/>
      <c r="N89" s="212"/>
      <c r="O89" s="212"/>
      <c r="P89" s="213"/>
      <c r="Q89" s="213"/>
    </row>
    <row r="90">
      <c r="A90" s="184" t="s">
        <v>231</v>
      </c>
      <c r="B90" s="184" t="s">
        <v>313</v>
      </c>
      <c r="C90" s="184" t="s">
        <v>230</v>
      </c>
      <c r="D90" s="184">
        <v>1187859.0</v>
      </c>
      <c r="E90" s="184">
        <v>1220881.0</v>
      </c>
      <c r="F90" s="185"/>
      <c r="G90" s="185"/>
      <c r="H90" s="187">
        <v>45961.0</v>
      </c>
      <c r="I90" s="187">
        <v>45977.0</v>
      </c>
      <c r="J90" s="228"/>
      <c r="K90" s="218" t="s">
        <v>163</v>
      </c>
      <c r="L90" s="229"/>
      <c r="M90" s="212"/>
      <c r="N90" s="212"/>
      <c r="O90" s="212"/>
      <c r="P90" s="213"/>
      <c r="Q90" s="213"/>
    </row>
    <row r="91">
      <c r="A91" s="184" t="s">
        <v>231</v>
      </c>
      <c r="B91" s="184" t="s">
        <v>314</v>
      </c>
      <c r="C91" s="184" t="s">
        <v>226</v>
      </c>
      <c r="D91" s="184">
        <v>1206847.0</v>
      </c>
      <c r="E91" s="184">
        <v>1223084.0</v>
      </c>
      <c r="F91" s="185"/>
      <c r="G91" s="185"/>
      <c r="H91" s="187">
        <v>45946.0</v>
      </c>
      <c r="I91" s="187">
        <v>45977.0</v>
      </c>
      <c r="J91" s="228"/>
      <c r="K91" s="218" t="s">
        <v>163</v>
      </c>
      <c r="L91" s="229"/>
      <c r="M91" s="212"/>
      <c r="N91" s="212"/>
      <c r="O91" s="212"/>
      <c r="P91" s="213"/>
      <c r="Q91" s="213"/>
    </row>
    <row r="92" ht="30.75" customHeight="1">
      <c r="A92" s="214" t="s">
        <v>223</v>
      </c>
      <c r="B92" s="31"/>
      <c r="C92" s="31"/>
      <c r="D92" s="31"/>
      <c r="E92" s="31"/>
      <c r="F92" s="31"/>
      <c r="G92" s="31"/>
      <c r="H92" s="31"/>
      <c r="I92" s="31"/>
      <c r="J92" s="31"/>
      <c r="K92" s="31"/>
      <c r="L92" s="31"/>
      <c r="M92" s="31"/>
      <c r="N92" s="31"/>
      <c r="O92" s="32"/>
      <c r="P92" s="215"/>
      <c r="Q92" s="215"/>
    </row>
    <row r="93" ht="30.75" customHeight="1">
      <c r="A93" s="214" t="s">
        <v>315</v>
      </c>
      <c r="B93" s="31"/>
      <c r="C93" s="31"/>
      <c r="D93" s="31"/>
      <c r="E93" s="31"/>
      <c r="F93" s="31"/>
      <c r="G93" s="31"/>
      <c r="H93" s="31"/>
      <c r="I93" s="31"/>
      <c r="J93" s="31"/>
      <c r="K93" s="31"/>
      <c r="L93" s="31"/>
      <c r="M93" s="31"/>
      <c r="N93" s="31"/>
      <c r="O93" s="32"/>
      <c r="P93" s="215"/>
      <c r="Q93" s="215"/>
    </row>
    <row r="94">
      <c r="A94" s="184"/>
      <c r="B94" s="184" t="s">
        <v>316</v>
      </c>
      <c r="C94" s="216"/>
      <c r="D94" s="184">
        <v>1204564.0</v>
      </c>
      <c r="E94" s="230" t="s">
        <v>130</v>
      </c>
      <c r="F94" s="185"/>
      <c r="G94" s="231"/>
      <c r="H94" s="187"/>
      <c r="I94" s="187"/>
      <c r="J94" s="232"/>
      <c r="K94" s="232"/>
      <c r="L94" s="233"/>
      <c r="M94" s="212"/>
      <c r="N94" s="212"/>
      <c r="O94" s="212"/>
      <c r="P94" s="213"/>
      <c r="Q94" s="213"/>
    </row>
    <row r="95">
      <c r="A95" s="184"/>
      <c r="B95" s="184" t="s">
        <v>317</v>
      </c>
      <c r="C95" s="216"/>
      <c r="D95" s="184">
        <v>1204569.0</v>
      </c>
      <c r="E95" s="230" t="s">
        <v>130</v>
      </c>
      <c r="F95" s="185"/>
      <c r="G95" s="231"/>
      <c r="H95" s="187"/>
      <c r="I95" s="187"/>
      <c r="J95" s="232"/>
      <c r="K95" s="232"/>
      <c r="L95" s="233"/>
      <c r="M95" s="212"/>
      <c r="N95" s="212"/>
      <c r="O95" s="212"/>
      <c r="P95" s="213"/>
      <c r="Q95" s="213"/>
    </row>
    <row r="96">
      <c r="A96" s="184"/>
      <c r="B96" s="184" t="s">
        <v>318</v>
      </c>
      <c r="C96" s="216"/>
      <c r="D96" s="184">
        <v>1204571.0</v>
      </c>
      <c r="E96" s="230" t="s">
        <v>130</v>
      </c>
      <c r="F96" s="185"/>
      <c r="G96" s="231"/>
      <c r="H96" s="187"/>
      <c r="I96" s="187"/>
      <c r="J96" s="232"/>
      <c r="K96" s="232"/>
      <c r="L96" s="233"/>
      <c r="M96" s="212"/>
      <c r="N96" s="212"/>
      <c r="O96" s="212"/>
      <c r="P96" s="213"/>
      <c r="Q96" s="213"/>
    </row>
    <row r="97">
      <c r="A97" s="184"/>
      <c r="B97" s="184" t="s">
        <v>319</v>
      </c>
      <c r="C97" s="216"/>
      <c r="D97" s="234">
        <v>1204071.0</v>
      </c>
      <c r="E97" s="230" t="s">
        <v>130</v>
      </c>
      <c r="F97" s="185"/>
      <c r="G97" s="231"/>
      <c r="H97" s="187"/>
      <c r="I97" s="187"/>
      <c r="J97" s="232"/>
      <c r="K97" s="232"/>
      <c r="L97" s="233"/>
      <c r="M97" s="212"/>
      <c r="N97" s="212"/>
      <c r="O97" s="212"/>
      <c r="P97" s="213"/>
      <c r="Q97" s="213"/>
    </row>
    <row r="98">
      <c r="A98" s="184"/>
      <c r="B98" s="184" t="s">
        <v>320</v>
      </c>
      <c r="C98" s="216"/>
      <c r="D98" s="184">
        <v>1204072.0</v>
      </c>
      <c r="E98" s="230" t="s">
        <v>130</v>
      </c>
      <c r="F98" s="185"/>
      <c r="G98" s="231"/>
      <c r="H98" s="187"/>
      <c r="I98" s="187"/>
      <c r="J98" s="232"/>
      <c r="K98" s="232"/>
      <c r="L98" s="233"/>
      <c r="M98" s="212"/>
      <c r="N98" s="212"/>
      <c r="O98" s="212"/>
      <c r="P98" s="213"/>
      <c r="Q98" s="213"/>
    </row>
    <row r="99">
      <c r="A99" s="184"/>
      <c r="B99" s="184" t="s">
        <v>321</v>
      </c>
      <c r="C99" s="216"/>
      <c r="D99" s="184">
        <v>1204074.0</v>
      </c>
      <c r="E99" s="230" t="s">
        <v>130</v>
      </c>
      <c r="F99" s="185"/>
      <c r="G99" s="231"/>
      <c r="H99" s="187"/>
      <c r="I99" s="187"/>
      <c r="J99" s="232"/>
      <c r="K99" s="232"/>
      <c r="L99" s="233"/>
      <c r="M99" s="212"/>
      <c r="N99" s="212"/>
      <c r="O99" s="212"/>
      <c r="P99" s="213"/>
      <c r="Q99" s="213"/>
    </row>
    <row r="100">
      <c r="A100" s="130" t="s">
        <v>199</v>
      </c>
      <c r="B100" s="31"/>
      <c r="C100" s="31"/>
      <c r="D100" s="31"/>
      <c r="E100" s="31"/>
      <c r="F100" s="31"/>
      <c r="G100" s="31"/>
      <c r="H100" s="31"/>
      <c r="I100" s="31"/>
      <c r="J100" s="32"/>
      <c r="K100" s="211"/>
      <c r="L100" s="212"/>
      <c r="M100" s="212"/>
      <c r="N100" s="212"/>
      <c r="O100" s="212"/>
      <c r="P100" s="213"/>
      <c r="Q100" s="213"/>
    </row>
    <row r="101" ht="30.75" customHeight="1">
      <c r="A101" s="214" t="s">
        <v>322</v>
      </c>
      <c r="B101" s="31"/>
      <c r="C101" s="31"/>
      <c r="D101" s="31"/>
      <c r="E101" s="31"/>
      <c r="F101" s="31"/>
      <c r="G101" s="31"/>
      <c r="H101" s="31"/>
      <c r="I101" s="31"/>
      <c r="J101" s="31"/>
      <c r="K101" s="31"/>
      <c r="L101" s="31"/>
      <c r="M101" s="31"/>
      <c r="N101" s="31"/>
      <c r="O101" s="32"/>
      <c r="P101" s="215"/>
      <c r="Q101" s="215"/>
    </row>
    <row r="102" ht="28.5" customHeight="1">
      <c r="A102" s="202" t="s">
        <v>2</v>
      </c>
      <c r="B102" s="202" t="s">
        <v>222</v>
      </c>
      <c r="C102" s="202" t="s">
        <v>209</v>
      </c>
      <c r="D102" s="202" t="s">
        <v>123</v>
      </c>
      <c r="E102" s="202" t="s">
        <v>210</v>
      </c>
      <c r="F102" s="203" t="s">
        <v>211</v>
      </c>
      <c r="G102" s="203" t="s">
        <v>323</v>
      </c>
      <c r="H102" s="202" t="s">
        <v>8</v>
      </c>
      <c r="I102" s="202" t="s">
        <v>9</v>
      </c>
      <c r="J102" s="202" t="s">
        <v>11</v>
      </c>
      <c r="K102" s="202" t="s">
        <v>10</v>
      </c>
      <c r="L102" s="204"/>
      <c r="M102" s="204"/>
      <c r="N102" s="204"/>
      <c r="O102" s="204"/>
      <c r="P102" s="205"/>
      <c r="Q102" s="205"/>
    </row>
    <row r="103" ht="28.5" customHeight="1">
      <c r="A103" s="202" t="s">
        <v>2</v>
      </c>
      <c r="B103" s="202" t="s">
        <v>222</v>
      </c>
      <c r="C103" s="202" t="s">
        <v>209</v>
      </c>
      <c r="D103" s="202" t="s">
        <v>123</v>
      </c>
      <c r="E103" s="202" t="s">
        <v>210</v>
      </c>
      <c r="F103" s="203" t="s">
        <v>211</v>
      </c>
      <c r="G103" s="203" t="s">
        <v>323</v>
      </c>
      <c r="H103" s="202" t="s">
        <v>8</v>
      </c>
      <c r="I103" s="202" t="s">
        <v>9</v>
      </c>
      <c r="J103" s="202" t="s">
        <v>11</v>
      </c>
      <c r="K103" s="202" t="s">
        <v>10</v>
      </c>
      <c r="L103" s="204"/>
      <c r="M103" s="204"/>
      <c r="N103" s="204"/>
      <c r="O103" s="204"/>
      <c r="P103" s="205"/>
      <c r="Q103" s="205"/>
    </row>
    <row r="104" ht="30.75" customHeight="1">
      <c r="A104" s="214" t="s">
        <v>276</v>
      </c>
      <c r="B104" s="31"/>
      <c r="C104" s="31"/>
      <c r="D104" s="31"/>
      <c r="E104" s="31"/>
      <c r="F104" s="31"/>
      <c r="G104" s="31"/>
      <c r="H104" s="31"/>
      <c r="I104" s="31"/>
      <c r="J104" s="31"/>
      <c r="K104" s="31"/>
      <c r="L104" s="31"/>
      <c r="M104" s="31"/>
      <c r="N104" s="31"/>
      <c r="O104" s="32"/>
      <c r="P104" s="215"/>
      <c r="Q104" s="215"/>
    </row>
    <row r="105">
      <c r="A105" s="184" t="s">
        <v>227</v>
      </c>
      <c r="B105" s="184" t="s">
        <v>324</v>
      </c>
      <c r="C105" s="184" t="s">
        <v>276</v>
      </c>
      <c r="D105" s="184">
        <v>1190267.0</v>
      </c>
      <c r="E105" s="184"/>
      <c r="F105" s="185"/>
      <c r="G105" s="235">
        <v>999.0</v>
      </c>
      <c r="H105" s="223" t="s">
        <v>277</v>
      </c>
      <c r="I105" s="32"/>
      <c r="J105" s="233"/>
      <c r="K105" s="233" t="s">
        <v>325</v>
      </c>
      <c r="L105" s="212"/>
      <c r="M105" s="212"/>
      <c r="N105" s="212"/>
      <c r="O105" s="212"/>
      <c r="P105" s="213"/>
      <c r="Q105" s="213"/>
    </row>
    <row r="106">
      <c r="A106" s="184" t="s">
        <v>227</v>
      </c>
      <c r="B106" s="184" t="s">
        <v>326</v>
      </c>
      <c r="C106" s="184" t="s">
        <v>276</v>
      </c>
      <c r="D106" s="184">
        <v>1190268.0</v>
      </c>
      <c r="F106" s="184"/>
      <c r="G106" s="235">
        <v>1690.0</v>
      </c>
      <c r="H106" s="223" t="s">
        <v>277</v>
      </c>
      <c r="I106" s="32"/>
      <c r="J106" s="233"/>
      <c r="K106" s="233" t="s">
        <v>325</v>
      </c>
      <c r="L106" s="212"/>
      <c r="M106" s="212"/>
      <c r="N106" s="212"/>
      <c r="O106" s="212"/>
      <c r="P106" s="213"/>
      <c r="Q106" s="213"/>
    </row>
    <row r="107">
      <c r="A107" s="184" t="s">
        <v>227</v>
      </c>
      <c r="B107" s="184" t="s">
        <v>327</v>
      </c>
      <c r="C107" s="184" t="s">
        <v>276</v>
      </c>
      <c r="D107" s="184">
        <v>1190893.0</v>
      </c>
      <c r="E107" s="184"/>
      <c r="F107" s="185">
        <v>799.0</v>
      </c>
      <c r="G107" s="235">
        <v>699.0</v>
      </c>
      <c r="H107" s="223" t="s">
        <v>277</v>
      </c>
      <c r="I107" s="32"/>
      <c r="J107" s="233"/>
      <c r="K107" s="233" t="s">
        <v>325</v>
      </c>
      <c r="L107" s="212"/>
      <c r="M107" s="212"/>
      <c r="N107" s="212"/>
      <c r="O107" s="212"/>
      <c r="P107" s="213"/>
      <c r="Q107" s="213"/>
    </row>
    <row r="108">
      <c r="A108" s="184" t="s">
        <v>227</v>
      </c>
      <c r="B108" s="184" t="s">
        <v>328</v>
      </c>
      <c r="C108" s="184" t="s">
        <v>276</v>
      </c>
      <c r="D108" s="184">
        <v>1190894.0</v>
      </c>
      <c r="E108" s="184"/>
      <c r="F108" s="185"/>
      <c r="G108" s="235">
        <v>999.0</v>
      </c>
      <c r="H108" s="223" t="s">
        <v>277</v>
      </c>
      <c r="I108" s="32"/>
      <c r="J108" s="233"/>
      <c r="K108" s="233" t="s">
        <v>325</v>
      </c>
      <c r="L108" s="212"/>
      <c r="M108" s="212"/>
      <c r="N108" s="212"/>
      <c r="O108" s="212"/>
      <c r="P108" s="213"/>
      <c r="Q108" s="213"/>
    </row>
    <row r="109">
      <c r="A109" s="184" t="s">
        <v>227</v>
      </c>
      <c r="B109" s="184" t="s">
        <v>329</v>
      </c>
      <c r="C109" s="184" t="s">
        <v>276</v>
      </c>
      <c r="D109" s="184">
        <v>1190896.0</v>
      </c>
      <c r="E109" s="184"/>
      <c r="F109" s="185"/>
      <c r="G109" s="235">
        <v>1190.0</v>
      </c>
      <c r="H109" s="223" t="s">
        <v>277</v>
      </c>
      <c r="I109" s="32"/>
      <c r="J109" s="233"/>
      <c r="K109" s="233" t="s">
        <v>325</v>
      </c>
      <c r="L109" s="212"/>
      <c r="M109" s="212"/>
      <c r="N109" s="212"/>
      <c r="O109" s="212"/>
      <c r="P109" s="213"/>
      <c r="Q109" s="213"/>
    </row>
    <row r="110">
      <c r="A110" s="184" t="s">
        <v>227</v>
      </c>
      <c r="B110" s="184" t="s">
        <v>330</v>
      </c>
      <c r="C110" s="184" t="s">
        <v>276</v>
      </c>
      <c r="D110" s="184">
        <v>1190915.0</v>
      </c>
      <c r="E110" s="184"/>
      <c r="F110" s="185"/>
      <c r="G110" s="235">
        <v>1490.0</v>
      </c>
      <c r="H110" s="223" t="s">
        <v>277</v>
      </c>
      <c r="I110" s="32"/>
      <c r="J110" s="233"/>
      <c r="K110" s="233" t="s">
        <v>325</v>
      </c>
      <c r="L110" s="212"/>
      <c r="M110" s="212"/>
      <c r="N110" s="212"/>
      <c r="O110" s="212"/>
      <c r="P110" s="213"/>
      <c r="Q110" s="213"/>
    </row>
    <row r="111">
      <c r="A111" s="184" t="s">
        <v>227</v>
      </c>
      <c r="B111" s="184" t="s">
        <v>331</v>
      </c>
      <c r="C111" s="184" t="s">
        <v>276</v>
      </c>
      <c r="D111" s="184">
        <v>1195280.0</v>
      </c>
      <c r="E111" s="184"/>
      <c r="F111" s="185"/>
      <c r="G111" s="235">
        <v>1890.0</v>
      </c>
      <c r="H111" s="223" t="s">
        <v>277</v>
      </c>
      <c r="I111" s="32"/>
      <c r="J111" s="233"/>
      <c r="K111" s="233" t="s">
        <v>325</v>
      </c>
      <c r="L111" s="212"/>
      <c r="M111" s="212"/>
      <c r="N111" s="212"/>
      <c r="O111" s="212"/>
      <c r="P111" s="213"/>
      <c r="Q111" s="213"/>
    </row>
    <row r="112">
      <c r="A112" s="184" t="s">
        <v>227</v>
      </c>
      <c r="B112" s="184" t="s">
        <v>332</v>
      </c>
      <c r="C112" s="184" t="s">
        <v>276</v>
      </c>
      <c r="D112" s="184">
        <v>1206129.0</v>
      </c>
      <c r="E112" s="184"/>
      <c r="F112" s="185"/>
      <c r="G112" s="235">
        <v>2290.0</v>
      </c>
      <c r="H112" s="223" t="s">
        <v>277</v>
      </c>
      <c r="I112" s="32"/>
      <c r="J112" s="233"/>
      <c r="K112" s="233" t="s">
        <v>325</v>
      </c>
      <c r="L112" s="212"/>
      <c r="M112" s="212"/>
      <c r="N112" s="212"/>
      <c r="O112" s="212"/>
      <c r="P112" s="213"/>
      <c r="Q112" s="213"/>
    </row>
    <row r="113">
      <c r="A113" s="184" t="s">
        <v>227</v>
      </c>
      <c r="B113" s="184" t="s">
        <v>333</v>
      </c>
      <c r="C113" s="184" t="s">
        <v>276</v>
      </c>
      <c r="D113" s="184">
        <v>1206151.0</v>
      </c>
      <c r="E113" s="184"/>
      <c r="F113" s="185"/>
      <c r="G113" s="235">
        <v>1190.0</v>
      </c>
      <c r="H113" s="223" t="s">
        <v>277</v>
      </c>
      <c r="I113" s="32"/>
      <c r="J113" s="233"/>
      <c r="K113" s="233" t="s">
        <v>325</v>
      </c>
      <c r="L113" s="212"/>
      <c r="M113" s="212"/>
      <c r="N113" s="212"/>
      <c r="O113" s="212"/>
      <c r="P113" s="213"/>
      <c r="Q113" s="213"/>
    </row>
    <row r="114" ht="30.75" customHeight="1">
      <c r="A114" s="236" t="s">
        <v>249</v>
      </c>
      <c r="B114" s="31"/>
      <c r="C114" s="31"/>
      <c r="D114" s="31"/>
      <c r="E114" s="31"/>
      <c r="F114" s="31"/>
      <c r="G114" s="31"/>
      <c r="H114" s="31"/>
      <c r="I114" s="31"/>
      <c r="J114" s="31"/>
      <c r="K114" s="31"/>
      <c r="L114" s="31"/>
      <c r="M114" s="31"/>
      <c r="N114" s="31"/>
      <c r="O114" s="32"/>
      <c r="P114" s="237"/>
      <c r="Q114" s="237"/>
    </row>
    <row r="115">
      <c r="A115" s="184"/>
      <c r="B115" s="184"/>
      <c r="C115" s="184"/>
      <c r="D115" s="184"/>
      <c r="E115" s="184"/>
      <c r="F115" s="185"/>
      <c r="G115" s="185"/>
      <c r="H115" s="233" t="s">
        <v>141</v>
      </c>
      <c r="I115" s="233" t="s">
        <v>141</v>
      </c>
      <c r="J115" s="233"/>
      <c r="K115" s="233"/>
      <c r="L115" s="212"/>
      <c r="M115" s="212"/>
      <c r="N115" s="212"/>
      <c r="O115" s="212"/>
      <c r="P115" s="213"/>
      <c r="Q115" s="213"/>
    </row>
    <row r="116">
      <c r="A116" s="184"/>
      <c r="B116" s="184"/>
      <c r="C116" s="184"/>
      <c r="D116" s="184"/>
      <c r="E116" s="184"/>
      <c r="F116" s="185"/>
      <c r="G116" s="185"/>
      <c r="H116" s="233" t="s">
        <v>141</v>
      </c>
      <c r="I116" s="233" t="s">
        <v>141</v>
      </c>
      <c r="J116" s="233"/>
      <c r="K116" s="233"/>
      <c r="L116" s="212"/>
      <c r="M116" s="212"/>
      <c r="N116" s="212"/>
      <c r="O116" s="212"/>
      <c r="P116" s="213"/>
      <c r="Q116" s="213"/>
    </row>
    <row r="117" ht="28.5" customHeight="1">
      <c r="A117" s="236" t="s">
        <v>300</v>
      </c>
      <c r="B117" s="31"/>
      <c r="C117" s="31"/>
      <c r="D117" s="31"/>
      <c r="E117" s="31"/>
      <c r="F117" s="31"/>
      <c r="G117" s="31"/>
      <c r="H117" s="31"/>
      <c r="I117" s="31"/>
      <c r="J117" s="31"/>
      <c r="K117" s="31"/>
      <c r="L117" s="31"/>
      <c r="M117" s="31"/>
      <c r="N117" s="31"/>
      <c r="O117" s="32"/>
      <c r="P117" s="237"/>
      <c r="Q117" s="237"/>
    </row>
    <row r="118" ht="33.0" customHeight="1">
      <c r="A118" s="214" t="s">
        <v>223</v>
      </c>
      <c r="B118" s="31"/>
      <c r="C118" s="31"/>
      <c r="D118" s="31"/>
      <c r="E118" s="31"/>
      <c r="F118" s="31"/>
      <c r="G118" s="31"/>
      <c r="H118" s="31"/>
      <c r="I118" s="31"/>
      <c r="J118" s="31"/>
      <c r="K118" s="31"/>
      <c r="L118" s="31"/>
      <c r="M118" s="31"/>
      <c r="N118" s="31"/>
      <c r="O118" s="32"/>
      <c r="P118" s="215"/>
      <c r="Q118" s="215"/>
    </row>
    <row r="119" ht="28.5" customHeight="1">
      <c r="A119" s="202" t="s">
        <v>2</v>
      </c>
      <c r="B119" s="202" t="s">
        <v>222</v>
      </c>
      <c r="C119" s="202" t="s">
        <v>209</v>
      </c>
      <c r="D119" s="202" t="s">
        <v>123</v>
      </c>
      <c r="E119" s="202" t="s">
        <v>210</v>
      </c>
      <c r="F119" s="203" t="s">
        <v>211</v>
      </c>
      <c r="G119" s="203" t="s">
        <v>323</v>
      </c>
      <c r="H119" s="202" t="s">
        <v>8</v>
      </c>
      <c r="I119" s="202" t="s">
        <v>9</v>
      </c>
      <c r="J119" s="202" t="s">
        <v>11</v>
      </c>
      <c r="K119" s="202" t="s">
        <v>10</v>
      </c>
      <c r="L119" s="204"/>
      <c r="M119" s="204"/>
      <c r="N119" s="204"/>
      <c r="O119" s="204"/>
      <c r="P119" s="205"/>
      <c r="Q119" s="205"/>
    </row>
    <row r="120">
      <c r="A120" s="184" t="s">
        <v>231</v>
      </c>
      <c r="B120" s="184" t="s">
        <v>334</v>
      </c>
      <c r="C120" s="185" t="s">
        <v>335</v>
      </c>
      <c r="D120" s="184" t="s">
        <v>336</v>
      </c>
      <c r="E120" s="184">
        <v>1226292.0</v>
      </c>
      <c r="F120" s="185"/>
      <c r="G120" s="185"/>
      <c r="H120" s="233">
        <v>45961.0</v>
      </c>
      <c r="I120" s="238">
        <v>45992.0</v>
      </c>
      <c r="J120" s="233"/>
      <c r="K120" s="233" t="s">
        <v>163</v>
      </c>
      <c r="L120" s="212"/>
      <c r="M120" s="212"/>
      <c r="N120" s="212"/>
      <c r="O120" s="212"/>
      <c r="P120" s="213"/>
      <c r="Q120" s="213"/>
    </row>
    <row r="121">
      <c r="A121" s="239"/>
      <c r="B121" s="239"/>
      <c r="C121" s="239"/>
      <c r="D121" s="239"/>
      <c r="E121" s="239"/>
      <c r="F121" s="239"/>
      <c r="G121" s="239"/>
      <c r="H121" s="239"/>
      <c r="I121" s="239"/>
      <c r="J121" s="239"/>
      <c r="K121" s="239"/>
      <c r="L121" s="220"/>
      <c r="M121" s="220"/>
      <c r="N121" s="220"/>
      <c r="O121" s="220"/>
      <c r="P121" s="221"/>
      <c r="Q121" s="221"/>
    </row>
    <row r="122" ht="28.5" customHeight="1">
      <c r="A122" s="240" t="s">
        <v>337</v>
      </c>
      <c r="B122" s="31"/>
      <c r="C122" s="31"/>
      <c r="D122" s="31"/>
      <c r="E122" s="31"/>
      <c r="F122" s="31"/>
      <c r="G122" s="31"/>
      <c r="H122" s="31"/>
      <c r="I122" s="31"/>
      <c r="J122" s="31"/>
      <c r="K122" s="31"/>
      <c r="L122" s="31"/>
      <c r="M122" s="31"/>
      <c r="N122" s="31"/>
      <c r="O122" s="32"/>
      <c r="P122" s="241"/>
      <c r="Q122" s="241"/>
    </row>
    <row r="123" ht="28.5" customHeight="1">
      <c r="A123" s="202" t="s">
        <v>2</v>
      </c>
      <c r="B123" s="202" t="s">
        <v>222</v>
      </c>
      <c r="C123" s="202" t="s">
        <v>209</v>
      </c>
      <c r="D123" s="202" t="s">
        <v>123</v>
      </c>
      <c r="E123" s="202" t="s">
        <v>210</v>
      </c>
      <c r="F123" s="203" t="s">
        <v>211</v>
      </c>
      <c r="G123" s="203" t="s">
        <v>323</v>
      </c>
      <c r="H123" s="202" t="s">
        <v>8</v>
      </c>
      <c r="I123" s="202" t="s">
        <v>9</v>
      </c>
      <c r="J123" s="202" t="s">
        <v>11</v>
      </c>
      <c r="K123" s="202" t="s">
        <v>10</v>
      </c>
      <c r="L123" s="204"/>
      <c r="M123" s="204"/>
      <c r="N123" s="204"/>
      <c r="O123" s="204"/>
      <c r="P123" s="205"/>
      <c r="Q123" s="205"/>
    </row>
    <row r="124" ht="30.75" customHeight="1">
      <c r="A124" s="236" t="s">
        <v>249</v>
      </c>
      <c r="B124" s="31"/>
      <c r="C124" s="31"/>
      <c r="D124" s="31"/>
      <c r="E124" s="31"/>
      <c r="F124" s="31"/>
      <c r="G124" s="31"/>
      <c r="H124" s="31"/>
      <c r="I124" s="31"/>
      <c r="J124" s="31"/>
      <c r="K124" s="31"/>
      <c r="L124" s="31"/>
      <c r="M124" s="31"/>
      <c r="N124" s="31"/>
      <c r="O124" s="32"/>
      <c r="P124" s="237"/>
      <c r="Q124" s="237"/>
    </row>
    <row r="125">
      <c r="A125" s="184" t="s">
        <v>224</v>
      </c>
      <c r="B125" s="184" t="s">
        <v>338</v>
      </c>
      <c r="C125" s="185" t="s">
        <v>251</v>
      </c>
      <c r="D125" s="184">
        <v>1218803.0</v>
      </c>
      <c r="E125" s="184">
        <v>1218884.0</v>
      </c>
      <c r="F125" s="185"/>
      <c r="G125" s="185"/>
      <c r="H125" s="233" t="s">
        <v>141</v>
      </c>
      <c r="I125" s="238">
        <v>46022.0</v>
      </c>
      <c r="J125" s="233"/>
      <c r="K125" s="233"/>
      <c r="L125" s="212"/>
      <c r="M125" s="212"/>
      <c r="N125" s="212"/>
      <c r="O125" s="212"/>
      <c r="P125" s="213"/>
      <c r="Q125" s="213"/>
    </row>
    <row r="126">
      <c r="A126" s="184" t="s">
        <v>224</v>
      </c>
      <c r="B126" s="184" t="s">
        <v>339</v>
      </c>
      <c r="C126" s="185" t="s">
        <v>251</v>
      </c>
      <c r="D126" s="184">
        <v>1218804.0</v>
      </c>
      <c r="E126" s="184">
        <v>1218885.0</v>
      </c>
      <c r="F126" s="185"/>
      <c r="G126" s="185"/>
      <c r="H126" s="233" t="s">
        <v>141</v>
      </c>
      <c r="I126" s="238">
        <v>46022.0</v>
      </c>
      <c r="J126" s="233"/>
      <c r="K126" s="233"/>
      <c r="L126" s="212"/>
      <c r="M126" s="212"/>
      <c r="N126" s="212"/>
      <c r="O126" s="212"/>
      <c r="P126" s="213"/>
      <c r="Q126" s="213"/>
    </row>
    <row r="127">
      <c r="A127" s="184" t="s">
        <v>224</v>
      </c>
      <c r="B127" s="184" t="s">
        <v>340</v>
      </c>
      <c r="C127" s="185" t="s">
        <v>251</v>
      </c>
      <c r="D127" s="184">
        <v>1192922.0</v>
      </c>
      <c r="E127" s="184">
        <v>1214102.0</v>
      </c>
      <c r="F127" s="185"/>
      <c r="G127" s="185"/>
      <c r="H127" s="233" t="s">
        <v>141</v>
      </c>
      <c r="I127" s="238">
        <v>46022.0</v>
      </c>
      <c r="J127" s="233"/>
      <c r="K127" s="233"/>
      <c r="L127" s="212"/>
      <c r="M127" s="212"/>
      <c r="N127" s="212"/>
      <c r="O127" s="212"/>
      <c r="P127" s="213"/>
      <c r="Q127" s="213"/>
    </row>
    <row r="128">
      <c r="A128" s="184" t="s">
        <v>224</v>
      </c>
      <c r="B128" s="184" t="s">
        <v>341</v>
      </c>
      <c r="C128" s="185" t="s">
        <v>251</v>
      </c>
      <c r="D128" s="184">
        <v>1198801.0</v>
      </c>
      <c r="E128" s="184">
        <v>1214103.0</v>
      </c>
      <c r="F128" s="185"/>
      <c r="G128" s="185"/>
      <c r="H128" s="233" t="s">
        <v>141</v>
      </c>
      <c r="I128" s="238">
        <v>46022.0</v>
      </c>
      <c r="J128" s="233"/>
      <c r="K128" s="233"/>
      <c r="L128" s="212"/>
      <c r="M128" s="212"/>
      <c r="N128" s="212"/>
      <c r="O128" s="212"/>
      <c r="P128" s="213"/>
      <c r="Q128" s="213"/>
    </row>
    <row r="129">
      <c r="A129" s="184" t="s">
        <v>224</v>
      </c>
      <c r="B129" s="184" t="s">
        <v>342</v>
      </c>
      <c r="C129" s="185" t="s">
        <v>251</v>
      </c>
      <c r="D129" s="184">
        <v>1188558.0</v>
      </c>
      <c r="E129" s="184">
        <v>1214105.0</v>
      </c>
      <c r="F129" s="185"/>
      <c r="G129" s="185"/>
      <c r="H129" s="233" t="s">
        <v>141</v>
      </c>
      <c r="I129" s="238">
        <v>46022.0</v>
      </c>
      <c r="J129" s="233"/>
      <c r="K129" s="233"/>
      <c r="L129" s="212"/>
      <c r="M129" s="212"/>
      <c r="N129" s="212"/>
      <c r="O129" s="212"/>
      <c r="P129" s="213"/>
      <c r="Q129" s="213"/>
    </row>
    <row r="130">
      <c r="A130" s="184" t="s">
        <v>224</v>
      </c>
      <c r="B130" s="184" t="s">
        <v>343</v>
      </c>
      <c r="C130" s="185" t="s">
        <v>251</v>
      </c>
      <c r="D130" s="184">
        <v>1191618.0</v>
      </c>
      <c r="E130" s="184">
        <v>1214106.0</v>
      </c>
      <c r="F130" s="185"/>
      <c r="G130" s="185"/>
      <c r="H130" s="233" t="s">
        <v>141</v>
      </c>
      <c r="I130" s="238">
        <v>46022.0</v>
      </c>
      <c r="J130" s="233"/>
      <c r="K130" s="233"/>
      <c r="L130" s="212"/>
      <c r="M130" s="212"/>
      <c r="N130" s="212"/>
      <c r="O130" s="212"/>
      <c r="P130" s="213"/>
      <c r="Q130" s="213"/>
    </row>
    <row r="131">
      <c r="A131" s="184" t="s">
        <v>224</v>
      </c>
      <c r="B131" s="184" t="s">
        <v>344</v>
      </c>
      <c r="C131" s="185" t="s">
        <v>251</v>
      </c>
      <c r="D131" s="184">
        <v>1157577.0</v>
      </c>
      <c r="E131" s="184">
        <v>1214107.0</v>
      </c>
      <c r="F131" s="185"/>
      <c r="G131" s="185"/>
      <c r="H131" s="233" t="s">
        <v>141</v>
      </c>
      <c r="I131" s="238">
        <v>46022.0</v>
      </c>
      <c r="J131" s="233"/>
      <c r="K131" s="233"/>
      <c r="L131" s="212"/>
      <c r="M131" s="212"/>
      <c r="N131" s="212"/>
      <c r="O131" s="212"/>
      <c r="P131" s="213"/>
      <c r="Q131" s="213"/>
    </row>
    <row r="132">
      <c r="A132" s="184" t="s">
        <v>224</v>
      </c>
      <c r="B132" s="184" t="s">
        <v>345</v>
      </c>
      <c r="C132" s="185" t="s">
        <v>251</v>
      </c>
      <c r="D132" s="184">
        <v>1180153.0</v>
      </c>
      <c r="E132" s="184">
        <v>1214109.0</v>
      </c>
      <c r="F132" s="185"/>
      <c r="G132" s="185"/>
      <c r="H132" s="233" t="s">
        <v>141</v>
      </c>
      <c r="I132" s="238">
        <v>46022.0</v>
      </c>
      <c r="J132" s="233"/>
      <c r="K132" s="233"/>
      <c r="L132" s="212"/>
      <c r="M132" s="212"/>
      <c r="N132" s="212"/>
      <c r="O132" s="212"/>
      <c r="P132" s="213"/>
      <c r="Q132" s="213"/>
    </row>
    <row r="133">
      <c r="A133" s="184" t="s">
        <v>224</v>
      </c>
      <c r="B133" s="184" t="s">
        <v>346</v>
      </c>
      <c r="C133" s="185" t="s">
        <v>251</v>
      </c>
      <c r="D133" s="184">
        <v>1164882.0</v>
      </c>
      <c r="E133" s="184">
        <v>1214110.0</v>
      </c>
      <c r="F133" s="185"/>
      <c r="G133" s="185"/>
      <c r="H133" s="233" t="s">
        <v>141</v>
      </c>
      <c r="I133" s="238">
        <v>46022.0</v>
      </c>
      <c r="J133" s="233"/>
      <c r="K133" s="233"/>
      <c r="L133" s="212"/>
      <c r="M133" s="212"/>
      <c r="N133" s="212"/>
      <c r="O133" s="212"/>
      <c r="P133" s="213"/>
      <c r="Q133" s="213"/>
    </row>
    <row r="134">
      <c r="A134" s="184" t="s">
        <v>224</v>
      </c>
      <c r="B134" s="184" t="s">
        <v>338</v>
      </c>
      <c r="C134" s="185" t="s">
        <v>251</v>
      </c>
      <c r="D134" s="184">
        <v>1218803.0</v>
      </c>
      <c r="E134" s="184">
        <v>1218884.0</v>
      </c>
      <c r="F134" s="185"/>
      <c r="G134" s="185"/>
      <c r="H134" s="187">
        <v>45961.0</v>
      </c>
      <c r="I134" s="238">
        <v>45992.0</v>
      </c>
      <c r="J134" s="233"/>
      <c r="K134" s="218" t="s">
        <v>163</v>
      </c>
      <c r="L134" s="212"/>
      <c r="M134" s="212"/>
      <c r="N134" s="212"/>
      <c r="O134" s="212"/>
      <c r="P134" s="213"/>
      <c r="Q134" s="213"/>
    </row>
    <row r="135">
      <c r="A135" s="184" t="s">
        <v>224</v>
      </c>
      <c r="B135" s="184" t="s">
        <v>339</v>
      </c>
      <c r="C135" s="185" t="s">
        <v>251</v>
      </c>
      <c r="D135" s="184">
        <v>1218804.0</v>
      </c>
      <c r="E135" s="184">
        <v>1218885.0</v>
      </c>
      <c r="F135" s="185"/>
      <c r="G135" s="185"/>
      <c r="H135" s="187">
        <v>45961.0</v>
      </c>
      <c r="I135" s="238">
        <v>45992.0</v>
      </c>
      <c r="J135" s="233"/>
      <c r="K135" s="218" t="s">
        <v>163</v>
      </c>
      <c r="L135" s="212"/>
      <c r="M135" s="212"/>
      <c r="N135" s="212"/>
      <c r="O135" s="212"/>
      <c r="P135" s="213"/>
      <c r="Q135" s="213"/>
    </row>
    <row r="136">
      <c r="A136" s="184" t="s">
        <v>224</v>
      </c>
      <c r="B136" s="184" t="s">
        <v>340</v>
      </c>
      <c r="C136" s="185" t="s">
        <v>251</v>
      </c>
      <c r="D136" s="184">
        <v>1192922.0</v>
      </c>
      <c r="E136" s="184">
        <v>1214102.0</v>
      </c>
      <c r="F136" s="185"/>
      <c r="G136" s="185"/>
      <c r="H136" s="187">
        <v>45961.0</v>
      </c>
      <c r="I136" s="238">
        <v>45992.0</v>
      </c>
      <c r="J136" s="233"/>
      <c r="K136" s="218" t="s">
        <v>163</v>
      </c>
      <c r="L136" s="212"/>
      <c r="M136" s="212"/>
      <c r="N136" s="212"/>
      <c r="O136" s="212"/>
      <c r="P136" s="213"/>
      <c r="Q136" s="213"/>
    </row>
    <row r="137">
      <c r="A137" s="184" t="s">
        <v>224</v>
      </c>
      <c r="B137" s="184" t="s">
        <v>342</v>
      </c>
      <c r="C137" s="185" t="s">
        <v>251</v>
      </c>
      <c r="D137" s="184">
        <v>1188558.0</v>
      </c>
      <c r="E137" s="184">
        <v>1214105.0</v>
      </c>
      <c r="F137" s="185"/>
      <c r="G137" s="185"/>
      <c r="H137" s="187">
        <v>45961.0</v>
      </c>
      <c r="I137" s="238">
        <v>45992.0</v>
      </c>
      <c r="J137" s="233"/>
      <c r="K137" s="218" t="s">
        <v>163</v>
      </c>
      <c r="L137" s="212"/>
      <c r="M137" s="212"/>
      <c r="N137" s="212"/>
      <c r="O137" s="212"/>
      <c r="P137" s="213"/>
      <c r="Q137" s="213"/>
    </row>
    <row r="138">
      <c r="A138" s="184" t="s">
        <v>224</v>
      </c>
      <c r="B138" s="184" t="s">
        <v>341</v>
      </c>
      <c r="C138" s="185" t="s">
        <v>251</v>
      </c>
      <c r="D138" s="184">
        <v>1198801.0</v>
      </c>
      <c r="E138" s="184">
        <v>1214103.0</v>
      </c>
      <c r="F138" s="185"/>
      <c r="G138" s="185"/>
      <c r="H138" s="187">
        <v>45961.0</v>
      </c>
      <c r="I138" s="238">
        <v>45992.0</v>
      </c>
      <c r="J138" s="233"/>
      <c r="K138" s="218" t="s">
        <v>163</v>
      </c>
      <c r="L138" s="212"/>
      <c r="M138" s="212"/>
      <c r="N138" s="212"/>
      <c r="O138" s="212"/>
      <c r="P138" s="213"/>
      <c r="Q138" s="213"/>
    </row>
    <row r="139">
      <c r="A139" s="184" t="s">
        <v>224</v>
      </c>
      <c r="B139" s="184" t="s">
        <v>343</v>
      </c>
      <c r="C139" s="185" t="s">
        <v>251</v>
      </c>
      <c r="D139" s="184">
        <v>1191618.0</v>
      </c>
      <c r="E139" s="184">
        <v>1214106.0</v>
      </c>
      <c r="F139" s="185"/>
      <c r="G139" s="185"/>
      <c r="H139" s="187">
        <v>45961.0</v>
      </c>
      <c r="I139" s="238">
        <v>45992.0</v>
      </c>
      <c r="J139" s="233"/>
      <c r="K139" s="218" t="s">
        <v>163</v>
      </c>
      <c r="L139" s="212"/>
      <c r="M139" s="212"/>
      <c r="N139" s="212"/>
      <c r="O139" s="212"/>
      <c r="P139" s="213"/>
      <c r="Q139" s="213"/>
    </row>
    <row r="140">
      <c r="A140" s="184" t="s">
        <v>227</v>
      </c>
      <c r="B140" s="184" t="s">
        <v>347</v>
      </c>
      <c r="C140" s="185" t="s">
        <v>251</v>
      </c>
      <c r="D140" s="184">
        <v>1197898.0</v>
      </c>
      <c r="E140" s="184">
        <v>1211081.0</v>
      </c>
      <c r="F140" s="185"/>
      <c r="G140" s="185"/>
      <c r="H140" s="187">
        <v>45962.0</v>
      </c>
      <c r="I140" s="238">
        <v>45992.0</v>
      </c>
      <c r="J140" s="233"/>
      <c r="K140" s="218" t="s">
        <v>163</v>
      </c>
      <c r="L140" s="212"/>
      <c r="M140" s="212"/>
      <c r="N140" s="212"/>
      <c r="O140" s="212"/>
      <c r="P140" s="213"/>
      <c r="Q140" s="213"/>
    </row>
    <row r="141">
      <c r="A141" s="184" t="s">
        <v>227</v>
      </c>
      <c r="B141" s="184" t="s">
        <v>348</v>
      </c>
      <c r="C141" s="185" t="s">
        <v>251</v>
      </c>
      <c r="D141" s="184">
        <v>1222636.0</v>
      </c>
      <c r="E141" s="184">
        <v>1226256.0</v>
      </c>
      <c r="F141" s="185"/>
      <c r="G141" s="185"/>
      <c r="H141" s="187">
        <v>45962.0</v>
      </c>
      <c r="I141" s="238">
        <v>45992.0</v>
      </c>
      <c r="J141" s="233"/>
      <c r="K141" s="218" t="s">
        <v>163</v>
      </c>
      <c r="L141" s="212"/>
      <c r="M141" s="212"/>
      <c r="N141" s="212"/>
      <c r="O141" s="212"/>
      <c r="P141" s="213"/>
      <c r="Q141" s="213"/>
    </row>
    <row r="142" ht="20.25" customHeight="1">
      <c r="A142" s="184" t="s">
        <v>227</v>
      </c>
      <c r="B142" s="184" t="s">
        <v>349</v>
      </c>
      <c r="C142" s="185" t="s">
        <v>251</v>
      </c>
      <c r="D142" s="184">
        <v>1222761.0</v>
      </c>
      <c r="E142" s="184">
        <v>1227489.0</v>
      </c>
      <c r="F142" s="185"/>
      <c r="G142" s="185"/>
      <c r="H142" s="187">
        <v>45962.0</v>
      </c>
      <c r="I142" s="238">
        <v>45974.0</v>
      </c>
      <c r="J142" s="233"/>
      <c r="K142" s="218" t="s">
        <v>163</v>
      </c>
      <c r="L142" s="242"/>
      <c r="M142" s="242"/>
      <c r="N142" s="242"/>
      <c r="O142" s="242"/>
      <c r="P142" s="237"/>
      <c r="Q142" s="237"/>
    </row>
    <row r="143" ht="20.25" customHeight="1">
      <c r="A143" s="184" t="s">
        <v>227</v>
      </c>
      <c r="B143" s="184" t="s">
        <v>350</v>
      </c>
      <c r="C143" s="185" t="s">
        <v>251</v>
      </c>
      <c r="D143" s="184">
        <v>1222660.0</v>
      </c>
      <c r="E143" s="184">
        <v>1231824.0</v>
      </c>
      <c r="F143" s="185"/>
      <c r="G143" s="185"/>
      <c r="H143" s="187">
        <v>45961.0</v>
      </c>
      <c r="I143" s="238">
        <v>45992.0</v>
      </c>
      <c r="J143" s="233"/>
      <c r="K143" s="218" t="s">
        <v>163</v>
      </c>
      <c r="L143" s="242"/>
      <c r="M143" s="242"/>
      <c r="N143" s="242"/>
      <c r="O143" s="242"/>
      <c r="P143" s="237"/>
      <c r="Q143" s="237"/>
    </row>
    <row r="144" ht="20.25" customHeight="1">
      <c r="A144" s="184" t="s">
        <v>227</v>
      </c>
      <c r="B144" s="184" t="s">
        <v>351</v>
      </c>
      <c r="C144" s="185" t="s">
        <v>251</v>
      </c>
      <c r="D144" s="184">
        <v>1204658.0</v>
      </c>
      <c r="E144" s="184">
        <v>1227581.0</v>
      </c>
      <c r="F144" s="185"/>
      <c r="G144" s="185"/>
      <c r="H144" s="187">
        <v>45962.0</v>
      </c>
      <c r="I144" s="238">
        <v>45992.0</v>
      </c>
      <c r="J144" s="233"/>
      <c r="K144" s="218" t="s">
        <v>163</v>
      </c>
      <c r="L144" s="242"/>
      <c r="M144" s="242"/>
      <c r="N144" s="242"/>
      <c r="O144" s="242"/>
      <c r="P144" s="237"/>
      <c r="Q144" s="237"/>
    </row>
    <row r="145" ht="20.25" customHeight="1">
      <c r="A145" s="184" t="s">
        <v>227</v>
      </c>
      <c r="B145" s="184" t="s">
        <v>352</v>
      </c>
      <c r="C145" s="185" t="s">
        <v>251</v>
      </c>
      <c r="D145" s="184">
        <v>1222657.0</v>
      </c>
      <c r="E145" s="184">
        <v>1230432.0</v>
      </c>
      <c r="F145" s="185"/>
      <c r="G145" s="185"/>
      <c r="H145" s="187">
        <v>45962.0</v>
      </c>
      <c r="I145" s="238">
        <v>45992.0</v>
      </c>
      <c r="J145" s="233"/>
      <c r="K145" s="218" t="s">
        <v>163</v>
      </c>
      <c r="L145" s="242"/>
      <c r="M145" s="242"/>
      <c r="N145" s="242"/>
      <c r="O145" s="242"/>
      <c r="P145" s="237"/>
      <c r="Q145" s="237"/>
    </row>
    <row r="146" ht="20.25" customHeight="1">
      <c r="A146" s="184" t="s">
        <v>227</v>
      </c>
      <c r="B146" s="184" t="s">
        <v>353</v>
      </c>
      <c r="C146" s="185" t="s">
        <v>251</v>
      </c>
      <c r="D146" s="184">
        <v>1222711.0</v>
      </c>
      <c r="E146" s="184">
        <v>1230433.0</v>
      </c>
      <c r="F146" s="185"/>
      <c r="G146" s="185"/>
      <c r="H146" s="187">
        <v>45962.0</v>
      </c>
      <c r="I146" s="238">
        <v>45992.0</v>
      </c>
      <c r="J146" s="233"/>
      <c r="K146" s="218" t="s">
        <v>163</v>
      </c>
      <c r="L146" s="242"/>
      <c r="M146" s="242"/>
      <c r="N146" s="242"/>
      <c r="O146" s="242"/>
      <c r="P146" s="237"/>
      <c r="Q146" s="237"/>
    </row>
    <row r="147" ht="20.25" customHeight="1">
      <c r="A147" s="184" t="s">
        <v>227</v>
      </c>
      <c r="B147" s="184" t="s">
        <v>354</v>
      </c>
      <c r="C147" s="185" t="s">
        <v>251</v>
      </c>
      <c r="D147" s="184">
        <v>1222748.0</v>
      </c>
      <c r="E147" s="184">
        <v>1227490.0</v>
      </c>
      <c r="F147" s="185"/>
      <c r="G147" s="185"/>
      <c r="H147" s="187">
        <v>45962.0</v>
      </c>
      <c r="I147" s="238">
        <v>45974.0</v>
      </c>
      <c r="J147" s="233"/>
      <c r="K147" s="218" t="s">
        <v>163</v>
      </c>
      <c r="L147" s="242"/>
      <c r="M147" s="242"/>
      <c r="N147" s="242"/>
      <c r="O147" s="242"/>
      <c r="P147" s="237"/>
      <c r="Q147" s="237"/>
    </row>
    <row r="148" ht="19.5" customHeight="1">
      <c r="A148" s="184" t="s">
        <v>227</v>
      </c>
      <c r="B148" s="184" t="s">
        <v>355</v>
      </c>
      <c r="C148" s="184" t="s">
        <v>251</v>
      </c>
      <c r="D148" s="184">
        <v>1229418.0</v>
      </c>
      <c r="E148" s="184">
        <v>1231822.0</v>
      </c>
      <c r="F148" s="184"/>
      <c r="G148" s="184"/>
      <c r="H148" s="187">
        <v>45978.0</v>
      </c>
      <c r="I148" s="217">
        <v>45992.0</v>
      </c>
      <c r="J148" s="184"/>
      <c r="K148" s="218" t="s">
        <v>163</v>
      </c>
      <c r="L148" s="242"/>
      <c r="M148" s="242"/>
      <c r="N148" s="242"/>
      <c r="O148" s="242"/>
      <c r="P148" s="237"/>
      <c r="Q148" s="237"/>
    </row>
    <row r="149" ht="30.75" customHeight="1">
      <c r="A149" s="236" t="s">
        <v>300</v>
      </c>
      <c r="B149" s="31"/>
      <c r="C149" s="31"/>
      <c r="D149" s="31"/>
      <c r="E149" s="31"/>
      <c r="F149" s="31"/>
      <c r="G149" s="31"/>
      <c r="H149" s="31"/>
      <c r="I149" s="31"/>
      <c r="J149" s="31"/>
      <c r="K149" s="31"/>
      <c r="L149" s="31"/>
      <c r="M149" s="31"/>
      <c r="N149" s="31"/>
      <c r="O149" s="32"/>
      <c r="P149" s="237"/>
      <c r="Q149" s="237"/>
    </row>
    <row r="150" ht="20.25" customHeight="1">
      <c r="A150" s="184" t="s">
        <v>227</v>
      </c>
      <c r="B150" s="184" t="s">
        <v>356</v>
      </c>
      <c r="C150" s="185" t="s">
        <v>357</v>
      </c>
      <c r="D150" s="184">
        <v>1222700.0</v>
      </c>
      <c r="E150" s="184">
        <v>1231943.0</v>
      </c>
      <c r="F150" s="185"/>
      <c r="G150" s="185"/>
      <c r="H150" s="187">
        <v>45962.0</v>
      </c>
      <c r="I150" s="238">
        <v>45974.0</v>
      </c>
      <c r="J150" s="233"/>
      <c r="K150" s="218" t="s">
        <v>163</v>
      </c>
      <c r="L150" s="242"/>
      <c r="M150" s="242"/>
      <c r="N150" s="242"/>
      <c r="O150" s="242"/>
      <c r="P150" s="237"/>
      <c r="Q150" s="237"/>
    </row>
    <row r="151" ht="32.25" customHeight="1">
      <c r="A151" s="214" t="s">
        <v>223</v>
      </c>
      <c r="B151" s="31"/>
      <c r="C151" s="31"/>
      <c r="D151" s="31"/>
      <c r="E151" s="31"/>
      <c r="F151" s="31"/>
      <c r="G151" s="31"/>
      <c r="H151" s="31"/>
      <c r="I151" s="31"/>
      <c r="J151" s="31"/>
      <c r="K151" s="31"/>
      <c r="L151" s="31"/>
      <c r="M151" s="31"/>
      <c r="N151" s="31"/>
      <c r="O151" s="32"/>
      <c r="P151" s="215"/>
      <c r="Q151" s="215"/>
    </row>
    <row r="152">
      <c r="A152" s="130" t="s">
        <v>358</v>
      </c>
      <c r="B152" s="31"/>
      <c r="C152" s="31"/>
      <c r="D152" s="31"/>
      <c r="E152" s="31"/>
      <c r="F152" s="31"/>
      <c r="G152" s="31"/>
      <c r="H152" s="31"/>
      <c r="I152" s="31"/>
      <c r="J152" s="32"/>
      <c r="K152" s="211"/>
      <c r="L152" s="212"/>
      <c r="M152" s="212"/>
      <c r="N152" s="212"/>
      <c r="O152" s="212"/>
      <c r="P152" s="213"/>
      <c r="Q152" s="213"/>
    </row>
    <row r="153" ht="30.75" customHeight="1">
      <c r="A153" s="214" t="s">
        <v>359</v>
      </c>
      <c r="B153" s="31"/>
      <c r="C153" s="31"/>
      <c r="D153" s="31"/>
      <c r="E153" s="31"/>
      <c r="F153" s="31"/>
      <c r="G153" s="31"/>
      <c r="H153" s="31"/>
      <c r="I153" s="31"/>
      <c r="J153" s="31"/>
      <c r="K153" s="31"/>
      <c r="L153" s="31"/>
      <c r="M153" s="31"/>
      <c r="N153" s="31"/>
      <c r="O153" s="32"/>
      <c r="P153" s="215"/>
      <c r="Q153" s="215"/>
    </row>
    <row r="154" ht="28.5" customHeight="1">
      <c r="A154" s="202" t="s">
        <v>2</v>
      </c>
      <c r="B154" s="202" t="s">
        <v>222</v>
      </c>
      <c r="C154" s="202" t="s">
        <v>209</v>
      </c>
      <c r="D154" s="202" t="s">
        <v>123</v>
      </c>
      <c r="E154" s="202" t="s">
        <v>210</v>
      </c>
      <c r="F154" s="203" t="s">
        <v>211</v>
      </c>
      <c r="G154" s="203" t="s">
        <v>212</v>
      </c>
      <c r="H154" s="202" t="s">
        <v>8</v>
      </c>
      <c r="I154" s="202" t="s">
        <v>9</v>
      </c>
      <c r="J154" s="202" t="s">
        <v>11</v>
      </c>
      <c r="K154" s="202" t="s">
        <v>10</v>
      </c>
      <c r="L154" s="204"/>
      <c r="M154" s="204"/>
      <c r="N154" s="204"/>
      <c r="O154" s="204"/>
      <c r="P154" s="205"/>
      <c r="Q154" s="205"/>
    </row>
    <row r="155" ht="20.25" customHeight="1">
      <c r="A155" s="184" t="s">
        <v>224</v>
      </c>
      <c r="B155" s="184" t="s">
        <v>360</v>
      </c>
      <c r="C155" s="185" t="s">
        <v>361</v>
      </c>
      <c r="D155" s="184">
        <v>1204932.0</v>
      </c>
      <c r="E155" s="184">
        <v>1231243.0</v>
      </c>
      <c r="F155" s="185"/>
      <c r="G155" s="185"/>
      <c r="H155" s="187">
        <v>45943.0</v>
      </c>
      <c r="I155" s="238">
        <v>45974.0</v>
      </c>
      <c r="J155" s="233"/>
      <c r="K155" s="218"/>
      <c r="L155" s="242"/>
      <c r="M155" s="242"/>
      <c r="N155" s="242"/>
      <c r="O155" s="242"/>
      <c r="P155" s="237"/>
      <c r="Q155" s="237"/>
    </row>
    <row r="156" ht="30.75" hidden="1" customHeight="1">
      <c r="A156" s="236" t="s">
        <v>249</v>
      </c>
      <c r="B156" s="31"/>
      <c r="C156" s="31"/>
      <c r="D156" s="31"/>
      <c r="E156" s="31"/>
      <c r="F156" s="31"/>
      <c r="G156" s="31"/>
      <c r="H156" s="31"/>
      <c r="I156" s="31"/>
      <c r="J156" s="31"/>
      <c r="K156" s="31"/>
      <c r="L156" s="31"/>
      <c r="M156" s="31"/>
      <c r="N156" s="31"/>
      <c r="O156" s="32"/>
      <c r="P156" s="237"/>
      <c r="Q156" s="237"/>
    </row>
    <row r="157" ht="28.5" hidden="1" customHeight="1">
      <c r="A157" s="130" t="s">
        <v>362</v>
      </c>
      <c r="B157" s="31"/>
      <c r="C157" s="31"/>
      <c r="D157" s="31"/>
      <c r="E157" s="31"/>
      <c r="F157" s="31"/>
      <c r="G157" s="31"/>
      <c r="H157" s="31"/>
      <c r="I157" s="31"/>
      <c r="J157" s="32"/>
      <c r="K157" s="211"/>
      <c r="L157" s="212"/>
      <c r="M157" s="212"/>
      <c r="N157" s="212"/>
      <c r="O157" s="212"/>
      <c r="P157" s="213"/>
      <c r="Q157" s="213"/>
    </row>
    <row r="158" ht="33.0" hidden="1" customHeight="1">
      <c r="A158" s="202" t="s">
        <v>2</v>
      </c>
      <c r="B158" s="202" t="s">
        <v>222</v>
      </c>
      <c r="C158" s="202" t="s">
        <v>209</v>
      </c>
      <c r="D158" s="202" t="s">
        <v>123</v>
      </c>
      <c r="E158" s="202" t="s">
        <v>210</v>
      </c>
      <c r="F158" s="203" t="s">
        <v>211</v>
      </c>
      <c r="G158" s="203" t="s">
        <v>212</v>
      </c>
      <c r="H158" s="202" t="s">
        <v>8</v>
      </c>
      <c r="I158" s="202" t="s">
        <v>9</v>
      </c>
      <c r="J158" s="202" t="s">
        <v>11</v>
      </c>
      <c r="K158" s="202" t="s">
        <v>10</v>
      </c>
      <c r="L158" s="204"/>
      <c r="M158" s="204"/>
      <c r="N158" s="204"/>
      <c r="O158" s="204"/>
      <c r="P158" s="205"/>
      <c r="Q158" s="205"/>
    </row>
    <row r="159" hidden="1">
      <c r="A159" s="236" t="s">
        <v>300</v>
      </c>
      <c r="B159" s="31"/>
      <c r="C159" s="31"/>
      <c r="D159" s="31"/>
      <c r="E159" s="31"/>
      <c r="F159" s="31"/>
      <c r="G159" s="31"/>
      <c r="H159" s="31"/>
      <c r="I159" s="31"/>
      <c r="J159" s="31"/>
      <c r="K159" s="31"/>
      <c r="L159" s="31"/>
      <c r="M159" s="31"/>
      <c r="N159" s="31"/>
      <c r="O159" s="32"/>
      <c r="P159" s="237"/>
      <c r="Q159" s="237"/>
    </row>
    <row r="160" ht="28.5" hidden="1" customHeight="1">
      <c r="A160" s="214" t="s">
        <v>223</v>
      </c>
      <c r="B160" s="31"/>
      <c r="C160" s="31"/>
      <c r="D160" s="31"/>
      <c r="E160" s="31"/>
      <c r="F160" s="31"/>
      <c r="G160" s="31"/>
      <c r="H160" s="31"/>
      <c r="I160" s="31"/>
      <c r="J160" s="31"/>
      <c r="K160" s="31"/>
      <c r="L160" s="31"/>
      <c r="M160" s="31"/>
      <c r="N160" s="31"/>
      <c r="O160" s="32"/>
      <c r="P160" s="215"/>
      <c r="Q160" s="215"/>
    </row>
    <row r="161" ht="28.5" customHeight="1">
      <c r="A161" s="130" t="s">
        <v>363</v>
      </c>
      <c r="B161" s="31"/>
      <c r="C161" s="31"/>
      <c r="D161" s="31"/>
      <c r="E161" s="31"/>
      <c r="F161" s="31"/>
      <c r="G161" s="31"/>
      <c r="H161" s="31"/>
      <c r="I161" s="31"/>
      <c r="J161" s="32"/>
      <c r="K161" s="211"/>
      <c r="L161" s="212"/>
      <c r="M161" s="212"/>
      <c r="N161" s="212"/>
      <c r="O161" s="212"/>
      <c r="P161" s="213"/>
      <c r="Q161" s="213"/>
    </row>
    <row r="162" ht="33.0" customHeight="1">
      <c r="A162" s="202" t="s">
        <v>2</v>
      </c>
      <c r="B162" s="202" t="s">
        <v>222</v>
      </c>
      <c r="C162" s="202" t="s">
        <v>209</v>
      </c>
      <c r="D162" s="202" t="s">
        <v>123</v>
      </c>
      <c r="E162" s="202" t="s">
        <v>210</v>
      </c>
      <c r="F162" s="203" t="s">
        <v>211</v>
      </c>
      <c r="G162" s="203" t="s">
        <v>212</v>
      </c>
      <c r="H162" s="202" t="s">
        <v>8</v>
      </c>
      <c r="I162" s="202" t="s">
        <v>9</v>
      </c>
      <c r="J162" s="202" t="s">
        <v>11</v>
      </c>
      <c r="K162" s="202" t="s">
        <v>10</v>
      </c>
      <c r="L162" s="204"/>
      <c r="M162" s="204"/>
      <c r="N162" s="204"/>
      <c r="O162" s="204"/>
      <c r="P162" s="205"/>
      <c r="Q162" s="205"/>
    </row>
    <row r="163">
      <c r="A163" s="184" t="s">
        <v>224</v>
      </c>
      <c r="B163" s="184" t="s">
        <v>364</v>
      </c>
      <c r="C163" s="184" t="s">
        <v>365</v>
      </c>
      <c r="D163" s="184">
        <v>1212182.0</v>
      </c>
      <c r="E163" s="184">
        <v>1217987.0</v>
      </c>
      <c r="F163" s="243"/>
      <c r="G163" s="185">
        <v>3988.5</v>
      </c>
      <c r="H163" s="244">
        <v>45685.0</v>
      </c>
      <c r="I163" s="244">
        <v>46022.0</v>
      </c>
      <c r="J163" s="245"/>
      <c r="K163" s="245"/>
      <c r="L163" s="245"/>
      <c r="M163" s="245"/>
      <c r="N163" s="245"/>
      <c r="O163" s="245"/>
      <c r="P163" s="246"/>
      <c r="Q163" s="246"/>
    </row>
    <row r="164" ht="28.5" customHeight="1">
      <c r="A164" s="245"/>
      <c r="B164" s="245"/>
      <c r="C164" s="245"/>
      <c r="D164" s="245"/>
      <c r="E164" s="245"/>
      <c r="F164" s="243"/>
      <c r="G164" s="184"/>
      <c r="H164" s="245"/>
      <c r="I164" s="245"/>
      <c r="J164" s="245"/>
      <c r="K164" s="245"/>
      <c r="L164" s="245"/>
      <c r="M164" s="245"/>
      <c r="N164" s="245"/>
      <c r="O164" s="245"/>
      <c r="P164" s="246"/>
      <c r="Q164" s="246"/>
    </row>
    <row r="165">
      <c r="A165" s="245"/>
      <c r="B165" s="245"/>
      <c r="C165" s="245"/>
      <c r="D165" s="245"/>
      <c r="E165" s="245"/>
      <c r="F165" s="243"/>
      <c r="G165" s="245"/>
      <c r="H165" s="245"/>
      <c r="I165" s="245"/>
      <c r="J165" s="245"/>
      <c r="K165" s="245"/>
      <c r="L165" s="245"/>
      <c r="M165" s="245"/>
      <c r="N165" s="245"/>
      <c r="O165" s="245"/>
      <c r="P165" s="246"/>
      <c r="Q165" s="246"/>
    </row>
    <row r="166">
      <c r="A166" s="245"/>
      <c r="B166" s="245"/>
      <c r="C166" s="245"/>
      <c r="D166" s="245"/>
      <c r="E166" s="245"/>
      <c r="F166" s="243"/>
      <c r="G166" s="245"/>
      <c r="H166" s="245"/>
      <c r="I166" s="245"/>
      <c r="J166" s="245"/>
      <c r="K166" s="245"/>
      <c r="L166" s="245"/>
      <c r="M166" s="245"/>
      <c r="N166" s="245"/>
      <c r="O166" s="245"/>
      <c r="P166" s="246"/>
      <c r="Q166" s="246"/>
    </row>
    <row r="167">
      <c r="A167" s="184"/>
      <c r="B167" s="184"/>
      <c r="C167" s="184"/>
      <c r="D167" s="184"/>
      <c r="E167" s="184"/>
      <c r="F167" s="185"/>
      <c r="G167" s="185"/>
      <c r="H167" s="233"/>
      <c r="I167" s="233"/>
      <c r="J167" s="233"/>
      <c r="K167" s="233"/>
      <c r="L167" s="212"/>
      <c r="M167" s="212"/>
      <c r="N167" s="212"/>
      <c r="O167" s="212"/>
      <c r="P167" s="213"/>
      <c r="Q167" s="213"/>
    </row>
    <row r="168">
      <c r="A168" s="184"/>
      <c r="B168" s="184"/>
      <c r="C168" s="184"/>
      <c r="D168" s="184"/>
      <c r="E168" s="184"/>
      <c r="F168" s="185"/>
      <c r="G168" s="185"/>
      <c r="H168" s="233"/>
      <c r="I168" s="233"/>
      <c r="J168" s="233"/>
      <c r="K168" s="233"/>
      <c r="L168" s="212"/>
      <c r="M168" s="212"/>
      <c r="N168" s="212"/>
      <c r="O168" s="212"/>
      <c r="P168" s="213"/>
      <c r="Q168" s="213"/>
    </row>
    <row r="169">
      <c r="A169" s="184"/>
      <c r="B169" s="184"/>
      <c r="C169" s="184"/>
      <c r="D169" s="184"/>
      <c r="E169" s="184"/>
      <c r="F169" s="185"/>
      <c r="G169" s="185"/>
      <c r="H169" s="233"/>
      <c r="I169" s="233"/>
      <c r="J169" s="233"/>
      <c r="K169" s="233"/>
      <c r="L169" s="212"/>
      <c r="M169" s="212"/>
      <c r="N169" s="212"/>
      <c r="O169" s="212"/>
      <c r="P169" s="213"/>
      <c r="Q169" s="213"/>
    </row>
    <row r="170">
      <c r="A170" s="184"/>
      <c r="B170" s="184"/>
      <c r="C170" s="184"/>
      <c r="D170" s="184"/>
      <c r="E170" s="184"/>
      <c r="F170" s="185"/>
      <c r="G170" s="185"/>
      <c r="H170" s="233"/>
      <c r="I170" s="233"/>
      <c r="J170" s="233"/>
      <c r="K170" s="233"/>
      <c r="L170" s="212"/>
      <c r="M170" s="212"/>
      <c r="N170" s="212"/>
      <c r="O170" s="212"/>
      <c r="P170" s="213"/>
      <c r="Q170" s="213"/>
    </row>
    <row r="171">
      <c r="A171" s="184"/>
      <c r="B171" s="184"/>
      <c r="C171" s="184"/>
      <c r="D171" s="184"/>
      <c r="E171" s="184"/>
      <c r="F171" s="185"/>
      <c r="G171" s="185"/>
      <c r="H171" s="233"/>
      <c r="I171" s="233"/>
      <c r="J171" s="233"/>
      <c r="K171" s="233"/>
      <c r="L171" s="212"/>
      <c r="M171" s="212"/>
      <c r="N171" s="212"/>
      <c r="O171" s="212"/>
      <c r="P171" s="213"/>
      <c r="Q171" s="213"/>
    </row>
    <row r="174">
      <c r="A174" s="245"/>
      <c r="B174" s="245"/>
      <c r="C174" s="245"/>
      <c r="D174" s="245"/>
      <c r="E174" s="245"/>
      <c r="F174" s="243"/>
      <c r="G174" s="245"/>
      <c r="H174" s="245"/>
      <c r="I174" s="245"/>
      <c r="J174" s="245"/>
      <c r="K174" s="245"/>
      <c r="L174" s="245"/>
      <c r="M174" s="245"/>
      <c r="N174" s="245"/>
      <c r="O174" s="245"/>
      <c r="P174" s="246"/>
      <c r="Q174" s="246"/>
    </row>
    <row r="175">
      <c r="A175" s="245"/>
      <c r="B175" s="245"/>
      <c r="C175" s="245"/>
      <c r="D175" s="245"/>
      <c r="E175" s="245"/>
      <c r="F175" s="243"/>
      <c r="G175" s="245"/>
      <c r="H175" s="245"/>
      <c r="I175" s="245"/>
      <c r="J175" s="245"/>
      <c r="K175" s="245"/>
      <c r="L175" s="245"/>
      <c r="M175" s="245"/>
      <c r="N175" s="245"/>
      <c r="O175" s="245"/>
      <c r="P175" s="246"/>
      <c r="Q175" s="246"/>
    </row>
    <row r="176">
      <c r="A176" s="245"/>
      <c r="B176" s="245"/>
      <c r="C176" s="245"/>
      <c r="D176" s="245"/>
      <c r="E176" s="245"/>
      <c r="F176" s="243"/>
      <c r="G176" s="245"/>
      <c r="H176" s="245"/>
      <c r="I176" s="245"/>
      <c r="J176" s="245"/>
      <c r="K176" s="245"/>
      <c r="L176" s="245"/>
      <c r="M176" s="245"/>
      <c r="N176" s="245"/>
      <c r="O176" s="245"/>
      <c r="P176" s="246"/>
      <c r="Q176" s="246"/>
    </row>
    <row r="177">
      <c r="A177" s="245"/>
      <c r="B177" s="245"/>
      <c r="C177" s="245"/>
      <c r="D177" s="245"/>
      <c r="E177" s="245"/>
      <c r="F177" s="243"/>
      <c r="G177" s="245"/>
      <c r="H177" s="245"/>
      <c r="I177" s="245"/>
      <c r="J177" s="245"/>
      <c r="K177" s="245"/>
      <c r="L177" s="245"/>
      <c r="M177" s="245"/>
      <c r="N177" s="245"/>
      <c r="O177" s="245"/>
      <c r="P177" s="246"/>
      <c r="Q177" s="246"/>
    </row>
    <row r="178">
      <c r="A178" s="245"/>
      <c r="B178" s="245"/>
      <c r="C178" s="245"/>
      <c r="D178" s="245"/>
      <c r="E178" s="245"/>
      <c r="F178" s="243"/>
      <c r="G178" s="245"/>
      <c r="H178" s="245"/>
      <c r="I178" s="245"/>
      <c r="J178" s="245"/>
      <c r="K178" s="245"/>
      <c r="L178" s="245"/>
      <c r="M178" s="245"/>
      <c r="N178" s="245"/>
      <c r="O178" s="245"/>
      <c r="P178" s="246"/>
      <c r="Q178" s="246"/>
    </row>
    <row r="179">
      <c r="A179" s="245"/>
      <c r="B179" s="245"/>
      <c r="C179" s="245"/>
      <c r="D179" s="245"/>
      <c r="E179" s="245"/>
      <c r="F179" s="243"/>
      <c r="G179" s="245"/>
      <c r="H179" s="245"/>
      <c r="I179" s="245"/>
      <c r="J179" s="245"/>
      <c r="K179" s="245"/>
      <c r="L179" s="245"/>
      <c r="M179" s="245"/>
      <c r="N179" s="245"/>
      <c r="O179" s="245"/>
      <c r="P179" s="246"/>
      <c r="Q179" s="246"/>
    </row>
    <row r="180">
      <c r="A180" s="245"/>
      <c r="B180" s="245"/>
      <c r="C180" s="245"/>
      <c r="D180" s="245"/>
      <c r="E180" s="245"/>
      <c r="F180" s="243"/>
      <c r="G180" s="245"/>
      <c r="H180" s="245"/>
      <c r="I180" s="245"/>
      <c r="J180" s="245"/>
      <c r="K180" s="245"/>
      <c r="L180" s="245"/>
      <c r="M180" s="245"/>
      <c r="N180" s="245"/>
      <c r="O180" s="245"/>
      <c r="P180" s="246"/>
      <c r="Q180" s="246"/>
    </row>
    <row r="181">
      <c r="A181" s="245"/>
      <c r="B181" s="245"/>
      <c r="C181" s="245"/>
      <c r="D181" s="245"/>
      <c r="E181" s="245"/>
      <c r="F181" s="243"/>
      <c r="G181" s="245"/>
      <c r="H181" s="245"/>
      <c r="I181" s="245"/>
      <c r="J181" s="245"/>
      <c r="K181" s="245"/>
      <c r="L181" s="245"/>
      <c r="M181" s="245"/>
      <c r="N181" s="245"/>
      <c r="O181" s="245"/>
      <c r="P181" s="246"/>
      <c r="Q181" s="246"/>
    </row>
    <row r="182">
      <c r="A182" s="245"/>
      <c r="B182" s="245"/>
      <c r="C182" s="245"/>
      <c r="D182" s="245"/>
      <c r="E182" s="245"/>
      <c r="F182" s="243"/>
      <c r="G182" s="245"/>
      <c r="H182" s="245"/>
      <c r="I182" s="245"/>
      <c r="J182" s="245"/>
      <c r="K182" s="245"/>
      <c r="L182" s="245"/>
      <c r="M182" s="245"/>
      <c r="N182" s="245"/>
      <c r="O182" s="245"/>
      <c r="P182" s="246"/>
      <c r="Q182" s="246"/>
    </row>
    <row r="183">
      <c r="A183" s="245"/>
      <c r="B183" s="245"/>
      <c r="C183" s="245"/>
      <c r="D183" s="245"/>
      <c r="E183" s="245"/>
      <c r="F183" s="243"/>
      <c r="G183" s="245"/>
      <c r="H183" s="245"/>
      <c r="I183" s="245"/>
      <c r="J183" s="245"/>
      <c r="K183" s="245"/>
      <c r="L183" s="245"/>
      <c r="M183" s="245"/>
      <c r="N183" s="245"/>
      <c r="O183" s="245"/>
      <c r="P183" s="246"/>
      <c r="Q183" s="246"/>
    </row>
    <row r="184">
      <c r="A184" s="245"/>
      <c r="B184" s="245"/>
      <c r="C184" s="245"/>
      <c r="D184" s="245"/>
      <c r="E184" s="245"/>
      <c r="F184" s="243"/>
      <c r="G184" s="245"/>
      <c r="H184" s="245"/>
      <c r="I184" s="245"/>
      <c r="J184" s="245"/>
      <c r="K184" s="245"/>
      <c r="L184" s="245"/>
      <c r="M184" s="245"/>
      <c r="N184" s="245"/>
      <c r="O184" s="245"/>
      <c r="P184" s="246"/>
      <c r="Q184" s="246"/>
    </row>
    <row r="185">
      <c r="A185" s="245"/>
      <c r="B185" s="245"/>
      <c r="C185" s="245"/>
      <c r="D185" s="245"/>
      <c r="E185" s="245"/>
      <c r="F185" s="243"/>
      <c r="G185" s="245"/>
      <c r="H185" s="245"/>
      <c r="I185" s="245"/>
      <c r="J185" s="245"/>
      <c r="K185" s="245"/>
      <c r="L185" s="245"/>
      <c r="M185" s="245"/>
      <c r="N185" s="245"/>
      <c r="O185" s="245"/>
      <c r="P185" s="246"/>
      <c r="Q185" s="246"/>
    </row>
    <row r="186">
      <c r="A186" s="245"/>
      <c r="B186" s="245"/>
      <c r="C186" s="245"/>
      <c r="D186" s="245"/>
      <c r="E186" s="245"/>
      <c r="F186" s="243"/>
      <c r="G186" s="245"/>
      <c r="H186" s="245"/>
      <c r="I186" s="245"/>
      <c r="J186" s="245"/>
      <c r="K186" s="245"/>
      <c r="L186" s="245"/>
      <c r="M186" s="245"/>
      <c r="N186" s="245"/>
      <c r="O186" s="245"/>
      <c r="P186" s="246"/>
      <c r="Q186" s="246"/>
    </row>
    <row r="187">
      <c r="A187" s="245"/>
      <c r="B187" s="245"/>
      <c r="C187" s="245"/>
      <c r="D187" s="245"/>
      <c r="E187" s="245"/>
      <c r="F187" s="243"/>
      <c r="G187" s="245"/>
      <c r="H187" s="245"/>
      <c r="I187" s="245"/>
      <c r="J187" s="245"/>
      <c r="K187" s="245"/>
      <c r="L187" s="245"/>
      <c r="M187" s="245"/>
      <c r="N187" s="245"/>
      <c r="O187" s="245"/>
      <c r="P187" s="246"/>
      <c r="Q187" s="246"/>
    </row>
    <row r="188">
      <c r="A188" s="245"/>
      <c r="B188" s="245"/>
      <c r="C188" s="245"/>
      <c r="D188" s="245"/>
      <c r="E188" s="245"/>
      <c r="F188" s="243"/>
      <c r="G188" s="245"/>
      <c r="H188" s="245"/>
      <c r="I188" s="245"/>
      <c r="J188" s="245"/>
      <c r="K188" s="245"/>
      <c r="L188" s="245"/>
      <c r="M188" s="245"/>
      <c r="N188" s="245"/>
      <c r="O188" s="245"/>
      <c r="P188" s="246"/>
      <c r="Q188" s="246"/>
    </row>
    <row r="189">
      <c r="A189" s="245"/>
      <c r="B189" s="245"/>
      <c r="C189" s="245"/>
      <c r="D189" s="245"/>
      <c r="E189" s="245"/>
      <c r="F189" s="243"/>
      <c r="G189" s="245"/>
      <c r="H189" s="245"/>
      <c r="I189" s="245"/>
      <c r="J189" s="245"/>
      <c r="K189" s="245"/>
      <c r="L189" s="245"/>
      <c r="M189" s="245"/>
      <c r="N189" s="245"/>
      <c r="O189" s="245"/>
      <c r="P189" s="246"/>
      <c r="Q189" s="246"/>
    </row>
    <row r="190">
      <c r="A190" s="245"/>
      <c r="B190" s="245"/>
      <c r="C190" s="245"/>
      <c r="D190" s="245"/>
      <c r="E190" s="245"/>
      <c r="F190" s="243"/>
      <c r="G190" s="245"/>
      <c r="H190" s="245"/>
      <c r="I190" s="245"/>
      <c r="J190" s="245"/>
      <c r="K190" s="245"/>
      <c r="L190" s="245"/>
      <c r="M190" s="245"/>
      <c r="N190" s="245"/>
      <c r="O190" s="245"/>
      <c r="P190" s="246"/>
      <c r="Q190" s="246"/>
    </row>
    <row r="191">
      <c r="A191" s="245"/>
      <c r="B191" s="245"/>
      <c r="C191" s="245"/>
      <c r="D191" s="245"/>
      <c r="E191" s="245"/>
      <c r="F191" s="243"/>
      <c r="G191" s="245"/>
      <c r="H191" s="245"/>
      <c r="I191" s="245"/>
      <c r="J191" s="245"/>
      <c r="K191" s="245"/>
      <c r="L191" s="245"/>
      <c r="M191" s="245"/>
      <c r="N191" s="245"/>
      <c r="O191" s="245"/>
      <c r="P191" s="246"/>
      <c r="Q191" s="246"/>
    </row>
    <row r="192">
      <c r="A192" s="245"/>
      <c r="B192" s="245"/>
      <c r="C192" s="245"/>
      <c r="D192" s="245"/>
      <c r="E192" s="245"/>
      <c r="F192" s="243"/>
      <c r="G192" s="245"/>
      <c r="H192" s="245"/>
      <c r="I192" s="245"/>
      <c r="J192" s="245"/>
      <c r="K192" s="245"/>
      <c r="L192" s="245"/>
      <c r="M192" s="245"/>
      <c r="N192" s="245"/>
      <c r="O192" s="245"/>
      <c r="P192" s="246"/>
      <c r="Q192" s="246"/>
    </row>
    <row r="193">
      <c r="A193" s="245"/>
      <c r="B193" s="245"/>
      <c r="C193" s="245"/>
      <c r="D193" s="245"/>
      <c r="E193" s="245"/>
      <c r="F193" s="243"/>
      <c r="G193" s="245"/>
      <c r="H193" s="245"/>
      <c r="I193" s="245"/>
      <c r="J193" s="245"/>
      <c r="K193" s="245"/>
      <c r="L193" s="245"/>
      <c r="M193" s="245"/>
      <c r="N193" s="245"/>
      <c r="O193" s="245"/>
      <c r="P193" s="246"/>
      <c r="Q193" s="246"/>
    </row>
    <row r="194">
      <c r="A194" s="245"/>
      <c r="B194" s="245"/>
      <c r="C194" s="245"/>
      <c r="D194" s="245"/>
      <c r="E194" s="245"/>
      <c r="F194" s="243"/>
      <c r="G194" s="245"/>
      <c r="H194" s="245"/>
      <c r="I194" s="245"/>
      <c r="J194" s="245"/>
      <c r="K194" s="245"/>
      <c r="L194" s="245"/>
      <c r="M194" s="245"/>
      <c r="N194" s="245"/>
      <c r="O194" s="245"/>
      <c r="P194" s="246"/>
      <c r="Q194" s="246"/>
    </row>
    <row r="195">
      <c r="A195" s="245"/>
      <c r="B195" s="245"/>
      <c r="C195" s="245"/>
      <c r="D195" s="245"/>
      <c r="E195" s="245"/>
      <c r="F195" s="243"/>
      <c r="G195" s="245"/>
      <c r="H195" s="245"/>
      <c r="I195" s="245"/>
      <c r="J195" s="245"/>
      <c r="K195" s="245"/>
      <c r="L195" s="245"/>
      <c r="M195" s="245"/>
      <c r="N195" s="245"/>
      <c r="O195" s="245"/>
      <c r="P195" s="246"/>
      <c r="Q195" s="246"/>
    </row>
    <row r="196">
      <c r="A196" s="245"/>
      <c r="B196" s="245"/>
      <c r="C196" s="245"/>
      <c r="D196" s="245"/>
      <c r="E196" s="245"/>
      <c r="F196" s="243"/>
      <c r="G196" s="245"/>
      <c r="H196" s="245"/>
      <c r="I196" s="245"/>
      <c r="J196" s="245"/>
      <c r="K196" s="245"/>
      <c r="L196" s="245"/>
      <c r="M196" s="245"/>
      <c r="N196" s="245"/>
      <c r="O196" s="245"/>
      <c r="P196" s="246"/>
      <c r="Q196" s="246"/>
    </row>
    <row r="197">
      <c r="A197" s="245"/>
      <c r="B197" s="245"/>
      <c r="C197" s="245"/>
      <c r="D197" s="245"/>
      <c r="E197" s="245"/>
      <c r="F197" s="243"/>
      <c r="G197" s="245"/>
      <c r="H197" s="245"/>
      <c r="I197" s="245"/>
      <c r="J197" s="245"/>
      <c r="K197" s="245"/>
      <c r="L197" s="245"/>
      <c r="M197" s="245"/>
      <c r="N197" s="245"/>
      <c r="O197" s="245"/>
      <c r="P197" s="246"/>
      <c r="Q197" s="246"/>
    </row>
    <row r="198">
      <c r="A198" s="245"/>
      <c r="B198" s="245"/>
      <c r="C198" s="245"/>
      <c r="D198" s="245"/>
      <c r="E198" s="245"/>
      <c r="F198" s="243"/>
      <c r="G198" s="245"/>
      <c r="H198" s="245"/>
      <c r="I198" s="245"/>
      <c r="J198" s="245"/>
      <c r="K198" s="245"/>
      <c r="L198" s="245"/>
      <c r="M198" s="245"/>
      <c r="N198" s="245"/>
      <c r="O198" s="245"/>
      <c r="P198" s="246"/>
      <c r="Q198" s="246"/>
    </row>
    <row r="199">
      <c r="A199" s="245"/>
      <c r="B199" s="245"/>
      <c r="C199" s="245"/>
      <c r="D199" s="245"/>
      <c r="E199" s="245"/>
      <c r="F199" s="243"/>
      <c r="G199" s="245"/>
      <c r="H199" s="245"/>
      <c r="I199" s="245"/>
      <c r="J199" s="245"/>
      <c r="K199" s="245"/>
      <c r="L199" s="245"/>
      <c r="M199" s="245"/>
      <c r="N199" s="245"/>
      <c r="O199" s="245"/>
      <c r="P199" s="246"/>
      <c r="Q199" s="246"/>
    </row>
    <row r="200">
      <c r="A200" s="245"/>
      <c r="B200" s="245"/>
      <c r="C200" s="245"/>
      <c r="D200" s="245"/>
      <c r="E200" s="245"/>
      <c r="F200" s="243"/>
      <c r="G200" s="245"/>
      <c r="H200" s="245"/>
      <c r="I200" s="245"/>
      <c r="J200" s="245"/>
      <c r="K200" s="245"/>
      <c r="L200" s="245"/>
      <c r="M200" s="245"/>
      <c r="N200" s="245"/>
      <c r="O200" s="245"/>
      <c r="P200" s="246"/>
      <c r="Q200" s="246"/>
    </row>
    <row r="201">
      <c r="A201" s="245"/>
      <c r="B201" s="245"/>
      <c r="C201" s="245"/>
      <c r="D201" s="245"/>
      <c r="E201" s="245"/>
      <c r="F201" s="243"/>
      <c r="G201" s="245"/>
      <c r="H201" s="245"/>
      <c r="I201" s="245"/>
      <c r="J201" s="245"/>
      <c r="K201" s="245"/>
      <c r="L201" s="245"/>
      <c r="M201" s="245"/>
      <c r="N201" s="245"/>
      <c r="O201" s="245"/>
      <c r="P201" s="246"/>
      <c r="Q201" s="246"/>
    </row>
    <row r="202">
      <c r="A202" s="245"/>
      <c r="B202" s="245"/>
      <c r="C202" s="245"/>
      <c r="D202" s="245"/>
      <c r="E202" s="245"/>
      <c r="F202" s="243"/>
      <c r="G202" s="245"/>
      <c r="H202" s="245"/>
      <c r="I202" s="245"/>
      <c r="J202" s="245"/>
      <c r="K202" s="245"/>
      <c r="L202" s="245"/>
      <c r="M202" s="245"/>
      <c r="N202" s="245"/>
      <c r="O202" s="245"/>
      <c r="P202" s="246"/>
      <c r="Q202" s="246"/>
    </row>
    <row r="203">
      <c r="A203" s="245"/>
      <c r="B203" s="245"/>
      <c r="C203" s="245"/>
      <c r="D203" s="245"/>
      <c r="E203" s="245"/>
      <c r="F203" s="243"/>
      <c r="G203" s="245"/>
      <c r="H203" s="245"/>
      <c r="I203" s="245"/>
      <c r="J203" s="245"/>
      <c r="K203" s="245"/>
      <c r="L203" s="245"/>
      <c r="M203" s="245"/>
      <c r="N203" s="245"/>
      <c r="O203" s="245"/>
      <c r="P203" s="246"/>
      <c r="Q203" s="246"/>
    </row>
    <row r="204">
      <c r="A204" s="245"/>
      <c r="B204" s="245"/>
      <c r="C204" s="245"/>
      <c r="D204" s="245"/>
      <c r="E204" s="245"/>
      <c r="F204" s="243"/>
      <c r="G204" s="245"/>
      <c r="H204" s="245"/>
      <c r="I204" s="245"/>
      <c r="J204" s="245"/>
      <c r="K204" s="245"/>
      <c r="L204" s="245"/>
      <c r="M204" s="245"/>
      <c r="N204" s="245"/>
      <c r="O204" s="245"/>
      <c r="P204" s="246"/>
      <c r="Q204" s="246"/>
    </row>
    <row r="205">
      <c r="A205" s="245"/>
      <c r="B205" s="245"/>
      <c r="C205" s="245"/>
      <c r="D205" s="245"/>
      <c r="E205" s="245"/>
      <c r="F205" s="243"/>
      <c r="G205" s="245"/>
      <c r="H205" s="245"/>
      <c r="I205" s="245"/>
      <c r="J205" s="245"/>
      <c r="K205" s="245"/>
      <c r="L205" s="245"/>
      <c r="M205" s="245"/>
      <c r="N205" s="245"/>
      <c r="O205" s="245"/>
      <c r="P205" s="246"/>
      <c r="Q205" s="246"/>
    </row>
    <row r="206">
      <c r="A206" s="245"/>
      <c r="B206" s="245"/>
      <c r="C206" s="245"/>
      <c r="D206" s="245"/>
      <c r="E206" s="245"/>
      <c r="F206" s="243"/>
      <c r="G206" s="245"/>
      <c r="H206" s="245"/>
      <c r="I206" s="245"/>
      <c r="J206" s="245"/>
      <c r="K206" s="245"/>
      <c r="L206" s="245"/>
      <c r="M206" s="245"/>
      <c r="N206" s="245"/>
      <c r="O206" s="245"/>
      <c r="P206" s="246"/>
      <c r="Q206" s="246"/>
    </row>
    <row r="207">
      <c r="A207" s="245"/>
      <c r="B207" s="245"/>
      <c r="C207" s="245"/>
      <c r="D207" s="245"/>
      <c r="E207" s="245"/>
      <c r="F207" s="243"/>
      <c r="G207" s="245"/>
      <c r="H207" s="245"/>
      <c r="I207" s="245"/>
      <c r="J207" s="245"/>
      <c r="K207" s="245"/>
      <c r="L207" s="245"/>
      <c r="M207" s="245"/>
      <c r="N207" s="245"/>
      <c r="O207" s="245"/>
      <c r="P207" s="246"/>
      <c r="Q207" s="246"/>
    </row>
    <row r="208">
      <c r="A208" s="245"/>
      <c r="B208" s="245"/>
      <c r="C208" s="245"/>
      <c r="D208" s="245"/>
      <c r="E208" s="245"/>
      <c r="F208" s="243"/>
      <c r="G208" s="245"/>
      <c r="H208" s="245"/>
      <c r="I208" s="245"/>
      <c r="J208" s="245"/>
      <c r="K208" s="245"/>
      <c r="L208" s="245"/>
      <c r="M208" s="245"/>
      <c r="N208" s="245"/>
      <c r="O208" s="245"/>
      <c r="P208" s="246"/>
      <c r="Q208" s="246"/>
    </row>
    <row r="209">
      <c r="A209" s="245"/>
      <c r="B209" s="245"/>
      <c r="C209" s="245"/>
      <c r="D209" s="245"/>
      <c r="E209" s="245"/>
      <c r="F209" s="243"/>
      <c r="G209" s="245"/>
      <c r="H209" s="245"/>
      <c r="I209" s="245"/>
      <c r="J209" s="245"/>
      <c r="K209" s="245"/>
      <c r="L209" s="245"/>
      <c r="M209" s="245"/>
      <c r="N209" s="245"/>
      <c r="O209" s="245"/>
      <c r="P209" s="246"/>
      <c r="Q209" s="246"/>
    </row>
    <row r="210">
      <c r="A210" s="245"/>
      <c r="B210" s="245"/>
      <c r="C210" s="245"/>
      <c r="D210" s="245"/>
      <c r="E210" s="245"/>
      <c r="F210" s="243"/>
      <c r="G210" s="245"/>
      <c r="H210" s="245"/>
      <c r="I210" s="245"/>
      <c r="J210" s="245"/>
      <c r="K210" s="245"/>
      <c r="L210" s="245"/>
      <c r="M210" s="245"/>
      <c r="N210" s="245"/>
      <c r="O210" s="245"/>
      <c r="P210" s="246"/>
      <c r="Q210" s="246"/>
    </row>
    <row r="211">
      <c r="A211" s="245"/>
      <c r="B211" s="245"/>
      <c r="C211" s="245"/>
      <c r="D211" s="245"/>
      <c r="E211" s="245"/>
      <c r="F211" s="243"/>
      <c r="G211" s="245"/>
      <c r="H211" s="245"/>
      <c r="I211" s="245"/>
      <c r="J211" s="245"/>
      <c r="K211" s="245"/>
      <c r="L211" s="245"/>
      <c r="M211" s="245"/>
      <c r="N211" s="245"/>
      <c r="O211" s="245"/>
      <c r="P211" s="246"/>
      <c r="Q211" s="246"/>
    </row>
    <row r="212">
      <c r="A212" s="245"/>
      <c r="B212" s="245"/>
      <c r="C212" s="245"/>
      <c r="D212" s="245"/>
      <c r="E212" s="245"/>
      <c r="F212" s="243"/>
      <c r="G212" s="245"/>
      <c r="H212" s="245"/>
      <c r="I212" s="245"/>
      <c r="J212" s="245"/>
      <c r="K212" s="245"/>
      <c r="L212" s="245"/>
      <c r="M212" s="245"/>
      <c r="N212" s="245"/>
      <c r="O212" s="245"/>
      <c r="P212" s="246"/>
      <c r="Q212" s="246"/>
    </row>
    <row r="213">
      <c r="A213" s="245"/>
      <c r="B213" s="245"/>
      <c r="C213" s="245"/>
      <c r="D213" s="245"/>
      <c r="E213" s="245"/>
      <c r="F213" s="243"/>
      <c r="G213" s="245"/>
      <c r="H213" s="245"/>
      <c r="I213" s="245"/>
      <c r="J213" s="245"/>
      <c r="K213" s="245"/>
      <c r="L213" s="245"/>
      <c r="M213" s="245"/>
      <c r="N213" s="245"/>
      <c r="O213" s="245"/>
      <c r="P213" s="246"/>
      <c r="Q213" s="246"/>
    </row>
    <row r="214">
      <c r="A214" s="245"/>
      <c r="B214" s="245"/>
      <c r="C214" s="245"/>
      <c r="D214" s="245"/>
      <c r="E214" s="245"/>
      <c r="F214" s="243"/>
      <c r="G214" s="245"/>
      <c r="H214" s="245"/>
      <c r="I214" s="245"/>
      <c r="J214" s="245"/>
      <c r="K214" s="245"/>
      <c r="L214" s="245"/>
      <c r="M214" s="245"/>
      <c r="N214" s="245"/>
      <c r="O214" s="245"/>
      <c r="P214" s="246"/>
      <c r="Q214" s="246"/>
    </row>
    <row r="215">
      <c r="A215" s="245"/>
      <c r="B215" s="245"/>
      <c r="C215" s="245"/>
      <c r="D215" s="245"/>
      <c r="E215" s="245"/>
      <c r="F215" s="243"/>
      <c r="G215" s="245"/>
      <c r="H215" s="245"/>
      <c r="I215" s="245"/>
      <c r="J215" s="245"/>
      <c r="K215" s="245"/>
      <c r="L215" s="245"/>
      <c r="M215" s="245"/>
      <c r="N215" s="245"/>
      <c r="O215" s="245"/>
      <c r="P215" s="246"/>
      <c r="Q215" s="246"/>
    </row>
    <row r="216">
      <c r="A216" s="245"/>
      <c r="B216" s="245"/>
      <c r="C216" s="245"/>
      <c r="D216" s="245"/>
      <c r="E216" s="245"/>
      <c r="F216" s="243"/>
      <c r="G216" s="245"/>
      <c r="H216" s="245"/>
      <c r="I216" s="245"/>
      <c r="J216" s="245"/>
      <c r="K216" s="245"/>
      <c r="L216" s="245"/>
      <c r="M216" s="245"/>
      <c r="N216" s="245"/>
      <c r="O216" s="245"/>
      <c r="P216" s="246"/>
      <c r="Q216" s="246"/>
    </row>
    <row r="217">
      <c r="A217" s="245"/>
      <c r="B217" s="245"/>
      <c r="C217" s="245"/>
      <c r="D217" s="245"/>
      <c r="E217" s="245"/>
      <c r="F217" s="243"/>
      <c r="G217" s="245"/>
      <c r="H217" s="245"/>
      <c r="I217" s="245"/>
      <c r="J217" s="245"/>
      <c r="K217" s="245"/>
      <c r="L217" s="245"/>
      <c r="M217" s="245"/>
      <c r="N217" s="245"/>
      <c r="O217" s="245"/>
      <c r="P217" s="246"/>
      <c r="Q217" s="246"/>
    </row>
    <row r="218">
      <c r="A218" s="245"/>
      <c r="B218" s="245"/>
      <c r="C218" s="245"/>
      <c r="D218" s="245"/>
      <c r="E218" s="245"/>
      <c r="F218" s="243"/>
      <c r="G218" s="245"/>
      <c r="H218" s="245"/>
      <c r="I218" s="245"/>
      <c r="J218" s="245"/>
      <c r="K218" s="245"/>
      <c r="L218" s="245"/>
      <c r="M218" s="245"/>
      <c r="N218" s="245"/>
      <c r="O218" s="245"/>
      <c r="P218" s="246"/>
      <c r="Q218" s="246"/>
    </row>
    <row r="219">
      <c r="A219" s="245"/>
      <c r="B219" s="245"/>
      <c r="C219" s="245"/>
      <c r="D219" s="245"/>
      <c r="E219" s="245"/>
      <c r="F219" s="243"/>
      <c r="G219" s="245"/>
      <c r="H219" s="245"/>
      <c r="I219" s="245"/>
      <c r="J219" s="245"/>
      <c r="K219" s="245"/>
      <c r="L219" s="245"/>
      <c r="M219" s="245"/>
      <c r="N219" s="245"/>
      <c r="O219" s="245"/>
      <c r="P219" s="246"/>
      <c r="Q219" s="246"/>
    </row>
    <row r="220">
      <c r="A220" s="245"/>
      <c r="B220" s="245"/>
      <c r="C220" s="245"/>
      <c r="D220" s="245"/>
      <c r="E220" s="245"/>
      <c r="F220" s="243"/>
      <c r="G220" s="245"/>
      <c r="H220" s="245"/>
      <c r="I220" s="245"/>
      <c r="J220" s="245"/>
      <c r="K220" s="245"/>
      <c r="L220" s="245"/>
      <c r="M220" s="245"/>
      <c r="N220" s="245"/>
      <c r="O220" s="245"/>
      <c r="P220" s="246"/>
      <c r="Q220" s="246"/>
    </row>
    <row r="221">
      <c r="A221" s="245"/>
      <c r="B221" s="245"/>
      <c r="C221" s="245"/>
      <c r="D221" s="245"/>
      <c r="E221" s="245"/>
      <c r="F221" s="243"/>
      <c r="G221" s="245"/>
      <c r="H221" s="245"/>
      <c r="I221" s="245"/>
      <c r="J221" s="245"/>
      <c r="K221" s="245"/>
      <c r="L221" s="245"/>
      <c r="M221" s="245"/>
      <c r="N221" s="245"/>
      <c r="O221" s="245"/>
      <c r="P221" s="246"/>
      <c r="Q221" s="246"/>
    </row>
    <row r="222">
      <c r="A222" s="245"/>
      <c r="B222" s="245"/>
      <c r="C222" s="245"/>
      <c r="D222" s="245"/>
      <c r="E222" s="245"/>
      <c r="F222" s="243"/>
      <c r="G222" s="245"/>
      <c r="H222" s="245"/>
      <c r="I222" s="245"/>
      <c r="J222" s="245"/>
      <c r="K222" s="245"/>
      <c r="L222" s="245"/>
      <c r="M222" s="245"/>
      <c r="N222" s="245"/>
      <c r="O222" s="245"/>
      <c r="P222" s="246"/>
      <c r="Q222" s="246"/>
    </row>
    <row r="223">
      <c r="A223" s="245"/>
      <c r="B223" s="245"/>
      <c r="C223" s="245"/>
      <c r="D223" s="245"/>
      <c r="E223" s="245"/>
      <c r="F223" s="243"/>
      <c r="G223" s="245"/>
      <c r="H223" s="245"/>
      <c r="I223" s="245"/>
      <c r="J223" s="245"/>
      <c r="K223" s="245"/>
      <c r="L223" s="245"/>
      <c r="M223" s="245"/>
      <c r="N223" s="245"/>
      <c r="O223" s="245"/>
      <c r="P223" s="246"/>
      <c r="Q223" s="246"/>
    </row>
    <row r="224">
      <c r="A224" s="245"/>
      <c r="B224" s="245"/>
      <c r="C224" s="245"/>
      <c r="D224" s="245"/>
      <c r="E224" s="245"/>
      <c r="F224" s="243"/>
      <c r="G224" s="245"/>
      <c r="H224" s="245"/>
      <c r="I224" s="245"/>
      <c r="J224" s="245"/>
      <c r="K224" s="245"/>
      <c r="L224" s="245"/>
      <c r="M224" s="245"/>
      <c r="N224" s="245"/>
      <c r="O224" s="245"/>
      <c r="P224" s="246"/>
      <c r="Q224" s="246"/>
    </row>
    <row r="225">
      <c r="A225" s="245"/>
      <c r="B225" s="245"/>
      <c r="C225" s="245"/>
      <c r="D225" s="245"/>
      <c r="E225" s="245"/>
      <c r="F225" s="243"/>
      <c r="G225" s="245"/>
      <c r="H225" s="245"/>
      <c r="I225" s="245"/>
      <c r="J225" s="245"/>
      <c r="K225" s="245"/>
      <c r="L225" s="245"/>
      <c r="M225" s="245"/>
      <c r="N225" s="245"/>
      <c r="O225" s="245"/>
      <c r="P225" s="246"/>
      <c r="Q225" s="246"/>
    </row>
    <row r="226">
      <c r="A226" s="245"/>
      <c r="B226" s="245"/>
      <c r="C226" s="245"/>
      <c r="D226" s="245"/>
      <c r="E226" s="245"/>
      <c r="F226" s="243"/>
      <c r="G226" s="245"/>
      <c r="H226" s="245"/>
      <c r="I226" s="245"/>
      <c r="J226" s="245"/>
      <c r="K226" s="245"/>
      <c r="L226" s="245"/>
      <c r="M226" s="245"/>
      <c r="N226" s="245"/>
      <c r="O226" s="245"/>
      <c r="P226" s="246"/>
      <c r="Q226" s="246"/>
    </row>
    <row r="227">
      <c r="A227" s="245"/>
      <c r="B227" s="245"/>
      <c r="C227" s="245"/>
      <c r="D227" s="245"/>
      <c r="E227" s="245"/>
      <c r="F227" s="243"/>
      <c r="G227" s="245"/>
      <c r="H227" s="245"/>
      <c r="I227" s="245"/>
      <c r="J227" s="245"/>
      <c r="K227" s="245"/>
      <c r="L227" s="245"/>
      <c r="M227" s="245"/>
      <c r="N227" s="245"/>
      <c r="O227" s="245"/>
      <c r="P227" s="246"/>
      <c r="Q227" s="246"/>
    </row>
    <row r="228">
      <c r="A228" s="245"/>
      <c r="B228" s="245"/>
      <c r="C228" s="245"/>
      <c r="D228" s="245"/>
      <c r="E228" s="245"/>
      <c r="F228" s="243"/>
      <c r="G228" s="245"/>
      <c r="H228" s="245"/>
      <c r="I228" s="245"/>
      <c r="J228" s="245"/>
      <c r="K228" s="245"/>
      <c r="L228" s="245"/>
      <c r="M228" s="245"/>
      <c r="N228" s="245"/>
      <c r="O228" s="245"/>
      <c r="P228" s="246"/>
      <c r="Q228" s="246"/>
    </row>
    <row r="229">
      <c r="A229" s="245"/>
      <c r="B229" s="245"/>
      <c r="C229" s="245"/>
      <c r="D229" s="245"/>
      <c r="E229" s="245"/>
      <c r="F229" s="243"/>
      <c r="G229" s="245"/>
      <c r="H229" s="245"/>
      <c r="I229" s="245"/>
      <c r="J229" s="245"/>
      <c r="K229" s="245"/>
      <c r="L229" s="245"/>
      <c r="M229" s="245"/>
      <c r="N229" s="245"/>
      <c r="O229" s="245"/>
      <c r="P229" s="246"/>
      <c r="Q229" s="246"/>
    </row>
    <row r="230">
      <c r="A230" s="245"/>
      <c r="B230" s="245"/>
      <c r="C230" s="245"/>
      <c r="D230" s="245"/>
      <c r="E230" s="245"/>
      <c r="F230" s="243"/>
      <c r="G230" s="245"/>
      <c r="H230" s="245"/>
      <c r="I230" s="245"/>
      <c r="J230" s="245"/>
      <c r="K230" s="245"/>
      <c r="L230" s="245"/>
      <c r="M230" s="245"/>
      <c r="N230" s="245"/>
      <c r="O230" s="245"/>
      <c r="P230" s="246"/>
      <c r="Q230" s="246"/>
    </row>
    <row r="231">
      <c r="A231" s="245"/>
      <c r="B231" s="245"/>
      <c r="C231" s="245"/>
      <c r="D231" s="245"/>
      <c r="E231" s="245"/>
      <c r="F231" s="243"/>
      <c r="G231" s="245"/>
      <c r="H231" s="245"/>
      <c r="I231" s="245"/>
      <c r="J231" s="245"/>
      <c r="K231" s="245"/>
      <c r="L231" s="245"/>
      <c r="M231" s="245"/>
      <c r="N231" s="245"/>
      <c r="O231" s="245"/>
      <c r="P231" s="246"/>
      <c r="Q231" s="246"/>
    </row>
    <row r="232">
      <c r="A232" s="245"/>
      <c r="B232" s="245"/>
      <c r="C232" s="245"/>
      <c r="D232" s="245"/>
      <c r="E232" s="245"/>
      <c r="F232" s="243"/>
      <c r="G232" s="245"/>
      <c r="H232" s="245"/>
      <c r="I232" s="245"/>
      <c r="J232" s="245"/>
      <c r="K232" s="245"/>
      <c r="L232" s="245"/>
      <c r="M232" s="245"/>
      <c r="N232" s="245"/>
      <c r="O232" s="245"/>
      <c r="P232" s="246"/>
      <c r="Q232" s="246"/>
    </row>
    <row r="233">
      <c r="A233" s="245"/>
      <c r="B233" s="245"/>
      <c r="C233" s="245"/>
      <c r="D233" s="245"/>
      <c r="E233" s="245"/>
      <c r="F233" s="243"/>
      <c r="G233" s="245"/>
      <c r="H233" s="245"/>
      <c r="I233" s="245"/>
      <c r="J233" s="245"/>
      <c r="K233" s="245"/>
      <c r="L233" s="245"/>
      <c r="M233" s="245"/>
      <c r="N233" s="245"/>
      <c r="O233" s="245"/>
      <c r="P233" s="246"/>
      <c r="Q233" s="246"/>
    </row>
    <row r="234">
      <c r="A234" s="245"/>
      <c r="B234" s="245"/>
      <c r="C234" s="245"/>
      <c r="D234" s="245"/>
      <c r="E234" s="245"/>
      <c r="F234" s="243"/>
      <c r="G234" s="245"/>
      <c r="H234" s="245"/>
      <c r="I234" s="245"/>
      <c r="J234" s="245"/>
      <c r="K234" s="245"/>
      <c r="L234" s="245"/>
      <c r="M234" s="245"/>
      <c r="N234" s="245"/>
      <c r="O234" s="245"/>
      <c r="P234" s="246"/>
      <c r="Q234" s="246"/>
    </row>
    <row r="235">
      <c r="A235" s="245"/>
      <c r="B235" s="245"/>
      <c r="C235" s="245"/>
      <c r="D235" s="245"/>
      <c r="E235" s="245"/>
      <c r="F235" s="243"/>
      <c r="G235" s="245"/>
      <c r="H235" s="245"/>
      <c r="I235" s="245"/>
      <c r="J235" s="245"/>
      <c r="K235" s="245"/>
      <c r="L235" s="245"/>
      <c r="M235" s="245"/>
      <c r="N235" s="245"/>
      <c r="O235" s="245"/>
      <c r="P235" s="246"/>
      <c r="Q235" s="246"/>
    </row>
    <row r="236">
      <c r="A236" s="245"/>
      <c r="B236" s="245"/>
      <c r="C236" s="245"/>
      <c r="D236" s="245"/>
      <c r="E236" s="245"/>
      <c r="F236" s="243"/>
      <c r="G236" s="245"/>
      <c r="H236" s="245"/>
      <c r="I236" s="245"/>
      <c r="J236" s="245"/>
      <c r="K236" s="245"/>
      <c r="L236" s="245"/>
      <c r="M236" s="245"/>
      <c r="N236" s="245"/>
      <c r="O236" s="245"/>
      <c r="P236" s="246"/>
      <c r="Q236" s="246"/>
    </row>
    <row r="237">
      <c r="A237" s="245"/>
      <c r="B237" s="245"/>
      <c r="C237" s="245"/>
      <c r="D237" s="245"/>
      <c r="E237" s="245"/>
      <c r="F237" s="243"/>
      <c r="G237" s="245"/>
      <c r="H237" s="245"/>
      <c r="I237" s="245"/>
      <c r="J237" s="245"/>
      <c r="K237" s="245"/>
      <c r="L237" s="245"/>
      <c r="M237" s="245"/>
      <c r="N237" s="245"/>
      <c r="O237" s="245"/>
      <c r="P237" s="246"/>
      <c r="Q237" s="246"/>
    </row>
    <row r="238">
      <c r="A238" s="245"/>
      <c r="B238" s="245"/>
      <c r="C238" s="245"/>
      <c r="D238" s="245"/>
      <c r="E238" s="245"/>
      <c r="F238" s="243"/>
      <c r="G238" s="245"/>
      <c r="H238" s="245"/>
      <c r="I238" s="245"/>
      <c r="J238" s="245"/>
      <c r="K238" s="245"/>
      <c r="L238" s="245"/>
      <c r="M238" s="245"/>
      <c r="N238" s="245"/>
      <c r="O238" s="245"/>
      <c r="P238" s="246"/>
      <c r="Q238" s="246"/>
    </row>
    <row r="239">
      <c r="A239" s="245"/>
      <c r="B239" s="245"/>
      <c r="C239" s="245"/>
      <c r="D239" s="245"/>
      <c r="E239" s="245"/>
      <c r="F239" s="243"/>
      <c r="G239" s="245"/>
      <c r="H239" s="245"/>
      <c r="I239" s="245"/>
      <c r="J239" s="245"/>
      <c r="K239" s="245"/>
      <c r="L239" s="245"/>
      <c r="M239" s="245"/>
      <c r="N239" s="245"/>
      <c r="O239" s="245"/>
      <c r="P239" s="246"/>
      <c r="Q239" s="246"/>
    </row>
    <row r="240">
      <c r="A240" s="245"/>
      <c r="B240" s="245"/>
      <c r="C240" s="245"/>
      <c r="D240" s="245"/>
      <c r="E240" s="245"/>
      <c r="F240" s="243"/>
      <c r="G240" s="245"/>
      <c r="H240" s="245"/>
      <c r="I240" s="245"/>
      <c r="J240" s="245"/>
      <c r="K240" s="245"/>
      <c r="L240" s="245"/>
      <c r="M240" s="245"/>
      <c r="N240" s="245"/>
      <c r="O240" s="245"/>
      <c r="P240" s="246"/>
      <c r="Q240" s="246"/>
    </row>
    <row r="241">
      <c r="A241" s="245"/>
      <c r="B241" s="245"/>
      <c r="C241" s="245"/>
      <c r="D241" s="245"/>
      <c r="E241" s="245"/>
      <c r="F241" s="243"/>
      <c r="G241" s="245"/>
      <c r="H241" s="245"/>
      <c r="I241" s="245"/>
      <c r="J241" s="245"/>
      <c r="K241" s="245"/>
      <c r="L241" s="245"/>
      <c r="M241" s="245"/>
      <c r="N241" s="245"/>
      <c r="O241" s="245"/>
      <c r="P241" s="246"/>
      <c r="Q241" s="246"/>
    </row>
    <row r="242">
      <c r="A242" s="245"/>
      <c r="B242" s="245"/>
      <c r="C242" s="245"/>
      <c r="D242" s="245"/>
      <c r="E242" s="245"/>
      <c r="F242" s="243"/>
      <c r="G242" s="245"/>
      <c r="H242" s="245"/>
      <c r="I242" s="245"/>
      <c r="J242" s="245"/>
      <c r="K242" s="245"/>
      <c r="L242" s="245"/>
      <c r="M242" s="245"/>
      <c r="N242" s="245"/>
      <c r="O242" s="245"/>
      <c r="P242" s="246"/>
      <c r="Q242" s="246"/>
    </row>
    <row r="243">
      <c r="A243" s="245"/>
      <c r="B243" s="245"/>
      <c r="C243" s="245"/>
      <c r="D243" s="245"/>
      <c r="E243" s="245"/>
      <c r="F243" s="243"/>
      <c r="G243" s="245"/>
      <c r="H243" s="245"/>
      <c r="I243" s="245"/>
      <c r="J243" s="245"/>
      <c r="K243" s="245"/>
      <c r="L243" s="245"/>
      <c r="M243" s="245"/>
      <c r="N243" s="245"/>
      <c r="O243" s="245"/>
      <c r="P243" s="246"/>
      <c r="Q243" s="246"/>
    </row>
    <row r="244">
      <c r="A244" s="245"/>
      <c r="B244" s="245"/>
      <c r="C244" s="245"/>
      <c r="D244" s="245"/>
      <c r="E244" s="245"/>
      <c r="F244" s="243"/>
      <c r="G244" s="245"/>
      <c r="H244" s="245"/>
      <c r="I244" s="245"/>
      <c r="J244" s="245"/>
      <c r="K244" s="245"/>
      <c r="L244" s="245"/>
      <c r="M244" s="245"/>
      <c r="N244" s="245"/>
      <c r="O244" s="245"/>
      <c r="P244" s="246"/>
      <c r="Q244" s="246"/>
    </row>
    <row r="245">
      <c r="A245" s="245"/>
      <c r="B245" s="245"/>
      <c r="C245" s="245"/>
      <c r="D245" s="245"/>
      <c r="E245" s="245"/>
      <c r="F245" s="243"/>
      <c r="G245" s="245"/>
      <c r="H245" s="245"/>
      <c r="I245" s="245"/>
      <c r="J245" s="245"/>
      <c r="K245" s="245"/>
      <c r="L245" s="245"/>
      <c r="M245" s="245"/>
      <c r="N245" s="245"/>
      <c r="O245" s="245"/>
      <c r="P245" s="246"/>
      <c r="Q245" s="246"/>
    </row>
    <row r="246">
      <c r="A246" s="245"/>
      <c r="B246" s="245"/>
      <c r="C246" s="245"/>
      <c r="D246" s="245"/>
      <c r="E246" s="245"/>
      <c r="F246" s="243"/>
      <c r="G246" s="245"/>
      <c r="H246" s="245"/>
      <c r="I246" s="245"/>
      <c r="J246" s="245"/>
      <c r="K246" s="245"/>
      <c r="L246" s="245"/>
      <c r="M246" s="245"/>
      <c r="N246" s="245"/>
      <c r="O246" s="245"/>
      <c r="P246" s="246"/>
      <c r="Q246" s="246"/>
    </row>
    <row r="247">
      <c r="A247" s="245"/>
      <c r="B247" s="245"/>
      <c r="C247" s="245"/>
      <c r="D247" s="245"/>
      <c r="E247" s="245"/>
      <c r="F247" s="243"/>
      <c r="G247" s="245"/>
      <c r="H247" s="245"/>
      <c r="I247" s="245"/>
      <c r="J247" s="245"/>
      <c r="K247" s="245"/>
      <c r="L247" s="245"/>
      <c r="M247" s="245"/>
      <c r="N247" s="245"/>
      <c r="O247" s="245"/>
      <c r="P247" s="246"/>
      <c r="Q247" s="246"/>
    </row>
    <row r="248">
      <c r="A248" s="245"/>
      <c r="B248" s="245"/>
      <c r="C248" s="245"/>
      <c r="D248" s="245"/>
      <c r="E248" s="245"/>
      <c r="F248" s="243"/>
      <c r="G248" s="245"/>
      <c r="H248" s="245"/>
      <c r="I248" s="245"/>
      <c r="J248" s="245"/>
      <c r="K248" s="245"/>
      <c r="L248" s="245"/>
      <c r="M248" s="245"/>
      <c r="N248" s="245"/>
      <c r="O248" s="245"/>
      <c r="P248" s="246"/>
      <c r="Q248" s="246"/>
    </row>
    <row r="249">
      <c r="A249" s="245"/>
      <c r="B249" s="245"/>
      <c r="C249" s="245"/>
      <c r="D249" s="245"/>
      <c r="E249" s="245"/>
      <c r="F249" s="243"/>
      <c r="G249" s="245"/>
      <c r="H249" s="245"/>
      <c r="I249" s="245"/>
      <c r="J249" s="245"/>
      <c r="K249" s="245"/>
      <c r="L249" s="245"/>
      <c r="M249" s="245"/>
      <c r="N249" s="245"/>
      <c r="O249" s="245"/>
      <c r="P249" s="246"/>
      <c r="Q249" s="246"/>
    </row>
    <row r="250">
      <c r="A250" s="245"/>
      <c r="B250" s="245"/>
      <c r="C250" s="245"/>
      <c r="D250" s="245"/>
      <c r="E250" s="245"/>
      <c r="F250" s="243"/>
      <c r="G250" s="245"/>
      <c r="H250" s="245"/>
      <c r="I250" s="245"/>
      <c r="J250" s="245"/>
      <c r="K250" s="245"/>
      <c r="L250" s="245"/>
      <c r="M250" s="245"/>
      <c r="N250" s="245"/>
      <c r="O250" s="245"/>
      <c r="P250" s="246"/>
      <c r="Q250" s="246"/>
    </row>
    <row r="251">
      <c r="A251" s="245"/>
      <c r="B251" s="245"/>
      <c r="C251" s="245"/>
      <c r="D251" s="245"/>
      <c r="E251" s="245"/>
      <c r="F251" s="243"/>
      <c r="G251" s="245"/>
      <c r="H251" s="245"/>
      <c r="I251" s="245"/>
      <c r="J251" s="245"/>
      <c r="K251" s="245"/>
      <c r="L251" s="245"/>
      <c r="M251" s="245"/>
      <c r="N251" s="245"/>
      <c r="O251" s="245"/>
      <c r="P251" s="246"/>
      <c r="Q251" s="246"/>
    </row>
    <row r="252">
      <c r="A252" s="245"/>
      <c r="B252" s="245"/>
      <c r="C252" s="245"/>
      <c r="D252" s="245"/>
      <c r="E252" s="245"/>
      <c r="F252" s="243"/>
      <c r="G252" s="245"/>
      <c r="H252" s="245"/>
      <c r="I252" s="245"/>
      <c r="J252" s="245"/>
      <c r="K252" s="245"/>
      <c r="L252" s="245"/>
      <c r="M252" s="245"/>
      <c r="N252" s="245"/>
      <c r="O252" s="245"/>
      <c r="P252" s="246"/>
      <c r="Q252" s="246"/>
    </row>
    <row r="253">
      <c r="A253" s="245"/>
      <c r="B253" s="245"/>
      <c r="C253" s="245"/>
      <c r="D253" s="245"/>
      <c r="E253" s="245"/>
      <c r="F253" s="243"/>
      <c r="G253" s="245"/>
      <c r="H253" s="245"/>
      <c r="I253" s="245"/>
      <c r="J253" s="245"/>
      <c r="K253" s="245"/>
      <c r="L253" s="245"/>
      <c r="M253" s="245"/>
      <c r="N253" s="245"/>
      <c r="O253" s="245"/>
      <c r="P253" s="246"/>
      <c r="Q253" s="246"/>
    </row>
    <row r="254">
      <c r="A254" s="245"/>
      <c r="B254" s="245"/>
      <c r="C254" s="245"/>
      <c r="D254" s="245"/>
      <c r="E254" s="245"/>
      <c r="F254" s="243"/>
      <c r="G254" s="245"/>
      <c r="H254" s="245"/>
      <c r="I254" s="245"/>
      <c r="J254" s="245"/>
      <c r="K254" s="245"/>
      <c r="L254" s="245"/>
      <c r="M254" s="245"/>
      <c r="N254" s="245"/>
      <c r="O254" s="245"/>
      <c r="P254" s="246"/>
      <c r="Q254" s="246"/>
    </row>
    <row r="255">
      <c r="A255" s="245"/>
      <c r="B255" s="245"/>
      <c r="C255" s="245"/>
      <c r="D255" s="245"/>
      <c r="E255" s="245"/>
      <c r="F255" s="243"/>
      <c r="G255" s="245"/>
      <c r="H255" s="245"/>
      <c r="I255" s="245"/>
      <c r="J255" s="245"/>
      <c r="K255" s="245"/>
      <c r="L255" s="245"/>
      <c r="M255" s="245"/>
      <c r="N255" s="245"/>
      <c r="O255" s="245"/>
      <c r="P255" s="246"/>
      <c r="Q255" s="246"/>
    </row>
    <row r="256">
      <c r="A256" s="245"/>
      <c r="B256" s="245"/>
      <c r="C256" s="245"/>
      <c r="D256" s="245"/>
      <c r="E256" s="245"/>
      <c r="F256" s="243"/>
      <c r="G256" s="245"/>
      <c r="H256" s="245"/>
      <c r="I256" s="245"/>
      <c r="J256" s="245"/>
      <c r="K256" s="245"/>
      <c r="L256" s="245"/>
      <c r="M256" s="245"/>
      <c r="N256" s="245"/>
      <c r="O256" s="245"/>
      <c r="P256" s="246"/>
      <c r="Q256" s="246"/>
    </row>
    <row r="257">
      <c r="A257" s="245"/>
      <c r="B257" s="245"/>
      <c r="C257" s="245"/>
      <c r="D257" s="245"/>
      <c r="E257" s="245"/>
      <c r="F257" s="243"/>
      <c r="G257" s="245"/>
      <c r="H257" s="245"/>
      <c r="I257" s="245"/>
      <c r="J257" s="245"/>
      <c r="K257" s="245"/>
      <c r="L257" s="245"/>
      <c r="M257" s="245"/>
      <c r="N257" s="245"/>
      <c r="O257" s="245"/>
      <c r="P257" s="246"/>
      <c r="Q257" s="246"/>
    </row>
    <row r="258">
      <c r="A258" s="245"/>
      <c r="B258" s="245"/>
      <c r="C258" s="245"/>
      <c r="D258" s="245"/>
      <c r="E258" s="245"/>
      <c r="F258" s="243"/>
      <c r="G258" s="245"/>
      <c r="H258" s="245"/>
      <c r="I258" s="245"/>
      <c r="J258" s="245"/>
      <c r="K258" s="245"/>
      <c r="L258" s="245"/>
      <c r="M258" s="245"/>
      <c r="N258" s="245"/>
      <c r="O258" s="245"/>
      <c r="P258" s="246"/>
      <c r="Q258" s="246"/>
    </row>
    <row r="259">
      <c r="A259" s="245"/>
      <c r="B259" s="245"/>
      <c r="C259" s="245"/>
      <c r="D259" s="245"/>
      <c r="E259" s="245"/>
      <c r="F259" s="243"/>
      <c r="G259" s="245"/>
      <c r="H259" s="245"/>
      <c r="I259" s="245"/>
      <c r="J259" s="245"/>
      <c r="K259" s="245"/>
      <c r="L259" s="245"/>
      <c r="M259" s="245"/>
      <c r="N259" s="245"/>
      <c r="O259" s="245"/>
      <c r="P259" s="246"/>
      <c r="Q259" s="246"/>
    </row>
    <row r="260">
      <c r="A260" s="245"/>
      <c r="B260" s="245"/>
      <c r="C260" s="245"/>
      <c r="D260" s="245"/>
      <c r="E260" s="245"/>
      <c r="F260" s="243"/>
      <c r="G260" s="245"/>
      <c r="H260" s="245"/>
      <c r="I260" s="245"/>
      <c r="J260" s="245"/>
      <c r="K260" s="245"/>
      <c r="L260" s="245"/>
      <c r="M260" s="245"/>
      <c r="N260" s="245"/>
      <c r="O260" s="245"/>
      <c r="P260" s="246"/>
      <c r="Q260" s="246"/>
    </row>
    <row r="261">
      <c r="A261" s="245"/>
      <c r="B261" s="245"/>
      <c r="C261" s="245"/>
      <c r="D261" s="245"/>
      <c r="E261" s="245"/>
      <c r="F261" s="243"/>
      <c r="G261" s="245"/>
      <c r="H261" s="245"/>
      <c r="I261" s="245"/>
      <c r="J261" s="245"/>
      <c r="K261" s="245"/>
      <c r="L261" s="245"/>
      <c r="M261" s="245"/>
      <c r="N261" s="245"/>
      <c r="O261" s="245"/>
      <c r="P261" s="246"/>
      <c r="Q261" s="246"/>
    </row>
    <row r="262">
      <c r="A262" s="245"/>
      <c r="B262" s="245"/>
      <c r="C262" s="245"/>
      <c r="D262" s="245"/>
      <c r="E262" s="245"/>
      <c r="F262" s="243"/>
      <c r="G262" s="245"/>
      <c r="H262" s="245"/>
      <c r="I262" s="245"/>
      <c r="J262" s="245"/>
      <c r="K262" s="245"/>
      <c r="L262" s="245"/>
      <c r="M262" s="245"/>
      <c r="N262" s="245"/>
      <c r="O262" s="245"/>
      <c r="P262" s="246"/>
      <c r="Q262" s="246"/>
    </row>
    <row r="263">
      <c r="A263" s="245"/>
      <c r="B263" s="245"/>
      <c r="C263" s="245"/>
      <c r="D263" s="245"/>
      <c r="E263" s="245"/>
      <c r="F263" s="243"/>
      <c r="G263" s="245"/>
      <c r="H263" s="245"/>
      <c r="I263" s="245"/>
      <c r="J263" s="245"/>
      <c r="K263" s="245"/>
      <c r="L263" s="245"/>
      <c r="M263" s="245"/>
      <c r="N263" s="245"/>
      <c r="O263" s="245"/>
      <c r="P263" s="246"/>
      <c r="Q263" s="246"/>
    </row>
    <row r="264">
      <c r="A264" s="245"/>
      <c r="B264" s="245"/>
      <c r="C264" s="245"/>
      <c r="D264" s="245"/>
      <c r="E264" s="245"/>
      <c r="F264" s="243"/>
      <c r="G264" s="245"/>
      <c r="H264" s="245"/>
      <c r="I264" s="245"/>
      <c r="J264" s="245"/>
      <c r="K264" s="245"/>
      <c r="L264" s="245"/>
      <c r="M264" s="245"/>
      <c r="N264" s="245"/>
      <c r="O264" s="245"/>
      <c r="P264" s="246"/>
      <c r="Q264" s="246"/>
    </row>
    <row r="265">
      <c r="A265" s="245"/>
      <c r="B265" s="245"/>
      <c r="C265" s="245"/>
      <c r="D265" s="245"/>
      <c r="E265" s="245"/>
      <c r="F265" s="243"/>
      <c r="G265" s="245"/>
      <c r="H265" s="245"/>
      <c r="I265" s="245"/>
      <c r="J265" s="245"/>
      <c r="K265" s="245"/>
      <c r="L265" s="245"/>
      <c r="M265" s="245"/>
      <c r="N265" s="245"/>
      <c r="O265" s="245"/>
      <c r="P265" s="246"/>
      <c r="Q265" s="246"/>
    </row>
    <row r="266">
      <c r="A266" s="245"/>
      <c r="B266" s="245"/>
      <c r="C266" s="245"/>
      <c r="D266" s="245"/>
      <c r="E266" s="245"/>
      <c r="F266" s="243"/>
      <c r="G266" s="245"/>
      <c r="H266" s="245"/>
      <c r="I266" s="245"/>
      <c r="J266" s="245"/>
      <c r="K266" s="245"/>
      <c r="L266" s="245"/>
      <c r="M266" s="245"/>
      <c r="N266" s="245"/>
      <c r="O266" s="245"/>
      <c r="P266" s="246"/>
      <c r="Q266" s="246"/>
    </row>
    <row r="267">
      <c r="A267" s="245"/>
      <c r="B267" s="245"/>
      <c r="C267" s="245"/>
      <c r="D267" s="245"/>
      <c r="E267" s="245"/>
      <c r="F267" s="243"/>
      <c r="G267" s="245"/>
      <c r="H267" s="245"/>
      <c r="I267" s="245"/>
      <c r="J267" s="245"/>
      <c r="K267" s="245"/>
      <c r="L267" s="245"/>
      <c r="M267" s="245"/>
      <c r="N267" s="245"/>
      <c r="O267" s="245"/>
      <c r="P267" s="246"/>
      <c r="Q267" s="246"/>
    </row>
    <row r="268">
      <c r="A268" s="245"/>
      <c r="B268" s="245"/>
      <c r="C268" s="245"/>
      <c r="D268" s="245"/>
      <c r="E268" s="245"/>
      <c r="F268" s="243"/>
      <c r="G268" s="245"/>
      <c r="H268" s="245"/>
      <c r="I268" s="245"/>
      <c r="J268" s="245"/>
      <c r="K268" s="245"/>
      <c r="L268" s="245"/>
      <c r="M268" s="245"/>
      <c r="N268" s="245"/>
      <c r="O268" s="245"/>
      <c r="P268" s="246"/>
      <c r="Q268" s="246"/>
    </row>
    <row r="269">
      <c r="A269" s="245"/>
      <c r="B269" s="245"/>
      <c r="C269" s="245"/>
      <c r="D269" s="245"/>
      <c r="E269" s="245"/>
      <c r="F269" s="243"/>
      <c r="G269" s="245"/>
      <c r="H269" s="245"/>
      <c r="I269" s="245"/>
      <c r="J269" s="245"/>
      <c r="K269" s="245"/>
      <c r="L269" s="245"/>
      <c r="M269" s="245"/>
      <c r="N269" s="245"/>
      <c r="O269" s="245"/>
      <c r="P269" s="246"/>
      <c r="Q269" s="246"/>
    </row>
    <row r="270">
      <c r="A270" s="245"/>
      <c r="B270" s="245"/>
      <c r="C270" s="245"/>
      <c r="D270" s="245"/>
      <c r="E270" s="245"/>
      <c r="F270" s="243"/>
      <c r="G270" s="245"/>
      <c r="H270" s="245"/>
      <c r="I270" s="245"/>
      <c r="J270" s="245"/>
      <c r="K270" s="245"/>
      <c r="L270" s="245"/>
      <c r="M270" s="245"/>
      <c r="N270" s="245"/>
      <c r="O270" s="245"/>
      <c r="P270" s="246"/>
      <c r="Q270" s="246"/>
    </row>
    <row r="271">
      <c r="A271" s="245"/>
      <c r="B271" s="245"/>
      <c r="C271" s="245"/>
      <c r="D271" s="245"/>
      <c r="E271" s="245"/>
      <c r="F271" s="243"/>
      <c r="G271" s="245"/>
      <c r="H271" s="245"/>
      <c r="I271" s="245"/>
      <c r="J271" s="245"/>
      <c r="K271" s="245"/>
      <c r="L271" s="245"/>
      <c r="M271" s="245"/>
      <c r="N271" s="245"/>
      <c r="O271" s="245"/>
      <c r="P271" s="246"/>
      <c r="Q271" s="246"/>
    </row>
    <row r="272">
      <c r="A272" s="245"/>
      <c r="B272" s="245"/>
      <c r="C272" s="245"/>
      <c r="D272" s="245"/>
      <c r="E272" s="245"/>
      <c r="F272" s="243"/>
      <c r="G272" s="245"/>
      <c r="H272" s="245"/>
      <c r="I272" s="245"/>
      <c r="J272" s="245"/>
      <c r="K272" s="245"/>
      <c r="L272" s="245"/>
      <c r="M272" s="245"/>
      <c r="N272" s="245"/>
      <c r="O272" s="245"/>
      <c r="P272" s="246"/>
      <c r="Q272" s="246"/>
    </row>
    <row r="273">
      <c r="A273" s="245"/>
      <c r="B273" s="245"/>
      <c r="C273" s="245"/>
      <c r="D273" s="245"/>
      <c r="E273" s="245"/>
      <c r="F273" s="243"/>
      <c r="G273" s="245"/>
      <c r="H273" s="245"/>
      <c r="I273" s="245"/>
      <c r="J273" s="245"/>
      <c r="K273" s="245"/>
      <c r="L273" s="245"/>
      <c r="M273" s="245"/>
      <c r="N273" s="245"/>
      <c r="O273" s="245"/>
      <c r="P273" s="246"/>
      <c r="Q273" s="246"/>
    </row>
    <row r="274">
      <c r="A274" s="245"/>
      <c r="B274" s="245"/>
      <c r="C274" s="245"/>
      <c r="D274" s="245"/>
      <c r="E274" s="245"/>
      <c r="F274" s="243"/>
      <c r="G274" s="245"/>
      <c r="H274" s="245"/>
      <c r="I274" s="245"/>
      <c r="J274" s="245"/>
      <c r="K274" s="245"/>
      <c r="L274" s="245"/>
      <c r="M274" s="245"/>
      <c r="N274" s="245"/>
      <c r="O274" s="245"/>
      <c r="P274" s="246"/>
      <c r="Q274" s="246"/>
    </row>
    <row r="275">
      <c r="A275" s="245"/>
      <c r="B275" s="245"/>
      <c r="C275" s="245"/>
      <c r="D275" s="245"/>
      <c r="E275" s="245"/>
      <c r="F275" s="243"/>
      <c r="G275" s="245"/>
      <c r="H275" s="245"/>
      <c r="I275" s="245"/>
      <c r="J275" s="245"/>
      <c r="K275" s="245"/>
      <c r="L275" s="245"/>
      <c r="M275" s="245"/>
      <c r="N275" s="245"/>
      <c r="O275" s="245"/>
      <c r="P275" s="246"/>
      <c r="Q275" s="246"/>
    </row>
    <row r="276">
      <c r="A276" s="245"/>
      <c r="B276" s="245"/>
      <c r="C276" s="245"/>
      <c r="D276" s="245"/>
      <c r="E276" s="245"/>
      <c r="F276" s="243"/>
      <c r="G276" s="245"/>
      <c r="H276" s="245"/>
      <c r="I276" s="245"/>
      <c r="J276" s="245"/>
      <c r="K276" s="245"/>
      <c r="L276" s="245"/>
      <c r="M276" s="245"/>
      <c r="N276" s="245"/>
      <c r="O276" s="245"/>
      <c r="P276" s="246"/>
      <c r="Q276" s="246"/>
    </row>
    <row r="277">
      <c r="A277" s="245"/>
      <c r="B277" s="245"/>
      <c r="C277" s="245"/>
      <c r="D277" s="245"/>
      <c r="E277" s="245"/>
      <c r="F277" s="243"/>
      <c r="G277" s="245"/>
      <c r="H277" s="245"/>
      <c r="I277" s="245"/>
      <c r="J277" s="245"/>
      <c r="K277" s="245"/>
      <c r="L277" s="245"/>
      <c r="M277" s="245"/>
      <c r="N277" s="245"/>
      <c r="O277" s="245"/>
      <c r="P277" s="246"/>
      <c r="Q277" s="246"/>
    </row>
    <row r="278">
      <c r="A278" s="245"/>
      <c r="B278" s="245"/>
      <c r="C278" s="245"/>
      <c r="D278" s="245"/>
      <c r="E278" s="245"/>
      <c r="F278" s="243"/>
      <c r="G278" s="245"/>
      <c r="H278" s="245"/>
      <c r="I278" s="245"/>
      <c r="J278" s="245"/>
      <c r="K278" s="245"/>
      <c r="L278" s="245"/>
      <c r="M278" s="245"/>
      <c r="N278" s="245"/>
      <c r="O278" s="245"/>
      <c r="P278" s="246"/>
      <c r="Q278" s="246"/>
    </row>
    <row r="279">
      <c r="A279" s="245"/>
      <c r="B279" s="245"/>
      <c r="C279" s="245"/>
      <c r="D279" s="245"/>
      <c r="E279" s="245"/>
      <c r="F279" s="243"/>
      <c r="G279" s="245"/>
      <c r="H279" s="245"/>
      <c r="I279" s="245"/>
      <c r="J279" s="245"/>
      <c r="K279" s="245"/>
      <c r="L279" s="245"/>
      <c r="M279" s="245"/>
      <c r="N279" s="245"/>
      <c r="O279" s="245"/>
      <c r="P279" s="246"/>
      <c r="Q279" s="246"/>
    </row>
    <row r="280">
      <c r="A280" s="245"/>
      <c r="B280" s="245"/>
      <c r="C280" s="245"/>
      <c r="D280" s="245"/>
      <c r="E280" s="245"/>
      <c r="F280" s="243"/>
      <c r="G280" s="245"/>
      <c r="H280" s="245"/>
      <c r="I280" s="245"/>
      <c r="J280" s="245"/>
      <c r="K280" s="245"/>
      <c r="L280" s="245"/>
      <c r="M280" s="245"/>
      <c r="N280" s="245"/>
      <c r="O280" s="245"/>
      <c r="P280" s="246"/>
      <c r="Q280" s="246"/>
    </row>
    <row r="281">
      <c r="A281" s="245"/>
      <c r="B281" s="245"/>
      <c r="C281" s="245"/>
      <c r="D281" s="245"/>
      <c r="E281" s="245"/>
      <c r="F281" s="243"/>
      <c r="G281" s="245"/>
      <c r="H281" s="245"/>
      <c r="I281" s="245"/>
      <c r="J281" s="245"/>
      <c r="K281" s="245"/>
      <c r="L281" s="245"/>
      <c r="M281" s="245"/>
      <c r="N281" s="245"/>
      <c r="O281" s="245"/>
      <c r="P281" s="246"/>
      <c r="Q281" s="246"/>
    </row>
    <row r="282">
      <c r="A282" s="245"/>
      <c r="B282" s="245"/>
      <c r="C282" s="245"/>
      <c r="D282" s="245"/>
      <c r="E282" s="245"/>
      <c r="F282" s="243"/>
      <c r="G282" s="245"/>
      <c r="H282" s="245"/>
      <c r="I282" s="245"/>
      <c r="J282" s="245"/>
      <c r="K282" s="245"/>
      <c r="L282" s="245"/>
      <c r="M282" s="245"/>
      <c r="N282" s="245"/>
      <c r="O282" s="245"/>
      <c r="P282" s="246"/>
      <c r="Q282" s="246"/>
    </row>
    <row r="283">
      <c r="A283" s="245"/>
      <c r="B283" s="245"/>
      <c r="C283" s="245"/>
      <c r="D283" s="245"/>
      <c r="E283" s="245"/>
      <c r="F283" s="243"/>
      <c r="G283" s="245"/>
      <c r="H283" s="245"/>
      <c r="I283" s="245"/>
      <c r="J283" s="245"/>
      <c r="K283" s="245"/>
      <c r="L283" s="245"/>
      <c r="M283" s="245"/>
      <c r="N283" s="245"/>
      <c r="O283" s="245"/>
      <c r="P283" s="246"/>
      <c r="Q283" s="246"/>
    </row>
    <row r="284">
      <c r="A284" s="245"/>
      <c r="B284" s="245"/>
      <c r="C284" s="245"/>
      <c r="D284" s="245"/>
      <c r="E284" s="245"/>
      <c r="F284" s="243"/>
      <c r="G284" s="245"/>
      <c r="H284" s="245"/>
      <c r="I284" s="245"/>
      <c r="J284" s="245"/>
      <c r="K284" s="245"/>
      <c r="L284" s="245"/>
      <c r="M284" s="245"/>
      <c r="N284" s="245"/>
      <c r="O284" s="245"/>
      <c r="P284" s="246"/>
      <c r="Q284" s="246"/>
    </row>
    <row r="285">
      <c r="A285" s="245"/>
      <c r="B285" s="245"/>
      <c r="C285" s="245"/>
      <c r="D285" s="245"/>
      <c r="E285" s="245"/>
      <c r="F285" s="243"/>
      <c r="G285" s="245"/>
      <c r="H285" s="245"/>
      <c r="I285" s="245"/>
      <c r="J285" s="245"/>
      <c r="K285" s="245"/>
      <c r="L285" s="245"/>
      <c r="M285" s="245"/>
      <c r="N285" s="245"/>
      <c r="O285" s="245"/>
      <c r="P285" s="246"/>
      <c r="Q285" s="246"/>
    </row>
    <row r="286">
      <c r="A286" s="245"/>
      <c r="B286" s="245"/>
      <c r="C286" s="245"/>
      <c r="D286" s="245"/>
      <c r="E286" s="245"/>
      <c r="F286" s="243"/>
      <c r="G286" s="245"/>
      <c r="H286" s="245"/>
      <c r="I286" s="245"/>
      <c r="J286" s="245"/>
      <c r="K286" s="245"/>
      <c r="L286" s="245"/>
      <c r="M286" s="245"/>
      <c r="N286" s="245"/>
      <c r="O286" s="245"/>
      <c r="P286" s="246"/>
      <c r="Q286" s="246"/>
    </row>
    <row r="287">
      <c r="A287" s="245"/>
      <c r="B287" s="245"/>
      <c r="C287" s="245"/>
      <c r="D287" s="245"/>
      <c r="E287" s="245"/>
      <c r="F287" s="243"/>
      <c r="G287" s="245"/>
      <c r="H287" s="245"/>
      <c r="I287" s="245"/>
      <c r="J287" s="245"/>
      <c r="K287" s="245"/>
      <c r="L287" s="245"/>
      <c r="M287" s="245"/>
      <c r="N287" s="245"/>
      <c r="O287" s="245"/>
      <c r="P287" s="246"/>
      <c r="Q287" s="246"/>
    </row>
    <row r="288">
      <c r="A288" s="245"/>
      <c r="B288" s="245"/>
      <c r="C288" s="245"/>
      <c r="D288" s="245"/>
      <c r="E288" s="245"/>
      <c r="F288" s="243"/>
      <c r="G288" s="245"/>
      <c r="H288" s="245"/>
      <c r="I288" s="245"/>
      <c r="J288" s="245"/>
      <c r="K288" s="245"/>
      <c r="L288" s="245"/>
      <c r="M288" s="245"/>
      <c r="N288" s="245"/>
      <c r="O288" s="245"/>
      <c r="P288" s="246"/>
      <c r="Q288" s="246"/>
    </row>
    <row r="289">
      <c r="A289" s="245"/>
      <c r="B289" s="245"/>
      <c r="C289" s="245"/>
      <c r="D289" s="245"/>
      <c r="E289" s="245"/>
      <c r="F289" s="243"/>
      <c r="G289" s="245"/>
      <c r="H289" s="245"/>
      <c r="I289" s="245"/>
      <c r="J289" s="245"/>
      <c r="K289" s="245"/>
      <c r="L289" s="245"/>
      <c r="M289" s="245"/>
      <c r="N289" s="245"/>
      <c r="O289" s="245"/>
      <c r="P289" s="246"/>
      <c r="Q289" s="246"/>
    </row>
    <row r="290">
      <c r="A290" s="245"/>
      <c r="B290" s="245"/>
      <c r="C290" s="245"/>
      <c r="D290" s="245"/>
      <c r="E290" s="245"/>
      <c r="F290" s="243"/>
      <c r="G290" s="245"/>
      <c r="H290" s="245"/>
      <c r="I290" s="245"/>
      <c r="J290" s="245"/>
      <c r="K290" s="245"/>
      <c r="L290" s="245"/>
      <c r="M290" s="245"/>
      <c r="N290" s="245"/>
      <c r="O290" s="245"/>
      <c r="P290" s="246"/>
      <c r="Q290" s="246"/>
    </row>
    <row r="291">
      <c r="A291" s="245"/>
      <c r="B291" s="245"/>
      <c r="C291" s="245"/>
      <c r="D291" s="245"/>
      <c r="E291" s="245"/>
      <c r="F291" s="243"/>
      <c r="G291" s="245"/>
      <c r="H291" s="245"/>
      <c r="I291" s="245"/>
      <c r="J291" s="245"/>
      <c r="K291" s="245"/>
      <c r="L291" s="245"/>
      <c r="M291" s="245"/>
      <c r="N291" s="245"/>
      <c r="O291" s="245"/>
      <c r="P291" s="246"/>
      <c r="Q291" s="246"/>
    </row>
    <row r="292">
      <c r="A292" s="245"/>
      <c r="B292" s="245"/>
      <c r="C292" s="245"/>
      <c r="D292" s="245"/>
      <c r="E292" s="245"/>
      <c r="F292" s="243"/>
      <c r="G292" s="245"/>
      <c r="H292" s="245"/>
      <c r="I292" s="245"/>
      <c r="J292" s="245"/>
      <c r="K292" s="245"/>
      <c r="L292" s="245"/>
      <c r="M292" s="245"/>
      <c r="N292" s="245"/>
      <c r="O292" s="245"/>
      <c r="P292" s="246"/>
      <c r="Q292" s="246"/>
    </row>
    <row r="293">
      <c r="A293" s="245"/>
      <c r="B293" s="245"/>
      <c r="C293" s="245"/>
      <c r="D293" s="245"/>
      <c r="E293" s="245"/>
      <c r="F293" s="243"/>
      <c r="G293" s="245"/>
      <c r="H293" s="245"/>
      <c r="I293" s="245"/>
      <c r="J293" s="245"/>
      <c r="K293" s="245"/>
      <c r="L293" s="245"/>
      <c r="M293" s="245"/>
      <c r="N293" s="245"/>
      <c r="O293" s="245"/>
      <c r="P293" s="246"/>
      <c r="Q293" s="246"/>
    </row>
    <row r="294">
      <c r="A294" s="245"/>
      <c r="B294" s="245"/>
      <c r="C294" s="245"/>
      <c r="D294" s="245"/>
      <c r="E294" s="245"/>
      <c r="F294" s="243"/>
      <c r="G294" s="245"/>
      <c r="H294" s="245"/>
      <c r="I294" s="245"/>
      <c r="J294" s="245"/>
      <c r="K294" s="245"/>
      <c r="L294" s="245"/>
      <c r="M294" s="245"/>
      <c r="N294" s="245"/>
      <c r="O294" s="245"/>
      <c r="P294" s="246"/>
      <c r="Q294" s="246"/>
    </row>
    <row r="295">
      <c r="A295" s="245"/>
      <c r="B295" s="245"/>
      <c r="C295" s="245"/>
      <c r="D295" s="245"/>
      <c r="E295" s="245"/>
      <c r="F295" s="243"/>
      <c r="G295" s="245"/>
      <c r="H295" s="245"/>
      <c r="I295" s="245"/>
      <c r="J295" s="245"/>
      <c r="K295" s="245"/>
      <c r="L295" s="245"/>
      <c r="M295" s="245"/>
      <c r="N295" s="245"/>
      <c r="O295" s="245"/>
      <c r="P295" s="246"/>
      <c r="Q295" s="246"/>
    </row>
    <row r="296">
      <c r="A296" s="245"/>
      <c r="B296" s="245"/>
      <c r="C296" s="245"/>
      <c r="D296" s="245"/>
      <c r="E296" s="245"/>
      <c r="F296" s="243"/>
      <c r="G296" s="245"/>
      <c r="H296" s="245"/>
      <c r="I296" s="245"/>
      <c r="J296" s="245"/>
      <c r="K296" s="245"/>
      <c r="L296" s="245"/>
      <c r="M296" s="245"/>
      <c r="N296" s="245"/>
      <c r="O296" s="245"/>
      <c r="P296" s="246"/>
      <c r="Q296" s="246"/>
    </row>
    <row r="297">
      <c r="A297" s="245"/>
      <c r="B297" s="245"/>
      <c r="C297" s="245"/>
      <c r="D297" s="245"/>
      <c r="E297" s="245"/>
      <c r="F297" s="243"/>
      <c r="G297" s="245"/>
      <c r="H297" s="245"/>
      <c r="I297" s="245"/>
      <c r="J297" s="245"/>
      <c r="K297" s="245"/>
      <c r="L297" s="245"/>
      <c r="M297" s="245"/>
      <c r="N297" s="245"/>
      <c r="O297" s="245"/>
      <c r="P297" s="246"/>
      <c r="Q297" s="246"/>
    </row>
    <row r="298">
      <c r="A298" s="245"/>
      <c r="B298" s="245"/>
      <c r="C298" s="245"/>
      <c r="D298" s="245"/>
      <c r="E298" s="245"/>
      <c r="F298" s="243"/>
      <c r="G298" s="245"/>
      <c r="H298" s="245"/>
      <c r="I298" s="245"/>
      <c r="J298" s="245"/>
      <c r="K298" s="245"/>
      <c r="L298" s="245"/>
      <c r="M298" s="245"/>
      <c r="N298" s="245"/>
      <c r="O298" s="245"/>
      <c r="P298" s="246"/>
      <c r="Q298" s="246"/>
    </row>
    <row r="299">
      <c r="A299" s="245"/>
      <c r="B299" s="245"/>
      <c r="C299" s="245"/>
      <c r="D299" s="245"/>
      <c r="E299" s="245"/>
      <c r="F299" s="243"/>
      <c r="G299" s="245"/>
      <c r="H299" s="245"/>
      <c r="I299" s="245"/>
      <c r="J299" s="245"/>
      <c r="K299" s="245"/>
      <c r="L299" s="245"/>
      <c r="M299" s="245"/>
      <c r="N299" s="245"/>
      <c r="O299" s="245"/>
      <c r="P299" s="246"/>
      <c r="Q299" s="246"/>
    </row>
    <row r="300">
      <c r="A300" s="245"/>
      <c r="B300" s="245"/>
      <c r="C300" s="245"/>
      <c r="D300" s="245"/>
      <c r="E300" s="245"/>
      <c r="F300" s="243"/>
      <c r="G300" s="245"/>
      <c r="H300" s="245"/>
      <c r="I300" s="245"/>
      <c r="J300" s="245"/>
      <c r="K300" s="245"/>
      <c r="L300" s="245"/>
      <c r="M300" s="245"/>
      <c r="N300" s="245"/>
      <c r="O300" s="245"/>
      <c r="P300" s="246"/>
      <c r="Q300" s="246"/>
    </row>
    <row r="301">
      <c r="A301" s="245"/>
      <c r="B301" s="245"/>
      <c r="C301" s="245"/>
      <c r="D301" s="245"/>
      <c r="E301" s="245"/>
      <c r="F301" s="243"/>
      <c r="G301" s="245"/>
      <c r="H301" s="245"/>
      <c r="I301" s="245"/>
      <c r="J301" s="245"/>
      <c r="K301" s="245"/>
      <c r="L301" s="245"/>
      <c r="M301" s="245"/>
      <c r="N301" s="245"/>
      <c r="O301" s="245"/>
      <c r="P301" s="246"/>
      <c r="Q301" s="246"/>
    </row>
    <row r="302">
      <c r="A302" s="245"/>
      <c r="B302" s="245"/>
      <c r="C302" s="245"/>
      <c r="D302" s="245"/>
      <c r="E302" s="245"/>
      <c r="F302" s="243"/>
      <c r="G302" s="245"/>
      <c r="H302" s="245"/>
      <c r="I302" s="245"/>
      <c r="J302" s="245"/>
      <c r="K302" s="245"/>
      <c r="L302" s="245"/>
      <c r="M302" s="245"/>
      <c r="N302" s="245"/>
      <c r="O302" s="245"/>
      <c r="P302" s="246"/>
      <c r="Q302" s="246"/>
    </row>
    <row r="303">
      <c r="A303" s="245"/>
      <c r="B303" s="245"/>
      <c r="C303" s="245"/>
      <c r="D303" s="245"/>
      <c r="E303" s="245"/>
      <c r="F303" s="243"/>
      <c r="G303" s="245"/>
      <c r="H303" s="245"/>
      <c r="I303" s="245"/>
      <c r="J303" s="245"/>
      <c r="K303" s="245"/>
      <c r="L303" s="245"/>
      <c r="M303" s="245"/>
      <c r="N303" s="245"/>
      <c r="O303" s="245"/>
      <c r="P303" s="246"/>
      <c r="Q303" s="246"/>
    </row>
    <row r="304">
      <c r="A304" s="245"/>
      <c r="B304" s="245"/>
      <c r="C304" s="245"/>
      <c r="D304" s="245"/>
      <c r="E304" s="245"/>
      <c r="F304" s="243"/>
      <c r="G304" s="245"/>
      <c r="H304" s="245"/>
      <c r="I304" s="245"/>
      <c r="J304" s="245"/>
      <c r="K304" s="245"/>
      <c r="L304" s="245"/>
      <c r="M304" s="245"/>
      <c r="N304" s="245"/>
      <c r="O304" s="245"/>
      <c r="P304" s="246"/>
      <c r="Q304" s="246"/>
    </row>
    <row r="305">
      <c r="A305" s="245"/>
      <c r="B305" s="245"/>
      <c r="C305" s="245"/>
      <c r="D305" s="245"/>
      <c r="E305" s="245"/>
      <c r="F305" s="243"/>
      <c r="G305" s="245"/>
      <c r="H305" s="245"/>
      <c r="I305" s="245"/>
      <c r="J305" s="245"/>
      <c r="K305" s="245"/>
      <c r="L305" s="245"/>
      <c r="M305" s="245"/>
      <c r="N305" s="245"/>
      <c r="O305" s="245"/>
      <c r="P305" s="246"/>
      <c r="Q305" s="246"/>
    </row>
    <row r="306">
      <c r="A306" s="245"/>
      <c r="B306" s="245"/>
      <c r="C306" s="245"/>
      <c r="D306" s="245"/>
      <c r="E306" s="245"/>
      <c r="F306" s="243"/>
      <c r="G306" s="245"/>
      <c r="H306" s="245"/>
      <c r="I306" s="245"/>
      <c r="J306" s="245"/>
      <c r="K306" s="245"/>
      <c r="L306" s="245"/>
      <c r="M306" s="245"/>
      <c r="N306" s="245"/>
      <c r="O306" s="245"/>
      <c r="P306" s="246"/>
      <c r="Q306" s="246"/>
    </row>
    <row r="307">
      <c r="A307" s="245"/>
      <c r="B307" s="245"/>
      <c r="C307" s="245"/>
      <c r="D307" s="245"/>
      <c r="E307" s="245"/>
      <c r="F307" s="243"/>
      <c r="G307" s="245"/>
      <c r="H307" s="245"/>
      <c r="I307" s="245"/>
      <c r="J307" s="245"/>
      <c r="K307" s="245"/>
      <c r="L307" s="245"/>
      <c r="M307" s="245"/>
      <c r="N307" s="245"/>
      <c r="O307" s="245"/>
      <c r="P307" s="246"/>
      <c r="Q307" s="246"/>
    </row>
    <row r="308">
      <c r="A308" s="245"/>
      <c r="B308" s="245"/>
      <c r="C308" s="245"/>
      <c r="D308" s="245"/>
      <c r="E308" s="245"/>
      <c r="F308" s="243"/>
      <c r="G308" s="245"/>
      <c r="H308" s="245"/>
      <c r="I308" s="245"/>
      <c r="J308" s="245"/>
      <c r="K308" s="245"/>
      <c r="L308" s="245"/>
      <c r="M308" s="245"/>
      <c r="N308" s="245"/>
      <c r="O308" s="245"/>
      <c r="P308" s="246"/>
      <c r="Q308" s="246"/>
    </row>
    <row r="309">
      <c r="A309" s="245"/>
      <c r="B309" s="245"/>
      <c r="C309" s="245"/>
      <c r="D309" s="245"/>
      <c r="E309" s="245"/>
      <c r="F309" s="243"/>
      <c r="G309" s="245"/>
      <c r="H309" s="245"/>
      <c r="I309" s="245"/>
      <c r="J309" s="245"/>
      <c r="K309" s="245"/>
      <c r="L309" s="245"/>
      <c r="M309" s="245"/>
      <c r="N309" s="245"/>
      <c r="O309" s="245"/>
      <c r="P309" s="246"/>
      <c r="Q309" s="246"/>
    </row>
    <row r="310">
      <c r="A310" s="245"/>
      <c r="B310" s="245"/>
      <c r="C310" s="245"/>
      <c r="D310" s="245"/>
      <c r="E310" s="245"/>
      <c r="F310" s="243"/>
      <c r="G310" s="245"/>
      <c r="H310" s="245"/>
      <c r="I310" s="245"/>
      <c r="J310" s="245"/>
      <c r="K310" s="245"/>
      <c r="L310" s="245"/>
      <c r="M310" s="245"/>
      <c r="N310" s="245"/>
      <c r="O310" s="245"/>
      <c r="P310" s="246"/>
      <c r="Q310" s="246"/>
    </row>
    <row r="311">
      <c r="A311" s="245"/>
      <c r="B311" s="245"/>
      <c r="C311" s="245"/>
      <c r="D311" s="245"/>
      <c r="E311" s="245"/>
      <c r="F311" s="243"/>
      <c r="G311" s="245"/>
      <c r="H311" s="245"/>
      <c r="I311" s="245"/>
      <c r="J311" s="245"/>
      <c r="K311" s="245"/>
      <c r="L311" s="245"/>
      <c r="M311" s="245"/>
      <c r="N311" s="245"/>
      <c r="O311" s="245"/>
      <c r="P311" s="246"/>
      <c r="Q311" s="246"/>
    </row>
    <row r="312">
      <c r="A312" s="245"/>
      <c r="B312" s="245"/>
      <c r="C312" s="245"/>
      <c r="D312" s="245"/>
      <c r="E312" s="245"/>
      <c r="F312" s="243"/>
      <c r="G312" s="245"/>
      <c r="H312" s="245"/>
      <c r="I312" s="245"/>
      <c r="J312" s="245"/>
      <c r="K312" s="245"/>
      <c r="L312" s="245"/>
      <c r="M312" s="245"/>
      <c r="N312" s="245"/>
      <c r="O312" s="245"/>
      <c r="P312" s="246"/>
      <c r="Q312" s="246"/>
    </row>
    <row r="313">
      <c r="A313" s="245"/>
      <c r="B313" s="245"/>
      <c r="C313" s="245"/>
      <c r="D313" s="245"/>
      <c r="E313" s="245"/>
      <c r="F313" s="243"/>
      <c r="G313" s="245"/>
      <c r="H313" s="245"/>
      <c r="I313" s="245"/>
      <c r="J313" s="245"/>
      <c r="K313" s="245"/>
      <c r="L313" s="245"/>
      <c r="M313" s="245"/>
      <c r="N313" s="245"/>
      <c r="O313" s="245"/>
      <c r="P313" s="246"/>
      <c r="Q313" s="246"/>
    </row>
    <row r="314">
      <c r="A314" s="245"/>
      <c r="B314" s="245"/>
      <c r="C314" s="245"/>
      <c r="D314" s="245"/>
      <c r="E314" s="245"/>
      <c r="F314" s="243"/>
      <c r="G314" s="245"/>
      <c r="H314" s="245"/>
      <c r="I314" s="245"/>
      <c r="J314" s="245"/>
      <c r="K314" s="245"/>
      <c r="L314" s="245"/>
      <c r="M314" s="245"/>
      <c r="N314" s="245"/>
      <c r="O314" s="245"/>
      <c r="P314" s="246"/>
      <c r="Q314" s="246"/>
    </row>
    <row r="315">
      <c r="A315" s="245"/>
      <c r="B315" s="245"/>
      <c r="C315" s="245"/>
      <c r="D315" s="245"/>
      <c r="E315" s="245"/>
      <c r="F315" s="243"/>
      <c r="G315" s="245"/>
      <c r="H315" s="245"/>
      <c r="I315" s="245"/>
      <c r="J315" s="245"/>
      <c r="K315" s="245"/>
      <c r="L315" s="245"/>
      <c r="M315" s="245"/>
      <c r="N315" s="245"/>
      <c r="O315" s="245"/>
      <c r="P315" s="246"/>
      <c r="Q315" s="246"/>
    </row>
    <row r="316">
      <c r="A316" s="245"/>
      <c r="B316" s="245"/>
      <c r="C316" s="245"/>
      <c r="D316" s="245"/>
      <c r="E316" s="245"/>
      <c r="F316" s="243"/>
      <c r="G316" s="245"/>
      <c r="H316" s="245"/>
      <c r="I316" s="245"/>
      <c r="J316" s="245"/>
      <c r="K316" s="245"/>
      <c r="L316" s="245"/>
      <c r="M316" s="245"/>
      <c r="N316" s="245"/>
      <c r="O316" s="245"/>
      <c r="P316" s="246"/>
      <c r="Q316" s="246"/>
    </row>
    <row r="317">
      <c r="A317" s="245"/>
      <c r="B317" s="245"/>
      <c r="C317" s="245"/>
      <c r="D317" s="245"/>
      <c r="E317" s="245"/>
      <c r="F317" s="243"/>
      <c r="G317" s="245"/>
      <c r="H317" s="245"/>
      <c r="I317" s="245"/>
      <c r="J317" s="245"/>
      <c r="K317" s="245"/>
      <c r="L317" s="245"/>
      <c r="M317" s="245"/>
      <c r="N317" s="245"/>
      <c r="O317" s="245"/>
      <c r="P317" s="246"/>
      <c r="Q317" s="246"/>
    </row>
    <row r="318">
      <c r="A318" s="245"/>
      <c r="B318" s="245"/>
      <c r="C318" s="245"/>
      <c r="D318" s="245"/>
      <c r="E318" s="245"/>
      <c r="F318" s="243"/>
      <c r="G318" s="245"/>
      <c r="H318" s="245"/>
      <c r="I318" s="245"/>
      <c r="J318" s="245"/>
      <c r="K318" s="245"/>
      <c r="L318" s="245"/>
      <c r="M318" s="245"/>
      <c r="N318" s="245"/>
      <c r="O318" s="245"/>
      <c r="P318" s="246"/>
      <c r="Q318" s="246"/>
    </row>
    <row r="319">
      <c r="A319" s="245"/>
      <c r="B319" s="245"/>
      <c r="C319" s="245"/>
      <c r="D319" s="245"/>
      <c r="E319" s="245"/>
      <c r="F319" s="243"/>
      <c r="G319" s="245"/>
      <c r="H319" s="245"/>
      <c r="I319" s="245"/>
      <c r="J319" s="245"/>
      <c r="K319" s="245"/>
      <c r="L319" s="245"/>
      <c r="M319" s="245"/>
      <c r="N319" s="245"/>
      <c r="O319" s="245"/>
      <c r="P319" s="246"/>
      <c r="Q319" s="246"/>
    </row>
    <row r="320">
      <c r="A320" s="245"/>
      <c r="B320" s="245"/>
      <c r="C320" s="245"/>
      <c r="D320" s="245"/>
      <c r="E320" s="245"/>
      <c r="F320" s="243"/>
      <c r="G320" s="245"/>
      <c r="H320" s="245"/>
      <c r="I320" s="245"/>
      <c r="J320" s="245"/>
      <c r="K320" s="245"/>
      <c r="L320" s="245"/>
      <c r="M320" s="245"/>
      <c r="N320" s="245"/>
      <c r="O320" s="245"/>
      <c r="P320" s="246"/>
      <c r="Q320" s="246"/>
    </row>
    <row r="321">
      <c r="A321" s="245"/>
      <c r="B321" s="245"/>
      <c r="C321" s="245"/>
      <c r="D321" s="245"/>
      <c r="E321" s="245"/>
      <c r="F321" s="243"/>
      <c r="G321" s="245"/>
      <c r="H321" s="245"/>
      <c r="I321" s="245"/>
      <c r="J321" s="245"/>
      <c r="K321" s="245"/>
      <c r="L321" s="245"/>
      <c r="M321" s="245"/>
      <c r="N321" s="245"/>
      <c r="O321" s="245"/>
      <c r="P321" s="246"/>
      <c r="Q321" s="246"/>
    </row>
    <row r="322">
      <c r="A322" s="245"/>
      <c r="B322" s="245"/>
      <c r="C322" s="245"/>
      <c r="D322" s="245"/>
      <c r="E322" s="245"/>
      <c r="F322" s="243"/>
      <c r="G322" s="245"/>
      <c r="H322" s="245"/>
      <c r="I322" s="245"/>
      <c r="J322" s="245"/>
      <c r="K322" s="245"/>
      <c r="L322" s="245"/>
      <c r="M322" s="245"/>
      <c r="N322" s="245"/>
      <c r="O322" s="245"/>
      <c r="P322" s="246"/>
      <c r="Q322" s="246"/>
    </row>
    <row r="323">
      <c r="A323" s="245"/>
      <c r="B323" s="245"/>
      <c r="C323" s="245"/>
      <c r="D323" s="245"/>
      <c r="E323" s="245"/>
      <c r="F323" s="243"/>
      <c r="G323" s="245"/>
      <c r="H323" s="245"/>
      <c r="I323" s="245"/>
      <c r="J323" s="245"/>
      <c r="K323" s="245"/>
      <c r="L323" s="245"/>
      <c r="M323" s="245"/>
      <c r="N323" s="245"/>
      <c r="O323" s="245"/>
      <c r="P323" s="246"/>
      <c r="Q323" s="246"/>
    </row>
    <row r="324">
      <c r="A324" s="245"/>
      <c r="B324" s="245"/>
      <c r="C324" s="245"/>
      <c r="D324" s="245"/>
      <c r="E324" s="245"/>
      <c r="F324" s="243"/>
      <c r="G324" s="245"/>
      <c r="H324" s="245"/>
      <c r="I324" s="245"/>
      <c r="J324" s="245"/>
      <c r="K324" s="245"/>
      <c r="L324" s="245"/>
      <c r="M324" s="245"/>
      <c r="N324" s="245"/>
      <c r="O324" s="245"/>
      <c r="P324" s="246"/>
      <c r="Q324" s="246"/>
    </row>
    <row r="325">
      <c r="A325" s="245"/>
      <c r="B325" s="245"/>
      <c r="C325" s="245"/>
      <c r="D325" s="245"/>
      <c r="E325" s="245"/>
      <c r="F325" s="243"/>
      <c r="G325" s="245"/>
      <c r="H325" s="245"/>
      <c r="I325" s="245"/>
      <c r="J325" s="245"/>
      <c r="K325" s="245"/>
      <c r="L325" s="245"/>
      <c r="M325" s="245"/>
      <c r="N325" s="245"/>
      <c r="O325" s="245"/>
      <c r="P325" s="246"/>
      <c r="Q325" s="246"/>
    </row>
    <row r="326">
      <c r="A326" s="245"/>
      <c r="B326" s="245"/>
      <c r="C326" s="245"/>
      <c r="D326" s="245"/>
      <c r="E326" s="245"/>
      <c r="F326" s="243"/>
      <c r="G326" s="245"/>
      <c r="H326" s="245"/>
      <c r="I326" s="245"/>
      <c r="J326" s="245"/>
      <c r="K326" s="245"/>
      <c r="L326" s="245"/>
      <c r="M326" s="245"/>
      <c r="N326" s="245"/>
      <c r="O326" s="245"/>
      <c r="P326" s="246"/>
      <c r="Q326" s="246"/>
    </row>
    <row r="327">
      <c r="A327" s="245"/>
      <c r="B327" s="245"/>
      <c r="C327" s="245"/>
      <c r="D327" s="245"/>
      <c r="E327" s="245"/>
      <c r="F327" s="243"/>
      <c r="G327" s="245"/>
      <c r="H327" s="245"/>
      <c r="I327" s="245"/>
      <c r="J327" s="245"/>
      <c r="K327" s="245"/>
      <c r="L327" s="245"/>
      <c r="M327" s="245"/>
      <c r="N327" s="245"/>
      <c r="O327" s="245"/>
      <c r="P327" s="246"/>
      <c r="Q327" s="246"/>
    </row>
    <row r="328">
      <c r="A328" s="245"/>
      <c r="B328" s="245"/>
      <c r="C328" s="245"/>
      <c r="D328" s="245"/>
      <c r="E328" s="245"/>
      <c r="F328" s="243"/>
      <c r="G328" s="245"/>
      <c r="H328" s="245"/>
      <c r="I328" s="245"/>
      <c r="J328" s="245"/>
      <c r="K328" s="245"/>
      <c r="L328" s="245"/>
      <c r="M328" s="245"/>
      <c r="N328" s="245"/>
      <c r="O328" s="245"/>
      <c r="P328" s="246"/>
      <c r="Q328" s="246"/>
    </row>
    <row r="329">
      <c r="A329" s="245"/>
      <c r="B329" s="245"/>
      <c r="C329" s="245"/>
      <c r="D329" s="245"/>
      <c r="E329" s="245"/>
      <c r="F329" s="243"/>
      <c r="G329" s="245"/>
      <c r="H329" s="245"/>
      <c r="I329" s="245"/>
      <c r="J329" s="245"/>
      <c r="K329" s="245"/>
      <c r="L329" s="245"/>
      <c r="M329" s="245"/>
      <c r="N329" s="245"/>
      <c r="O329" s="245"/>
      <c r="P329" s="246"/>
      <c r="Q329" s="246"/>
    </row>
    <row r="330">
      <c r="A330" s="245"/>
      <c r="B330" s="245"/>
      <c r="C330" s="245"/>
      <c r="D330" s="245"/>
      <c r="E330" s="245"/>
      <c r="F330" s="243"/>
      <c r="G330" s="245"/>
      <c r="H330" s="245"/>
      <c r="I330" s="245"/>
      <c r="J330" s="245"/>
      <c r="K330" s="245"/>
      <c r="L330" s="245"/>
      <c r="M330" s="245"/>
      <c r="N330" s="245"/>
      <c r="O330" s="245"/>
      <c r="P330" s="246"/>
      <c r="Q330" s="246"/>
    </row>
    <row r="331">
      <c r="A331" s="245"/>
      <c r="B331" s="245"/>
      <c r="C331" s="245"/>
      <c r="D331" s="245"/>
      <c r="E331" s="245"/>
      <c r="F331" s="243"/>
      <c r="G331" s="245"/>
      <c r="H331" s="245"/>
      <c r="I331" s="245"/>
      <c r="J331" s="245"/>
      <c r="K331" s="245"/>
      <c r="L331" s="245"/>
      <c r="M331" s="245"/>
      <c r="N331" s="245"/>
      <c r="O331" s="245"/>
      <c r="P331" s="246"/>
      <c r="Q331" s="246"/>
    </row>
    <row r="332">
      <c r="A332" s="245"/>
      <c r="B332" s="245"/>
      <c r="C332" s="245"/>
      <c r="D332" s="245"/>
      <c r="E332" s="245"/>
      <c r="F332" s="243"/>
      <c r="G332" s="245"/>
      <c r="H332" s="245"/>
      <c r="I332" s="245"/>
      <c r="J332" s="245"/>
      <c r="K332" s="245"/>
      <c r="L332" s="245"/>
      <c r="M332" s="245"/>
      <c r="N332" s="245"/>
      <c r="O332" s="245"/>
      <c r="P332" s="246"/>
      <c r="Q332" s="246"/>
    </row>
    <row r="333">
      <c r="A333" s="245"/>
      <c r="B333" s="245"/>
      <c r="C333" s="245"/>
      <c r="D333" s="245"/>
      <c r="E333" s="245"/>
      <c r="F333" s="243"/>
      <c r="G333" s="245"/>
      <c r="H333" s="245"/>
      <c r="I333" s="245"/>
      <c r="J333" s="245"/>
      <c r="K333" s="245"/>
      <c r="L333" s="245"/>
      <c r="M333" s="245"/>
      <c r="N333" s="245"/>
      <c r="O333" s="245"/>
      <c r="P333" s="246"/>
      <c r="Q333" s="246"/>
    </row>
    <row r="334">
      <c r="A334" s="245"/>
      <c r="B334" s="245"/>
      <c r="C334" s="245"/>
      <c r="D334" s="245"/>
      <c r="E334" s="245"/>
      <c r="F334" s="243"/>
      <c r="G334" s="245"/>
      <c r="H334" s="245"/>
      <c r="I334" s="245"/>
      <c r="J334" s="245"/>
      <c r="K334" s="245"/>
      <c r="L334" s="245"/>
      <c r="M334" s="245"/>
      <c r="N334" s="245"/>
      <c r="O334" s="245"/>
      <c r="P334" s="246"/>
      <c r="Q334" s="246"/>
    </row>
    <row r="335">
      <c r="A335" s="245"/>
      <c r="B335" s="245"/>
      <c r="C335" s="245"/>
      <c r="D335" s="245"/>
      <c r="E335" s="245"/>
      <c r="F335" s="243"/>
      <c r="G335" s="245"/>
      <c r="H335" s="245"/>
      <c r="I335" s="245"/>
      <c r="J335" s="245"/>
      <c r="K335" s="245"/>
      <c r="L335" s="245"/>
      <c r="M335" s="245"/>
      <c r="N335" s="245"/>
      <c r="O335" s="245"/>
      <c r="P335" s="246"/>
      <c r="Q335" s="246"/>
    </row>
    <row r="336">
      <c r="A336" s="245"/>
      <c r="B336" s="245"/>
      <c r="C336" s="245"/>
      <c r="D336" s="245"/>
      <c r="E336" s="245"/>
      <c r="F336" s="243"/>
      <c r="G336" s="245"/>
      <c r="H336" s="245"/>
      <c r="I336" s="245"/>
      <c r="J336" s="245"/>
      <c r="K336" s="245"/>
      <c r="L336" s="245"/>
      <c r="M336" s="245"/>
      <c r="N336" s="245"/>
      <c r="O336" s="245"/>
      <c r="P336" s="246"/>
      <c r="Q336" s="246"/>
    </row>
    <row r="337">
      <c r="A337" s="245"/>
      <c r="B337" s="245"/>
      <c r="C337" s="245"/>
      <c r="D337" s="245"/>
      <c r="E337" s="245"/>
      <c r="F337" s="243"/>
      <c r="G337" s="245"/>
      <c r="H337" s="245"/>
      <c r="I337" s="245"/>
      <c r="J337" s="245"/>
      <c r="K337" s="245"/>
      <c r="L337" s="245"/>
      <c r="M337" s="245"/>
      <c r="N337" s="245"/>
      <c r="O337" s="245"/>
      <c r="P337" s="246"/>
      <c r="Q337" s="246"/>
    </row>
    <row r="338">
      <c r="A338" s="245"/>
      <c r="B338" s="245"/>
      <c r="C338" s="245"/>
      <c r="D338" s="245"/>
      <c r="E338" s="245"/>
      <c r="F338" s="243"/>
      <c r="G338" s="245"/>
      <c r="H338" s="245"/>
      <c r="I338" s="245"/>
      <c r="J338" s="245"/>
      <c r="K338" s="245"/>
      <c r="L338" s="245"/>
      <c r="M338" s="245"/>
      <c r="N338" s="245"/>
      <c r="O338" s="245"/>
      <c r="P338" s="246"/>
      <c r="Q338" s="246"/>
    </row>
    <row r="339">
      <c r="A339" s="245"/>
      <c r="B339" s="245"/>
      <c r="C339" s="245"/>
      <c r="D339" s="245"/>
      <c r="E339" s="245"/>
      <c r="F339" s="243"/>
      <c r="G339" s="245"/>
      <c r="H339" s="245"/>
      <c r="I339" s="245"/>
      <c r="J339" s="245"/>
      <c r="K339" s="245"/>
      <c r="L339" s="245"/>
      <c r="M339" s="245"/>
      <c r="N339" s="245"/>
      <c r="O339" s="245"/>
      <c r="P339" s="246"/>
      <c r="Q339" s="246"/>
    </row>
    <row r="340">
      <c r="A340" s="245"/>
      <c r="B340" s="245"/>
      <c r="C340" s="245"/>
      <c r="D340" s="245"/>
      <c r="E340" s="245"/>
      <c r="F340" s="243"/>
      <c r="G340" s="245"/>
      <c r="H340" s="245"/>
      <c r="I340" s="245"/>
      <c r="J340" s="245"/>
      <c r="K340" s="245"/>
      <c r="L340" s="245"/>
      <c r="M340" s="245"/>
      <c r="N340" s="245"/>
      <c r="O340" s="245"/>
      <c r="P340" s="246"/>
      <c r="Q340" s="246"/>
    </row>
    <row r="341">
      <c r="A341" s="245"/>
      <c r="B341" s="245"/>
      <c r="C341" s="245"/>
      <c r="D341" s="245"/>
      <c r="E341" s="245"/>
      <c r="F341" s="243"/>
      <c r="G341" s="245"/>
      <c r="H341" s="245"/>
      <c r="I341" s="245"/>
      <c r="J341" s="245"/>
      <c r="K341" s="245"/>
      <c r="L341" s="245"/>
      <c r="M341" s="245"/>
      <c r="N341" s="245"/>
      <c r="O341" s="245"/>
      <c r="P341" s="246"/>
      <c r="Q341" s="246"/>
    </row>
    <row r="342">
      <c r="A342" s="245"/>
      <c r="B342" s="245"/>
      <c r="C342" s="245"/>
      <c r="D342" s="245"/>
      <c r="E342" s="245"/>
      <c r="F342" s="243"/>
      <c r="G342" s="245"/>
      <c r="H342" s="245"/>
      <c r="I342" s="245"/>
      <c r="J342" s="245"/>
      <c r="K342" s="245"/>
      <c r="L342" s="245"/>
      <c r="M342" s="245"/>
      <c r="N342" s="245"/>
      <c r="O342" s="245"/>
      <c r="P342" s="246"/>
      <c r="Q342" s="246"/>
    </row>
    <row r="343">
      <c r="A343" s="245"/>
      <c r="B343" s="245"/>
      <c r="C343" s="245"/>
      <c r="D343" s="245"/>
      <c r="E343" s="245"/>
      <c r="F343" s="243"/>
      <c r="G343" s="245"/>
      <c r="H343" s="245"/>
      <c r="I343" s="245"/>
      <c r="J343" s="245"/>
      <c r="K343" s="245"/>
      <c r="L343" s="245"/>
      <c r="M343" s="245"/>
      <c r="N343" s="245"/>
      <c r="O343" s="245"/>
      <c r="P343" s="246"/>
      <c r="Q343" s="246"/>
    </row>
    <row r="344">
      <c r="A344" s="245"/>
      <c r="B344" s="245"/>
      <c r="C344" s="245"/>
      <c r="D344" s="245"/>
      <c r="E344" s="245"/>
      <c r="F344" s="243"/>
      <c r="G344" s="245"/>
      <c r="H344" s="245"/>
      <c r="I344" s="245"/>
      <c r="J344" s="245"/>
      <c r="K344" s="245"/>
      <c r="L344" s="245"/>
      <c r="M344" s="245"/>
      <c r="N344" s="245"/>
      <c r="O344" s="245"/>
      <c r="P344" s="246"/>
      <c r="Q344" s="246"/>
    </row>
    <row r="345">
      <c r="A345" s="245"/>
      <c r="B345" s="245"/>
      <c r="C345" s="245"/>
      <c r="D345" s="245"/>
      <c r="E345" s="245"/>
      <c r="F345" s="243"/>
      <c r="G345" s="245"/>
      <c r="H345" s="245"/>
      <c r="I345" s="245"/>
      <c r="J345" s="245"/>
      <c r="K345" s="245"/>
      <c r="L345" s="245"/>
      <c r="M345" s="245"/>
      <c r="N345" s="245"/>
      <c r="O345" s="245"/>
      <c r="P345" s="246"/>
      <c r="Q345" s="246"/>
    </row>
    <row r="346">
      <c r="A346" s="245"/>
      <c r="B346" s="245"/>
      <c r="C346" s="245"/>
      <c r="D346" s="245"/>
      <c r="E346" s="245"/>
      <c r="F346" s="243"/>
      <c r="G346" s="245"/>
      <c r="H346" s="245"/>
      <c r="I346" s="245"/>
      <c r="J346" s="245"/>
      <c r="K346" s="245"/>
      <c r="L346" s="245"/>
      <c r="M346" s="245"/>
      <c r="N346" s="245"/>
      <c r="O346" s="245"/>
      <c r="P346" s="246"/>
      <c r="Q346" s="246"/>
    </row>
    <row r="347">
      <c r="A347" s="245"/>
      <c r="B347" s="245"/>
      <c r="C347" s="245"/>
      <c r="D347" s="245"/>
      <c r="E347" s="245"/>
      <c r="F347" s="243"/>
      <c r="G347" s="245"/>
      <c r="H347" s="245"/>
      <c r="I347" s="245"/>
      <c r="J347" s="245"/>
      <c r="K347" s="245"/>
      <c r="L347" s="245"/>
      <c r="M347" s="245"/>
      <c r="N347" s="245"/>
      <c r="O347" s="245"/>
      <c r="P347" s="246"/>
      <c r="Q347" s="246"/>
    </row>
    <row r="348">
      <c r="A348" s="245"/>
      <c r="B348" s="245"/>
      <c r="C348" s="245"/>
      <c r="D348" s="245"/>
      <c r="E348" s="245"/>
      <c r="F348" s="243"/>
      <c r="G348" s="245"/>
      <c r="H348" s="245"/>
      <c r="I348" s="245"/>
      <c r="J348" s="245"/>
      <c r="K348" s="245"/>
      <c r="L348" s="245"/>
      <c r="M348" s="245"/>
      <c r="N348" s="245"/>
      <c r="O348" s="245"/>
      <c r="P348" s="246"/>
      <c r="Q348" s="246"/>
    </row>
    <row r="349">
      <c r="A349" s="245"/>
      <c r="B349" s="245"/>
      <c r="C349" s="245"/>
      <c r="D349" s="245"/>
      <c r="E349" s="245"/>
      <c r="F349" s="243"/>
      <c r="G349" s="245"/>
      <c r="H349" s="245"/>
      <c r="I349" s="245"/>
      <c r="J349" s="245"/>
      <c r="K349" s="245"/>
      <c r="L349" s="245"/>
      <c r="M349" s="245"/>
      <c r="N349" s="245"/>
      <c r="O349" s="245"/>
      <c r="P349" s="246"/>
      <c r="Q349" s="246"/>
    </row>
    <row r="350">
      <c r="A350" s="245"/>
      <c r="B350" s="245"/>
      <c r="C350" s="245"/>
      <c r="D350" s="245"/>
      <c r="E350" s="245"/>
      <c r="F350" s="243"/>
      <c r="G350" s="245"/>
      <c r="H350" s="245"/>
      <c r="I350" s="245"/>
      <c r="J350" s="245"/>
      <c r="K350" s="245"/>
      <c r="L350" s="245"/>
      <c r="M350" s="245"/>
      <c r="N350" s="245"/>
      <c r="O350" s="245"/>
      <c r="P350" s="246"/>
      <c r="Q350" s="246"/>
    </row>
    <row r="351">
      <c r="A351" s="245"/>
      <c r="B351" s="245"/>
      <c r="C351" s="245"/>
      <c r="D351" s="245"/>
      <c r="E351" s="245"/>
      <c r="F351" s="243"/>
      <c r="G351" s="245"/>
      <c r="H351" s="245"/>
      <c r="I351" s="245"/>
      <c r="J351" s="245"/>
      <c r="K351" s="245"/>
      <c r="L351" s="245"/>
      <c r="M351" s="245"/>
      <c r="N351" s="245"/>
      <c r="O351" s="245"/>
      <c r="P351" s="246"/>
      <c r="Q351" s="246"/>
    </row>
    <row r="352">
      <c r="A352" s="245"/>
      <c r="B352" s="245"/>
      <c r="C352" s="245"/>
      <c r="D352" s="245"/>
      <c r="E352" s="245"/>
      <c r="F352" s="243"/>
      <c r="G352" s="245"/>
      <c r="H352" s="245"/>
      <c r="I352" s="245"/>
      <c r="J352" s="245"/>
      <c r="K352" s="245"/>
      <c r="L352" s="245"/>
      <c r="M352" s="245"/>
      <c r="N352" s="245"/>
      <c r="O352" s="245"/>
      <c r="P352" s="246"/>
      <c r="Q352" s="246"/>
    </row>
    <row r="353">
      <c r="A353" s="245"/>
      <c r="B353" s="245"/>
      <c r="C353" s="245"/>
      <c r="D353" s="245"/>
      <c r="E353" s="245"/>
      <c r="F353" s="243"/>
      <c r="G353" s="245"/>
      <c r="H353" s="245"/>
      <c r="I353" s="245"/>
      <c r="J353" s="245"/>
      <c r="K353" s="245"/>
      <c r="L353" s="245"/>
      <c r="M353" s="245"/>
      <c r="N353" s="245"/>
      <c r="O353" s="245"/>
      <c r="P353" s="246"/>
      <c r="Q353" s="246"/>
    </row>
    <row r="354">
      <c r="A354" s="245"/>
      <c r="B354" s="245"/>
      <c r="C354" s="245"/>
      <c r="D354" s="245"/>
      <c r="E354" s="245"/>
      <c r="F354" s="243"/>
      <c r="G354" s="245"/>
      <c r="H354" s="245"/>
      <c r="I354" s="245"/>
      <c r="J354" s="245"/>
      <c r="K354" s="245"/>
      <c r="L354" s="245"/>
      <c r="M354" s="245"/>
      <c r="N354" s="245"/>
      <c r="O354" s="245"/>
      <c r="P354" s="246"/>
      <c r="Q354" s="246"/>
    </row>
    <row r="355">
      <c r="A355" s="245"/>
      <c r="B355" s="245"/>
      <c r="C355" s="245"/>
      <c r="D355" s="245"/>
      <c r="E355" s="245"/>
      <c r="F355" s="243"/>
      <c r="G355" s="245"/>
      <c r="H355" s="245"/>
      <c r="I355" s="245"/>
      <c r="J355" s="245"/>
      <c r="K355" s="245"/>
      <c r="L355" s="245"/>
      <c r="M355" s="245"/>
      <c r="N355" s="245"/>
      <c r="O355" s="245"/>
      <c r="P355" s="246"/>
      <c r="Q355" s="246"/>
    </row>
    <row r="356">
      <c r="A356" s="245"/>
      <c r="B356" s="245"/>
      <c r="C356" s="245"/>
      <c r="D356" s="245"/>
      <c r="E356" s="245"/>
      <c r="F356" s="243"/>
      <c r="G356" s="245"/>
      <c r="H356" s="245"/>
      <c r="I356" s="245"/>
      <c r="J356" s="245"/>
      <c r="K356" s="245"/>
      <c r="L356" s="245"/>
      <c r="M356" s="245"/>
      <c r="N356" s="245"/>
      <c r="O356" s="245"/>
      <c r="P356" s="246"/>
      <c r="Q356" s="246"/>
    </row>
    <row r="357">
      <c r="A357" s="245"/>
      <c r="B357" s="245"/>
      <c r="C357" s="245"/>
      <c r="D357" s="245"/>
      <c r="E357" s="245"/>
      <c r="F357" s="243"/>
      <c r="G357" s="245"/>
      <c r="H357" s="245"/>
      <c r="I357" s="245"/>
      <c r="J357" s="245"/>
      <c r="K357" s="245"/>
      <c r="L357" s="245"/>
      <c r="M357" s="245"/>
      <c r="N357" s="245"/>
      <c r="O357" s="245"/>
      <c r="P357" s="246"/>
      <c r="Q357" s="246"/>
    </row>
    <row r="358">
      <c r="A358" s="245"/>
      <c r="B358" s="245"/>
      <c r="C358" s="245"/>
      <c r="D358" s="245"/>
      <c r="E358" s="245"/>
      <c r="F358" s="243"/>
      <c r="G358" s="245"/>
      <c r="H358" s="245"/>
      <c r="I358" s="245"/>
      <c r="J358" s="245"/>
      <c r="K358" s="245"/>
      <c r="L358" s="245"/>
      <c r="M358" s="245"/>
      <c r="N358" s="245"/>
      <c r="O358" s="245"/>
      <c r="P358" s="246"/>
      <c r="Q358" s="246"/>
    </row>
    <row r="359">
      <c r="A359" s="245"/>
      <c r="B359" s="245"/>
      <c r="C359" s="245"/>
      <c r="D359" s="245"/>
      <c r="E359" s="245"/>
      <c r="F359" s="243"/>
      <c r="G359" s="245"/>
      <c r="H359" s="245"/>
      <c r="I359" s="245"/>
      <c r="J359" s="245"/>
      <c r="K359" s="245"/>
      <c r="L359" s="245"/>
      <c r="M359" s="245"/>
      <c r="N359" s="245"/>
      <c r="O359" s="245"/>
      <c r="P359" s="246"/>
      <c r="Q359" s="246"/>
    </row>
    <row r="360">
      <c r="A360" s="245"/>
      <c r="B360" s="245"/>
      <c r="C360" s="245"/>
      <c r="D360" s="245"/>
      <c r="E360" s="245"/>
      <c r="F360" s="243"/>
      <c r="G360" s="245"/>
      <c r="H360" s="245"/>
      <c r="I360" s="245"/>
      <c r="J360" s="245"/>
      <c r="K360" s="245"/>
      <c r="L360" s="245"/>
      <c r="M360" s="245"/>
      <c r="N360" s="245"/>
      <c r="O360" s="245"/>
      <c r="P360" s="246"/>
      <c r="Q360" s="246"/>
    </row>
    <row r="361">
      <c r="A361" s="245"/>
      <c r="B361" s="245"/>
      <c r="C361" s="245"/>
      <c r="D361" s="245"/>
      <c r="E361" s="245"/>
      <c r="F361" s="243"/>
      <c r="G361" s="245"/>
      <c r="H361" s="245"/>
      <c r="I361" s="245"/>
      <c r="J361" s="245"/>
      <c r="K361" s="245"/>
      <c r="L361" s="245"/>
      <c r="M361" s="245"/>
      <c r="N361" s="245"/>
      <c r="O361" s="245"/>
      <c r="P361" s="246"/>
      <c r="Q361" s="246"/>
    </row>
    <row r="362">
      <c r="A362" s="245"/>
      <c r="B362" s="245"/>
      <c r="C362" s="245"/>
      <c r="D362" s="245"/>
      <c r="E362" s="245"/>
      <c r="F362" s="243"/>
      <c r="G362" s="245"/>
      <c r="H362" s="245"/>
      <c r="I362" s="245"/>
      <c r="J362" s="245"/>
      <c r="K362" s="245"/>
      <c r="L362" s="245"/>
      <c r="M362" s="245"/>
      <c r="N362" s="245"/>
      <c r="O362" s="245"/>
      <c r="P362" s="246"/>
      <c r="Q362" s="246"/>
    </row>
    <row r="363">
      <c r="A363" s="245"/>
      <c r="B363" s="245"/>
      <c r="C363" s="245"/>
      <c r="D363" s="245"/>
      <c r="E363" s="245"/>
      <c r="F363" s="243"/>
      <c r="G363" s="245"/>
      <c r="H363" s="245"/>
      <c r="I363" s="245"/>
      <c r="J363" s="245"/>
      <c r="K363" s="245"/>
      <c r="L363" s="245"/>
      <c r="M363" s="245"/>
      <c r="N363" s="245"/>
      <c r="O363" s="245"/>
      <c r="P363" s="246"/>
      <c r="Q363" s="246"/>
    </row>
    <row r="364">
      <c r="A364" s="245"/>
      <c r="B364" s="245"/>
      <c r="C364" s="245"/>
      <c r="D364" s="245"/>
      <c r="E364" s="245"/>
      <c r="F364" s="243"/>
      <c r="G364" s="245"/>
      <c r="H364" s="245"/>
      <c r="I364" s="245"/>
      <c r="J364" s="245"/>
      <c r="K364" s="245"/>
      <c r="L364" s="245"/>
      <c r="M364" s="245"/>
      <c r="N364" s="245"/>
      <c r="O364" s="245"/>
      <c r="P364" s="246"/>
      <c r="Q364" s="246"/>
    </row>
    <row r="365">
      <c r="A365" s="245"/>
      <c r="B365" s="245"/>
      <c r="C365" s="245"/>
      <c r="D365" s="245"/>
      <c r="E365" s="245"/>
      <c r="F365" s="243"/>
      <c r="G365" s="245"/>
      <c r="H365" s="245"/>
      <c r="I365" s="245"/>
      <c r="J365" s="245"/>
      <c r="K365" s="245"/>
      <c r="L365" s="245"/>
      <c r="M365" s="245"/>
      <c r="N365" s="245"/>
      <c r="O365" s="245"/>
      <c r="P365" s="246"/>
      <c r="Q365" s="246"/>
    </row>
    <row r="366">
      <c r="A366" s="245"/>
      <c r="B366" s="245"/>
      <c r="C366" s="245"/>
      <c r="D366" s="245"/>
      <c r="E366" s="245"/>
      <c r="F366" s="243"/>
      <c r="G366" s="245"/>
      <c r="H366" s="245"/>
      <c r="I366" s="245"/>
      <c r="J366" s="245"/>
      <c r="K366" s="245"/>
      <c r="L366" s="245"/>
      <c r="M366" s="245"/>
      <c r="N366" s="245"/>
      <c r="O366" s="245"/>
      <c r="P366" s="246"/>
      <c r="Q366" s="246"/>
    </row>
    <row r="367">
      <c r="A367" s="245"/>
      <c r="B367" s="245"/>
      <c r="C367" s="245"/>
      <c r="D367" s="245"/>
      <c r="E367" s="245"/>
      <c r="F367" s="243"/>
      <c r="G367" s="245"/>
      <c r="H367" s="245"/>
      <c r="I367" s="245"/>
      <c r="J367" s="245"/>
      <c r="K367" s="245"/>
      <c r="L367" s="245"/>
      <c r="M367" s="245"/>
      <c r="N367" s="245"/>
      <c r="O367" s="245"/>
      <c r="P367" s="246"/>
      <c r="Q367" s="246"/>
    </row>
    <row r="368">
      <c r="A368" s="245"/>
      <c r="B368" s="245"/>
      <c r="C368" s="245"/>
      <c r="D368" s="245"/>
      <c r="E368" s="245"/>
      <c r="F368" s="243"/>
      <c r="G368" s="245"/>
      <c r="H368" s="245"/>
      <c r="I368" s="245"/>
      <c r="J368" s="245"/>
      <c r="K368" s="245"/>
      <c r="L368" s="245"/>
      <c r="M368" s="245"/>
      <c r="N368" s="245"/>
      <c r="O368" s="245"/>
      <c r="P368" s="246"/>
      <c r="Q368" s="246"/>
    </row>
    <row r="369">
      <c r="A369" s="245"/>
      <c r="B369" s="245"/>
      <c r="C369" s="245"/>
      <c r="D369" s="245"/>
      <c r="E369" s="245"/>
      <c r="F369" s="243"/>
      <c r="G369" s="245"/>
      <c r="H369" s="245"/>
      <c r="I369" s="245"/>
      <c r="J369" s="245"/>
      <c r="K369" s="245"/>
      <c r="L369" s="245"/>
      <c r="M369" s="245"/>
      <c r="N369" s="245"/>
      <c r="O369" s="245"/>
      <c r="P369" s="246"/>
      <c r="Q369" s="246"/>
    </row>
    <row r="370">
      <c r="A370" s="245"/>
      <c r="B370" s="245"/>
      <c r="C370" s="245"/>
      <c r="D370" s="245"/>
      <c r="E370" s="245"/>
      <c r="F370" s="243"/>
      <c r="G370" s="245"/>
      <c r="H370" s="245"/>
      <c r="I370" s="245"/>
      <c r="J370" s="245"/>
      <c r="K370" s="245"/>
      <c r="L370" s="245"/>
      <c r="M370" s="245"/>
      <c r="N370" s="245"/>
      <c r="O370" s="245"/>
      <c r="P370" s="246"/>
      <c r="Q370" s="246"/>
    </row>
    <row r="371">
      <c r="A371" s="245"/>
      <c r="B371" s="245"/>
      <c r="C371" s="245"/>
      <c r="D371" s="245"/>
      <c r="E371" s="245"/>
      <c r="F371" s="243"/>
      <c r="G371" s="245"/>
      <c r="H371" s="245"/>
      <c r="I371" s="245"/>
      <c r="J371" s="245"/>
      <c r="K371" s="245"/>
      <c r="L371" s="245"/>
      <c r="M371" s="245"/>
      <c r="N371" s="245"/>
      <c r="O371" s="245"/>
      <c r="P371" s="246"/>
      <c r="Q371" s="246"/>
    </row>
    <row r="372">
      <c r="A372" s="245"/>
      <c r="B372" s="245"/>
      <c r="C372" s="245"/>
      <c r="D372" s="245"/>
      <c r="E372" s="245"/>
      <c r="F372" s="243"/>
      <c r="G372" s="245"/>
      <c r="H372" s="245"/>
      <c r="I372" s="245"/>
      <c r="J372" s="245"/>
      <c r="K372" s="245"/>
      <c r="L372" s="245"/>
      <c r="M372" s="245"/>
      <c r="N372" s="245"/>
      <c r="O372" s="245"/>
      <c r="P372" s="246"/>
      <c r="Q372" s="246"/>
    </row>
    <row r="373">
      <c r="A373" s="245"/>
      <c r="B373" s="245"/>
      <c r="C373" s="245"/>
      <c r="D373" s="245"/>
      <c r="E373" s="245"/>
      <c r="F373" s="243"/>
      <c r="G373" s="245"/>
      <c r="H373" s="245"/>
      <c r="I373" s="245"/>
      <c r="J373" s="245"/>
      <c r="K373" s="245"/>
      <c r="L373" s="245"/>
      <c r="M373" s="245"/>
      <c r="N373" s="245"/>
      <c r="O373" s="245"/>
      <c r="P373" s="246"/>
      <c r="Q373" s="246"/>
    </row>
    <row r="374">
      <c r="A374" s="245"/>
      <c r="B374" s="245"/>
      <c r="C374" s="245"/>
      <c r="D374" s="245"/>
      <c r="E374" s="245"/>
      <c r="F374" s="243"/>
      <c r="G374" s="245"/>
      <c r="H374" s="245"/>
      <c r="I374" s="245"/>
      <c r="J374" s="245"/>
      <c r="K374" s="245"/>
      <c r="L374" s="245"/>
      <c r="M374" s="245"/>
      <c r="N374" s="245"/>
      <c r="O374" s="245"/>
      <c r="P374" s="246"/>
      <c r="Q374" s="246"/>
    </row>
    <row r="375">
      <c r="A375" s="245"/>
      <c r="B375" s="245"/>
      <c r="C375" s="245"/>
      <c r="D375" s="245"/>
      <c r="E375" s="245"/>
      <c r="F375" s="243"/>
      <c r="G375" s="245"/>
      <c r="H375" s="245"/>
      <c r="I375" s="245"/>
      <c r="J375" s="245"/>
      <c r="K375" s="245"/>
      <c r="L375" s="245"/>
      <c r="M375" s="245"/>
      <c r="N375" s="245"/>
      <c r="O375" s="245"/>
      <c r="P375" s="246"/>
      <c r="Q375" s="246"/>
    </row>
    <row r="376">
      <c r="A376" s="245"/>
      <c r="B376" s="245"/>
      <c r="C376" s="245"/>
      <c r="D376" s="245"/>
      <c r="E376" s="245"/>
      <c r="F376" s="243"/>
      <c r="G376" s="245"/>
      <c r="H376" s="245"/>
      <c r="I376" s="245"/>
      <c r="J376" s="245"/>
      <c r="K376" s="245"/>
      <c r="L376" s="245"/>
      <c r="M376" s="245"/>
      <c r="N376" s="245"/>
      <c r="O376" s="245"/>
      <c r="P376" s="246"/>
      <c r="Q376" s="246"/>
    </row>
    <row r="377">
      <c r="A377" s="245"/>
      <c r="B377" s="245"/>
      <c r="C377" s="245"/>
      <c r="D377" s="245"/>
      <c r="E377" s="245"/>
      <c r="F377" s="243"/>
      <c r="G377" s="245"/>
      <c r="H377" s="245"/>
      <c r="I377" s="245"/>
      <c r="J377" s="245"/>
      <c r="K377" s="245"/>
      <c r="L377" s="245"/>
      <c r="M377" s="245"/>
      <c r="N377" s="245"/>
      <c r="O377" s="245"/>
      <c r="P377" s="246"/>
      <c r="Q377" s="246"/>
    </row>
    <row r="378">
      <c r="A378" s="245"/>
      <c r="B378" s="245"/>
      <c r="C378" s="245"/>
      <c r="D378" s="245"/>
      <c r="E378" s="245"/>
      <c r="F378" s="243"/>
      <c r="G378" s="245"/>
      <c r="H378" s="245"/>
      <c r="I378" s="245"/>
      <c r="J378" s="245"/>
      <c r="K378" s="245"/>
      <c r="L378" s="245"/>
      <c r="M378" s="245"/>
      <c r="N378" s="245"/>
      <c r="O378" s="245"/>
      <c r="P378" s="246"/>
      <c r="Q378" s="246"/>
    </row>
    <row r="379">
      <c r="A379" s="245"/>
      <c r="B379" s="245"/>
      <c r="C379" s="245"/>
      <c r="D379" s="245"/>
      <c r="E379" s="245"/>
      <c r="F379" s="243"/>
      <c r="G379" s="245"/>
      <c r="H379" s="245"/>
      <c r="I379" s="245"/>
      <c r="J379" s="245"/>
      <c r="K379" s="245"/>
      <c r="L379" s="245"/>
      <c r="M379" s="245"/>
      <c r="N379" s="245"/>
      <c r="O379" s="245"/>
      <c r="P379" s="246"/>
      <c r="Q379" s="246"/>
    </row>
    <row r="380">
      <c r="A380" s="245"/>
      <c r="B380" s="245"/>
      <c r="C380" s="245"/>
      <c r="D380" s="245"/>
      <c r="E380" s="245"/>
      <c r="F380" s="243"/>
      <c r="G380" s="245"/>
      <c r="H380" s="245"/>
      <c r="I380" s="245"/>
      <c r="J380" s="245"/>
      <c r="K380" s="245"/>
      <c r="L380" s="245"/>
      <c r="M380" s="245"/>
      <c r="N380" s="245"/>
      <c r="O380" s="245"/>
      <c r="P380" s="246"/>
      <c r="Q380" s="246"/>
    </row>
    <row r="381">
      <c r="A381" s="245"/>
      <c r="B381" s="245"/>
      <c r="C381" s="245"/>
      <c r="D381" s="245"/>
      <c r="E381" s="245"/>
      <c r="F381" s="243"/>
      <c r="G381" s="245"/>
      <c r="H381" s="245"/>
      <c r="I381" s="245"/>
      <c r="J381" s="245"/>
      <c r="K381" s="245"/>
      <c r="L381" s="245"/>
      <c r="M381" s="245"/>
      <c r="N381" s="245"/>
      <c r="O381" s="245"/>
      <c r="P381" s="246"/>
      <c r="Q381" s="246"/>
    </row>
    <row r="382">
      <c r="A382" s="245"/>
      <c r="B382" s="245"/>
      <c r="C382" s="245"/>
      <c r="D382" s="245"/>
      <c r="E382" s="245"/>
      <c r="F382" s="243"/>
      <c r="G382" s="245"/>
      <c r="H382" s="245"/>
      <c r="I382" s="245"/>
      <c r="J382" s="245"/>
      <c r="K382" s="245"/>
      <c r="L382" s="245"/>
      <c r="M382" s="245"/>
      <c r="N382" s="245"/>
      <c r="O382" s="245"/>
      <c r="P382" s="246"/>
      <c r="Q382" s="246"/>
    </row>
    <row r="383">
      <c r="A383" s="245"/>
      <c r="B383" s="245"/>
      <c r="C383" s="245"/>
      <c r="D383" s="245"/>
      <c r="E383" s="245"/>
      <c r="F383" s="243"/>
      <c r="G383" s="245"/>
      <c r="H383" s="245"/>
      <c r="I383" s="245"/>
      <c r="J383" s="245"/>
      <c r="K383" s="245"/>
      <c r="L383" s="245"/>
      <c r="M383" s="245"/>
      <c r="N383" s="245"/>
      <c r="O383" s="245"/>
      <c r="P383" s="246"/>
      <c r="Q383" s="246"/>
    </row>
    <row r="384">
      <c r="A384" s="245"/>
      <c r="B384" s="245"/>
      <c r="C384" s="245"/>
      <c r="D384" s="245"/>
      <c r="E384" s="245"/>
      <c r="F384" s="243"/>
      <c r="G384" s="245"/>
      <c r="H384" s="245"/>
      <c r="I384" s="245"/>
      <c r="J384" s="245"/>
      <c r="K384" s="245"/>
      <c r="L384" s="245"/>
      <c r="M384" s="245"/>
      <c r="N384" s="245"/>
      <c r="O384" s="245"/>
      <c r="P384" s="246"/>
      <c r="Q384" s="246"/>
    </row>
    <row r="385">
      <c r="A385" s="245"/>
      <c r="B385" s="245"/>
      <c r="C385" s="245"/>
      <c r="D385" s="245"/>
      <c r="E385" s="245"/>
      <c r="F385" s="243"/>
      <c r="G385" s="245"/>
      <c r="H385" s="245"/>
      <c r="I385" s="245"/>
      <c r="J385" s="245"/>
      <c r="K385" s="245"/>
      <c r="L385" s="245"/>
      <c r="M385" s="245"/>
      <c r="N385" s="245"/>
      <c r="O385" s="245"/>
      <c r="P385" s="246"/>
      <c r="Q385" s="246"/>
    </row>
    <row r="386">
      <c r="A386" s="245"/>
      <c r="B386" s="245"/>
      <c r="C386" s="245"/>
      <c r="D386" s="245"/>
      <c r="E386" s="245"/>
      <c r="F386" s="243"/>
      <c r="G386" s="245"/>
      <c r="H386" s="245"/>
      <c r="I386" s="245"/>
      <c r="J386" s="245"/>
      <c r="K386" s="245"/>
      <c r="L386" s="245"/>
      <c r="M386" s="245"/>
      <c r="N386" s="245"/>
      <c r="O386" s="245"/>
      <c r="P386" s="246"/>
      <c r="Q386" s="246"/>
    </row>
    <row r="387">
      <c r="A387" s="245"/>
      <c r="B387" s="245"/>
      <c r="C387" s="245"/>
      <c r="D387" s="245"/>
      <c r="E387" s="245"/>
      <c r="F387" s="243"/>
      <c r="G387" s="245"/>
      <c r="H387" s="245"/>
      <c r="I387" s="245"/>
      <c r="J387" s="245"/>
      <c r="K387" s="245"/>
      <c r="L387" s="245"/>
      <c r="M387" s="245"/>
      <c r="N387" s="245"/>
      <c r="O387" s="245"/>
      <c r="P387" s="246"/>
      <c r="Q387" s="246"/>
    </row>
    <row r="388">
      <c r="A388" s="245"/>
      <c r="B388" s="245"/>
      <c r="C388" s="245"/>
      <c r="D388" s="245"/>
      <c r="E388" s="245"/>
      <c r="F388" s="243"/>
      <c r="G388" s="245"/>
      <c r="H388" s="245"/>
      <c r="I388" s="245"/>
      <c r="J388" s="245"/>
      <c r="K388" s="245"/>
      <c r="L388" s="245"/>
      <c r="M388" s="245"/>
      <c r="N388" s="245"/>
      <c r="O388" s="245"/>
      <c r="P388" s="246"/>
      <c r="Q388" s="246"/>
    </row>
    <row r="389">
      <c r="A389" s="245"/>
      <c r="B389" s="245"/>
      <c r="C389" s="245"/>
      <c r="D389" s="245"/>
      <c r="E389" s="245"/>
      <c r="F389" s="243"/>
      <c r="G389" s="245"/>
      <c r="H389" s="245"/>
      <c r="I389" s="245"/>
      <c r="J389" s="245"/>
      <c r="K389" s="245"/>
      <c r="L389" s="245"/>
      <c r="M389" s="245"/>
      <c r="N389" s="245"/>
      <c r="O389" s="245"/>
      <c r="P389" s="246"/>
      <c r="Q389" s="246"/>
    </row>
    <row r="390">
      <c r="A390" s="245"/>
      <c r="B390" s="245"/>
      <c r="C390" s="245"/>
      <c r="D390" s="245"/>
      <c r="E390" s="245"/>
      <c r="F390" s="243"/>
      <c r="G390" s="245"/>
      <c r="H390" s="245"/>
      <c r="I390" s="245"/>
      <c r="J390" s="245"/>
      <c r="K390" s="245"/>
      <c r="L390" s="245"/>
      <c r="M390" s="245"/>
      <c r="N390" s="245"/>
      <c r="O390" s="245"/>
      <c r="P390" s="246"/>
      <c r="Q390" s="246"/>
    </row>
    <row r="391">
      <c r="A391" s="245"/>
      <c r="B391" s="245"/>
      <c r="C391" s="245"/>
      <c r="D391" s="245"/>
      <c r="E391" s="245"/>
      <c r="F391" s="243"/>
      <c r="G391" s="245"/>
      <c r="H391" s="245"/>
      <c r="I391" s="245"/>
      <c r="J391" s="245"/>
      <c r="K391" s="245"/>
      <c r="L391" s="245"/>
      <c r="M391" s="245"/>
      <c r="N391" s="245"/>
      <c r="O391" s="245"/>
      <c r="P391" s="246"/>
      <c r="Q391" s="246"/>
    </row>
    <row r="392">
      <c r="A392" s="245"/>
      <c r="B392" s="245"/>
      <c r="C392" s="245"/>
      <c r="D392" s="245"/>
      <c r="E392" s="245"/>
      <c r="F392" s="243"/>
      <c r="G392" s="245"/>
      <c r="H392" s="245"/>
      <c r="I392" s="245"/>
      <c r="J392" s="245"/>
      <c r="K392" s="245"/>
      <c r="L392" s="245"/>
      <c r="M392" s="245"/>
      <c r="N392" s="245"/>
      <c r="O392" s="245"/>
      <c r="P392" s="246"/>
      <c r="Q392" s="246"/>
    </row>
    <row r="393">
      <c r="A393" s="245"/>
      <c r="B393" s="245"/>
      <c r="C393" s="245"/>
      <c r="D393" s="245"/>
      <c r="E393" s="245"/>
      <c r="F393" s="243"/>
      <c r="G393" s="245"/>
      <c r="H393" s="245"/>
      <c r="I393" s="245"/>
      <c r="J393" s="245"/>
      <c r="K393" s="245"/>
      <c r="L393" s="245"/>
      <c r="M393" s="245"/>
      <c r="N393" s="245"/>
      <c r="O393" s="245"/>
      <c r="P393" s="246"/>
      <c r="Q393" s="246"/>
    </row>
    <row r="394">
      <c r="A394" s="245"/>
      <c r="B394" s="245"/>
      <c r="C394" s="245"/>
      <c r="D394" s="245"/>
      <c r="E394" s="245"/>
      <c r="F394" s="243"/>
      <c r="G394" s="245"/>
      <c r="H394" s="245"/>
      <c r="I394" s="245"/>
      <c r="J394" s="245"/>
      <c r="K394" s="245"/>
      <c r="L394" s="245"/>
      <c r="M394" s="245"/>
      <c r="N394" s="245"/>
      <c r="O394" s="245"/>
      <c r="P394" s="246"/>
      <c r="Q394" s="246"/>
    </row>
    <row r="395">
      <c r="A395" s="245"/>
      <c r="B395" s="245"/>
      <c r="C395" s="245"/>
      <c r="D395" s="245"/>
      <c r="E395" s="245"/>
      <c r="F395" s="243"/>
      <c r="G395" s="245"/>
      <c r="H395" s="245"/>
      <c r="I395" s="245"/>
      <c r="J395" s="245"/>
      <c r="K395" s="245"/>
      <c r="L395" s="245"/>
      <c r="M395" s="245"/>
      <c r="N395" s="245"/>
      <c r="O395" s="245"/>
      <c r="P395" s="246"/>
      <c r="Q395" s="246"/>
    </row>
    <row r="396">
      <c r="A396" s="245"/>
      <c r="B396" s="245"/>
      <c r="C396" s="245"/>
      <c r="D396" s="245"/>
      <c r="E396" s="245"/>
      <c r="F396" s="243"/>
      <c r="G396" s="245"/>
      <c r="H396" s="245"/>
      <c r="I396" s="245"/>
      <c r="J396" s="245"/>
      <c r="K396" s="245"/>
      <c r="L396" s="245"/>
      <c r="M396" s="245"/>
      <c r="N396" s="245"/>
      <c r="O396" s="245"/>
      <c r="P396" s="246"/>
      <c r="Q396" s="246"/>
    </row>
    <row r="397">
      <c r="A397" s="245"/>
      <c r="B397" s="245"/>
      <c r="C397" s="245"/>
      <c r="D397" s="245"/>
      <c r="E397" s="245"/>
      <c r="F397" s="243"/>
      <c r="G397" s="245"/>
      <c r="H397" s="245"/>
      <c r="I397" s="245"/>
      <c r="J397" s="245"/>
      <c r="K397" s="245"/>
      <c r="L397" s="245"/>
      <c r="M397" s="245"/>
      <c r="N397" s="245"/>
      <c r="O397" s="245"/>
      <c r="P397" s="246"/>
      <c r="Q397" s="246"/>
    </row>
    <row r="398">
      <c r="A398" s="245"/>
      <c r="B398" s="245"/>
      <c r="C398" s="245"/>
      <c r="D398" s="245"/>
      <c r="E398" s="245"/>
      <c r="F398" s="243"/>
      <c r="G398" s="245"/>
      <c r="H398" s="245"/>
      <c r="I398" s="245"/>
      <c r="J398" s="245"/>
      <c r="K398" s="245"/>
      <c r="L398" s="245"/>
      <c r="M398" s="245"/>
      <c r="N398" s="245"/>
      <c r="O398" s="245"/>
      <c r="P398" s="246"/>
      <c r="Q398" s="246"/>
    </row>
    <row r="399">
      <c r="A399" s="245"/>
      <c r="B399" s="245"/>
      <c r="C399" s="245"/>
      <c r="D399" s="245"/>
      <c r="E399" s="245"/>
      <c r="F399" s="243"/>
      <c r="G399" s="245"/>
      <c r="H399" s="245"/>
      <c r="I399" s="245"/>
      <c r="J399" s="245"/>
      <c r="K399" s="245"/>
      <c r="L399" s="245"/>
      <c r="M399" s="245"/>
      <c r="N399" s="245"/>
      <c r="O399" s="245"/>
      <c r="P399" s="246"/>
      <c r="Q399" s="246"/>
    </row>
    <row r="400">
      <c r="A400" s="245"/>
      <c r="B400" s="245"/>
      <c r="C400" s="245"/>
      <c r="D400" s="245"/>
      <c r="E400" s="245"/>
      <c r="F400" s="243"/>
      <c r="G400" s="245"/>
      <c r="H400" s="245"/>
      <c r="I400" s="245"/>
      <c r="J400" s="245"/>
      <c r="K400" s="245"/>
      <c r="L400" s="245"/>
      <c r="M400" s="245"/>
      <c r="N400" s="245"/>
      <c r="O400" s="245"/>
      <c r="P400" s="246"/>
      <c r="Q400" s="246"/>
    </row>
    <row r="401">
      <c r="A401" s="245"/>
      <c r="B401" s="245"/>
      <c r="C401" s="245"/>
      <c r="D401" s="245"/>
      <c r="E401" s="245"/>
      <c r="F401" s="243"/>
      <c r="G401" s="245"/>
      <c r="H401" s="245"/>
      <c r="I401" s="245"/>
      <c r="J401" s="245"/>
      <c r="K401" s="245"/>
      <c r="L401" s="245"/>
      <c r="M401" s="245"/>
      <c r="N401" s="245"/>
      <c r="O401" s="245"/>
      <c r="P401" s="246"/>
      <c r="Q401" s="246"/>
    </row>
    <row r="402">
      <c r="A402" s="245"/>
      <c r="B402" s="245"/>
      <c r="C402" s="245"/>
      <c r="D402" s="245"/>
      <c r="E402" s="245"/>
      <c r="F402" s="243"/>
      <c r="G402" s="245"/>
      <c r="H402" s="245"/>
      <c r="I402" s="245"/>
      <c r="J402" s="245"/>
      <c r="K402" s="245"/>
      <c r="L402" s="245"/>
      <c r="M402" s="245"/>
      <c r="N402" s="245"/>
      <c r="O402" s="245"/>
      <c r="P402" s="246"/>
      <c r="Q402" s="246"/>
    </row>
    <row r="403">
      <c r="A403" s="245"/>
      <c r="B403" s="245"/>
      <c r="C403" s="245"/>
      <c r="D403" s="245"/>
      <c r="E403" s="245"/>
      <c r="F403" s="243"/>
      <c r="G403" s="245"/>
      <c r="H403" s="245"/>
      <c r="I403" s="245"/>
      <c r="J403" s="245"/>
      <c r="K403" s="245"/>
      <c r="L403" s="245"/>
      <c r="M403" s="245"/>
      <c r="N403" s="245"/>
      <c r="O403" s="245"/>
      <c r="P403" s="246"/>
      <c r="Q403" s="246"/>
    </row>
    <row r="404">
      <c r="A404" s="245"/>
      <c r="B404" s="245"/>
      <c r="C404" s="245"/>
      <c r="D404" s="245"/>
      <c r="E404" s="245"/>
      <c r="F404" s="243"/>
      <c r="G404" s="245"/>
      <c r="H404" s="245"/>
      <c r="I404" s="245"/>
      <c r="J404" s="245"/>
      <c r="K404" s="245"/>
      <c r="L404" s="245"/>
      <c r="M404" s="245"/>
      <c r="N404" s="245"/>
      <c r="O404" s="245"/>
      <c r="P404" s="246"/>
      <c r="Q404" s="246"/>
    </row>
    <row r="405">
      <c r="A405" s="245"/>
      <c r="B405" s="245"/>
      <c r="C405" s="245"/>
      <c r="D405" s="245"/>
      <c r="E405" s="245"/>
      <c r="F405" s="243"/>
      <c r="G405" s="245"/>
      <c r="H405" s="245"/>
      <c r="I405" s="245"/>
      <c r="J405" s="245"/>
      <c r="K405" s="245"/>
      <c r="L405" s="245"/>
      <c r="M405" s="245"/>
      <c r="N405" s="245"/>
      <c r="O405" s="245"/>
      <c r="P405" s="246"/>
      <c r="Q405" s="246"/>
    </row>
    <row r="406">
      <c r="A406" s="245"/>
      <c r="B406" s="245"/>
      <c r="C406" s="245"/>
      <c r="D406" s="245"/>
      <c r="E406" s="245"/>
      <c r="F406" s="243"/>
      <c r="G406" s="245"/>
      <c r="H406" s="245"/>
      <c r="I406" s="245"/>
      <c r="J406" s="245"/>
      <c r="K406" s="245"/>
      <c r="L406" s="245"/>
      <c r="M406" s="245"/>
      <c r="N406" s="245"/>
      <c r="O406" s="245"/>
      <c r="P406" s="246"/>
      <c r="Q406" s="246"/>
    </row>
    <row r="407">
      <c r="A407" s="245"/>
      <c r="B407" s="245"/>
      <c r="C407" s="245"/>
      <c r="D407" s="245"/>
      <c r="E407" s="245"/>
      <c r="F407" s="243"/>
      <c r="G407" s="245"/>
      <c r="H407" s="245"/>
      <c r="I407" s="245"/>
      <c r="J407" s="245"/>
      <c r="K407" s="245"/>
      <c r="L407" s="245"/>
      <c r="M407" s="245"/>
      <c r="N407" s="245"/>
      <c r="O407" s="245"/>
      <c r="P407" s="246"/>
      <c r="Q407" s="246"/>
    </row>
    <row r="408">
      <c r="A408" s="245"/>
      <c r="B408" s="245"/>
      <c r="C408" s="245"/>
      <c r="D408" s="245"/>
      <c r="E408" s="245"/>
      <c r="F408" s="243"/>
      <c r="G408" s="245"/>
      <c r="H408" s="245"/>
      <c r="I408" s="245"/>
      <c r="J408" s="245"/>
      <c r="K408" s="245"/>
      <c r="L408" s="245"/>
      <c r="M408" s="245"/>
      <c r="N408" s="245"/>
      <c r="O408" s="245"/>
      <c r="P408" s="246"/>
      <c r="Q408" s="246"/>
    </row>
    <row r="409">
      <c r="A409" s="245"/>
      <c r="B409" s="245"/>
      <c r="C409" s="245"/>
      <c r="D409" s="245"/>
      <c r="E409" s="245"/>
      <c r="F409" s="243"/>
      <c r="G409" s="245"/>
      <c r="H409" s="245"/>
      <c r="I409" s="245"/>
      <c r="J409" s="245"/>
      <c r="K409" s="245"/>
      <c r="L409" s="245"/>
      <c r="M409" s="245"/>
      <c r="N409" s="245"/>
      <c r="O409" s="245"/>
      <c r="P409" s="246"/>
      <c r="Q409" s="246"/>
    </row>
    <row r="410">
      <c r="A410" s="245"/>
      <c r="B410" s="245"/>
      <c r="C410" s="245"/>
      <c r="D410" s="245"/>
      <c r="E410" s="245"/>
      <c r="F410" s="243"/>
      <c r="G410" s="245"/>
      <c r="H410" s="245"/>
      <c r="I410" s="245"/>
      <c r="J410" s="245"/>
      <c r="K410" s="245"/>
      <c r="L410" s="245"/>
      <c r="M410" s="245"/>
      <c r="N410" s="245"/>
      <c r="O410" s="245"/>
      <c r="P410" s="246"/>
      <c r="Q410" s="246"/>
    </row>
    <row r="411">
      <c r="A411" s="245"/>
      <c r="B411" s="245"/>
      <c r="C411" s="245"/>
      <c r="D411" s="245"/>
      <c r="E411" s="245"/>
      <c r="F411" s="243"/>
      <c r="G411" s="245"/>
      <c r="H411" s="245"/>
      <c r="I411" s="245"/>
      <c r="J411" s="245"/>
      <c r="K411" s="245"/>
      <c r="L411" s="245"/>
      <c r="M411" s="245"/>
      <c r="N411" s="245"/>
      <c r="O411" s="245"/>
      <c r="P411" s="246"/>
      <c r="Q411" s="246"/>
    </row>
    <row r="412">
      <c r="A412" s="245"/>
      <c r="B412" s="245"/>
      <c r="C412" s="245"/>
      <c r="D412" s="245"/>
      <c r="E412" s="245"/>
      <c r="F412" s="243"/>
      <c r="G412" s="245"/>
      <c r="H412" s="245"/>
      <c r="I412" s="245"/>
      <c r="J412" s="245"/>
      <c r="K412" s="245"/>
      <c r="L412" s="245"/>
      <c r="M412" s="245"/>
      <c r="N412" s="245"/>
      <c r="O412" s="245"/>
      <c r="P412" s="246"/>
      <c r="Q412" s="246"/>
    </row>
    <row r="413">
      <c r="A413" s="245"/>
      <c r="B413" s="245"/>
      <c r="C413" s="245"/>
      <c r="D413" s="245"/>
      <c r="E413" s="245"/>
      <c r="F413" s="243"/>
      <c r="G413" s="245"/>
      <c r="H413" s="245"/>
      <c r="I413" s="245"/>
      <c r="J413" s="245"/>
      <c r="K413" s="245"/>
      <c r="L413" s="245"/>
      <c r="M413" s="245"/>
      <c r="N413" s="245"/>
      <c r="O413" s="245"/>
      <c r="P413" s="246"/>
      <c r="Q413" s="246"/>
    </row>
    <row r="414">
      <c r="A414" s="245"/>
      <c r="B414" s="245"/>
      <c r="C414" s="245"/>
      <c r="D414" s="245"/>
      <c r="E414" s="245"/>
      <c r="F414" s="243"/>
      <c r="G414" s="245"/>
      <c r="H414" s="245"/>
      <c r="I414" s="245"/>
      <c r="J414" s="245"/>
      <c r="K414" s="245"/>
      <c r="L414" s="245"/>
      <c r="M414" s="245"/>
      <c r="N414" s="245"/>
      <c r="O414" s="245"/>
      <c r="P414" s="246"/>
      <c r="Q414" s="246"/>
    </row>
    <row r="415">
      <c r="A415" s="245"/>
      <c r="B415" s="245"/>
      <c r="C415" s="245"/>
      <c r="D415" s="245"/>
      <c r="E415" s="245"/>
      <c r="F415" s="243"/>
      <c r="G415" s="245"/>
      <c r="H415" s="245"/>
      <c r="I415" s="245"/>
      <c r="J415" s="245"/>
      <c r="K415" s="245"/>
      <c r="L415" s="245"/>
      <c r="M415" s="245"/>
      <c r="N415" s="245"/>
      <c r="O415" s="245"/>
      <c r="P415" s="246"/>
      <c r="Q415" s="246"/>
    </row>
    <row r="416">
      <c r="A416" s="245"/>
      <c r="B416" s="245"/>
      <c r="C416" s="245"/>
      <c r="D416" s="245"/>
      <c r="E416" s="245"/>
      <c r="F416" s="243"/>
      <c r="G416" s="245"/>
      <c r="H416" s="245"/>
      <c r="I416" s="245"/>
      <c r="J416" s="245"/>
      <c r="K416" s="245"/>
      <c r="L416" s="245"/>
      <c r="M416" s="245"/>
      <c r="N416" s="245"/>
      <c r="O416" s="245"/>
      <c r="P416" s="246"/>
      <c r="Q416" s="246"/>
    </row>
    <row r="417">
      <c r="A417" s="245"/>
      <c r="B417" s="245"/>
      <c r="C417" s="245"/>
      <c r="D417" s="245"/>
      <c r="E417" s="245"/>
      <c r="F417" s="243"/>
      <c r="G417" s="245"/>
      <c r="H417" s="245"/>
      <c r="I417" s="245"/>
      <c r="J417" s="245"/>
      <c r="K417" s="245"/>
      <c r="L417" s="245"/>
      <c r="M417" s="245"/>
      <c r="N417" s="245"/>
      <c r="O417" s="245"/>
      <c r="P417" s="246"/>
      <c r="Q417" s="246"/>
    </row>
    <row r="418">
      <c r="A418" s="245"/>
      <c r="B418" s="245"/>
      <c r="C418" s="245"/>
      <c r="D418" s="245"/>
      <c r="E418" s="245"/>
      <c r="F418" s="243"/>
      <c r="G418" s="245"/>
      <c r="H418" s="245"/>
      <c r="I418" s="245"/>
      <c r="J418" s="245"/>
      <c r="K418" s="245"/>
      <c r="L418" s="245"/>
      <c r="M418" s="245"/>
      <c r="N418" s="245"/>
      <c r="O418" s="245"/>
      <c r="P418" s="246"/>
      <c r="Q418" s="246"/>
    </row>
    <row r="419">
      <c r="A419" s="245"/>
      <c r="B419" s="245"/>
      <c r="C419" s="245"/>
      <c r="D419" s="245"/>
      <c r="E419" s="245"/>
      <c r="F419" s="243"/>
      <c r="G419" s="245"/>
      <c r="H419" s="245"/>
      <c r="I419" s="245"/>
      <c r="J419" s="245"/>
      <c r="K419" s="245"/>
      <c r="L419" s="245"/>
      <c r="M419" s="245"/>
      <c r="N419" s="245"/>
      <c r="O419" s="245"/>
      <c r="P419" s="246"/>
      <c r="Q419" s="246"/>
    </row>
    <row r="420">
      <c r="A420" s="245"/>
      <c r="B420" s="245"/>
      <c r="C420" s="245"/>
      <c r="D420" s="245"/>
      <c r="E420" s="245"/>
      <c r="F420" s="243"/>
      <c r="G420" s="245"/>
      <c r="H420" s="245"/>
      <c r="I420" s="245"/>
      <c r="J420" s="245"/>
      <c r="K420" s="245"/>
      <c r="L420" s="245"/>
      <c r="M420" s="245"/>
      <c r="N420" s="245"/>
      <c r="O420" s="245"/>
      <c r="P420" s="246"/>
      <c r="Q420" s="246"/>
    </row>
    <row r="421">
      <c r="A421" s="245"/>
      <c r="B421" s="245"/>
      <c r="C421" s="245"/>
      <c r="D421" s="245"/>
      <c r="E421" s="245"/>
      <c r="F421" s="243"/>
      <c r="G421" s="245"/>
      <c r="H421" s="245"/>
      <c r="I421" s="245"/>
      <c r="J421" s="245"/>
      <c r="K421" s="245"/>
      <c r="L421" s="245"/>
      <c r="M421" s="245"/>
      <c r="N421" s="245"/>
      <c r="O421" s="245"/>
      <c r="P421" s="246"/>
      <c r="Q421" s="246"/>
    </row>
    <row r="422">
      <c r="A422" s="245"/>
      <c r="B422" s="245"/>
      <c r="C422" s="245"/>
      <c r="D422" s="245"/>
      <c r="E422" s="245"/>
      <c r="F422" s="243"/>
      <c r="G422" s="245"/>
      <c r="H422" s="245"/>
      <c r="I422" s="245"/>
      <c r="J422" s="245"/>
      <c r="K422" s="245"/>
      <c r="L422" s="245"/>
      <c r="M422" s="245"/>
      <c r="N422" s="245"/>
      <c r="O422" s="245"/>
      <c r="P422" s="246"/>
      <c r="Q422" s="246"/>
    </row>
    <row r="423">
      <c r="A423" s="245"/>
      <c r="B423" s="245"/>
      <c r="C423" s="245"/>
      <c r="D423" s="245"/>
      <c r="E423" s="245"/>
      <c r="F423" s="243"/>
      <c r="G423" s="245"/>
      <c r="H423" s="245"/>
      <c r="I423" s="245"/>
      <c r="J423" s="245"/>
      <c r="K423" s="245"/>
      <c r="L423" s="245"/>
      <c r="M423" s="245"/>
      <c r="N423" s="245"/>
      <c r="O423" s="245"/>
      <c r="P423" s="246"/>
      <c r="Q423" s="246"/>
    </row>
    <row r="424">
      <c r="A424" s="245"/>
      <c r="B424" s="245"/>
      <c r="C424" s="245"/>
      <c r="D424" s="245"/>
      <c r="E424" s="245"/>
      <c r="F424" s="243"/>
      <c r="G424" s="245"/>
      <c r="H424" s="245"/>
      <c r="I424" s="245"/>
      <c r="J424" s="245"/>
      <c r="K424" s="245"/>
      <c r="L424" s="245"/>
      <c r="M424" s="245"/>
      <c r="N424" s="245"/>
      <c r="O424" s="245"/>
      <c r="P424" s="246"/>
      <c r="Q424" s="246"/>
    </row>
    <row r="425">
      <c r="A425" s="245"/>
      <c r="B425" s="245"/>
      <c r="C425" s="245"/>
      <c r="D425" s="245"/>
      <c r="E425" s="245"/>
      <c r="F425" s="243"/>
      <c r="G425" s="245"/>
      <c r="H425" s="245"/>
      <c r="I425" s="245"/>
      <c r="J425" s="245"/>
      <c r="K425" s="245"/>
      <c r="L425" s="245"/>
      <c r="M425" s="245"/>
      <c r="N425" s="245"/>
      <c r="O425" s="245"/>
      <c r="P425" s="246"/>
      <c r="Q425" s="246"/>
    </row>
    <row r="426">
      <c r="A426" s="245"/>
      <c r="B426" s="245"/>
      <c r="C426" s="245"/>
      <c r="D426" s="245"/>
      <c r="E426" s="245"/>
      <c r="F426" s="243"/>
      <c r="G426" s="245"/>
      <c r="H426" s="245"/>
      <c r="I426" s="245"/>
      <c r="J426" s="245"/>
      <c r="K426" s="245"/>
      <c r="L426" s="245"/>
      <c r="M426" s="245"/>
      <c r="N426" s="245"/>
      <c r="O426" s="245"/>
      <c r="P426" s="246"/>
      <c r="Q426" s="246"/>
    </row>
    <row r="427">
      <c r="A427" s="245"/>
      <c r="B427" s="245"/>
      <c r="C427" s="245"/>
      <c r="D427" s="245"/>
      <c r="E427" s="245"/>
      <c r="F427" s="243"/>
      <c r="G427" s="245"/>
      <c r="H427" s="245"/>
      <c r="I427" s="245"/>
      <c r="J427" s="245"/>
      <c r="K427" s="245"/>
      <c r="L427" s="245"/>
      <c r="M427" s="245"/>
      <c r="N427" s="245"/>
      <c r="O427" s="245"/>
      <c r="P427" s="246"/>
      <c r="Q427" s="246"/>
    </row>
    <row r="428">
      <c r="A428" s="245"/>
      <c r="B428" s="245"/>
      <c r="C428" s="245"/>
      <c r="D428" s="245"/>
      <c r="E428" s="245"/>
      <c r="F428" s="243"/>
      <c r="G428" s="245"/>
      <c r="H428" s="245"/>
      <c r="I428" s="245"/>
      <c r="J428" s="245"/>
      <c r="K428" s="245"/>
      <c r="L428" s="245"/>
      <c r="M428" s="245"/>
      <c r="N428" s="245"/>
      <c r="O428" s="245"/>
      <c r="P428" s="246"/>
      <c r="Q428" s="246"/>
    </row>
    <row r="429">
      <c r="A429" s="245"/>
      <c r="B429" s="245"/>
      <c r="C429" s="245"/>
      <c r="D429" s="245"/>
      <c r="E429" s="245"/>
      <c r="F429" s="243"/>
      <c r="G429" s="245"/>
      <c r="H429" s="245"/>
      <c r="I429" s="245"/>
      <c r="J429" s="245"/>
      <c r="K429" s="245"/>
      <c r="L429" s="245"/>
      <c r="M429" s="245"/>
      <c r="N429" s="245"/>
      <c r="O429" s="245"/>
      <c r="P429" s="246"/>
      <c r="Q429" s="246"/>
    </row>
    <row r="430">
      <c r="A430" s="245"/>
      <c r="B430" s="245"/>
      <c r="C430" s="245"/>
      <c r="D430" s="245"/>
      <c r="E430" s="245"/>
      <c r="F430" s="243"/>
      <c r="G430" s="245"/>
      <c r="H430" s="245"/>
      <c r="I430" s="245"/>
      <c r="J430" s="245"/>
      <c r="K430" s="245"/>
      <c r="L430" s="245"/>
      <c r="M430" s="245"/>
      <c r="N430" s="245"/>
      <c r="O430" s="245"/>
      <c r="P430" s="246"/>
      <c r="Q430" s="246"/>
    </row>
    <row r="431">
      <c r="A431" s="245"/>
      <c r="B431" s="245"/>
      <c r="C431" s="245"/>
      <c r="D431" s="245"/>
      <c r="E431" s="245"/>
      <c r="F431" s="243"/>
      <c r="G431" s="245"/>
      <c r="H431" s="245"/>
      <c r="I431" s="245"/>
      <c r="J431" s="245"/>
      <c r="K431" s="245"/>
      <c r="L431" s="245"/>
      <c r="M431" s="245"/>
      <c r="N431" s="245"/>
      <c r="O431" s="245"/>
      <c r="P431" s="246"/>
      <c r="Q431" s="246"/>
    </row>
    <row r="432">
      <c r="A432" s="245"/>
      <c r="B432" s="245"/>
      <c r="C432" s="245"/>
      <c r="D432" s="245"/>
      <c r="E432" s="245"/>
      <c r="F432" s="243"/>
      <c r="G432" s="245"/>
      <c r="H432" s="245"/>
      <c r="I432" s="245"/>
      <c r="J432" s="245"/>
      <c r="K432" s="245"/>
      <c r="L432" s="245"/>
      <c r="M432" s="245"/>
      <c r="N432" s="245"/>
      <c r="O432" s="245"/>
      <c r="P432" s="246"/>
      <c r="Q432" s="246"/>
    </row>
    <row r="433">
      <c r="A433" s="245"/>
      <c r="B433" s="245"/>
      <c r="C433" s="245"/>
      <c r="D433" s="245"/>
      <c r="E433" s="245"/>
      <c r="F433" s="243"/>
      <c r="G433" s="245"/>
      <c r="H433" s="245"/>
      <c r="I433" s="245"/>
      <c r="J433" s="245"/>
      <c r="K433" s="245"/>
      <c r="L433" s="245"/>
      <c r="M433" s="245"/>
      <c r="N433" s="245"/>
      <c r="O433" s="245"/>
      <c r="P433" s="246"/>
      <c r="Q433" s="246"/>
    </row>
    <row r="434">
      <c r="A434" s="245"/>
      <c r="B434" s="245"/>
      <c r="C434" s="245"/>
      <c r="D434" s="245"/>
      <c r="E434" s="245"/>
      <c r="F434" s="243"/>
      <c r="G434" s="245"/>
      <c r="H434" s="245"/>
      <c r="I434" s="245"/>
      <c r="J434" s="245"/>
      <c r="K434" s="245"/>
      <c r="L434" s="245"/>
      <c r="M434" s="245"/>
      <c r="N434" s="245"/>
      <c r="O434" s="245"/>
      <c r="P434" s="246"/>
      <c r="Q434" s="246"/>
    </row>
    <row r="435">
      <c r="A435" s="245"/>
      <c r="B435" s="245"/>
      <c r="C435" s="245"/>
      <c r="D435" s="245"/>
      <c r="E435" s="245"/>
      <c r="F435" s="243"/>
      <c r="G435" s="245"/>
      <c r="H435" s="245"/>
      <c r="I435" s="245"/>
      <c r="J435" s="245"/>
      <c r="K435" s="245"/>
      <c r="L435" s="245"/>
      <c r="M435" s="245"/>
      <c r="N435" s="245"/>
      <c r="O435" s="245"/>
      <c r="P435" s="246"/>
      <c r="Q435" s="246"/>
    </row>
    <row r="436">
      <c r="A436" s="245"/>
      <c r="B436" s="245"/>
      <c r="C436" s="245"/>
      <c r="D436" s="245"/>
      <c r="E436" s="245"/>
      <c r="F436" s="243"/>
      <c r="G436" s="245"/>
      <c r="H436" s="245"/>
      <c r="I436" s="245"/>
      <c r="J436" s="245"/>
      <c r="K436" s="245"/>
      <c r="L436" s="245"/>
      <c r="M436" s="245"/>
      <c r="N436" s="245"/>
      <c r="O436" s="245"/>
      <c r="P436" s="246"/>
      <c r="Q436" s="246"/>
    </row>
    <row r="437">
      <c r="A437" s="245"/>
      <c r="B437" s="245"/>
      <c r="C437" s="245"/>
      <c r="D437" s="245"/>
      <c r="E437" s="245"/>
      <c r="F437" s="243"/>
      <c r="G437" s="245"/>
      <c r="H437" s="245"/>
      <c r="I437" s="245"/>
      <c r="J437" s="245"/>
      <c r="K437" s="245"/>
      <c r="L437" s="245"/>
      <c r="M437" s="245"/>
      <c r="N437" s="245"/>
      <c r="O437" s="245"/>
      <c r="P437" s="246"/>
      <c r="Q437" s="246"/>
    </row>
    <row r="438">
      <c r="A438" s="245"/>
      <c r="B438" s="245"/>
      <c r="C438" s="245"/>
      <c r="D438" s="245"/>
      <c r="E438" s="245"/>
      <c r="F438" s="243"/>
      <c r="G438" s="245"/>
      <c r="H438" s="245"/>
      <c r="I438" s="245"/>
      <c r="J438" s="245"/>
      <c r="K438" s="245"/>
      <c r="L438" s="245"/>
      <c r="M438" s="245"/>
      <c r="N438" s="245"/>
      <c r="O438" s="245"/>
      <c r="P438" s="246"/>
      <c r="Q438" s="246"/>
    </row>
    <row r="439">
      <c r="A439" s="245"/>
      <c r="B439" s="245"/>
      <c r="C439" s="245"/>
      <c r="D439" s="245"/>
      <c r="E439" s="245"/>
      <c r="F439" s="243"/>
      <c r="G439" s="245"/>
      <c r="H439" s="245"/>
      <c r="I439" s="245"/>
      <c r="J439" s="245"/>
      <c r="K439" s="245"/>
      <c r="L439" s="245"/>
      <c r="M439" s="245"/>
      <c r="N439" s="245"/>
      <c r="O439" s="245"/>
      <c r="P439" s="246"/>
      <c r="Q439" s="246"/>
    </row>
    <row r="440">
      <c r="A440" s="245"/>
      <c r="B440" s="245"/>
      <c r="C440" s="245"/>
      <c r="D440" s="245"/>
      <c r="E440" s="245"/>
      <c r="F440" s="243"/>
      <c r="G440" s="245"/>
      <c r="H440" s="245"/>
      <c r="I440" s="245"/>
      <c r="J440" s="245"/>
      <c r="K440" s="245"/>
      <c r="L440" s="245"/>
      <c r="M440" s="245"/>
      <c r="N440" s="245"/>
      <c r="O440" s="245"/>
      <c r="P440" s="246"/>
      <c r="Q440" s="246"/>
    </row>
    <row r="441">
      <c r="A441" s="245"/>
      <c r="B441" s="245"/>
      <c r="C441" s="245"/>
      <c r="D441" s="245"/>
      <c r="E441" s="245"/>
      <c r="F441" s="243"/>
      <c r="G441" s="245"/>
      <c r="H441" s="245"/>
      <c r="I441" s="245"/>
      <c r="J441" s="245"/>
      <c r="K441" s="245"/>
      <c r="L441" s="245"/>
      <c r="M441" s="245"/>
      <c r="N441" s="245"/>
      <c r="O441" s="245"/>
      <c r="P441" s="246"/>
      <c r="Q441" s="246"/>
    </row>
    <row r="442">
      <c r="A442" s="245"/>
      <c r="B442" s="245"/>
      <c r="C442" s="245"/>
      <c r="D442" s="245"/>
      <c r="E442" s="245"/>
      <c r="F442" s="243"/>
      <c r="G442" s="245"/>
      <c r="H442" s="245"/>
      <c r="I442" s="245"/>
      <c r="J442" s="245"/>
      <c r="K442" s="245"/>
      <c r="L442" s="245"/>
      <c r="M442" s="245"/>
      <c r="N442" s="245"/>
      <c r="O442" s="245"/>
      <c r="P442" s="246"/>
      <c r="Q442" s="246"/>
    </row>
    <row r="443">
      <c r="A443" s="245"/>
      <c r="B443" s="245"/>
      <c r="C443" s="245"/>
      <c r="D443" s="245"/>
      <c r="E443" s="245"/>
      <c r="F443" s="243"/>
      <c r="G443" s="245"/>
      <c r="H443" s="245"/>
      <c r="I443" s="245"/>
      <c r="J443" s="245"/>
      <c r="K443" s="245"/>
      <c r="L443" s="245"/>
      <c r="M443" s="245"/>
      <c r="N443" s="245"/>
      <c r="O443" s="245"/>
      <c r="P443" s="246"/>
      <c r="Q443" s="246"/>
    </row>
    <row r="444">
      <c r="A444" s="245"/>
      <c r="B444" s="245"/>
      <c r="C444" s="245"/>
      <c r="D444" s="245"/>
      <c r="E444" s="245"/>
      <c r="F444" s="243"/>
      <c r="G444" s="245"/>
      <c r="H444" s="245"/>
      <c r="I444" s="245"/>
      <c r="J444" s="245"/>
      <c r="K444" s="245"/>
      <c r="L444" s="245"/>
      <c r="M444" s="245"/>
      <c r="N444" s="245"/>
      <c r="O444" s="245"/>
      <c r="P444" s="246"/>
      <c r="Q444" s="246"/>
    </row>
    <row r="445">
      <c r="A445" s="245"/>
      <c r="B445" s="245"/>
      <c r="C445" s="245"/>
      <c r="D445" s="245"/>
      <c r="E445" s="245"/>
      <c r="F445" s="243"/>
      <c r="G445" s="245"/>
      <c r="H445" s="245"/>
      <c r="I445" s="245"/>
      <c r="J445" s="245"/>
      <c r="K445" s="245"/>
      <c r="L445" s="245"/>
      <c r="M445" s="245"/>
      <c r="N445" s="245"/>
      <c r="O445" s="245"/>
      <c r="P445" s="246"/>
      <c r="Q445" s="246"/>
    </row>
    <row r="446">
      <c r="A446" s="245"/>
      <c r="B446" s="245"/>
      <c r="C446" s="245"/>
      <c r="D446" s="245"/>
      <c r="E446" s="245"/>
      <c r="F446" s="243"/>
      <c r="G446" s="245"/>
      <c r="H446" s="245"/>
      <c r="I446" s="245"/>
      <c r="J446" s="245"/>
      <c r="K446" s="245"/>
      <c r="L446" s="245"/>
      <c r="M446" s="245"/>
      <c r="N446" s="245"/>
      <c r="O446" s="245"/>
      <c r="P446" s="246"/>
      <c r="Q446" s="246"/>
    </row>
    <row r="447">
      <c r="A447" s="245"/>
      <c r="B447" s="245"/>
      <c r="C447" s="245"/>
      <c r="D447" s="245"/>
      <c r="E447" s="245"/>
      <c r="F447" s="243"/>
      <c r="G447" s="245"/>
      <c r="H447" s="245"/>
      <c r="I447" s="245"/>
      <c r="J447" s="245"/>
      <c r="K447" s="245"/>
      <c r="L447" s="245"/>
      <c r="M447" s="245"/>
      <c r="N447" s="245"/>
      <c r="O447" s="245"/>
      <c r="P447" s="246"/>
      <c r="Q447" s="246"/>
    </row>
    <row r="448">
      <c r="A448" s="245"/>
      <c r="B448" s="245"/>
      <c r="C448" s="245"/>
      <c r="D448" s="245"/>
      <c r="E448" s="245"/>
      <c r="F448" s="243"/>
      <c r="G448" s="245"/>
      <c r="H448" s="245"/>
      <c r="I448" s="245"/>
      <c r="J448" s="245"/>
      <c r="K448" s="245"/>
      <c r="L448" s="245"/>
      <c r="M448" s="245"/>
      <c r="N448" s="245"/>
      <c r="O448" s="245"/>
      <c r="P448" s="246"/>
      <c r="Q448" s="246"/>
    </row>
    <row r="449">
      <c r="A449" s="245"/>
      <c r="B449" s="245"/>
      <c r="C449" s="245"/>
      <c r="D449" s="245"/>
      <c r="E449" s="245"/>
      <c r="F449" s="243"/>
      <c r="G449" s="245"/>
      <c r="H449" s="245"/>
      <c r="I449" s="245"/>
      <c r="J449" s="245"/>
      <c r="K449" s="245"/>
      <c r="L449" s="245"/>
      <c r="M449" s="245"/>
      <c r="N449" s="245"/>
      <c r="O449" s="245"/>
      <c r="P449" s="246"/>
      <c r="Q449" s="246"/>
    </row>
    <row r="450">
      <c r="A450" s="245"/>
      <c r="B450" s="245"/>
      <c r="C450" s="245"/>
      <c r="D450" s="245"/>
      <c r="E450" s="245"/>
      <c r="F450" s="243"/>
      <c r="G450" s="245"/>
      <c r="H450" s="245"/>
      <c r="I450" s="245"/>
      <c r="J450" s="245"/>
      <c r="K450" s="245"/>
      <c r="L450" s="245"/>
      <c r="M450" s="245"/>
      <c r="N450" s="245"/>
      <c r="O450" s="245"/>
      <c r="P450" s="246"/>
      <c r="Q450" s="246"/>
    </row>
    <row r="451">
      <c r="A451" s="245"/>
      <c r="B451" s="245"/>
      <c r="C451" s="245"/>
      <c r="D451" s="245"/>
      <c r="E451" s="245"/>
      <c r="F451" s="243"/>
      <c r="G451" s="245"/>
      <c r="H451" s="245"/>
      <c r="I451" s="245"/>
      <c r="J451" s="245"/>
      <c r="K451" s="245"/>
      <c r="L451" s="245"/>
      <c r="M451" s="245"/>
      <c r="N451" s="245"/>
      <c r="O451" s="245"/>
      <c r="P451" s="246"/>
      <c r="Q451" s="246"/>
    </row>
    <row r="452">
      <c r="A452" s="245"/>
      <c r="B452" s="245"/>
      <c r="C452" s="245"/>
      <c r="D452" s="245"/>
      <c r="E452" s="245"/>
      <c r="F452" s="243"/>
      <c r="G452" s="245"/>
      <c r="H452" s="245"/>
      <c r="I452" s="245"/>
      <c r="J452" s="245"/>
      <c r="K452" s="245"/>
      <c r="L452" s="245"/>
      <c r="M452" s="245"/>
      <c r="N452" s="245"/>
      <c r="O452" s="245"/>
      <c r="P452" s="246"/>
      <c r="Q452" s="246"/>
    </row>
    <row r="453">
      <c r="A453" s="245"/>
      <c r="B453" s="245"/>
      <c r="C453" s="245"/>
      <c r="D453" s="245"/>
      <c r="E453" s="245"/>
      <c r="F453" s="243"/>
      <c r="G453" s="245"/>
      <c r="H453" s="245"/>
      <c r="I453" s="245"/>
      <c r="J453" s="245"/>
      <c r="K453" s="245"/>
      <c r="L453" s="245"/>
      <c r="M453" s="245"/>
      <c r="N453" s="245"/>
      <c r="O453" s="245"/>
      <c r="P453" s="246"/>
      <c r="Q453" s="246"/>
    </row>
    <row r="454">
      <c r="A454" s="245"/>
      <c r="B454" s="245"/>
      <c r="C454" s="245"/>
      <c r="D454" s="245"/>
      <c r="E454" s="245"/>
      <c r="F454" s="243"/>
      <c r="G454" s="245"/>
      <c r="H454" s="245"/>
      <c r="I454" s="245"/>
      <c r="J454" s="245"/>
      <c r="K454" s="245"/>
      <c r="L454" s="245"/>
      <c r="M454" s="245"/>
      <c r="N454" s="245"/>
      <c r="O454" s="245"/>
      <c r="P454" s="246"/>
      <c r="Q454" s="246"/>
    </row>
    <row r="455">
      <c r="A455" s="245"/>
      <c r="B455" s="245"/>
      <c r="C455" s="245"/>
      <c r="D455" s="245"/>
      <c r="E455" s="245"/>
      <c r="F455" s="243"/>
      <c r="G455" s="245"/>
      <c r="H455" s="245"/>
      <c r="I455" s="245"/>
      <c r="J455" s="245"/>
      <c r="K455" s="245"/>
      <c r="L455" s="245"/>
      <c r="M455" s="245"/>
      <c r="N455" s="245"/>
      <c r="O455" s="245"/>
      <c r="P455" s="246"/>
      <c r="Q455" s="246"/>
    </row>
    <row r="456">
      <c r="A456" s="245"/>
      <c r="B456" s="245"/>
      <c r="C456" s="245"/>
      <c r="D456" s="245"/>
      <c r="E456" s="245"/>
      <c r="F456" s="243"/>
      <c r="G456" s="245"/>
      <c r="H456" s="245"/>
      <c r="I456" s="245"/>
      <c r="J456" s="245"/>
      <c r="K456" s="245"/>
      <c r="L456" s="245"/>
      <c r="M456" s="245"/>
      <c r="N456" s="245"/>
      <c r="O456" s="245"/>
      <c r="P456" s="246"/>
      <c r="Q456" s="246"/>
    </row>
    <row r="457">
      <c r="A457" s="245"/>
      <c r="B457" s="245"/>
      <c r="C457" s="245"/>
      <c r="D457" s="245"/>
      <c r="E457" s="245"/>
      <c r="F457" s="243"/>
      <c r="G457" s="245"/>
      <c r="H457" s="245"/>
      <c r="I457" s="245"/>
      <c r="J457" s="245"/>
      <c r="K457" s="245"/>
      <c r="L457" s="245"/>
      <c r="M457" s="245"/>
      <c r="N457" s="245"/>
      <c r="O457" s="245"/>
      <c r="P457" s="246"/>
      <c r="Q457" s="246"/>
    </row>
    <row r="458">
      <c r="A458" s="245"/>
      <c r="B458" s="245"/>
      <c r="C458" s="245"/>
      <c r="D458" s="245"/>
      <c r="E458" s="245"/>
      <c r="F458" s="243"/>
      <c r="G458" s="245"/>
      <c r="H458" s="245"/>
      <c r="I458" s="245"/>
      <c r="J458" s="245"/>
      <c r="K458" s="245"/>
      <c r="L458" s="245"/>
      <c r="M458" s="245"/>
      <c r="N458" s="245"/>
      <c r="O458" s="245"/>
      <c r="P458" s="246"/>
      <c r="Q458" s="246"/>
    </row>
    <row r="459">
      <c r="A459" s="245"/>
      <c r="B459" s="245"/>
      <c r="C459" s="245"/>
      <c r="D459" s="245"/>
      <c r="E459" s="245"/>
      <c r="F459" s="243"/>
      <c r="G459" s="245"/>
      <c r="H459" s="245"/>
      <c r="I459" s="245"/>
      <c r="J459" s="245"/>
      <c r="K459" s="245"/>
      <c r="L459" s="245"/>
      <c r="M459" s="245"/>
      <c r="N459" s="245"/>
      <c r="O459" s="245"/>
      <c r="P459" s="246"/>
      <c r="Q459" s="246"/>
    </row>
    <row r="460">
      <c r="A460" s="245"/>
      <c r="B460" s="245"/>
      <c r="C460" s="245"/>
      <c r="D460" s="245"/>
      <c r="E460" s="245"/>
      <c r="F460" s="243"/>
      <c r="G460" s="245"/>
      <c r="H460" s="245"/>
      <c r="I460" s="245"/>
      <c r="J460" s="245"/>
      <c r="K460" s="245"/>
      <c r="L460" s="245"/>
      <c r="M460" s="245"/>
      <c r="N460" s="245"/>
      <c r="O460" s="245"/>
      <c r="P460" s="246"/>
      <c r="Q460" s="246"/>
    </row>
    <row r="461">
      <c r="A461" s="245"/>
      <c r="B461" s="245"/>
      <c r="C461" s="245"/>
      <c r="D461" s="245"/>
      <c r="E461" s="245"/>
      <c r="F461" s="243"/>
      <c r="G461" s="245"/>
      <c r="H461" s="245"/>
      <c r="I461" s="245"/>
      <c r="J461" s="245"/>
      <c r="K461" s="245"/>
      <c r="L461" s="245"/>
      <c r="M461" s="245"/>
      <c r="N461" s="245"/>
      <c r="O461" s="245"/>
      <c r="P461" s="246"/>
      <c r="Q461" s="246"/>
    </row>
    <row r="462">
      <c r="A462" s="245"/>
      <c r="B462" s="245"/>
      <c r="C462" s="245"/>
      <c r="D462" s="245"/>
      <c r="E462" s="245"/>
      <c r="F462" s="243"/>
      <c r="G462" s="245"/>
      <c r="H462" s="245"/>
      <c r="I462" s="245"/>
      <c r="J462" s="245"/>
      <c r="K462" s="245"/>
      <c r="L462" s="245"/>
      <c r="M462" s="245"/>
      <c r="N462" s="245"/>
      <c r="O462" s="245"/>
      <c r="P462" s="246"/>
      <c r="Q462" s="246"/>
    </row>
    <row r="463">
      <c r="A463" s="245"/>
      <c r="B463" s="245"/>
      <c r="C463" s="245"/>
      <c r="D463" s="245"/>
      <c r="E463" s="245"/>
      <c r="F463" s="243"/>
      <c r="G463" s="245"/>
      <c r="H463" s="245"/>
      <c r="I463" s="245"/>
      <c r="J463" s="245"/>
      <c r="K463" s="245"/>
      <c r="L463" s="245"/>
      <c r="M463" s="245"/>
      <c r="N463" s="245"/>
      <c r="O463" s="245"/>
      <c r="P463" s="246"/>
      <c r="Q463" s="246"/>
    </row>
    <row r="464">
      <c r="A464" s="245"/>
      <c r="B464" s="245"/>
      <c r="C464" s="245"/>
      <c r="D464" s="245"/>
      <c r="E464" s="245"/>
      <c r="F464" s="243"/>
      <c r="G464" s="245"/>
      <c r="H464" s="245"/>
      <c r="I464" s="245"/>
      <c r="J464" s="245"/>
      <c r="K464" s="245"/>
      <c r="L464" s="245"/>
      <c r="M464" s="245"/>
      <c r="N464" s="245"/>
      <c r="O464" s="245"/>
      <c r="P464" s="246"/>
      <c r="Q464" s="246"/>
    </row>
    <row r="465">
      <c r="A465" s="245"/>
      <c r="B465" s="245"/>
      <c r="C465" s="245"/>
      <c r="D465" s="245"/>
      <c r="E465" s="245"/>
      <c r="F465" s="243"/>
      <c r="G465" s="245"/>
      <c r="H465" s="245"/>
      <c r="I465" s="245"/>
      <c r="J465" s="245"/>
      <c r="K465" s="245"/>
      <c r="L465" s="245"/>
      <c r="M465" s="245"/>
      <c r="N465" s="245"/>
      <c r="O465" s="245"/>
      <c r="P465" s="246"/>
      <c r="Q465" s="246"/>
    </row>
    <row r="466">
      <c r="A466" s="245"/>
      <c r="B466" s="245"/>
      <c r="C466" s="245"/>
      <c r="D466" s="245"/>
      <c r="E466" s="245"/>
      <c r="F466" s="243"/>
      <c r="G466" s="245"/>
      <c r="H466" s="245"/>
      <c r="I466" s="245"/>
      <c r="J466" s="245"/>
      <c r="K466" s="245"/>
      <c r="L466" s="245"/>
      <c r="M466" s="245"/>
      <c r="N466" s="245"/>
      <c r="O466" s="245"/>
      <c r="P466" s="246"/>
      <c r="Q466" s="246"/>
    </row>
    <row r="467">
      <c r="A467" s="245"/>
      <c r="B467" s="245"/>
      <c r="C467" s="245"/>
      <c r="D467" s="245"/>
      <c r="E467" s="245"/>
      <c r="F467" s="243"/>
      <c r="G467" s="245"/>
      <c r="H467" s="245"/>
      <c r="I467" s="245"/>
      <c r="J467" s="245"/>
      <c r="K467" s="245"/>
      <c r="L467" s="245"/>
      <c r="M467" s="245"/>
      <c r="N467" s="245"/>
      <c r="O467" s="245"/>
      <c r="P467" s="246"/>
      <c r="Q467" s="246"/>
    </row>
    <row r="468">
      <c r="A468" s="245"/>
      <c r="B468" s="245"/>
      <c r="C468" s="245"/>
      <c r="D468" s="245"/>
      <c r="E468" s="245"/>
      <c r="F468" s="243"/>
      <c r="G468" s="245"/>
      <c r="H468" s="245"/>
      <c r="I468" s="245"/>
      <c r="J468" s="245"/>
      <c r="K468" s="245"/>
      <c r="L468" s="245"/>
      <c r="M468" s="245"/>
      <c r="N468" s="245"/>
      <c r="O468" s="245"/>
      <c r="P468" s="246"/>
      <c r="Q468" s="246"/>
    </row>
    <row r="469">
      <c r="A469" s="245"/>
      <c r="B469" s="245"/>
      <c r="C469" s="245"/>
      <c r="D469" s="245"/>
      <c r="E469" s="245"/>
      <c r="F469" s="243"/>
      <c r="G469" s="245"/>
      <c r="H469" s="245"/>
      <c r="I469" s="245"/>
      <c r="J469" s="245"/>
      <c r="K469" s="245"/>
      <c r="L469" s="245"/>
      <c r="M469" s="245"/>
      <c r="N469" s="245"/>
      <c r="O469" s="245"/>
      <c r="P469" s="246"/>
      <c r="Q469" s="246"/>
    </row>
    <row r="470">
      <c r="A470" s="245"/>
      <c r="B470" s="245"/>
      <c r="C470" s="245"/>
      <c r="D470" s="245"/>
      <c r="E470" s="245"/>
      <c r="F470" s="243"/>
      <c r="G470" s="245"/>
      <c r="H470" s="245"/>
      <c r="I470" s="245"/>
      <c r="J470" s="245"/>
      <c r="K470" s="245"/>
      <c r="L470" s="245"/>
      <c r="M470" s="245"/>
      <c r="N470" s="245"/>
      <c r="O470" s="245"/>
      <c r="P470" s="246"/>
      <c r="Q470" s="246"/>
    </row>
    <row r="471">
      <c r="A471" s="245"/>
      <c r="B471" s="245"/>
      <c r="C471" s="245"/>
      <c r="D471" s="245"/>
      <c r="E471" s="245"/>
      <c r="F471" s="243"/>
      <c r="G471" s="245"/>
      <c r="H471" s="245"/>
      <c r="I471" s="245"/>
      <c r="J471" s="245"/>
      <c r="K471" s="245"/>
      <c r="L471" s="245"/>
      <c r="M471" s="245"/>
      <c r="N471" s="245"/>
      <c r="O471" s="245"/>
      <c r="P471" s="246"/>
      <c r="Q471" s="246"/>
    </row>
    <row r="472">
      <c r="A472" s="245"/>
      <c r="B472" s="245"/>
      <c r="C472" s="245"/>
      <c r="D472" s="245"/>
      <c r="E472" s="245"/>
      <c r="F472" s="243"/>
      <c r="G472" s="245"/>
      <c r="H472" s="245"/>
      <c r="I472" s="245"/>
      <c r="J472" s="245"/>
      <c r="K472" s="245"/>
      <c r="L472" s="245"/>
      <c r="M472" s="245"/>
      <c r="N472" s="245"/>
      <c r="O472" s="245"/>
      <c r="P472" s="246"/>
      <c r="Q472" s="246"/>
    </row>
    <row r="473">
      <c r="A473" s="245"/>
      <c r="B473" s="245"/>
      <c r="C473" s="245"/>
      <c r="D473" s="245"/>
      <c r="E473" s="245"/>
      <c r="F473" s="243"/>
      <c r="G473" s="245"/>
      <c r="H473" s="245"/>
      <c r="I473" s="245"/>
      <c r="J473" s="245"/>
      <c r="K473" s="245"/>
      <c r="L473" s="245"/>
      <c r="M473" s="245"/>
      <c r="N473" s="245"/>
      <c r="O473" s="245"/>
      <c r="P473" s="246"/>
      <c r="Q473" s="246"/>
    </row>
    <row r="474">
      <c r="A474" s="245"/>
      <c r="B474" s="245"/>
      <c r="C474" s="245"/>
      <c r="D474" s="245"/>
      <c r="E474" s="245"/>
      <c r="F474" s="243"/>
      <c r="G474" s="245"/>
      <c r="H474" s="245"/>
      <c r="I474" s="245"/>
      <c r="J474" s="245"/>
      <c r="K474" s="245"/>
      <c r="L474" s="245"/>
      <c r="M474" s="245"/>
      <c r="N474" s="245"/>
      <c r="O474" s="245"/>
      <c r="P474" s="246"/>
      <c r="Q474" s="246"/>
    </row>
    <row r="475">
      <c r="A475" s="245"/>
      <c r="B475" s="245"/>
      <c r="C475" s="245"/>
      <c r="D475" s="245"/>
      <c r="E475" s="245"/>
      <c r="F475" s="243"/>
      <c r="G475" s="245"/>
      <c r="H475" s="245"/>
      <c r="I475" s="245"/>
      <c r="J475" s="245"/>
      <c r="K475" s="245"/>
      <c r="L475" s="245"/>
      <c r="M475" s="245"/>
      <c r="N475" s="245"/>
      <c r="O475" s="245"/>
      <c r="P475" s="246"/>
      <c r="Q475" s="246"/>
    </row>
    <row r="476">
      <c r="A476" s="245"/>
      <c r="B476" s="245"/>
      <c r="C476" s="245"/>
      <c r="D476" s="245"/>
      <c r="E476" s="245"/>
      <c r="F476" s="243"/>
      <c r="G476" s="245"/>
      <c r="H476" s="245"/>
      <c r="I476" s="245"/>
      <c r="J476" s="245"/>
      <c r="K476" s="245"/>
      <c r="L476" s="245"/>
      <c r="M476" s="245"/>
      <c r="N476" s="245"/>
      <c r="O476" s="245"/>
      <c r="P476" s="246"/>
      <c r="Q476" s="246"/>
    </row>
    <row r="477">
      <c r="A477" s="245"/>
      <c r="B477" s="245"/>
      <c r="C477" s="245"/>
      <c r="D477" s="245"/>
      <c r="E477" s="245"/>
      <c r="F477" s="243"/>
      <c r="G477" s="245"/>
      <c r="H477" s="245"/>
      <c r="I477" s="245"/>
      <c r="J477" s="245"/>
      <c r="K477" s="245"/>
      <c r="L477" s="245"/>
      <c r="M477" s="245"/>
      <c r="N477" s="245"/>
      <c r="O477" s="245"/>
      <c r="P477" s="246"/>
      <c r="Q477" s="246"/>
    </row>
    <row r="478">
      <c r="A478" s="245"/>
      <c r="B478" s="245"/>
      <c r="C478" s="245"/>
      <c r="D478" s="245"/>
      <c r="E478" s="245"/>
      <c r="F478" s="243"/>
      <c r="G478" s="245"/>
      <c r="H478" s="245"/>
      <c r="I478" s="245"/>
      <c r="J478" s="245"/>
      <c r="K478" s="245"/>
      <c r="L478" s="245"/>
      <c r="M478" s="245"/>
      <c r="N478" s="245"/>
      <c r="O478" s="245"/>
      <c r="P478" s="246"/>
      <c r="Q478" s="246"/>
    </row>
    <row r="479">
      <c r="A479" s="245"/>
      <c r="B479" s="245"/>
      <c r="C479" s="245"/>
      <c r="D479" s="245"/>
      <c r="E479" s="245"/>
      <c r="F479" s="243"/>
      <c r="G479" s="245"/>
      <c r="H479" s="245"/>
      <c r="I479" s="245"/>
      <c r="J479" s="245"/>
      <c r="K479" s="245"/>
      <c r="L479" s="245"/>
      <c r="M479" s="245"/>
      <c r="N479" s="245"/>
      <c r="O479" s="245"/>
      <c r="P479" s="246"/>
      <c r="Q479" s="246"/>
    </row>
    <row r="480">
      <c r="A480" s="245"/>
      <c r="B480" s="245"/>
      <c r="C480" s="245"/>
      <c r="D480" s="245"/>
      <c r="E480" s="245"/>
      <c r="F480" s="243"/>
      <c r="G480" s="245"/>
      <c r="H480" s="245"/>
      <c r="I480" s="245"/>
      <c r="J480" s="245"/>
      <c r="K480" s="245"/>
      <c r="L480" s="245"/>
      <c r="M480" s="245"/>
      <c r="N480" s="245"/>
      <c r="O480" s="245"/>
      <c r="P480" s="246"/>
      <c r="Q480" s="246"/>
    </row>
    <row r="481">
      <c r="A481" s="245"/>
      <c r="B481" s="245"/>
      <c r="C481" s="245"/>
      <c r="D481" s="245"/>
      <c r="E481" s="245"/>
      <c r="F481" s="243"/>
      <c r="G481" s="245"/>
      <c r="H481" s="245"/>
      <c r="I481" s="245"/>
      <c r="J481" s="245"/>
      <c r="K481" s="245"/>
      <c r="L481" s="245"/>
      <c r="M481" s="245"/>
      <c r="N481" s="245"/>
      <c r="O481" s="245"/>
      <c r="P481" s="246"/>
      <c r="Q481" s="246"/>
    </row>
    <row r="482">
      <c r="A482" s="245"/>
      <c r="B482" s="245"/>
      <c r="C482" s="245"/>
      <c r="D482" s="245"/>
      <c r="E482" s="245"/>
      <c r="F482" s="243"/>
      <c r="G482" s="245"/>
      <c r="H482" s="245"/>
      <c r="I482" s="245"/>
      <c r="J482" s="245"/>
      <c r="K482" s="245"/>
      <c r="L482" s="245"/>
      <c r="M482" s="245"/>
      <c r="N482" s="245"/>
      <c r="O482" s="245"/>
      <c r="P482" s="246"/>
      <c r="Q482" s="246"/>
    </row>
    <row r="483">
      <c r="A483" s="245"/>
      <c r="B483" s="245"/>
      <c r="C483" s="245"/>
      <c r="D483" s="245"/>
      <c r="E483" s="245"/>
      <c r="F483" s="243"/>
      <c r="G483" s="245"/>
      <c r="H483" s="245"/>
      <c r="I483" s="245"/>
      <c r="J483" s="245"/>
      <c r="K483" s="245"/>
      <c r="L483" s="245"/>
      <c r="M483" s="245"/>
      <c r="N483" s="245"/>
      <c r="O483" s="245"/>
      <c r="P483" s="246"/>
      <c r="Q483" s="246"/>
    </row>
    <row r="484">
      <c r="A484" s="245"/>
      <c r="B484" s="245"/>
      <c r="C484" s="245"/>
      <c r="D484" s="245"/>
      <c r="E484" s="245"/>
      <c r="F484" s="243"/>
      <c r="G484" s="245"/>
      <c r="H484" s="245"/>
      <c r="I484" s="245"/>
      <c r="J484" s="245"/>
      <c r="K484" s="245"/>
      <c r="L484" s="245"/>
      <c r="M484" s="245"/>
      <c r="N484" s="245"/>
      <c r="O484" s="245"/>
      <c r="P484" s="246"/>
      <c r="Q484" s="246"/>
    </row>
    <row r="485">
      <c r="A485" s="245"/>
      <c r="B485" s="245"/>
      <c r="C485" s="245"/>
      <c r="D485" s="245"/>
      <c r="E485" s="245"/>
      <c r="F485" s="243"/>
      <c r="G485" s="245"/>
      <c r="H485" s="245"/>
      <c r="I485" s="245"/>
      <c r="J485" s="245"/>
      <c r="K485" s="245"/>
      <c r="L485" s="245"/>
      <c r="M485" s="245"/>
      <c r="N485" s="245"/>
      <c r="O485" s="245"/>
      <c r="P485" s="246"/>
      <c r="Q485" s="246"/>
    </row>
    <row r="486">
      <c r="A486" s="245"/>
      <c r="B486" s="245"/>
      <c r="C486" s="245"/>
      <c r="D486" s="245"/>
      <c r="E486" s="245"/>
      <c r="F486" s="243"/>
      <c r="G486" s="245"/>
      <c r="H486" s="245"/>
      <c r="I486" s="245"/>
      <c r="J486" s="245"/>
      <c r="K486" s="245"/>
      <c r="L486" s="245"/>
      <c r="M486" s="245"/>
      <c r="N486" s="245"/>
      <c r="O486" s="245"/>
      <c r="P486" s="246"/>
      <c r="Q486" s="246"/>
    </row>
    <row r="487">
      <c r="A487" s="245"/>
      <c r="B487" s="245"/>
      <c r="C487" s="245"/>
      <c r="D487" s="245"/>
      <c r="E487" s="245"/>
      <c r="F487" s="243"/>
      <c r="G487" s="245"/>
      <c r="H487" s="245"/>
      <c r="I487" s="245"/>
      <c r="J487" s="245"/>
      <c r="K487" s="245"/>
      <c r="L487" s="245"/>
      <c r="M487" s="245"/>
      <c r="N487" s="245"/>
      <c r="O487" s="245"/>
      <c r="P487" s="246"/>
      <c r="Q487" s="246"/>
    </row>
    <row r="488">
      <c r="A488" s="245"/>
      <c r="B488" s="245"/>
      <c r="C488" s="245"/>
      <c r="D488" s="245"/>
      <c r="E488" s="245"/>
      <c r="F488" s="243"/>
      <c r="G488" s="245"/>
      <c r="H488" s="245"/>
      <c r="I488" s="245"/>
      <c r="J488" s="245"/>
      <c r="K488" s="245"/>
      <c r="L488" s="245"/>
      <c r="M488" s="245"/>
      <c r="N488" s="245"/>
      <c r="O488" s="245"/>
      <c r="P488" s="246"/>
      <c r="Q488" s="246"/>
    </row>
    <row r="489">
      <c r="A489" s="245"/>
      <c r="B489" s="245"/>
      <c r="C489" s="245"/>
      <c r="D489" s="245"/>
      <c r="E489" s="245"/>
      <c r="F489" s="243"/>
      <c r="G489" s="245"/>
      <c r="H489" s="245"/>
      <c r="I489" s="245"/>
      <c r="J489" s="245"/>
      <c r="K489" s="245"/>
      <c r="L489" s="245"/>
      <c r="M489" s="245"/>
      <c r="N489" s="245"/>
      <c r="O489" s="245"/>
      <c r="P489" s="246"/>
      <c r="Q489" s="246"/>
    </row>
    <row r="490">
      <c r="A490" s="245"/>
      <c r="B490" s="245"/>
      <c r="C490" s="245"/>
      <c r="D490" s="245"/>
      <c r="E490" s="245"/>
      <c r="F490" s="243"/>
      <c r="G490" s="245"/>
      <c r="H490" s="245"/>
      <c r="I490" s="245"/>
      <c r="J490" s="245"/>
      <c r="K490" s="245"/>
      <c r="L490" s="245"/>
      <c r="M490" s="245"/>
      <c r="N490" s="245"/>
      <c r="O490" s="245"/>
      <c r="P490" s="246"/>
      <c r="Q490" s="246"/>
    </row>
    <row r="491">
      <c r="A491" s="245"/>
      <c r="B491" s="245"/>
      <c r="C491" s="245"/>
      <c r="D491" s="245"/>
      <c r="E491" s="245"/>
      <c r="F491" s="243"/>
      <c r="G491" s="245"/>
      <c r="H491" s="245"/>
      <c r="I491" s="245"/>
      <c r="J491" s="245"/>
      <c r="K491" s="245"/>
      <c r="L491" s="245"/>
      <c r="M491" s="245"/>
      <c r="N491" s="245"/>
      <c r="O491" s="245"/>
      <c r="P491" s="246"/>
      <c r="Q491" s="246"/>
    </row>
    <row r="492">
      <c r="A492" s="245"/>
      <c r="B492" s="245"/>
      <c r="C492" s="245"/>
      <c r="D492" s="245"/>
      <c r="E492" s="245"/>
      <c r="F492" s="243"/>
      <c r="G492" s="245"/>
      <c r="H492" s="245"/>
      <c r="I492" s="245"/>
      <c r="J492" s="245"/>
      <c r="K492" s="245"/>
      <c r="L492" s="245"/>
      <c r="M492" s="245"/>
      <c r="N492" s="245"/>
      <c r="O492" s="245"/>
      <c r="P492" s="246"/>
      <c r="Q492" s="246"/>
    </row>
    <row r="493">
      <c r="A493" s="245"/>
      <c r="B493" s="245"/>
      <c r="C493" s="245"/>
      <c r="D493" s="245"/>
      <c r="E493" s="245"/>
      <c r="F493" s="243"/>
      <c r="G493" s="245"/>
      <c r="H493" s="245"/>
      <c r="I493" s="245"/>
      <c r="J493" s="245"/>
      <c r="K493" s="245"/>
      <c r="L493" s="245"/>
      <c r="M493" s="245"/>
      <c r="N493" s="245"/>
      <c r="O493" s="245"/>
      <c r="P493" s="246"/>
      <c r="Q493" s="246"/>
    </row>
    <row r="494">
      <c r="A494" s="245"/>
      <c r="B494" s="245"/>
      <c r="C494" s="245"/>
      <c r="D494" s="245"/>
      <c r="E494" s="245"/>
      <c r="F494" s="243"/>
      <c r="G494" s="245"/>
      <c r="H494" s="245"/>
      <c r="I494" s="245"/>
      <c r="J494" s="245"/>
      <c r="K494" s="245"/>
      <c r="L494" s="245"/>
      <c r="M494" s="245"/>
      <c r="N494" s="245"/>
      <c r="O494" s="245"/>
      <c r="P494" s="246"/>
      <c r="Q494" s="246"/>
    </row>
    <row r="495">
      <c r="A495" s="245"/>
      <c r="B495" s="245"/>
      <c r="C495" s="245"/>
      <c r="D495" s="245"/>
      <c r="E495" s="245"/>
      <c r="F495" s="243"/>
      <c r="G495" s="245"/>
      <c r="H495" s="245"/>
      <c r="I495" s="245"/>
      <c r="J495" s="245"/>
      <c r="K495" s="245"/>
      <c r="L495" s="245"/>
      <c r="M495" s="245"/>
      <c r="N495" s="245"/>
      <c r="O495" s="245"/>
      <c r="P495" s="246"/>
      <c r="Q495" s="246"/>
    </row>
    <row r="496">
      <c r="A496" s="245"/>
      <c r="B496" s="245"/>
      <c r="C496" s="245"/>
      <c r="D496" s="245"/>
      <c r="E496" s="245"/>
      <c r="F496" s="243"/>
      <c r="G496" s="245"/>
      <c r="H496" s="245"/>
      <c r="I496" s="245"/>
      <c r="J496" s="245"/>
      <c r="K496" s="245"/>
      <c r="L496" s="245"/>
      <c r="M496" s="245"/>
      <c r="N496" s="245"/>
      <c r="O496" s="245"/>
      <c r="P496" s="246"/>
      <c r="Q496" s="246"/>
    </row>
    <row r="497">
      <c r="A497" s="245"/>
      <c r="B497" s="245"/>
      <c r="C497" s="245"/>
      <c r="D497" s="245"/>
      <c r="E497" s="245"/>
      <c r="F497" s="243"/>
      <c r="G497" s="245"/>
      <c r="H497" s="245"/>
      <c r="I497" s="245"/>
      <c r="J497" s="245"/>
      <c r="K497" s="245"/>
      <c r="L497" s="245"/>
      <c r="M497" s="245"/>
      <c r="N497" s="245"/>
      <c r="O497" s="245"/>
      <c r="P497" s="246"/>
      <c r="Q497" s="246"/>
    </row>
    <row r="498">
      <c r="A498" s="245"/>
      <c r="B498" s="245"/>
      <c r="C498" s="245"/>
      <c r="D498" s="245"/>
      <c r="E498" s="245"/>
      <c r="F498" s="243"/>
      <c r="G498" s="245"/>
      <c r="H498" s="245"/>
      <c r="I498" s="245"/>
      <c r="J498" s="245"/>
      <c r="K498" s="245"/>
      <c r="L498" s="245"/>
      <c r="M498" s="245"/>
      <c r="N498" s="245"/>
      <c r="O498" s="245"/>
      <c r="P498" s="246"/>
      <c r="Q498" s="246"/>
    </row>
    <row r="499">
      <c r="A499" s="245"/>
      <c r="B499" s="245"/>
      <c r="C499" s="245"/>
      <c r="D499" s="245"/>
      <c r="E499" s="245"/>
      <c r="F499" s="243"/>
      <c r="G499" s="245"/>
      <c r="H499" s="245"/>
      <c r="I499" s="245"/>
      <c r="J499" s="245"/>
      <c r="K499" s="245"/>
      <c r="L499" s="245"/>
      <c r="M499" s="245"/>
      <c r="N499" s="245"/>
      <c r="O499" s="245"/>
      <c r="P499" s="246"/>
      <c r="Q499" s="246"/>
    </row>
    <row r="500">
      <c r="A500" s="245"/>
      <c r="B500" s="245"/>
      <c r="C500" s="245"/>
      <c r="D500" s="245"/>
      <c r="E500" s="245"/>
      <c r="F500" s="243"/>
      <c r="G500" s="245"/>
      <c r="H500" s="245"/>
      <c r="I500" s="245"/>
      <c r="J500" s="245"/>
      <c r="K500" s="245"/>
      <c r="L500" s="245"/>
      <c r="M500" s="245"/>
      <c r="N500" s="245"/>
      <c r="O500" s="245"/>
      <c r="P500" s="246"/>
      <c r="Q500" s="246"/>
    </row>
    <row r="501">
      <c r="A501" s="245"/>
      <c r="B501" s="245"/>
      <c r="C501" s="245"/>
      <c r="D501" s="245"/>
      <c r="E501" s="245"/>
      <c r="F501" s="243"/>
      <c r="G501" s="245"/>
      <c r="H501" s="245"/>
      <c r="I501" s="245"/>
      <c r="J501" s="245"/>
      <c r="K501" s="245"/>
      <c r="L501" s="245"/>
      <c r="M501" s="245"/>
      <c r="N501" s="245"/>
      <c r="O501" s="245"/>
      <c r="P501" s="246"/>
      <c r="Q501" s="246"/>
    </row>
    <row r="502">
      <c r="A502" s="245"/>
      <c r="B502" s="245"/>
      <c r="C502" s="245"/>
      <c r="D502" s="245"/>
      <c r="E502" s="245"/>
      <c r="F502" s="243"/>
      <c r="G502" s="245"/>
      <c r="H502" s="245"/>
      <c r="I502" s="245"/>
      <c r="J502" s="245"/>
      <c r="K502" s="245"/>
      <c r="L502" s="245"/>
      <c r="M502" s="245"/>
      <c r="N502" s="245"/>
      <c r="O502" s="245"/>
      <c r="P502" s="246"/>
      <c r="Q502" s="246"/>
    </row>
    <row r="503">
      <c r="A503" s="245"/>
      <c r="B503" s="245"/>
      <c r="C503" s="245"/>
      <c r="D503" s="245"/>
      <c r="E503" s="245"/>
      <c r="F503" s="243"/>
      <c r="G503" s="245"/>
      <c r="H503" s="245"/>
      <c r="I503" s="245"/>
      <c r="J503" s="245"/>
      <c r="K503" s="245"/>
      <c r="L503" s="245"/>
      <c r="M503" s="245"/>
      <c r="N503" s="245"/>
      <c r="O503" s="245"/>
      <c r="P503" s="246"/>
      <c r="Q503" s="246"/>
    </row>
    <row r="504">
      <c r="A504" s="245"/>
      <c r="B504" s="245"/>
      <c r="C504" s="245"/>
      <c r="D504" s="245"/>
      <c r="E504" s="245"/>
      <c r="F504" s="243"/>
      <c r="G504" s="245"/>
      <c r="H504" s="245"/>
      <c r="I504" s="245"/>
      <c r="J504" s="245"/>
      <c r="K504" s="245"/>
      <c r="L504" s="245"/>
      <c r="M504" s="245"/>
      <c r="N504" s="245"/>
      <c r="O504" s="245"/>
      <c r="P504" s="246"/>
      <c r="Q504" s="246"/>
    </row>
    <row r="505">
      <c r="A505" s="245"/>
      <c r="B505" s="245"/>
      <c r="C505" s="245"/>
      <c r="D505" s="245"/>
      <c r="E505" s="245"/>
      <c r="F505" s="243"/>
      <c r="G505" s="245"/>
      <c r="H505" s="245"/>
      <c r="I505" s="245"/>
      <c r="J505" s="245"/>
      <c r="K505" s="245"/>
      <c r="L505" s="245"/>
      <c r="M505" s="245"/>
      <c r="N505" s="245"/>
      <c r="O505" s="245"/>
      <c r="P505" s="246"/>
      <c r="Q505" s="246"/>
    </row>
    <row r="506">
      <c r="A506" s="245"/>
      <c r="B506" s="245"/>
      <c r="C506" s="245"/>
      <c r="D506" s="245"/>
      <c r="E506" s="245"/>
      <c r="F506" s="243"/>
      <c r="G506" s="245"/>
      <c r="H506" s="245"/>
      <c r="I506" s="245"/>
      <c r="J506" s="245"/>
      <c r="K506" s="245"/>
      <c r="L506" s="245"/>
      <c r="M506" s="245"/>
      <c r="N506" s="245"/>
      <c r="O506" s="245"/>
      <c r="P506" s="246"/>
      <c r="Q506" s="246"/>
    </row>
    <row r="507">
      <c r="A507" s="245"/>
      <c r="B507" s="245"/>
      <c r="C507" s="245"/>
      <c r="D507" s="245"/>
      <c r="E507" s="245"/>
      <c r="F507" s="243"/>
      <c r="G507" s="245"/>
      <c r="H507" s="245"/>
      <c r="I507" s="245"/>
      <c r="J507" s="245"/>
      <c r="K507" s="245"/>
      <c r="L507" s="245"/>
      <c r="M507" s="245"/>
      <c r="N507" s="245"/>
      <c r="O507" s="245"/>
      <c r="P507" s="246"/>
      <c r="Q507" s="246"/>
    </row>
    <row r="508">
      <c r="A508" s="245"/>
      <c r="B508" s="245"/>
      <c r="C508" s="245"/>
      <c r="D508" s="245"/>
      <c r="E508" s="245"/>
      <c r="F508" s="243"/>
      <c r="G508" s="245"/>
      <c r="H508" s="245"/>
      <c r="I508" s="245"/>
      <c r="J508" s="245"/>
      <c r="K508" s="245"/>
      <c r="L508" s="245"/>
      <c r="M508" s="245"/>
      <c r="N508" s="245"/>
      <c r="O508" s="245"/>
      <c r="P508" s="246"/>
      <c r="Q508" s="246"/>
    </row>
    <row r="509">
      <c r="A509" s="245"/>
      <c r="B509" s="245"/>
      <c r="C509" s="245"/>
      <c r="D509" s="245"/>
      <c r="E509" s="245"/>
      <c r="F509" s="243"/>
      <c r="G509" s="245"/>
      <c r="H509" s="245"/>
      <c r="I509" s="245"/>
      <c r="J509" s="245"/>
      <c r="K509" s="245"/>
      <c r="L509" s="245"/>
      <c r="M509" s="245"/>
      <c r="N509" s="245"/>
      <c r="O509" s="245"/>
      <c r="P509" s="246"/>
      <c r="Q509" s="246"/>
    </row>
    <row r="510">
      <c r="A510" s="245"/>
      <c r="B510" s="245"/>
      <c r="C510" s="245"/>
      <c r="D510" s="245"/>
      <c r="E510" s="245"/>
      <c r="F510" s="243"/>
      <c r="G510" s="245"/>
      <c r="H510" s="245"/>
      <c r="I510" s="245"/>
      <c r="J510" s="245"/>
      <c r="K510" s="245"/>
      <c r="L510" s="245"/>
      <c r="M510" s="245"/>
      <c r="N510" s="245"/>
      <c r="O510" s="245"/>
      <c r="P510" s="246"/>
      <c r="Q510" s="246"/>
    </row>
    <row r="511">
      <c r="A511" s="245"/>
      <c r="B511" s="245"/>
      <c r="C511" s="245"/>
      <c r="D511" s="245"/>
      <c r="E511" s="245"/>
      <c r="F511" s="243"/>
      <c r="G511" s="245"/>
      <c r="H511" s="245"/>
      <c r="I511" s="245"/>
      <c r="J511" s="245"/>
      <c r="K511" s="245"/>
      <c r="L511" s="245"/>
      <c r="M511" s="245"/>
      <c r="N511" s="245"/>
      <c r="O511" s="245"/>
      <c r="P511" s="246"/>
      <c r="Q511" s="246"/>
    </row>
    <row r="512">
      <c r="A512" s="245"/>
      <c r="B512" s="245"/>
      <c r="C512" s="245"/>
      <c r="D512" s="245"/>
      <c r="E512" s="245"/>
      <c r="F512" s="243"/>
      <c r="G512" s="245"/>
      <c r="H512" s="245"/>
      <c r="I512" s="245"/>
      <c r="J512" s="245"/>
      <c r="K512" s="245"/>
      <c r="L512" s="245"/>
      <c r="M512" s="245"/>
      <c r="N512" s="245"/>
      <c r="O512" s="245"/>
      <c r="P512" s="246"/>
      <c r="Q512" s="246"/>
    </row>
    <row r="513">
      <c r="A513" s="245"/>
      <c r="B513" s="245"/>
      <c r="C513" s="245"/>
      <c r="D513" s="245"/>
      <c r="E513" s="245"/>
      <c r="F513" s="243"/>
      <c r="G513" s="245"/>
      <c r="H513" s="245"/>
      <c r="I513" s="245"/>
      <c r="J513" s="245"/>
      <c r="K513" s="245"/>
      <c r="L513" s="245"/>
      <c r="M513" s="245"/>
      <c r="N513" s="245"/>
      <c r="O513" s="245"/>
      <c r="P513" s="246"/>
      <c r="Q513" s="246"/>
    </row>
    <row r="514">
      <c r="A514" s="245"/>
      <c r="B514" s="245"/>
      <c r="C514" s="245"/>
      <c r="D514" s="245"/>
      <c r="E514" s="245"/>
      <c r="F514" s="243"/>
      <c r="G514" s="245"/>
      <c r="H514" s="245"/>
      <c r="I514" s="245"/>
      <c r="J514" s="245"/>
      <c r="K514" s="245"/>
      <c r="L514" s="245"/>
      <c r="M514" s="245"/>
      <c r="N514" s="245"/>
      <c r="O514" s="245"/>
      <c r="P514" s="246"/>
      <c r="Q514" s="246"/>
    </row>
    <row r="515">
      <c r="A515" s="245"/>
      <c r="B515" s="245"/>
      <c r="C515" s="245"/>
      <c r="D515" s="245"/>
      <c r="E515" s="245"/>
      <c r="F515" s="243"/>
      <c r="G515" s="245"/>
      <c r="H515" s="245"/>
      <c r="I515" s="245"/>
      <c r="J515" s="245"/>
      <c r="K515" s="245"/>
      <c r="L515" s="245"/>
      <c r="M515" s="245"/>
      <c r="N515" s="245"/>
      <c r="O515" s="245"/>
      <c r="P515" s="246"/>
      <c r="Q515" s="246"/>
    </row>
    <row r="516">
      <c r="A516" s="245"/>
      <c r="B516" s="245"/>
      <c r="C516" s="245"/>
      <c r="D516" s="245"/>
      <c r="E516" s="245"/>
      <c r="F516" s="243"/>
      <c r="G516" s="245"/>
      <c r="H516" s="245"/>
      <c r="I516" s="245"/>
      <c r="J516" s="245"/>
      <c r="K516" s="245"/>
      <c r="L516" s="245"/>
      <c r="M516" s="245"/>
      <c r="N516" s="245"/>
      <c r="O516" s="245"/>
      <c r="P516" s="246"/>
      <c r="Q516" s="246"/>
    </row>
    <row r="517">
      <c r="A517" s="245"/>
      <c r="B517" s="245"/>
      <c r="C517" s="245"/>
      <c r="D517" s="245"/>
      <c r="E517" s="245"/>
      <c r="F517" s="243"/>
      <c r="G517" s="245"/>
      <c r="H517" s="245"/>
      <c r="I517" s="245"/>
      <c r="J517" s="245"/>
      <c r="K517" s="245"/>
      <c r="L517" s="245"/>
      <c r="M517" s="245"/>
      <c r="N517" s="245"/>
      <c r="O517" s="245"/>
      <c r="P517" s="246"/>
      <c r="Q517" s="246"/>
    </row>
    <row r="518">
      <c r="A518" s="245"/>
      <c r="B518" s="245"/>
      <c r="C518" s="245"/>
      <c r="D518" s="245"/>
      <c r="E518" s="245"/>
      <c r="F518" s="243"/>
      <c r="G518" s="245"/>
      <c r="H518" s="245"/>
      <c r="I518" s="245"/>
      <c r="J518" s="245"/>
      <c r="K518" s="245"/>
      <c r="L518" s="245"/>
      <c r="M518" s="245"/>
      <c r="N518" s="245"/>
      <c r="O518" s="245"/>
      <c r="P518" s="246"/>
      <c r="Q518" s="246"/>
    </row>
    <row r="519">
      <c r="A519" s="245"/>
      <c r="B519" s="245"/>
      <c r="C519" s="245"/>
      <c r="D519" s="245"/>
      <c r="E519" s="245"/>
      <c r="F519" s="243"/>
      <c r="G519" s="245"/>
      <c r="H519" s="245"/>
      <c r="I519" s="245"/>
      <c r="J519" s="245"/>
      <c r="K519" s="245"/>
      <c r="L519" s="245"/>
      <c r="M519" s="245"/>
      <c r="N519" s="245"/>
      <c r="O519" s="245"/>
      <c r="P519" s="246"/>
      <c r="Q519" s="246"/>
    </row>
    <row r="520">
      <c r="A520" s="245"/>
      <c r="B520" s="245"/>
      <c r="C520" s="245"/>
      <c r="D520" s="245"/>
      <c r="E520" s="245"/>
      <c r="F520" s="243"/>
      <c r="G520" s="245"/>
      <c r="H520" s="245"/>
      <c r="I520" s="245"/>
      <c r="J520" s="245"/>
      <c r="K520" s="245"/>
      <c r="L520" s="245"/>
      <c r="M520" s="245"/>
      <c r="N520" s="245"/>
      <c r="O520" s="245"/>
      <c r="P520" s="246"/>
      <c r="Q520" s="246"/>
    </row>
    <row r="521">
      <c r="A521" s="245"/>
      <c r="B521" s="245"/>
      <c r="C521" s="245"/>
      <c r="D521" s="245"/>
      <c r="E521" s="245"/>
      <c r="F521" s="243"/>
      <c r="G521" s="245"/>
      <c r="H521" s="245"/>
      <c r="I521" s="245"/>
      <c r="J521" s="245"/>
      <c r="K521" s="245"/>
      <c r="L521" s="245"/>
      <c r="M521" s="245"/>
      <c r="N521" s="245"/>
      <c r="O521" s="245"/>
      <c r="P521" s="246"/>
      <c r="Q521" s="246"/>
    </row>
    <row r="522">
      <c r="A522" s="245"/>
      <c r="B522" s="245"/>
      <c r="C522" s="245"/>
      <c r="D522" s="245"/>
      <c r="E522" s="245"/>
      <c r="F522" s="243"/>
      <c r="G522" s="245"/>
      <c r="H522" s="245"/>
      <c r="I522" s="245"/>
      <c r="J522" s="245"/>
      <c r="K522" s="245"/>
      <c r="L522" s="245"/>
      <c r="M522" s="245"/>
      <c r="N522" s="245"/>
      <c r="O522" s="245"/>
      <c r="P522" s="246"/>
      <c r="Q522" s="246"/>
    </row>
    <row r="523">
      <c r="A523" s="245"/>
      <c r="B523" s="245"/>
      <c r="C523" s="245"/>
      <c r="D523" s="245"/>
      <c r="E523" s="245"/>
      <c r="F523" s="243"/>
      <c r="G523" s="245"/>
      <c r="H523" s="245"/>
      <c r="I523" s="245"/>
      <c r="J523" s="245"/>
      <c r="K523" s="245"/>
      <c r="L523" s="245"/>
      <c r="M523" s="245"/>
      <c r="N523" s="245"/>
      <c r="O523" s="245"/>
      <c r="P523" s="246"/>
      <c r="Q523" s="246"/>
    </row>
    <row r="524">
      <c r="A524" s="245"/>
      <c r="B524" s="245"/>
      <c r="C524" s="245"/>
      <c r="D524" s="245"/>
      <c r="E524" s="245"/>
      <c r="F524" s="243"/>
      <c r="G524" s="245"/>
      <c r="H524" s="245"/>
      <c r="I524" s="245"/>
      <c r="J524" s="245"/>
      <c r="K524" s="245"/>
      <c r="L524" s="245"/>
      <c r="M524" s="245"/>
      <c r="N524" s="245"/>
      <c r="O524" s="245"/>
      <c r="P524" s="246"/>
      <c r="Q524" s="246"/>
    </row>
    <row r="525">
      <c r="A525" s="245"/>
      <c r="B525" s="245"/>
      <c r="C525" s="245"/>
      <c r="D525" s="245"/>
      <c r="E525" s="245"/>
      <c r="F525" s="243"/>
      <c r="G525" s="245"/>
      <c r="H525" s="245"/>
      <c r="I525" s="245"/>
      <c r="J525" s="245"/>
      <c r="K525" s="245"/>
      <c r="L525" s="245"/>
      <c r="M525" s="245"/>
      <c r="N525" s="245"/>
      <c r="O525" s="245"/>
      <c r="P525" s="246"/>
      <c r="Q525" s="246"/>
    </row>
    <row r="526">
      <c r="A526" s="245"/>
      <c r="B526" s="245"/>
      <c r="C526" s="245"/>
      <c r="D526" s="245"/>
      <c r="E526" s="245"/>
      <c r="F526" s="243"/>
      <c r="G526" s="245"/>
      <c r="H526" s="245"/>
      <c r="I526" s="245"/>
      <c r="J526" s="245"/>
      <c r="K526" s="245"/>
      <c r="L526" s="245"/>
      <c r="M526" s="245"/>
      <c r="N526" s="245"/>
      <c r="O526" s="245"/>
      <c r="P526" s="246"/>
      <c r="Q526" s="246"/>
    </row>
    <row r="527">
      <c r="A527" s="245"/>
      <c r="B527" s="245"/>
      <c r="C527" s="245"/>
      <c r="D527" s="245"/>
      <c r="E527" s="245"/>
      <c r="F527" s="243"/>
      <c r="G527" s="245"/>
      <c r="H527" s="245"/>
      <c r="I527" s="245"/>
      <c r="J527" s="245"/>
      <c r="K527" s="245"/>
      <c r="L527" s="245"/>
      <c r="M527" s="245"/>
      <c r="N527" s="245"/>
      <c r="O527" s="245"/>
      <c r="P527" s="246"/>
      <c r="Q527" s="246"/>
    </row>
    <row r="528">
      <c r="A528" s="245"/>
      <c r="B528" s="245"/>
      <c r="C528" s="245"/>
      <c r="D528" s="245"/>
      <c r="E528" s="245"/>
      <c r="F528" s="243"/>
      <c r="G528" s="245"/>
      <c r="H528" s="245"/>
      <c r="I528" s="245"/>
      <c r="J528" s="245"/>
      <c r="K528" s="245"/>
      <c r="L528" s="245"/>
      <c r="M528" s="245"/>
      <c r="N528" s="245"/>
      <c r="O528" s="245"/>
      <c r="P528" s="246"/>
      <c r="Q528" s="246"/>
    </row>
    <row r="529">
      <c r="A529" s="245"/>
      <c r="B529" s="245"/>
      <c r="C529" s="245"/>
      <c r="D529" s="245"/>
      <c r="E529" s="245"/>
      <c r="F529" s="243"/>
      <c r="G529" s="245"/>
      <c r="H529" s="245"/>
      <c r="I529" s="245"/>
      <c r="J529" s="245"/>
      <c r="K529" s="245"/>
      <c r="L529" s="245"/>
      <c r="M529" s="245"/>
      <c r="N529" s="245"/>
      <c r="O529" s="245"/>
      <c r="P529" s="246"/>
      <c r="Q529" s="246"/>
    </row>
    <row r="530">
      <c r="A530" s="245"/>
      <c r="B530" s="245"/>
      <c r="C530" s="245"/>
      <c r="D530" s="245"/>
      <c r="E530" s="245"/>
      <c r="F530" s="243"/>
      <c r="G530" s="245"/>
      <c r="H530" s="245"/>
      <c r="I530" s="245"/>
      <c r="J530" s="245"/>
      <c r="K530" s="245"/>
      <c r="L530" s="245"/>
      <c r="M530" s="245"/>
      <c r="N530" s="245"/>
      <c r="O530" s="245"/>
      <c r="P530" s="246"/>
      <c r="Q530" s="246"/>
    </row>
    <row r="531">
      <c r="A531" s="245"/>
      <c r="B531" s="245"/>
      <c r="C531" s="245"/>
      <c r="D531" s="245"/>
      <c r="E531" s="245"/>
      <c r="F531" s="243"/>
      <c r="G531" s="245"/>
      <c r="H531" s="245"/>
      <c r="I531" s="245"/>
      <c r="J531" s="245"/>
      <c r="K531" s="245"/>
      <c r="L531" s="245"/>
      <c r="M531" s="245"/>
      <c r="N531" s="245"/>
      <c r="O531" s="245"/>
      <c r="P531" s="246"/>
      <c r="Q531" s="246"/>
    </row>
    <row r="532">
      <c r="A532" s="245"/>
      <c r="B532" s="245"/>
      <c r="C532" s="245"/>
      <c r="D532" s="245"/>
      <c r="E532" s="245"/>
      <c r="F532" s="243"/>
      <c r="G532" s="245"/>
      <c r="H532" s="245"/>
      <c r="I532" s="245"/>
      <c r="J532" s="245"/>
      <c r="K532" s="245"/>
      <c r="L532" s="245"/>
      <c r="M532" s="245"/>
      <c r="N532" s="245"/>
      <c r="O532" s="245"/>
      <c r="P532" s="246"/>
      <c r="Q532" s="246"/>
    </row>
    <row r="533">
      <c r="A533" s="245"/>
      <c r="B533" s="245"/>
      <c r="C533" s="245"/>
      <c r="D533" s="245"/>
      <c r="E533" s="245"/>
      <c r="F533" s="243"/>
      <c r="G533" s="245"/>
      <c r="H533" s="245"/>
      <c r="I533" s="245"/>
      <c r="J533" s="245"/>
      <c r="K533" s="245"/>
      <c r="L533" s="245"/>
      <c r="M533" s="245"/>
      <c r="N533" s="245"/>
      <c r="O533" s="245"/>
      <c r="P533" s="246"/>
      <c r="Q533" s="246"/>
    </row>
    <row r="534">
      <c r="A534" s="245"/>
      <c r="B534" s="245"/>
      <c r="C534" s="245"/>
      <c r="D534" s="245"/>
      <c r="E534" s="245"/>
      <c r="F534" s="243"/>
      <c r="G534" s="245"/>
      <c r="H534" s="245"/>
      <c r="I534" s="245"/>
      <c r="J534" s="245"/>
      <c r="K534" s="245"/>
      <c r="L534" s="245"/>
      <c r="M534" s="245"/>
      <c r="N534" s="245"/>
      <c r="O534" s="245"/>
      <c r="P534" s="246"/>
      <c r="Q534" s="246"/>
    </row>
    <row r="535">
      <c r="A535" s="245"/>
      <c r="B535" s="245"/>
      <c r="C535" s="245"/>
      <c r="D535" s="245"/>
      <c r="E535" s="245"/>
      <c r="F535" s="243"/>
      <c r="G535" s="245"/>
      <c r="H535" s="245"/>
      <c r="I535" s="245"/>
      <c r="J535" s="245"/>
      <c r="K535" s="245"/>
      <c r="L535" s="245"/>
      <c r="M535" s="245"/>
      <c r="N535" s="245"/>
      <c r="O535" s="245"/>
      <c r="P535" s="246"/>
      <c r="Q535" s="246"/>
    </row>
    <row r="536">
      <c r="A536" s="245"/>
      <c r="B536" s="245"/>
      <c r="C536" s="245"/>
      <c r="D536" s="245"/>
      <c r="E536" s="245"/>
      <c r="F536" s="243"/>
      <c r="G536" s="245"/>
      <c r="H536" s="245"/>
      <c r="I536" s="245"/>
      <c r="J536" s="245"/>
      <c r="K536" s="245"/>
      <c r="L536" s="245"/>
      <c r="M536" s="245"/>
      <c r="N536" s="245"/>
      <c r="O536" s="245"/>
      <c r="P536" s="246"/>
      <c r="Q536" s="246"/>
    </row>
    <row r="537">
      <c r="A537" s="245"/>
      <c r="B537" s="245"/>
      <c r="C537" s="245"/>
      <c r="D537" s="245"/>
      <c r="E537" s="245"/>
      <c r="F537" s="243"/>
      <c r="G537" s="245"/>
      <c r="H537" s="245"/>
      <c r="I537" s="245"/>
      <c r="J537" s="245"/>
      <c r="K537" s="245"/>
      <c r="L537" s="245"/>
      <c r="M537" s="245"/>
      <c r="N537" s="245"/>
      <c r="O537" s="245"/>
      <c r="P537" s="246"/>
      <c r="Q537" s="246"/>
    </row>
    <row r="538">
      <c r="A538" s="245"/>
      <c r="B538" s="245"/>
      <c r="C538" s="245"/>
      <c r="D538" s="245"/>
      <c r="E538" s="245"/>
      <c r="F538" s="243"/>
      <c r="G538" s="245"/>
      <c r="H538" s="245"/>
      <c r="I538" s="245"/>
      <c r="J538" s="245"/>
      <c r="K538" s="245"/>
      <c r="L538" s="245"/>
      <c r="M538" s="245"/>
      <c r="N538" s="245"/>
      <c r="O538" s="245"/>
      <c r="P538" s="246"/>
      <c r="Q538" s="246"/>
    </row>
    <row r="539">
      <c r="A539" s="245"/>
      <c r="B539" s="245"/>
      <c r="C539" s="245"/>
      <c r="D539" s="245"/>
      <c r="E539" s="245"/>
      <c r="F539" s="243"/>
      <c r="G539" s="245"/>
      <c r="H539" s="245"/>
      <c r="I539" s="245"/>
      <c r="J539" s="245"/>
      <c r="K539" s="245"/>
      <c r="L539" s="245"/>
      <c r="M539" s="245"/>
      <c r="N539" s="245"/>
      <c r="O539" s="245"/>
      <c r="P539" s="246"/>
      <c r="Q539" s="246"/>
    </row>
    <row r="540">
      <c r="A540" s="245"/>
      <c r="B540" s="245"/>
      <c r="C540" s="245"/>
      <c r="D540" s="245"/>
      <c r="E540" s="245"/>
      <c r="F540" s="243"/>
      <c r="G540" s="245"/>
      <c r="H540" s="245"/>
      <c r="I540" s="245"/>
      <c r="J540" s="245"/>
      <c r="K540" s="245"/>
      <c r="L540" s="245"/>
      <c r="M540" s="245"/>
      <c r="N540" s="245"/>
      <c r="O540" s="245"/>
      <c r="P540" s="246"/>
      <c r="Q540" s="246"/>
    </row>
    <row r="541">
      <c r="A541" s="245"/>
      <c r="B541" s="245"/>
      <c r="C541" s="245"/>
      <c r="D541" s="245"/>
      <c r="E541" s="245"/>
      <c r="F541" s="243"/>
      <c r="G541" s="245"/>
      <c r="H541" s="245"/>
      <c r="I541" s="245"/>
      <c r="J541" s="245"/>
      <c r="K541" s="245"/>
      <c r="L541" s="245"/>
      <c r="M541" s="245"/>
      <c r="N541" s="245"/>
      <c r="O541" s="245"/>
      <c r="P541" s="246"/>
      <c r="Q541" s="246"/>
    </row>
    <row r="542">
      <c r="A542" s="245"/>
      <c r="B542" s="245"/>
      <c r="C542" s="245"/>
      <c r="D542" s="245"/>
      <c r="E542" s="245"/>
      <c r="F542" s="243"/>
      <c r="G542" s="245"/>
      <c r="H542" s="245"/>
      <c r="I542" s="245"/>
      <c r="J542" s="245"/>
      <c r="K542" s="245"/>
      <c r="L542" s="245"/>
      <c r="M542" s="245"/>
      <c r="N542" s="245"/>
      <c r="O542" s="245"/>
      <c r="P542" s="246"/>
      <c r="Q542" s="246"/>
    </row>
    <row r="543">
      <c r="A543" s="245"/>
      <c r="B543" s="245"/>
      <c r="C543" s="245"/>
      <c r="D543" s="245"/>
      <c r="E543" s="245"/>
      <c r="F543" s="243"/>
      <c r="G543" s="245"/>
      <c r="H543" s="245"/>
      <c r="I543" s="245"/>
      <c r="J543" s="245"/>
      <c r="K543" s="245"/>
      <c r="L543" s="245"/>
      <c r="M543" s="245"/>
      <c r="N543" s="245"/>
      <c r="O543" s="245"/>
      <c r="P543" s="246"/>
      <c r="Q543" s="246"/>
    </row>
    <row r="544">
      <c r="A544" s="245"/>
      <c r="B544" s="245"/>
      <c r="C544" s="245"/>
      <c r="D544" s="245"/>
      <c r="E544" s="245"/>
      <c r="F544" s="243"/>
      <c r="G544" s="245"/>
      <c r="H544" s="245"/>
      <c r="I544" s="245"/>
      <c r="J544" s="245"/>
      <c r="K544" s="245"/>
      <c r="L544" s="245"/>
      <c r="M544" s="245"/>
      <c r="N544" s="245"/>
      <c r="O544" s="245"/>
      <c r="P544" s="246"/>
      <c r="Q544" s="246"/>
    </row>
    <row r="545">
      <c r="A545" s="245"/>
      <c r="B545" s="245"/>
      <c r="C545" s="245"/>
      <c r="D545" s="245"/>
      <c r="E545" s="245"/>
      <c r="F545" s="243"/>
      <c r="G545" s="245"/>
      <c r="H545" s="245"/>
      <c r="I545" s="245"/>
      <c r="J545" s="245"/>
      <c r="K545" s="245"/>
      <c r="L545" s="245"/>
      <c r="M545" s="245"/>
      <c r="N545" s="245"/>
      <c r="O545" s="245"/>
      <c r="P545" s="246"/>
      <c r="Q545" s="246"/>
    </row>
    <row r="546">
      <c r="A546" s="245"/>
      <c r="B546" s="245"/>
      <c r="C546" s="245"/>
      <c r="D546" s="245"/>
      <c r="E546" s="245"/>
      <c r="F546" s="243"/>
      <c r="G546" s="245"/>
      <c r="H546" s="245"/>
      <c r="I546" s="245"/>
      <c r="J546" s="245"/>
      <c r="K546" s="245"/>
      <c r="L546" s="245"/>
      <c r="M546" s="245"/>
      <c r="N546" s="245"/>
      <c r="O546" s="245"/>
      <c r="P546" s="246"/>
      <c r="Q546" s="246"/>
    </row>
    <row r="547">
      <c r="A547" s="245"/>
      <c r="B547" s="245"/>
      <c r="C547" s="245"/>
      <c r="D547" s="245"/>
      <c r="E547" s="245"/>
      <c r="F547" s="243"/>
      <c r="G547" s="245"/>
      <c r="H547" s="245"/>
      <c r="I547" s="245"/>
      <c r="J547" s="245"/>
      <c r="K547" s="245"/>
      <c r="L547" s="245"/>
      <c r="M547" s="245"/>
      <c r="N547" s="245"/>
      <c r="O547" s="245"/>
      <c r="P547" s="246"/>
      <c r="Q547" s="246"/>
    </row>
    <row r="548">
      <c r="A548" s="245"/>
      <c r="B548" s="245"/>
      <c r="C548" s="245"/>
      <c r="D548" s="245"/>
      <c r="E548" s="245"/>
      <c r="F548" s="243"/>
      <c r="G548" s="245"/>
      <c r="H548" s="245"/>
      <c r="I548" s="245"/>
      <c r="J548" s="245"/>
      <c r="K548" s="245"/>
      <c r="L548" s="245"/>
      <c r="M548" s="245"/>
      <c r="N548" s="245"/>
      <c r="O548" s="245"/>
      <c r="P548" s="246"/>
      <c r="Q548" s="246"/>
    </row>
    <row r="549">
      <c r="A549" s="245"/>
      <c r="B549" s="245"/>
      <c r="C549" s="245"/>
      <c r="D549" s="245"/>
      <c r="E549" s="245"/>
      <c r="F549" s="243"/>
      <c r="G549" s="245"/>
      <c r="H549" s="245"/>
      <c r="I549" s="245"/>
      <c r="J549" s="245"/>
      <c r="K549" s="245"/>
      <c r="L549" s="245"/>
      <c r="M549" s="245"/>
      <c r="N549" s="245"/>
      <c r="O549" s="245"/>
      <c r="P549" s="246"/>
      <c r="Q549" s="246"/>
    </row>
    <row r="550">
      <c r="A550" s="245"/>
      <c r="B550" s="245"/>
      <c r="C550" s="245"/>
      <c r="D550" s="245"/>
      <c r="E550" s="245"/>
      <c r="F550" s="243"/>
      <c r="G550" s="245"/>
      <c r="H550" s="245"/>
      <c r="I550" s="245"/>
      <c r="J550" s="245"/>
      <c r="K550" s="245"/>
      <c r="L550" s="245"/>
      <c r="M550" s="245"/>
      <c r="N550" s="245"/>
      <c r="O550" s="245"/>
      <c r="P550" s="246"/>
      <c r="Q550" s="246"/>
    </row>
    <row r="551">
      <c r="A551" s="245"/>
      <c r="B551" s="245"/>
      <c r="C551" s="245"/>
      <c r="D551" s="245"/>
      <c r="E551" s="245"/>
      <c r="F551" s="243"/>
      <c r="G551" s="245"/>
      <c r="H551" s="245"/>
      <c r="I551" s="245"/>
      <c r="J551" s="245"/>
      <c r="K551" s="245"/>
      <c r="L551" s="245"/>
      <c r="M551" s="245"/>
      <c r="N551" s="245"/>
      <c r="O551" s="245"/>
      <c r="P551" s="246"/>
      <c r="Q551" s="246"/>
    </row>
    <row r="552">
      <c r="A552" s="245"/>
      <c r="B552" s="245"/>
      <c r="C552" s="245"/>
      <c r="D552" s="245"/>
      <c r="E552" s="245"/>
      <c r="F552" s="243"/>
      <c r="G552" s="245"/>
      <c r="H552" s="245"/>
      <c r="I552" s="245"/>
      <c r="J552" s="245"/>
      <c r="K552" s="245"/>
      <c r="L552" s="245"/>
      <c r="M552" s="245"/>
      <c r="N552" s="245"/>
      <c r="O552" s="245"/>
      <c r="P552" s="246"/>
      <c r="Q552" s="246"/>
    </row>
    <row r="553">
      <c r="A553" s="245"/>
      <c r="B553" s="245"/>
      <c r="C553" s="245"/>
      <c r="D553" s="245"/>
      <c r="E553" s="245"/>
      <c r="F553" s="243"/>
      <c r="G553" s="245"/>
      <c r="H553" s="245"/>
      <c r="I553" s="245"/>
      <c r="J553" s="245"/>
      <c r="K553" s="245"/>
      <c r="L553" s="245"/>
      <c r="M553" s="245"/>
      <c r="N553" s="245"/>
      <c r="O553" s="245"/>
      <c r="P553" s="246"/>
      <c r="Q553" s="246"/>
    </row>
    <row r="554">
      <c r="A554" s="245"/>
      <c r="B554" s="245"/>
      <c r="C554" s="245"/>
      <c r="D554" s="245"/>
      <c r="E554" s="245"/>
      <c r="F554" s="243"/>
      <c r="G554" s="245"/>
      <c r="H554" s="245"/>
      <c r="I554" s="245"/>
      <c r="J554" s="245"/>
      <c r="K554" s="245"/>
      <c r="L554" s="245"/>
      <c r="M554" s="245"/>
      <c r="N554" s="245"/>
      <c r="O554" s="245"/>
      <c r="P554" s="246"/>
      <c r="Q554" s="246"/>
    </row>
    <row r="555">
      <c r="A555" s="245"/>
      <c r="B555" s="245"/>
      <c r="C555" s="245"/>
      <c r="D555" s="245"/>
      <c r="E555" s="245"/>
      <c r="F555" s="243"/>
      <c r="G555" s="245"/>
      <c r="H555" s="245"/>
      <c r="I555" s="245"/>
      <c r="J555" s="245"/>
      <c r="K555" s="245"/>
      <c r="L555" s="245"/>
      <c r="M555" s="245"/>
      <c r="N555" s="245"/>
      <c r="O555" s="245"/>
      <c r="P555" s="246"/>
      <c r="Q555" s="246"/>
    </row>
    <row r="556">
      <c r="A556" s="245"/>
      <c r="B556" s="245"/>
      <c r="C556" s="245"/>
      <c r="D556" s="245"/>
      <c r="E556" s="245"/>
      <c r="F556" s="243"/>
      <c r="G556" s="245"/>
      <c r="H556" s="245"/>
      <c r="I556" s="245"/>
      <c r="J556" s="245"/>
      <c r="K556" s="245"/>
      <c r="L556" s="245"/>
      <c r="M556" s="245"/>
      <c r="N556" s="245"/>
      <c r="O556" s="245"/>
      <c r="P556" s="246"/>
      <c r="Q556" s="246"/>
    </row>
    <row r="557">
      <c r="A557" s="245"/>
      <c r="B557" s="245"/>
      <c r="C557" s="245"/>
      <c r="D557" s="245"/>
      <c r="E557" s="245"/>
      <c r="F557" s="243"/>
      <c r="G557" s="245"/>
      <c r="H557" s="245"/>
      <c r="I557" s="245"/>
      <c r="J557" s="245"/>
      <c r="K557" s="245"/>
      <c r="L557" s="245"/>
      <c r="M557" s="245"/>
      <c r="N557" s="245"/>
      <c r="O557" s="245"/>
      <c r="P557" s="246"/>
      <c r="Q557" s="246"/>
    </row>
    <row r="558">
      <c r="A558" s="245"/>
      <c r="B558" s="245"/>
      <c r="C558" s="245"/>
      <c r="D558" s="245"/>
      <c r="E558" s="245"/>
      <c r="F558" s="243"/>
      <c r="G558" s="245"/>
      <c r="H558" s="245"/>
      <c r="I558" s="245"/>
      <c r="J558" s="245"/>
      <c r="K558" s="245"/>
      <c r="L558" s="245"/>
      <c r="M558" s="245"/>
      <c r="N558" s="245"/>
      <c r="O558" s="245"/>
      <c r="P558" s="246"/>
      <c r="Q558" s="246"/>
    </row>
    <row r="559">
      <c r="A559" s="245"/>
      <c r="B559" s="245"/>
      <c r="C559" s="245"/>
      <c r="D559" s="245"/>
      <c r="E559" s="245"/>
      <c r="F559" s="243"/>
      <c r="G559" s="245"/>
      <c r="H559" s="245"/>
      <c r="I559" s="245"/>
      <c r="J559" s="245"/>
      <c r="K559" s="245"/>
      <c r="L559" s="245"/>
      <c r="M559" s="245"/>
      <c r="N559" s="245"/>
      <c r="O559" s="245"/>
      <c r="P559" s="246"/>
      <c r="Q559" s="246"/>
    </row>
    <row r="560">
      <c r="A560" s="245"/>
      <c r="B560" s="245"/>
      <c r="C560" s="245"/>
      <c r="D560" s="245"/>
      <c r="E560" s="245"/>
      <c r="F560" s="243"/>
      <c r="G560" s="245"/>
      <c r="H560" s="245"/>
      <c r="I560" s="245"/>
      <c r="J560" s="245"/>
      <c r="K560" s="245"/>
      <c r="L560" s="245"/>
      <c r="M560" s="245"/>
      <c r="N560" s="245"/>
      <c r="O560" s="245"/>
      <c r="P560" s="246"/>
      <c r="Q560" s="246"/>
    </row>
    <row r="561">
      <c r="A561" s="245"/>
      <c r="B561" s="245"/>
      <c r="C561" s="245"/>
      <c r="D561" s="245"/>
      <c r="E561" s="245"/>
      <c r="F561" s="243"/>
      <c r="G561" s="245"/>
      <c r="H561" s="245"/>
      <c r="I561" s="245"/>
      <c r="J561" s="245"/>
      <c r="K561" s="245"/>
      <c r="L561" s="245"/>
      <c r="M561" s="245"/>
      <c r="N561" s="245"/>
      <c r="O561" s="245"/>
      <c r="P561" s="246"/>
      <c r="Q561" s="246"/>
    </row>
    <row r="562">
      <c r="A562" s="245"/>
      <c r="B562" s="245"/>
      <c r="C562" s="245"/>
      <c r="D562" s="245"/>
      <c r="E562" s="245"/>
      <c r="F562" s="243"/>
      <c r="G562" s="245"/>
      <c r="H562" s="245"/>
      <c r="I562" s="245"/>
      <c r="J562" s="245"/>
      <c r="K562" s="245"/>
      <c r="L562" s="245"/>
      <c r="M562" s="245"/>
      <c r="N562" s="245"/>
      <c r="O562" s="245"/>
      <c r="P562" s="246"/>
      <c r="Q562" s="246"/>
    </row>
    <row r="563">
      <c r="A563" s="245"/>
      <c r="B563" s="245"/>
      <c r="C563" s="245"/>
      <c r="D563" s="245"/>
      <c r="E563" s="245"/>
      <c r="F563" s="243"/>
      <c r="G563" s="245"/>
      <c r="H563" s="245"/>
      <c r="I563" s="245"/>
      <c r="J563" s="245"/>
      <c r="K563" s="245"/>
      <c r="L563" s="245"/>
      <c r="M563" s="245"/>
      <c r="N563" s="245"/>
      <c r="O563" s="245"/>
      <c r="P563" s="246"/>
      <c r="Q563" s="246"/>
    </row>
    <row r="564">
      <c r="A564" s="245"/>
      <c r="B564" s="245"/>
      <c r="C564" s="245"/>
      <c r="D564" s="245"/>
      <c r="E564" s="245"/>
      <c r="F564" s="243"/>
      <c r="G564" s="245"/>
      <c r="H564" s="245"/>
      <c r="I564" s="245"/>
      <c r="J564" s="245"/>
      <c r="K564" s="245"/>
      <c r="L564" s="245"/>
      <c r="M564" s="245"/>
      <c r="N564" s="245"/>
      <c r="O564" s="245"/>
      <c r="P564" s="246"/>
      <c r="Q564" s="246"/>
    </row>
    <row r="565">
      <c r="A565" s="245"/>
      <c r="B565" s="245"/>
      <c r="C565" s="245"/>
      <c r="D565" s="245"/>
      <c r="E565" s="245"/>
      <c r="F565" s="243"/>
      <c r="G565" s="245"/>
      <c r="H565" s="245"/>
      <c r="I565" s="245"/>
      <c r="J565" s="245"/>
      <c r="K565" s="245"/>
      <c r="L565" s="245"/>
      <c r="M565" s="245"/>
      <c r="N565" s="245"/>
      <c r="O565" s="245"/>
      <c r="P565" s="246"/>
      <c r="Q565" s="246"/>
    </row>
    <row r="566">
      <c r="A566" s="245"/>
      <c r="B566" s="245"/>
      <c r="C566" s="245"/>
      <c r="D566" s="245"/>
      <c r="E566" s="245"/>
      <c r="F566" s="243"/>
      <c r="G566" s="245"/>
      <c r="H566" s="245"/>
      <c r="I566" s="245"/>
      <c r="J566" s="245"/>
      <c r="K566" s="245"/>
      <c r="L566" s="245"/>
      <c r="M566" s="245"/>
      <c r="N566" s="245"/>
      <c r="O566" s="245"/>
      <c r="P566" s="246"/>
      <c r="Q566" s="246"/>
    </row>
    <row r="567">
      <c r="A567" s="245"/>
      <c r="B567" s="245"/>
      <c r="C567" s="245"/>
      <c r="D567" s="245"/>
      <c r="E567" s="245"/>
      <c r="F567" s="243"/>
      <c r="G567" s="245"/>
      <c r="H567" s="245"/>
      <c r="I567" s="245"/>
      <c r="J567" s="245"/>
      <c r="K567" s="245"/>
      <c r="L567" s="245"/>
      <c r="M567" s="245"/>
      <c r="N567" s="245"/>
      <c r="O567" s="245"/>
      <c r="P567" s="246"/>
      <c r="Q567" s="246"/>
    </row>
    <row r="568">
      <c r="A568" s="245"/>
      <c r="B568" s="245"/>
      <c r="C568" s="245"/>
      <c r="D568" s="245"/>
      <c r="E568" s="245"/>
      <c r="F568" s="243"/>
      <c r="G568" s="245"/>
      <c r="H568" s="245"/>
      <c r="I568" s="245"/>
      <c r="J568" s="245"/>
      <c r="K568" s="245"/>
      <c r="L568" s="245"/>
      <c r="M568" s="245"/>
      <c r="N568" s="245"/>
      <c r="O568" s="245"/>
      <c r="P568" s="246"/>
      <c r="Q568" s="246"/>
    </row>
    <row r="569">
      <c r="A569" s="245"/>
      <c r="B569" s="245"/>
      <c r="C569" s="245"/>
      <c r="D569" s="245"/>
      <c r="E569" s="245"/>
      <c r="F569" s="243"/>
      <c r="G569" s="245"/>
      <c r="H569" s="245"/>
      <c r="I569" s="245"/>
      <c r="J569" s="245"/>
      <c r="K569" s="245"/>
      <c r="L569" s="245"/>
      <c r="M569" s="245"/>
      <c r="N569" s="245"/>
      <c r="O569" s="245"/>
      <c r="P569" s="246"/>
      <c r="Q569" s="246"/>
    </row>
    <row r="570">
      <c r="A570" s="245"/>
      <c r="B570" s="245"/>
      <c r="C570" s="245"/>
      <c r="D570" s="245"/>
      <c r="E570" s="245"/>
      <c r="F570" s="243"/>
      <c r="G570" s="245"/>
      <c r="H570" s="245"/>
      <c r="I570" s="245"/>
      <c r="J570" s="245"/>
      <c r="K570" s="245"/>
      <c r="L570" s="245"/>
      <c r="M570" s="245"/>
      <c r="N570" s="245"/>
      <c r="O570" s="245"/>
      <c r="P570" s="246"/>
      <c r="Q570" s="246"/>
    </row>
    <row r="571">
      <c r="A571" s="245"/>
      <c r="B571" s="245"/>
      <c r="C571" s="245"/>
      <c r="D571" s="245"/>
      <c r="E571" s="245"/>
      <c r="F571" s="243"/>
      <c r="G571" s="245"/>
      <c r="H571" s="245"/>
      <c r="I571" s="245"/>
      <c r="J571" s="245"/>
      <c r="K571" s="245"/>
      <c r="L571" s="245"/>
      <c r="M571" s="245"/>
      <c r="N571" s="245"/>
      <c r="O571" s="245"/>
      <c r="P571" s="246"/>
      <c r="Q571" s="246"/>
    </row>
    <row r="572">
      <c r="A572" s="245"/>
      <c r="B572" s="245"/>
      <c r="C572" s="245"/>
      <c r="D572" s="245"/>
      <c r="E572" s="245"/>
      <c r="F572" s="243"/>
      <c r="G572" s="245"/>
      <c r="H572" s="245"/>
      <c r="I572" s="245"/>
      <c r="J572" s="245"/>
      <c r="K572" s="245"/>
      <c r="L572" s="245"/>
      <c r="M572" s="245"/>
      <c r="N572" s="245"/>
      <c r="O572" s="245"/>
      <c r="P572" s="246"/>
      <c r="Q572" s="246"/>
    </row>
    <row r="573">
      <c r="A573" s="245"/>
      <c r="B573" s="245"/>
      <c r="C573" s="245"/>
      <c r="D573" s="245"/>
      <c r="E573" s="245"/>
      <c r="F573" s="243"/>
      <c r="G573" s="245"/>
      <c r="H573" s="245"/>
      <c r="I573" s="245"/>
      <c r="J573" s="245"/>
      <c r="K573" s="245"/>
      <c r="L573" s="245"/>
      <c r="M573" s="245"/>
      <c r="N573" s="245"/>
      <c r="O573" s="245"/>
      <c r="P573" s="246"/>
      <c r="Q573" s="246"/>
    </row>
    <row r="574">
      <c r="A574" s="245"/>
      <c r="B574" s="245"/>
      <c r="C574" s="245"/>
      <c r="D574" s="245"/>
      <c r="E574" s="245"/>
      <c r="F574" s="243"/>
      <c r="G574" s="245"/>
      <c r="H574" s="245"/>
      <c r="I574" s="245"/>
      <c r="J574" s="245"/>
      <c r="K574" s="245"/>
      <c r="L574" s="245"/>
      <c r="M574" s="245"/>
      <c r="N574" s="245"/>
      <c r="O574" s="245"/>
      <c r="P574" s="246"/>
      <c r="Q574" s="246"/>
    </row>
    <row r="575">
      <c r="A575" s="245"/>
      <c r="B575" s="245"/>
      <c r="C575" s="245"/>
      <c r="D575" s="245"/>
      <c r="E575" s="245"/>
      <c r="F575" s="243"/>
      <c r="G575" s="245"/>
      <c r="H575" s="245"/>
      <c r="I575" s="245"/>
      <c r="J575" s="245"/>
      <c r="K575" s="245"/>
      <c r="L575" s="245"/>
      <c r="M575" s="245"/>
      <c r="N575" s="245"/>
      <c r="O575" s="245"/>
      <c r="P575" s="246"/>
      <c r="Q575" s="246"/>
    </row>
    <row r="576">
      <c r="A576" s="245"/>
      <c r="B576" s="245"/>
      <c r="C576" s="245"/>
      <c r="D576" s="245"/>
      <c r="E576" s="245"/>
      <c r="F576" s="243"/>
      <c r="G576" s="245"/>
      <c r="H576" s="245"/>
      <c r="I576" s="245"/>
      <c r="J576" s="245"/>
      <c r="K576" s="245"/>
      <c r="L576" s="245"/>
      <c r="M576" s="245"/>
      <c r="N576" s="245"/>
      <c r="O576" s="245"/>
      <c r="P576" s="246"/>
      <c r="Q576" s="246"/>
    </row>
    <row r="577">
      <c r="A577" s="245"/>
      <c r="B577" s="245"/>
      <c r="C577" s="245"/>
      <c r="D577" s="245"/>
      <c r="E577" s="245"/>
      <c r="F577" s="243"/>
      <c r="G577" s="245"/>
      <c r="H577" s="245"/>
      <c r="I577" s="245"/>
      <c r="J577" s="245"/>
      <c r="K577" s="245"/>
      <c r="L577" s="245"/>
      <c r="M577" s="245"/>
      <c r="N577" s="245"/>
      <c r="O577" s="245"/>
      <c r="P577" s="246"/>
      <c r="Q577" s="246"/>
    </row>
    <row r="578">
      <c r="A578" s="245"/>
      <c r="B578" s="245"/>
      <c r="C578" s="245"/>
      <c r="D578" s="245"/>
      <c r="E578" s="245"/>
      <c r="F578" s="243"/>
      <c r="G578" s="245"/>
      <c r="H578" s="245"/>
      <c r="I578" s="245"/>
      <c r="J578" s="245"/>
      <c r="K578" s="245"/>
      <c r="L578" s="245"/>
      <c r="M578" s="245"/>
      <c r="N578" s="245"/>
      <c r="O578" s="245"/>
      <c r="P578" s="246"/>
      <c r="Q578" s="246"/>
    </row>
    <row r="579">
      <c r="A579" s="245"/>
      <c r="B579" s="245"/>
      <c r="C579" s="245"/>
      <c r="D579" s="245"/>
      <c r="E579" s="245"/>
      <c r="F579" s="243"/>
      <c r="G579" s="245"/>
      <c r="H579" s="245"/>
      <c r="I579" s="245"/>
      <c r="J579" s="245"/>
      <c r="K579" s="245"/>
      <c r="L579" s="245"/>
      <c r="M579" s="245"/>
      <c r="N579" s="245"/>
      <c r="O579" s="245"/>
      <c r="P579" s="246"/>
      <c r="Q579" s="246"/>
    </row>
    <row r="580">
      <c r="A580" s="245"/>
      <c r="B580" s="245"/>
      <c r="C580" s="245"/>
      <c r="D580" s="245"/>
      <c r="E580" s="245"/>
      <c r="F580" s="243"/>
      <c r="G580" s="245"/>
      <c r="H580" s="245"/>
      <c r="I580" s="245"/>
      <c r="J580" s="245"/>
      <c r="K580" s="245"/>
      <c r="L580" s="245"/>
      <c r="M580" s="245"/>
      <c r="N580" s="245"/>
      <c r="O580" s="245"/>
      <c r="P580" s="246"/>
      <c r="Q580" s="246"/>
    </row>
    <row r="581">
      <c r="A581" s="245"/>
      <c r="B581" s="245"/>
      <c r="C581" s="245"/>
      <c r="D581" s="245"/>
      <c r="E581" s="245"/>
      <c r="F581" s="243"/>
      <c r="G581" s="245"/>
      <c r="H581" s="245"/>
      <c r="I581" s="245"/>
      <c r="J581" s="245"/>
      <c r="K581" s="245"/>
      <c r="L581" s="245"/>
      <c r="M581" s="245"/>
      <c r="N581" s="245"/>
      <c r="O581" s="245"/>
      <c r="P581" s="246"/>
      <c r="Q581" s="246"/>
    </row>
    <row r="582">
      <c r="A582" s="245"/>
      <c r="B582" s="245"/>
      <c r="C582" s="245"/>
      <c r="D582" s="245"/>
      <c r="E582" s="245"/>
      <c r="F582" s="243"/>
      <c r="G582" s="245"/>
      <c r="H582" s="245"/>
      <c r="I582" s="245"/>
      <c r="J582" s="245"/>
      <c r="K582" s="245"/>
      <c r="L582" s="245"/>
      <c r="M582" s="245"/>
      <c r="N582" s="245"/>
      <c r="O582" s="245"/>
      <c r="P582" s="246"/>
      <c r="Q582" s="246"/>
    </row>
    <row r="583">
      <c r="A583" s="245"/>
      <c r="B583" s="245"/>
      <c r="C583" s="245"/>
      <c r="D583" s="245"/>
      <c r="E583" s="245"/>
      <c r="F583" s="243"/>
      <c r="G583" s="245"/>
      <c r="H583" s="245"/>
      <c r="I583" s="245"/>
      <c r="J583" s="245"/>
      <c r="K583" s="245"/>
      <c r="L583" s="245"/>
      <c r="M583" s="245"/>
      <c r="N583" s="245"/>
      <c r="O583" s="245"/>
      <c r="P583" s="246"/>
      <c r="Q583" s="246"/>
    </row>
    <row r="584">
      <c r="A584" s="245"/>
      <c r="B584" s="245"/>
      <c r="C584" s="245"/>
      <c r="D584" s="245"/>
      <c r="E584" s="245"/>
      <c r="F584" s="243"/>
      <c r="G584" s="245"/>
      <c r="H584" s="245"/>
      <c r="I584" s="245"/>
      <c r="J584" s="245"/>
      <c r="K584" s="245"/>
      <c r="L584" s="245"/>
      <c r="M584" s="245"/>
      <c r="N584" s="245"/>
      <c r="O584" s="245"/>
      <c r="P584" s="246"/>
      <c r="Q584" s="246"/>
    </row>
    <row r="585">
      <c r="A585" s="245"/>
      <c r="B585" s="245"/>
      <c r="C585" s="245"/>
      <c r="D585" s="245"/>
      <c r="E585" s="245"/>
      <c r="F585" s="243"/>
      <c r="G585" s="245"/>
      <c r="H585" s="245"/>
      <c r="I585" s="245"/>
      <c r="J585" s="245"/>
      <c r="K585" s="245"/>
      <c r="L585" s="245"/>
      <c r="M585" s="245"/>
      <c r="N585" s="245"/>
      <c r="O585" s="245"/>
      <c r="P585" s="246"/>
      <c r="Q585" s="246"/>
    </row>
    <row r="586">
      <c r="A586" s="245"/>
      <c r="B586" s="245"/>
      <c r="C586" s="245"/>
      <c r="D586" s="245"/>
      <c r="E586" s="245"/>
      <c r="F586" s="243"/>
      <c r="G586" s="245"/>
      <c r="H586" s="245"/>
      <c r="I586" s="245"/>
      <c r="J586" s="245"/>
      <c r="K586" s="245"/>
      <c r="L586" s="245"/>
      <c r="M586" s="245"/>
      <c r="N586" s="245"/>
      <c r="O586" s="245"/>
      <c r="P586" s="246"/>
      <c r="Q586" s="246"/>
    </row>
    <row r="587">
      <c r="A587" s="245"/>
      <c r="B587" s="245"/>
      <c r="C587" s="245"/>
      <c r="D587" s="245"/>
      <c r="E587" s="245"/>
      <c r="F587" s="243"/>
      <c r="G587" s="245"/>
      <c r="H587" s="245"/>
      <c r="I587" s="245"/>
      <c r="J587" s="245"/>
      <c r="K587" s="245"/>
      <c r="L587" s="245"/>
      <c r="M587" s="245"/>
      <c r="N587" s="245"/>
      <c r="O587" s="245"/>
      <c r="P587" s="246"/>
      <c r="Q587" s="246"/>
    </row>
    <row r="588">
      <c r="A588" s="245"/>
      <c r="B588" s="245"/>
      <c r="C588" s="245"/>
      <c r="D588" s="245"/>
      <c r="E588" s="245"/>
      <c r="F588" s="243"/>
      <c r="G588" s="245"/>
      <c r="H588" s="245"/>
      <c r="I588" s="245"/>
      <c r="J588" s="245"/>
      <c r="K588" s="245"/>
      <c r="L588" s="245"/>
      <c r="M588" s="245"/>
      <c r="N588" s="245"/>
      <c r="O588" s="245"/>
      <c r="P588" s="246"/>
      <c r="Q588" s="246"/>
    </row>
    <row r="589">
      <c r="A589" s="245"/>
      <c r="B589" s="245"/>
      <c r="C589" s="245"/>
      <c r="D589" s="245"/>
      <c r="E589" s="245"/>
      <c r="F589" s="243"/>
      <c r="G589" s="245"/>
      <c r="H589" s="245"/>
      <c r="I589" s="245"/>
      <c r="J589" s="245"/>
      <c r="K589" s="245"/>
      <c r="L589" s="245"/>
      <c r="M589" s="245"/>
      <c r="N589" s="245"/>
      <c r="O589" s="245"/>
      <c r="P589" s="246"/>
      <c r="Q589" s="246"/>
    </row>
    <row r="590">
      <c r="A590" s="245"/>
      <c r="B590" s="245"/>
      <c r="C590" s="245"/>
      <c r="D590" s="245"/>
      <c r="E590" s="245"/>
      <c r="F590" s="243"/>
      <c r="G590" s="245"/>
      <c r="H590" s="245"/>
      <c r="I590" s="245"/>
      <c r="J590" s="245"/>
      <c r="K590" s="245"/>
      <c r="L590" s="245"/>
      <c r="M590" s="245"/>
      <c r="N590" s="245"/>
      <c r="O590" s="245"/>
      <c r="P590" s="246"/>
      <c r="Q590" s="246"/>
    </row>
    <row r="591">
      <c r="A591" s="245"/>
      <c r="B591" s="245"/>
      <c r="C591" s="245"/>
      <c r="D591" s="245"/>
      <c r="E591" s="245"/>
      <c r="F591" s="243"/>
      <c r="G591" s="245"/>
      <c r="H591" s="245"/>
      <c r="I591" s="245"/>
      <c r="J591" s="245"/>
      <c r="K591" s="245"/>
      <c r="L591" s="245"/>
      <c r="M591" s="245"/>
      <c r="N591" s="245"/>
      <c r="O591" s="245"/>
      <c r="P591" s="246"/>
      <c r="Q591" s="246"/>
    </row>
    <row r="592">
      <c r="A592" s="245"/>
      <c r="B592" s="245"/>
      <c r="C592" s="245"/>
      <c r="D592" s="245"/>
      <c r="E592" s="245"/>
      <c r="F592" s="243"/>
      <c r="G592" s="245"/>
      <c r="H592" s="245"/>
      <c r="I592" s="245"/>
      <c r="J592" s="245"/>
      <c r="K592" s="245"/>
      <c r="L592" s="245"/>
      <c r="M592" s="245"/>
      <c r="N592" s="245"/>
      <c r="O592" s="245"/>
      <c r="P592" s="246"/>
      <c r="Q592" s="246"/>
    </row>
    <row r="593">
      <c r="A593" s="245"/>
      <c r="B593" s="245"/>
      <c r="C593" s="245"/>
      <c r="D593" s="245"/>
      <c r="E593" s="245"/>
      <c r="F593" s="243"/>
      <c r="G593" s="245"/>
      <c r="H593" s="245"/>
      <c r="I593" s="245"/>
      <c r="J593" s="245"/>
      <c r="K593" s="245"/>
      <c r="L593" s="245"/>
      <c r="M593" s="245"/>
      <c r="N593" s="245"/>
      <c r="O593" s="245"/>
      <c r="P593" s="246"/>
      <c r="Q593" s="246"/>
    </row>
    <row r="594">
      <c r="A594" s="245"/>
      <c r="B594" s="245"/>
      <c r="C594" s="245"/>
      <c r="D594" s="245"/>
      <c r="E594" s="245"/>
      <c r="F594" s="243"/>
      <c r="G594" s="245"/>
      <c r="H594" s="245"/>
      <c r="I594" s="245"/>
      <c r="J594" s="245"/>
      <c r="K594" s="245"/>
      <c r="L594" s="245"/>
      <c r="M594" s="245"/>
      <c r="N594" s="245"/>
      <c r="O594" s="245"/>
      <c r="P594" s="246"/>
      <c r="Q594" s="246"/>
    </row>
    <row r="595">
      <c r="A595" s="245"/>
      <c r="B595" s="245"/>
      <c r="C595" s="245"/>
      <c r="D595" s="245"/>
      <c r="E595" s="245"/>
      <c r="F595" s="243"/>
      <c r="G595" s="245"/>
      <c r="H595" s="245"/>
      <c r="I595" s="245"/>
      <c r="J595" s="245"/>
      <c r="K595" s="245"/>
      <c r="L595" s="245"/>
      <c r="M595" s="245"/>
      <c r="N595" s="245"/>
      <c r="O595" s="245"/>
      <c r="P595" s="246"/>
      <c r="Q595" s="246"/>
    </row>
    <row r="596">
      <c r="A596" s="245"/>
      <c r="B596" s="245"/>
      <c r="C596" s="245"/>
      <c r="D596" s="245"/>
      <c r="E596" s="245"/>
      <c r="F596" s="243"/>
      <c r="G596" s="245"/>
      <c r="H596" s="245"/>
      <c r="I596" s="245"/>
      <c r="J596" s="245"/>
      <c r="K596" s="245"/>
      <c r="L596" s="245"/>
      <c r="M596" s="245"/>
      <c r="N596" s="245"/>
      <c r="O596" s="245"/>
      <c r="P596" s="246"/>
      <c r="Q596" s="246"/>
    </row>
    <row r="597">
      <c r="A597" s="245"/>
      <c r="B597" s="245"/>
      <c r="C597" s="245"/>
      <c r="D597" s="245"/>
      <c r="E597" s="245"/>
      <c r="F597" s="243"/>
      <c r="G597" s="245"/>
      <c r="H597" s="245"/>
      <c r="I597" s="245"/>
      <c r="J597" s="245"/>
      <c r="K597" s="245"/>
      <c r="L597" s="245"/>
      <c r="M597" s="245"/>
      <c r="N597" s="245"/>
      <c r="O597" s="245"/>
      <c r="P597" s="246"/>
      <c r="Q597" s="246"/>
    </row>
    <row r="598">
      <c r="A598" s="245"/>
      <c r="B598" s="245"/>
      <c r="C598" s="245"/>
      <c r="D598" s="245"/>
      <c r="E598" s="245"/>
      <c r="F598" s="243"/>
      <c r="G598" s="245"/>
      <c r="H598" s="245"/>
      <c r="I598" s="245"/>
      <c r="J598" s="245"/>
      <c r="K598" s="245"/>
      <c r="L598" s="245"/>
      <c r="M598" s="245"/>
      <c r="N598" s="245"/>
      <c r="O598" s="245"/>
      <c r="P598" s="246"/>
      <c r="Q598" s="246"/>
    </row>
    <row r="599">
      <c r="A599" s="245"/>
      <c r="B599" s="245"/>
      <c r="C599" s="245"/>
      <c r="D599" s="245"/>
      <c r="E599" s="245"/>
      <c r="F599" s="243"/>
      <c r="G599" s="245"/>
      <c r="H599" s="245"/>
      <c r="I599" s="245"/>
      <c r="J599" s="245"/>
      <c r="K599" s="245"/>
      <c r="L599" s="245"/>
      <c r="M599" s="245"/>
      <c r="N599" s="245"/>
      <c r="O599" s="245"/>
      <c r="P599" s="246"/>
      <c r="Q599" s="246"/>
    </row>
    <row r="600">
      <c r="A600" s="245"/>
      <c r="B600" s="245"/>
      <c r="C600" s="245"/>
      <c r="D600" s="245"/>
      <c r="E600" s="245"/>
      <c r="F600" s="243"/>
      <c r="G600" s="245"/>
      <c r="H600" s="245"/>
      <c r="I600" s="245"/>
      <c r="J600" s="245"/>
      <c r="K600" s="245"/>
      <c r="L600" s="245"/>
      <c r="M600" s="245"/>
      <c r="N600" s="245"/>
      <c r="O600" s="245"/>
      <c r="P600" s="246"/>
      <c r="Q600" s="246"/>
    </row>
    <row r="601">
      <c r="A601" s="245"/>
      <c r="B601" s="245"/>
      <c r="C601" s="245"/>
      <c r="D601" s="245"/>
      <c r="E601" s="245"/>
      <c r="F601" s="243"/>
      <c r="G601" s="245"/>
      <c r="H601" s="245"/>
      <c r="I601" s="245"/>
      <c r="J601" s="245"/>
      <c r="K601" s="245"/>
      <c r="L601" s="245"/>
      <c r="M601" s="245"/>
      <c r="N601" s="245"/>
      <c r="O601" s="245"/>
      <c r="P601" s="246"/>
      <c r="Q601" s="246"/>
    </row>
    <row r="602">
      <c r="A602" s="245"/>
      <c r="B602" s="245"/>
      <c r="C602" s="245"/>
      <c r="D602" s="245"/>
      <c r="E602" s="245"/>
      <c r="F602" s="243"/>
      <c r="G602" s="245"/>
      <c r="H602" s="245"/>
      <c r="I602" s="245"/>
      <c r="J602" s="245"/>
      <c r="K602" s="245"/>
      <c r="L602" s="245"/>
      <c r="M602" s="245"/>
      <c r="N602" s="245"/>
      <c r="O602" s="245"/>
      <c r="P602" s="246"/>
      <c r="Q602" s="246"/>
    </row>
    <row r="603">
      <c r="A603" s="245"/>
      <c r="B603" s="245"/>
      <c r="C603" s="245"/>
      <c r="D603" s="245"/>
      <c r="E603" s="245"/>
      <c r="F603" s="243"/>
      <c r="G603" s="245"/>
      <c r="H603" s="245"/>
      <c r="I603" s="245"/>
      <c r="J603" s="245"/>
      <c r="K603" s="245"/>
      <c r="L603" s="245"/>
      <c r="M603" s="245"/>
      <c r="N603" s="245"/>
      <c r="O603" s="245"/>
      <c r="P603" s="246"/>
      <c r="Q603" s="246"/>
    </row>
    <row r="604">
      <c r="A604" s="245"/>
      <c r="B604" s="245"/>
      <c r="C604" s="245"/>
      <c r="D604" s="245"/>
      <c r="E604" s="245"/>
      <c r="F604" s="243"/>
      <c r="G604" s="245"/>
      <c r="H604" s="245"/>
      <c r="I604" s="245"/>
      <c r="J604" s="245"/>
      <c r="K604" s="245"/>
      <c r="L604" s="245"/>
      <c r="M604" s="245"/>
      <c r="N604" s="245"/>
      <c r="O604" s="245"/>
      <c r="P604" s="246"/>
      <c r="Q604" s="246"/>
    </row>
    <row r="605">
      <c r="A605" s="245"/>
      <c r="B605" s="245"/>
      <c r="C605" s="245"/>
      <c r="D605" s="245"/>
      <c r="E605" s="245"/>
      <c r="F605" s="243"/>
      <c r="G605" s="245"/>
      <c r="H605" s="245"/>
      <c r="I605" s="245"/>
      <c r="J605" s="245"/>
      <c r="K605" s="245"/>
      <c r="L605" s="245"/>
      <c r="M605" s="245"/>
      <c r="N605" s="245"/>
      <c r="O605" s="245"/>
      <c r="P605" s="246"/>
      <c r="Q605" s="246"/>
    </row>
    <row r="606">
      <c r="A606" s="245"/>
      <c r="B606" s="245"/>
      <c r="C606" s="245"/>
      <c r="D606" s="245"/>
      <c r="E606" s="245"/>
      <c r="F606" s="243"/>
      <c r="G606" s="245"/>
      <c r="H606" s="245"/>
      <c r="I606" s="245"/>
      <c r="J606" s="245"/>
      <c r="K606" s="245"/>
      <c r="L606" s="245"/>
      <c r="M606" s="245"/>
      <c r="N606" s="245"/>
      <c r="O606" s="245"/>
      <c r="P606" s="246"/>
      <c r="Q606" s="246"/>
    </row>
    <row r="607">
      <c r="A607" s="245"/>
      <c r="B607" s="245"/>
      <c r="C607" s="245"/>
      <c r="D607" s="245"/>
      <c r="E607" s="245"/>
      <c r="F607" s="243"/>
      <c r="G607" s="245"/>
      <c r="H607" s="245"/>
      <c r="I607" s="245"/>
      <c r="J607" s="245"/>
      <c r="K607" s="245"/>
      <c r="L607" s="245"/>
      <c r="M607" s="245"/>
      <c r="N607" s="245"/>
      <c r="O607" s="245"/>
      <c r="P607" s="246"/>
      <c r="Q607" s="246"/>
    </row>
    <row r="608">
      <c r="A608" s="245"/>
      <c r="B608" s="245"/>
      <c r="C608" s="245"/>
      <c r="D608" s="245"/>
      <c r="E608" s="245"/>
      <c r="F608" s="243"/>
      <c r="G608" s="245"/>
      <c r="H608" s="245"/>
      <c r="I608" s="245"/>
      <c r="J608" s="245"/>
      <c r="K608" s="245"/>
      <c r="L608" s="245"/>
      <c r="M608" s="245"/>
      <c r="N608" s="245"/>
      <c r="O608" s="245"/>
      <c r="P608" s="246"/>
      <c r="Q608" s="246"/>
    </row>
    <row r="609">
      <c r="A609" s="245"/>
      <c r="B609" s="245"/>
      <c r="C609" s="245"/>
      <c r="D609" s="245"/>
      <c r="E609" s="245"/>
      <c r="F609" s="243"/>
      <c r="G609" s="245"/>
      <c r="H609" s="245"/>
      <c r="I609" s="245"/>
      <c r="J609" s="245"/>
      <c r="K609" s="245"/>
      <c r="L609" s="245"/>
      <c r="M609" s="245"/>
      <c r="N609" s="245"/>
      <c r="O609" s="245"/>
      <c r="P609" s="246"/>
      <c r="Q609" s="246"/>
    </row>
    <row r="610">
      <c r="A610" s="245"/>
      <c r="B610" s="245"/>
      <c r="C610" s="245"/>
      <c r="D610" s="245"/>
      <c r="E610" s="245"/>
      <c r="F610" s="243"/>
      <c r="G610" s="245"/>
      <c r="H610" s="245"/>
      <c r="I610" s="245"/>
      <c r="J610" s="245"/>
      <c r="K610" s="245"/>
      <c r="L610" s="245"/>
      <c r="M610" s="245"/>
      <c r="N610" s="245"/>
      <c r="O610" s="245"/>
      <c r="P610" s="246"/>
      <c r="Q610" s="246"/>
    </row>
    <row r="611">
      <c r="A611" s="245"/>
      <c r="B611" s="245"/>
      <c r="C611" s="245"/>
      <c r="D611" s="245"/>
      <c r="E611" s="245"/>
      <c r="F611" s="243"/>
      <c r="G611" s="245"/>
      <c r="H611" s="245"/>
      <c r="I611" s="245"/>
      <c r="J611" s="245"/>
      <c r="K611" s="245"/>
      <c r="L611" s="245"/>
      <c r="M611" s="245"/>
      <c r="N611" s="245"/>
      <c r="O611" s="245"/>
      <c r="P611" s="246"/>
      <c r="Q611" s="246"/>
    </row>
    <row r="612">
      <c r="A612" s="245"/>
      <c r="B612" s="245"/>
      <c r="C612" s="245"/>
      <c r="D612" s="245"/>
      <c r="E612" s="245"/>
      <c r="F612" s="243"/>
      <c r="G612" s="245"/>
      <c r="H612" s="245"/>
      <c r="I612" s="245"/>
      <c r="J612" s="245"/>
      <c r="K612" s="245"/>
      <c r="L612" s="245"/>
      <c r="M612" s="245"/>
      <c r="N612" s="245"/>
      <c r="O612" s="245"/>
      <c r="P612" s="246"/>
      <c r="Q612" s="246"/>
    </row>
    <row r="613">
      <c r="A613" s="245"/>
      <c r="B613" s="245"/>
      <c r="C613" s="245"/>
      <c r="D613" s="245"/>
      <c r="E613" s="245"/>
      <c r="F613" s="243"/>
      <c r="G613" s="245"/>
      <c r="H613" s="245"/>
      <c r="I613" s="245"/>
      <c r="J613" s="245"/>
      <c r="K613" s="245"/>
      <c r="L613" s="245"/>
      <c r="M613" s="245"/>
      <c r="N613" s="245"/>
      <c r="O613" s="245"/>
      <c r="P613" s="246"/>
      <c r="Q613" s="246"/>
    </row>
    <row r="614">
      <c r="A614" s="245"/>
      <c r="B614" s="245"/>
      <c r="C614" s="245"/>
      <c r="D614" s="245"/>
      <c r="E614" s="245"/>
      <c r="F614" s="243"/>
      <c r="G614" s="245"/>
      <c r="H614" s="245"/>
      <c r="I614" s="245"/>
      <c r="J614" s="245"/>
      <c r="K614" s="245"/>
      <c r="L614" s="245"/>
      <c r="M614" s="245"/>
      <c r="N614" s="245"/>
      <c r="O614" s="245"/>
      <c r="P614" s="246"/>
      <c r="Q614" s="246"/>
    </row>
    <row r="615">
      <c r="A615" s="245"/>
      <c r="B615" s="245"/>
      <c r="C615" s="245"/>
      <c r="D615" s="245"/>
      <c r="E615" s="245"/>
      <c r="F615" s="243"/>
      <c r="G615" s="245"/>
      <c r="H615" s="245"/>
      <c r="I615" s="245"/>
      <c r="J615" s="245"/>
      <c r="K615" s="245"/>
      <c r="L615" s="245"/>
      <c r="M615" s="245"/>
      <c r="N615" s="245"/>
      <c r="O615" s="245"/>
      <c r="P615" s="246"/>
      <c r="Q615" s="246"/>
    </row>
    <row r="616">
      <c r="A616" s="245"/>
      <c r="B616" s="245"/>
      <c r="C616" s="245"/>
      <c r="D616" s="245"/>
      <c r="E616" s="245"/>
      <c r="F616" s="243"/>
      <c r="G616" s="245"/>
      <c r="H616" s="245"/>
      <c r="I616" s="245"/>
      <c r="J616" s="245"/>
      <c r="K616" s="245"/>
      <c r="L616" s="245"/>
      <c r="M616" s="245"/>
      <c r="N616" s="245"/>
      <c r="O616" s="245"/>
      <c r="P616" s="246"/>
      <c r="Q616" s="246"/>
    </row>
    <row r="617">
      <c r="A617" s="245"/>
      <c r="B617" s="245"/>
      <c r="C617" s="245"/>
      <c r="D617" s="245"/>
      <c r="E617" s="245"/>
      <c r="F617" s="243"/>
      <c r="G617" s="245"/>
      <c r="H617" s="245"/>
      <c r="I617" s="245"/>
      <c r="J617" s="245"/>
      <c r="K617" s="245"/>
      <c r="L617" s="245"/>
      <c r="M617" s="245"/>
      <c r="N617" s="245"/>
      <c r="O617" s="245"/>
      <c r="P617" s="246"/>
      <c r="Q617" s="246"/>
    </row>
    <row r="618">
      <c r="A618" s="245"/>
      <c r="B618" s="245"/>
      <c r="C618" s="245"/>
      <c r="D618" s="245"/>
      <c r="E618" s="245"/>
      <c r="F618" s="243"/>
      <c r="G618" s="245"/>
      <c r="H618" s="245"/>
      <c r="I618" s="245"/>
      <c r="J618" s="245"/>
      <c r="K618" s="245"/>
      <c r="L618" s="245"/>
      <c r="M618" s="245"/>
      <c r="N618" s="245"/>
      <c r="O618" s="245"/>
      <c r="P618" s="246"/>
      <c r="Q618" s="246"/>
    </row>
    <row r="619">
      <c r="A619" s="245"/>
      <c r="B619" s="245"/>
      <c r="C619" s="245"/>
      <c r="D619" s="245"/>
      <c r="E619" s="245"/>
      <c r="F619" s="243"/>
      <c r="G619" s="245"/>
      <c r="H619" s="245"/>
      <c r="I619" s="245"/>
      <c r="J619" s="245"/>
      <c r="K619" s="245"/>
      <c r="L619" s="245"/>
      <c r="M619" s="245"/>
      <c r="N619" s="245"/>
      <c r="O619" s="245"/>
      <c r="P619" s="246"/>
      <c r="Q619" s="246"/>
    </row>
    <row r="620">
      <c r="A620" s="245"/>
      <c r="B620" s="245"/>
      <c r="C620" s="245"/>
      <c r="D620" s="245"/>
      <c r="E620" s="245"/>
      <c r="F620" s="243"/>
      <c r="G620" s="245"/>
      <c r="H620" s="245"/>
      <c r="I620" s="245"/>
      <c r="J620" s="245"/>
      <c r="K620" s="245"/>
      <c r="L620" s="245"/>
      <c r="M620" s="245"/>
      <c r="N620" s="245"/>
      <c r="O620" s="245"/>
      <c r="P620" s="246"/>
      <c r="Q620" s="246"/>
    </row>
    <row r="621">
      <c r="A621" s="245"/>
      <c r="B621" s="245"/>
      <c r="C621" s="245"/>
      <c r="D621" s="245"/>
      <c r="E621" s="245"/>
      <c r="F621" s="243"/>
      <c r="G621" s="245"/>
      <c r="H621" s="245"/>
      <c r="I621" s="245"/>
      <c r="J621" s="245"/>
      <c r="K621" s="245"/>
      <c r="L621" s="245"/>
      <c r="M621" s="245"/>
      <c r="N621" s="245"/>
      <c r="O621" s="245"/>
      <c r="P621" s="246"/>
      <c r="Q621" s="246"/>
    </row>
    <row r="622">
      <c r="A622" s="245"/>
      <c r="B622" s="245"/>
      <c r="C622" s="245"/>
      <c r="D622" s="245"/>
      <c r="E622" s="245"/>
      <c r="F622" s="243"/>
      <c r="G622" s="245"/>
      <c r="H622" s="245"/>
      <c r="I622" s="245"/>
      <c r="J622" s="245"/>
      <c r="K622" s="245"/>
      <c r="L622" s="245"/>
      <c r="M622" s="245"/>
      <c r="N622" s="245"/>
      <c r="O622" s="245"/>
      <c r="P622" s="246"/>
      <c r="Q622" s="246"/>
    </row>
    <row r="623">
      <c r="A623" s="245"/>
      <c r="B623" s="245"/>
      <c r="C623" s="245"/>
      <c r="D623" s="245"/>
      <c r="E623" s="245"/>
      <c r="F623" s="243"/>
      <c r="G623" s="245"/>
      <c r="H623" s="245"/>
      <c r="I623" s="245"/>
      <c r="J623" s="245"/>
      <c r="K623" s="245"/>
      <c r="L623" s="245"/>
      <c r="M623" s="245"/>
      <c r="N623" s="245"/>
      <c r="O623" s="245"/>
      <c r="P623" s="246"/>
      <c r="Q623" s="246"/>
    </row>
    <row r="624">
      <c r="A624" s="245"/>
      <c r="B624" s="245"/>
      <c r="C624" s="245"/>
      <c r="D624" s="245"/>
      <c r="E624" s="245"/>
      <c r="F624" s="243"/>
      <c r="G624" s="245"/>
      <c r="H624" s="245"/>
      <c r="I624" s="245"/>
      <c r="J624" s="245"/>
      <c r="K624" s="245"/>
      <c r="L624" s="245"/>
      <c r="M624" s="245"/>
      <c r="N624" s="245"/>
      <c r="O624" s="245"/>
      <c r="P624" s="246"/>
      <c r="Q624" s="246"/>
    </row>
    <row r="625">
      <c r="A625" s="245"/>
      <c r="B625" s="245"/>
      <c r="C625" s="245"/>
      <c r="D625" s="245"/>
      <c r="E625" s="245"/>
      <c r="F625" s="243"/>
      <c r="G625" s="245"/>
      <c r="H625" s="245"/>
      <c r="I625" s="245"/>
      <c r="J625" s="245"/>
      <c r="K625" s="245"/>
      <c r="L625" s="245"/>
      <c r="M625" s="245"/>
      <c r="N625" s="245"/>
      <c r="O625" s="245"/>
      <c r="P625" s="246"/>
      <c r="Q625" s="246"/>
    </row>
    <row r="626">
      <c r="A626" s="245"/>
      <c r="B626" s="245"/>
      <c r="C626" s="245"/>
      <c r="D626" s="245"/>
      <c r="E626" s="245"/>
      <c r="F626" s="243"/>
      <c r="G626" s="245"/>
      <c r="H626" s="245"/>
      <c r="I626" s="245"/>
      <c r="J626" s="245"/>
      <c r="K626" s="245"/>
      <c r="L626" s="245"/>
      <c r="M626" s="245"/>
      <c r="N626" s="245"/>
      <c r="O626" s="245"/>
      <c r="P626" s="246"/>
      <c r="Q626" s="246"/>
    </row>
    <row r="627">
      <c r="A627" s="245"/>
      <c r="B627" s="245"/>
      <c r="C627" s="245"/>
      <c r="D627" s="245"/>
      <c r="E627" s="245"/>
      <c r="F627" s="243"/>
      <c r="G627" s="245"/>
      <c r="H627" s="245"/>
      <c r="I627" s="245"/>
      <c r="J627" s="245"/>
      <c r="K627" s="245"/>
      <c r="L627" s="245"/>
      <c r="M627" s="245"/>
      <c r="N627" s="245"/>
      <c r="O627" s="245"/>
      <c r="P627" s="246"/>
      <c r="Q627" s="246"/>
    </row>
    <row r="628">
      <c r="A628" s="245"/>
      <c r="B628" s="245"/>
      <c r="C628" s="245"/>
      <c r="D628" s="245"/>
      <c r="E628" s="245"/>
      <c r="F628" s="243"/>
      <c r="G628" s="245"/>
      <c r="H628" s="245"/>
      <c r="I628" s="245"/>
      <c r="J628" s="245"/>
      <c r="K628" s="245"/>
      <c r="L628" s="245"/>
      <c r="M628" s="245"/>
      <c r="N628" s="245"/>
      <c r="O628" s="245"/>
      <c r="P628" s="246"/>
      <c r="Q628" s="246"/>
    </row>
    <row r="629">
      <c r="A629" s="245"/>
      <c r="B629" s="245"/>
      <c r="C629" s="245"/>
      <c r="D629" s="245"/>
      <c r="E629" s="245"/>
      <c r="F629" s="243"/>
      <c r="G629" s="245"/>
      <c r="H629" s="245"/>
      <c r="I629" s="245"/>
      <c r="J629" s="245"/>
      <c r="K629" s="245"/>
      <c r="L629" s="245"/>
      <c r="M629" s="245"/>
      <c r="N629" s="245"/>
      <c r="O629" s="245"/>
      <c r="P629" s="246"/>
      <c r="Q629" s="246"/>
    </row>
    <row r="630">
      <c r="A630" s="245"/>
      <c r="B630" s="245"/>
      <c r="C630" s="245"/>
      <c r="D630" s="245"/>
      <c r="E630" s="245"/>
      <c r="F630" s="243"/>
      <c r="G630" s="245"/>
      <c r="H630" s="245"/>
      <c r="I630" s="245"/>
      <c r="J630" s="245"/>
      <c r="K630" s="245"/>
      <c r="L630" s="245"/>
      <c r="M630" s="245"/>
      <c r="N630" s="245"/>
      <c r="O630" s="245"/>
      <c r="P630" s="246"/>
      <c r="Q630" s="246"/>
    </row>
    <row r="631">
      <c r="A631" s="245"/>
      <c r="B631" s="245"/>
      <c r="C631" s="245"/>
      <c r="D631" s="245"/>
      <c r="E631" s="245"/>
      <c r="F631" s="243"/>
      <c r="G631" s="245"/>
      <c r="H631" s="245"/>
      <c r="I631" s="245"/>
      <c r="J631" s="245"/>
      <c r="K631" s="245"/>
      <c r="L631" s="245"/>
      <c r="M631" s="245"/>
      <c r="N631" s="245"/>
      <c r="O631" s="245"/>
      <c r="P631" s="246"/>
      <c r="Q631" s="246"/>
    </row>
    <row r="632">
      <c r="A632" s="245"/>
      <c r="B632" s="245"/>
      <c r="C632" s="245"/>
      <c r="D632" s="245"/>
      <c r="E632" s="245"/>
      <c r="F632" s="243"/>
      <c r="G632" s="245"/>
      <c r="H632" s="245"/>
      <c r="I632" s="245"/>
      <c r="J632" s="245"/>
      <c r="K632" s="245"/>
      <c r="L632" s="245"/>
      <c r="M632" s="245"/>
      <c r="N632" s="245"/>
      <c r="O632" s="245"/>
      <c r="P632" s="246"/>
      <c r="Q632" s="246"/>
    </row>
    <row r="633">
      <c r="A633" s="245"/>
      <c r="B633" s="245"/>
      <c r="C633" s="245"/>
      <c r="D633" s="245"/>
      <c r="E633" s="245"/>
      <c r="F633" s="243"/>
      <c r="G633" s="245"/>
      <c r="H633" s="245"/>
      <c r="I633" s="245"/>
      <c r="J633" s="245"/>
      <c r="K633" s="245"/>
      <c r="L633" s="245"/>
      <c r="M633" s="245"/>
      <c r="N633" s="245"/>
      <c r="O633" s="245"/>
      <c r="P633" s="246"/>
      <c r="Q633" s="246"/>
    </row>
    <row r="634">
      <c r="A634" s="245"/>
      <c r="B634" s="245"/>
      <c r="C634" s="245"/>
      <c r="D634" s="245"/>
      <c r="E634" s="245"/>
      <c r="F634" s="243"/>
      <c r="G634" s="245"/>
      <c r="H634" s="245"/>
      <c r="I634" s="245"/>
      <c r="J634" s="245"/>
      <c r="K634" s="245"/>
      <c r="L634" s="245"/>
      <c r="M634" s="245"/>
      <c r="N634" s="245"/>
      <c r="O634" s="245"/>
      <c r="P634" s="246"/>
      <c r="Q634" s="246"/>
    </row>
    <row r="635">
      <c r="A635" s="245"/>
      <c r="B635" s="245"/>
      <c r="C635" s="245"/>
      <c r="D635" s="245"/>
      <c r="E635" s="245"/>
      <c r="F635" s="243"/>
      <c r="G635" s="245"/>
      <c r="H635" s="245"/>
      <c r="I635" s="245"/>
      <c r="J635" s="245"/>
      <c r="K635" s="245"/>
      <c r="L635" s="245"/>
      <c r="M635" s="245"/>
      <c r="N635" s="245"/>
      <c r="O635" s="245"/>
      <c r="P635" s="246"/>
      <c r="Q635" s="246"/>
    </row>
    <row r="636">
      <c r="A636" s="245"/>
      <c r="B636" s="245"/>
      <c r="C636" s="245"/>
      <c r="D636" s="245"/>
      <c r="E636" s="245"/>
      <c r="F636" s="243"/>
      <c r="G636" s="245"/>
      <c r="H636" s="245"/>
      <c r="I636" s="245"/>
      <c r="J636" s="245"/>
      <c r="K636" s="245"/>
      <c r="L636" s="245"/>
      <c r="M636" s="245"/>
      <c r="N636" s="245"/>
      <c r="O636" s="245"/>
      <c r="P636" s="246"/>
      <c r="Q636" s="246"/>
    </row>
    <row r="637">
      <c r="A637" s="245"/>
      <c r="B637" s="245"/>
      <c r="C637" s="245"/>
      <c r="D637" s="245"/>
      <c r="E637" s="245"/>
      <c r="F637" s="243"/>
      <c r="G637" s="245"/>
      <c r="H637" s="245"/>
      <c r="I637" s="245"/>
      <c r="J637" s="245"/>
      <c r="K637" s="245"/>
      <c r="L637" s="245"/>
      <c r="M637" s="245"/>
      <c r="N637" s="245"/>
      <c r="O637" s="245"/>
      <c r="P637" s="246"/>
      <c r="Q637" s="246"/>
    </row>
    <row r="638">
      <c r="A638" s="245"/>
      <c r="B638" s="245"/>
      <c r="C638" s="245"/>
      <c r="D638" s="245"/>
      <c r="E638" s="245"/>
      <c r="F638" s="243"/>
      <c r="G638" s="245"/>
      <c r="H638" s="245"/>
      <c r="I638" s="245"/>
      <c r="J638" s="245"/>
      <c r="K638" s="245"/>
      <c r="L638" s="245"/>
      <c r="M638" s="245"/>
      <c r="N638" s="245"/>
      <c r="O638" s="245"/>
      <c r="P638" s="246"/>
      <c r="Q638" s="246"/>
    </row>
    <row r="639">
      <c r="A639" s="245"/>
      <c r="B639" s="245"/>
      <c r="C639" s="245"/>
      <c r="D639" s="245"/>
      <c r="E639" s="245"/>
      <c r="F639" s="243"/>
      <c r="G639" s="245"/>
      <c r="H639" s="245"/>
      <c r="I639" s="245"/>
      <c r="J639" s="245"/>
      <c r="K639" s="245"/>
      <c r="L639" s="245"/>
      <c r="M639" s="245"/>
      <c r="N639" s="245"/>
      <c r="O639" s="245"/>
      <c r="P639" s="246"/>
      <c r="Q639" s="246"/>
    </row>
    <row r="640">
      <c r="A640" s="245"/>
      <c r="B640" s="245"/>
      <c r="C640" s="245"/>
      <c r="D640" s="245"/>
      <c r="E640" s="245"/>
      <c r="F640" s="243"/>
      <c r="G640" s="245"/>
      <c r="H640" s="245"/>
      <c r="I640" s="245"/>
      <c r="J640" s="245"/>
      <c r="K640" s="245"/>
      <c r="L640" s="245"/>
      <c r="M640" s="245"/>
      <c r="N640" s="245"/>
      <c r="O640" s="245"/>
      <c r="P640" s="246"/>
      <c r="Q640" s="246"/>
    </row>
    <row r="641">
      <c r="A641" s="245"/>
      <c r="B641" s="245"/>
      <c r="C641" s="245"/>
      <c r="D641" s="245"/>
      <c r="E641" s="245"/>
      <c r="F641" s="243"/>
      <c r="G641" s="245"/>
      <c r="H641" s="245"/>
      <c r="I641" s="245"/>
      <c r="J641" s="245"/>
      <c r="K641" s="245"/>
      <c r="L641" s="245"/>
      <c r="M641" s="245"/>
      <c r="N641" s="245"/>
      <c r="O641" s="245"/>
      <c r="P641" s="246"/>
      <c r="Q641" s="246"/>
    </row>
    <row r="642">
      <c r="A642" s="245"/>
      <c r="B642" s="245"/>
      <c r="C642" s="245"/>
      <c r="D642" s="245"/>
      <c r="E642" s="245"/>
      <c r="F642" s="243"/>
      <c r="G642" s="245"/>
      <c r="H642" s="245"/>
      <c r="I642" s="245"/>
      <c r="J642" s="245"/>
      <c r="K642" s="245"/>
      <c r="L642" s="245"/>
      <c r="M642" s="245"/>
      <c r="N642" s="245"/>
      <c r="O642" s="245"/>
      <c r="P642" s="246"/>
      <c r="Q642" s="246"/>
    </row>
    <row r="643">
      <c r="A643" s="245"/>
      <c r="B643" s="245"/>
      <c r="C643" s="245"/>
      <c r="D643" s="245"/>
      <c r="E643" s="245"/>
      <c r="F643" s="243"/>
      <c r="G643" s="245"/>
      <c r="H643" s="245"/>
      <c r="I643" s="245"/>
      <c r="J643" s="245"/>
      <c r="K643" s="245"/>
      <c r="L643" s="245"/>
      <c r="M643" s="245"/>
      <c r="N643" s="245"/>
      <c r="O643" s="245"/>
      <c r="P643" s="246"/>
      <c r="Q643" s="246"/>
    </row>
    <row r="644">
      <c r="A644" s="245"/>
      <c r="B644" s="245"/>
      <c r="C644" s="245"/>
      <c r="D644" s="245"/>
      <c r="E644" s="245"/>
      <c r="F644" s="243"/>
      <c r="G644" s="245"/>
      <c r="H644" s="245"/>
      <c r="I644" s="245"/>
      <c r="J644" s="245"/>
      <c r="K644" s="245"/>
      <c r="L644" s="245"/>
      <c r="M644" s="245"/>
      <c r="N644" s="245"/>
      <c r="O644" s="245"/>
      <c r="P644" s="246"/>
      <c r="Q644" s="246"/>
    </row>
    <row r="645">
      <c r="A645" s="245"/>
      <c r="B645" s="245"/>
      <c r="C645" s="245"/>
      <c r="D645" s="245"/>
      <c r="E645" s="245"/>
      <c r="F645" s="243"/>
      <c r="G645" s="245"/>
      <c r="H645" s="245"/>
      <c r="I645" s="245"/>
      <c r="J645" s="245"/>
      <c r="K645" s="245"/>
      <c r="L645" s="245"/>
      <c r="M645" s="245"/>
      <c r="N645" s="245"/>
      <c r="O645" s="245"/>
      <c r="P645" s="246"/>
      <c r="Q645" s="246"/>
    </row>
    <row r="646">
      <c r="A646" s="245"/>
      <c r="B646" s="245"/>
      <c r="C646" s="245"/>
      <c r="D646" s="245"/>
      <c r="E646" s="245"/>
      <c r="F646" s="243"/>
      <c r="G646" s="245"/>
      <c r="H646" s="245"/>
      <c r="I646" s="245"/>
      <c r="J646" s="245"/>
      <c r="K646" s="245"/>
      <c r="L646" s="245"/>
      <c r="M646" s="245"/>
      <c r="N646" s="245"/>
      <c r="O646" s="245"/>
      <c r="P646" s="246"/>
      <c r="Q646" s="246"/>
    </row>
    <row r="647">
      <c r="A647" s="245"/>
      <c r="B647" s="245"/>
      <c r="C647" s="245"/>
      <c r="D647" s="245"/>
      <c r="E647" s="245"/>
      <c r="F647" s="243"/>
      <c r="G647" s="245"/>
      <c r="H647" s="245"/>
      <c r="I647" s="245"/>
      <c r="J647" s="245"/>
      <c r="K647" s="245"/>
      <c r="L647" s="245"/>
      <c r="M647" s="245"/>
      <c r="N647" s="245"/>
      <c r="O647" s="245"/>
      <c r="P647" s="246"/>
      <c r="Q647" s="246"/>
    </row>
    <row r="648">
      <c r="A648" s="245"/>
      <c r="B648" s="245"/>
      <c r="C648" s="245"/>
      <c r="D648" s="245"/>
      <c r="E648" s="245"/>
      <c r="F648" s="243"/>
      <c r="G648" s="245"/>
      <c r="H648" s="245"/>
      <c r="I648" s="245"/>
      <c r="J648" s="245"/>
      <c r="K648" s="245"/>
      <c r="L648" s="245"/>
      <c r="M648" s="245"/>
      <c r="N648" s="245"/>
      <c r="O648" s="245"/>
      <c r="P648" s="246"/>
      <c r="Q648" s="246"/>
    </row>
    <row r="649">
      <c r="A649" s="245"/>
      <c r="B649" s="245"/>
      <c r="C649" s="245"/>
      <c r="D649" s="245"/>
      <c r="E649" s="245"/>
      <c r="F649" s="243"/>
      <c r="G649" s="245"/>
      <c r="H649" s="245"/>
      <c r="I649" s="245"/>
      <c r="J649" s="245"/>
      <c r="K649" s="245"/>
      <c r="L649" s="245"/>
      <c r="M649" s="245"/>
      <c r="N649" s="245"/>
      <c r="O649" s="245"/>
      <c r="P649" s="246"/>
      <c r="Q649" s="246"/>
    </row>
    <row r="650">
      <c r="A650" s="245"/>
      <c r="B650" s="245"/>
      <c r="C650" s="245"/>
      <c r="D650" s="245"/>
      <c r="E650" s="245"/>
      <c r="F650" s="243"/>
      <c r="G650" s="245"/>
      <c r="H650" s="245"/>
      <c r="I650" s="245"/>
      <c r="J650" s="245"/>
      <c r="K650" s="245"/>
      <c r="L650" s="245"/>
      <c r="M650" s="245"/>
      <c r="N650" s="245"/>
      <c r="O650" s="245"/>
      <c r="P650" s="246"/>
      <c r="Q650" s="246"/>
    </row>
    <row r="651">
      <c r="A651" s="245"/>
      <c r="B651" s="245"/>
      <c r="C651" s="245"/>
      <c r="D651" s="245"/>
      <c r="E651" s="245"/>
      <c r="F651" s="243"/>
      <c r="G651" s="245"/>
      <c r="H651" s="245"/>
      <c r="I651" s="245"/>
      <c r="J651" s="245"/>
      <c r="K651" s="245"/>
      <c r="L651" s="245"/>
      <c r="M651" s="245"/>
      <c r="N651" s="245"/>
      <c r="O651" s="245"/>
      <c r="P651" s="246"/>
      <c r="Q651" s="246"/>
    </row>
    <row r="652">
      <c r="A652" s="245"/>
      <c r="B652" s="245"/>
      <c r="C652" s="245"/>
      <c r="D652" s="245"/>
      <c r="E652" s="245"/>
      <c r="F652" s="243"/>
      <c r="G652" s="245"/>
      <c r="H652" s="245"/>
      <c r="I652" s="245"/>
      <c r="J652" s="245"/>
      <c r="K652" s="245"/>
      <c r="L652" s="245"/>
      <c r="M652" s="245"/>
      <c r="N652" s="245"/>
      <c r="O652" s="245"/>
      <c r="P652" s="246"/>
      <c r="Q652" s="246"/>
    </row>
    <row r="653">
      <c r="A653" s="245"/>
      <c r="B653" s="245"/>
      <c r="C653" s="245"/>
      <c r="D653" s="245"/>
      <c r="E653" s="245"/>
      <c r="F653" s="243"/>
      <c r="G653" s="245"/>
      <c r="H653" s="245"/>
      <c r="I653" s="245"/>
      <c r="J653" s="245"/>
      <c r="K653" s="245"/>
      <c r="L653" s="245"/>
      <c r="M653" s="245"/>
      <c r="N653" s="245"/>
      <c r="O653" s="245"/>
      <c r="P653" s="246"/>
      <c r="Q653" s="246"/>
    </row>
    <row r="654">
      <c r="A654" s="245"/>
      <c r="B654" s="245"/>
      <c r="C654" s="245"/>
      <c r="D654" s="245"/>
      <c r="E654" s="245"/>
      <c r="F654" s="243"/>
      <c r="G654" s="245"/>
      <c r="H654" s="245"/>
      <c r="I654" s="245"/>
      <c r="J654" s="245"/>
      <c r="K654" s="245"/>
      <c r="L654" s="245"/>
      <c r="M654" s="245"/>
      <c r="N654" s="245"/>
      <c r="O654" s="245"/>
      <c r="P654" s="246"/>
      <c r="Q654" s="246"/>
    </row>
    <row r="655">
      <c r="A655" s="245"/>
      <c r="B655" s="245"/>
      <c r="C655" s="245"/>
      <c r="D655" s="245"/>
      <c r="E655" s="245"/>
      <c r="F655" s="243"/>
      <c r="G655" s="245"/>
      <c r="H655" s="245"/>
      <c r="I655" s="245"/>
      <c r="J655" s="245"/>
      <c r="K655" s="245"/>
      <c r="L655" s="245"/>
      <c r="M655" s="245"/>
      <c r="N655" s="245"/>
      <c r="O655" s="245"/>
      <c r="P655" s="246"/>
      <c r="Q655" s="246"/>
    </row>
    <row r="656">
      <c r="A656" s="245"/>
      <c r="B656" s="245"/>
      <c r="C656" s="245"/>
      <c r="D656" s="245"/>
      <c r="E656" s="245"/>
      <c r="F656" s="243"/>
      <c r="G656" s="245"/>
      <c r="H656" s="245"/>
      <c r="I656" s="245"/>
      <c r="J656" s="245"/>
      <c r="K656" s="245"/>
      <c r="L656" s="245"/>
      <c r="M656" s="245"/>
      <c r="N656" s="245"/>
      <c r="O656" s="245"/>
      <c r="P656" s="246"/>
      <c r="Q656" s="246"/>
    </row>
    <row r="657">
      <c r="A657" s="245"/>
      <c r="B657" s="245"/>
      <c r="C657" s="245"/>
      <c r="D657" s="245"/>
      <c r="E657" s="245"/>
      <c r="F657" s="243"/>
      <c r="G657" s="245"/>
      <c r="H657" s="245"/>
      <c r="I657" s="245"/>
      <c r="J657" s="245"/>
      <c r="K657" s="245"/>
      <c r="L657" s="245"/>
      <c r="M657" s="245"/>
      <c r="N657" s="245"/>
      <c r="O657" s="245"/>
      <c r="P657" s="246"/>
      <c r="Q657" s="246"/>
    </row>
    <row r="658">
      <c r="A658" s="245"/>
      <c r="B658" s="245"/>
      <c r="C658" s="245"/>
      <c r="D658" s="245"/>
      <c r="E658" s="245"/>
      <c r="F658" s="243"/>
      <c r="G658" s="245"/>
      <c r="H658" s="245"/>
      <c r="I658" s="245"/>
      <c r="J658" s="245"/>
      <c r="K658" s="245"/>
      <c r="L658" s="245"/>
      <c r="M658" s="245"/>
      <c r="N658" s="245"/>
      <c r="O658" s="245"/>
      <c r="P658" s="246"/>
      <c r="Q658" s="246"/>
    </row>
    <row r="659">
      <c r="A659" s="245"/>
      <c r="B659" s="245"/>
      <c r="C659" s="245"/>
      <c r="D659" s="245"/>
      <c r="E659" s="245"/>
      <c r="F659" s="243"/>
      <c r="G659" s="245"/>
      <c r="H659" s="245"/>
      <c r="I659" s="245"/>
      <c r="J659" s="245"/>
      <c r="K659" s="245"/>
      <c r="L659" s="245"/>
      <c r="M659" s="245"/>
      <c r="N659" s="245"/>
      <c r="O659" s="245"/>
      <c r="P659" s="246"/>
      <c r="Q659" s="246"/>
    </row>
    <row r="660">
      <c r="A660" s="245"/>
      <c r="B660" s="245"/>
      <c r="C660" s="245"/>
      <c r="D660" s="245"/>
      <c r="E660" s="245"/>
      <c r="F660" s="243"/>
      <c r="G660" s="245"/>
      <c r="H660" s="245"/>
      <c r="I660" s="245"/>
      <c r="J660" s="245"/>
      <c r="K660" s="245"/>
      <c r="L660" s="245"/>
      <c r="M660" s="245"/>
      <c r="N660" s="245"/>
      <c r="O660" s="245"/>
      <c r="P660" s="246"/>
      <c r="Q660" s="246"/>
    </row>
    <row r="661">
      <c r="A661" s="245"/>
      <c r="B661" s="245"/>
      <c r="C661" s="245"/>
      <c r="D661" s="245"/>
      <c r="E661" s="245"/>
      <c r="F661" s="243"/>
      <c r="G661" s="245"/>
      <c r="H661" s="245"/>
      <c r="I661" s="245"/>
      <c r="J661" s="245"/>
      <c r="K661" s="245"/>
      <c r="L661" s="245"/>
      <c r="M661" s="245"/>
      <c r="N661" s="245"/>
      <c r="O661" s="245"/>
      <c r="P661" s="246"/>
      <c r="Q661" s="246"/>
    </row>
    <row r="662">
      <c r="A662" s="245"/>
      <c r="B662" s="245"/>
      <c r="C662" s="245"/>
      <c r="D662" s="245"/>
      <c r="E662" s="245"/>
      <c r="F662" s="243"/>
      <c r="G662" s="245"/>
      <c r="H662" s="245"/>
      <c r="I662" s="245"/>
      <c r="J662" s="245"/>
      <c r="K662" s="245"/>
      <c r="L662" s="245"/>
      <c r="M662" s="245"/>
      <c r="N662" s="245"/>
      <c r="O662" s="245"/>
      <c r="P662" s="246"/>
      <c r="Q662" s="246"/>
    </row>
    <row r="663">
      <c r="A663" s="245"/>
      <c r="B663" s="245"/>
      <c r="C663" s="245"/>
      <c r="D663" s="245"/>
      <c r="E663" s="245"/>
      <c r="F663" s="243"/>
      <c r="G663" s="245"/>
      <c r="H663" s="245"/>
      <c r="I663" s="245"/>
      <c r="J663" s="245"/>
      <c r="K663" s="245"/>
      <c r="L663" s="245"/>
      <c r="M663" s="245"/>
      <c r="N663" s="245"/>
      <c r="O663" s="245"/>
      <c r="P663" s="246"/>
      <c r="Q663" s="246"/>
    </row>
    <row r="664">
      <c r="A664" s="245"/>
      <c r="B664" s="245"/>
      <c r="C664" s="245"/>
      <c r="D664" s="245"/>
      <c r="E664" s="245"/>
      <c r="F664" s="243"/>
      <c r="G664" s="245"/>
      <c r="H664" s="245"/>
      <c r="I664" s="245"/>
      <c r="J664" s="245"/>
      <c r="K664" s="245"/>
      <c r="L664" s="245"/>
      <c r="M664" s="245"/>
      <c r="N664" s="245"/>
      <c r="O664" s="245"/>
      <c r="P664" s="246"/>
      <c r="Q664" s="246"/>
    </row>
    <row r="665">
      <c r="A665" s="245"/>
      <c r="B665" s="245"/>
      <c r="C665" s="245"/>
      <c r="D665" s="245"/>
      <c r="E665" s="245"/>
      <c r="F665" s="243"/>
      <c r="G665" s="245"/>
      <c r="H665" s="245"/>
      <c r="I665" s="245"/>
      <c r="J665" s="245"/>
      <c r="K665" s="245"/>
      <c r="L665" s="245"/>
      <c r="M665" s="245"/>
      <c r="N665" s="245"/>
      <c r="O665" s="245"/>
      <c r="P665" s="246"/>
      <c r="Q665" s="246"/>
    </row>
    <row r="666">
      <c r="A666" s="245"/>
      <c r="B666" s="245"/>
      <c r="C666" s="245"/>
      <c r="D666" s="245"/>
      <c r="E666" s="245"/>
      <c r="F666" s="243"/>
      <c r="G666" s="245"/>
      <c r="H666" s="245"/>
      <c r="I666" s="245"/>
      <c r="J666" s="245"/>
      <c r="K666" s="245"/>
      <c r="L666" s="245"/>
      <c r="M666" s="245"/>
      <c r="N666" s="245"/>
      <c r="O666" s="245"/>
      <c r="P666" s="246"/>
      <c r="Q666" s="246"/>
    </row>
    <row r="667">
      <c r="A667" s="245"/>
      <c r="B667" s="245"/>
      <c r="C667" s="245"/>
      <c r="D667" s="245"/>
      <c r="E667" s="245"/>
      <c r="F667" s="243"/>
      <c r="G667" s="245"/>
      <c r="H667" s="245"/>
      <c r="I667" s="245"/>
      <c r="J667" s="245"/>
      <c r="K667" s="245"/>
      <c r="L667" s="245"/>
      <c r="M667" s="245"/>
      <c r="N667" s="245"/>
      <c r="O667" s="245"/>
      <c r="P667" s="246"/>
      <c r="Q667" s="246"/>
    </row>
    <row r="668">
      <c r="A668" s="245"/>
      <c r="B668" s="245"/>
      <c r="C668" s="245"/>
      <c r="D668" s="245"/>
      <c r="E668" s="245"/>
      <c r="F668" s="243"/>
      <c r="G668" s="245"/>
      <c r="H668" s="245"/>
      <c r="I668" s="245"/>
      <c r="J668" s="245"/>
      <c r="K668" s="245"/>
      <c r="L668" s="245"/>
      <c r="M668" s="245"/>
      <c r="N668" s="245"/>
      <c r="O668" s="245"/>
      <c r="P668" s="246"/>
      <c r="Q668" s="246"/>
    </row>
    <row r="669">
      <c r="A669" s="245"/>
      <c r="B669" s="245"/>
      <c r="C669" s="245"/>
      <c r="D669" s="245"/>
      <c r="E669" s="245"/>
      <c r="F669" s="243"/>
      <c r="G669" s="245"/>
      <c r="H669" s="245"/>
      <c r="I669" s="245"/>
      <c r="J669" s="245"/>
      <c r="K669" s="245"/>
      <c r="L669" s="245"/>
      <c r="M669" s="245"/>
      <c r="N669" s="245"/>
      <c r="O669" s="245"/>
      <c r="P669" s="246"/>
      <c r="Q669" s="246"/>
    </row>
    <row r="670">
      <c r="A670" s="245"/>
      <c r="B670" s="245"/>
      <c r="C670" s="245"/>
      <c r="D670" s="245"/>
      <c r="E670" s="245"/>
      <c r="F670" s="243"/>
      <c r="G670" s="245"/>
      <c r="H670" s="245"/>
      <c r="I670" s="245"/>
      <c r="J670" s="245"/>
      <c r="K670" s="245"/>
      <c r="L670" s="245"/>
      <c r="M670" s="245"/>
      <c r="N670" s="245"/>
      <c r="O670" s="245"/>
      <c r="P670" s="246"/>
      <c r="Q670" s="246"/>
    </row>
    <row r="671">
      <c r="A671" s="245"/>
      <c r="B671" s="245"/>
      <c r="C671" s="245"/>
      <c r="D671" s="245"/>
      <c r="E671" s="245"/>
      <c r="F671" s="243"/>
      <c r="G671" s="245"/>
      <c r="H671" s="245"/>
      <c r="I671" s="245"/>
      <c r="J671" s="245"/>
      <c r="K671" s="245"/>
      <c r="L671" s="245"/>
      <c r="M671" s="245"/>
      <c r="N671" s="245"/>
      <c r="O671" s="245"/>
      <c r="P671" s="246"/>
      <c r="Q671" s="246"/>
    </row>
    <row r="672">
      <c r="A672" s="245"/>
      <c r="B672" s="245"/>
      <c r="C672" s="245"/>
      <c r="D672" s="245"/>
      <c r="E672" s="245"/>
      <c r="F672" s="243"/>
      <c r="G672" s="245"/>
      <c r="H672" s="245"/>
      <c r="I672" s="245"/>
      <c r="J672" s="245"/>
      <c r="K672" s="245"/>
      <c r="L672" s="245"/>
      <c r="M672" s="245"/>
      <c r="N672" s="245"/>
      <c r="O672" s="245"/>
      <c r="P672" s="246"/>
      <c r="Q672" s="246"/>
    </row>
    <row r="673">
      <c r="A673" s="245"/>
      <c r="B673" s="245"/>
      <c r="C673" s="245"/>
      <c r="D673" s="245"/>
      <c r="E673" s="245"/>
      <c r="F673" s="243"/>
      <c r="G673" s="245"/>
      <c r="H673" s="245"/>
      <c r="I673" s="245"/>
      <c r="J673" s="245"/>
      <c r="K673" s="245"/>
      <c r="L673" s="245"/>
      <c r="M673" s="245"/>
      <c r="N673" s="245"/>
      <c r="O673" s="245"/>
      <c r="P673" s="246"/>
      <c r="Q673" s="246"/>
    </row>
    <row r="674">
      <c r="A674" s="245"/>
      <c r="B674" s="245"/>
      <c r="C674" s="245"/>
      <c r="D674" s="245"/>
      <c r="E674" s="245"/>
      <c r="F674" s="243"/>
      <c r="G674" s="245"/>
      <c r="H674" s="245"/>
      <c r="I674" s="245"/>
      <c r="J674" s="245"/>
      <c r="K674" s="245"/>
      <c r="L674" s="245"/>
      <c r="M674" s="245"/>
      <c r="N674" s="245"/>
      <c r="O674" s="245"/>
      <c r="P674" s="246"/>
      <c r="Q674" s="246"/>
    </row>
    <row r="675">
      <c r="A675" s="245"/>
      <c r="B675" s="245"/>
      <c r="C675" s="245"/>
      <c r="D675" s="245"/>
      <c r="E675" s="245"/>
      <c r="F675" s="243"/>
      <c r="G675" s="245"/>
      <c r="H675" s="245"/>
      <c r="I675" s="245"/>
      <c r="J675" s="245"/>
      <c r="K675" s="245"/>
      <c r="L675" s="245"/>
      <c r="M675" s="245"/>
      <c r="N675" s="245"/>
      <c r="O675" s="245"/>
      <c r="P675" s="246"/>
      <c r="Q675" s="246"/>
    </row>
    <row r="676">
      <c r="A676" s="245"/>
      <c r="B676" s="245"/>
      <c r="C676" s="245"/>
      <c r="D676" s="245"/>
      <c r="E676" s="245"/>
      <c r="F676" s="243"/>
      <c r="G676" s="245"/>
      <c r="H676" s="245"/>
      <c r="I676" s="245"/>
      <c r="J676" s="245"/>
      <c r="K676" s="245"/>
      <c r="L676" s="245"/>
      <c r="M676" s="245"/>
      <c r="N676" s="245"/>
      <c r="O676" s="245"/>
      <c r="P676" s="246"/>
      <c r="Q676" s="246"/>
    </row>
    <row r="677">
      <c r="A677" s="245"/>
      <c r="B677" s="245"/>
      <c r="C677" s="245"/>
      <c r="D677" s="245"/>
      <c r="E677" s="245"/>
      <c r="F677" s="243"/>
      <c r="G677" s="245"/>
      <c r="H677" s="245"/>
      <c r="I677" s="245"/>
      <c r="J677" s="245"/>
      <c r="K677" s="245"/>
      <c r="L677" s="245"/>
      <c r="M677" s="245"/>
      <c r="N677" s="245"/>
      <c r="O677" s="245"/>
      <c r="P677" s="246"/>
      <c r="Q677" s="246"/>
    </row>
    <row r="678">
      <c r="A678" s="245"/>
      <c r="B678" s="245"/>
      <c r="C678" s="245"/>
      <c r="D678" s="245"/>
      <c r="E678" s="245"/>
      <c r="F678" s="243"/>
      <c r="G678" s="245"/>
      <c r="H678" s="245"/>
      <c r="I678" s="245"/>
      <c r="J678" s="245"/>
      <c r="K678" s="245"/>
      <c r="L678" s="245"/>
      <c r="M678" s="245"/>
      <c r="N678" s="245"/>
      <c r="O678" s="245"/>
      <c r="P678" s="246"/>
      <c r="Q678" s="246"/>
    </row>
    <row r="679">
      <c r="A679" s="245"/>
      <c r="B679" s="245"/>
      <c r="C679" s="245"/>
      <c r="D679" s="245"/>
      <c r="E679" s="245"/>
      <c r="F679" s="243"/>
      <c r="G679" s="245"/>
      <c r="H679" s="245"/>
      <c r="I679" s="245"/>
      <c r="J679" s="245"/>
      <c r="K679" s="245"/>
      <c r="L679" s="245"/>
      <c r="M679" s="245"/>
      <c r="N679" s="245"/>
      <c r="O679" s="245"/>
      <c r="P679" s="246"/>
      <c r="Q679" s="246"/>
    </row>
    <row r="680">
      <c r="A680" s="245"/>
      <c r="B680" s="245"/>
      <c r="C680" s="245"/>
      <c r="D680" s="245"/>
      <c r="E680" s="245"/>
      <c r="F680" s="243"/>
      <c r="G680" s="245"/>
      <c r="H680" s="245"/>
      <c r="I680" s="245"/>
      <c r="J680" s="245"/>
      <c r="K680" s="245"/>
      <c r="L680" s="245"/>
      <c r="M680" s="245"/>
      <c r="N680" s="245"/>
      <c r="O680" s="245"/>
      <c r="P680" s="246"/>
      <c r="Q680" s="246"/>
    </row>
    <row r="681">
      <c r="A681" s="245"/>
      <c r="B681" s="245"/>
      <c r="C681" s="245"/>
      <c r="D681" s="245"/>
      <c r="E681" s="245"/>
      <c r="F681" s="243"/>
      <c r="G681" s="245"/>
      <c r="H681" s="245"/>
      <c r="I681" s="245"/>
      <c r="J681" s="245"/>
      <c r="K681" s="245"/>
      <c r="L681" s="245"/>
      <c r="M681" s="245"/>
      <c r="N681" s="245"/>
      <c r="O681" s="245"/>
      <c r="P681" s="246"/>
      <c r="Q681" s="246"/>
    </row>
    <row r="682">
      <c r="A682" s="245"/>
      <c r="B682" s="245"/>
      <c r="C682" s="245"/>
      <c r="D682" s="245"/>
      <c r="E682" s="245"/>
      <c r="F682" s="243"/>
      <c r="G682" s="245"/>
      <c r="H682" s="245"/>
      <c r="I682" s="245"/>
      <c r="J682" s="245"/>
      <c r="K682" s="245"/>
      <c r="L682" s="245"/>
      <c r="M682" s="245"/>
      <c r="N682" s="245"/>
      <c r="O682" s="245"/>
      <c r="P682" s="246"/>
      <c r="Q682" s="246"/>
    </row>
    <row r="683">
      <c r="A683" s="245"/>
      <c r="B683" s="245"/>
      <c r="C683" s="245"/>
      <c r="D683" s="245"/>
      <c r="E683" s="245"/>
      <c r="F683" s="243"/>
      <c r="G683" s="245"/>
      <c r="H683" s="245"/>
      <c r="I683" s="245"/>
      <c r="J683" s="245"/>
      <c r="K683" s="245"/>
      <c r="L683" s="245"/>
      <c r="M683" s="245"/>
      <c r="N683" s="245"/>
      <c r="O683" s="245"/>
      <c r="P683" s="246"/>
      <c r="Q683" s="246"/>
    </row>
    <row r="684">
      <c r="A684" s="245"/>
      <c r="B684" s="245"/>
      <c r="C684" s="245"/>
      <c r="D684" s="245"/>
      <c r="E684" s="245"/>
      <c r="F684" s="243"/>
      <c r="G684" s="245"/>
      <c r="H684" s="245"/>
      <c r="I684" s="245"/>
      <c r="J684" s="245"/>
      <c r="K684" s="245"/>
      <c r="L684" s="245"/>
      <c r="M684" s="245"/>
      <c r="N684" s="245"/>
      <c r="O684" s="245"/>
      <c r="P684" s="246"/>
      <c r="Q684" s="246"/>
    </row>
    <row r="685">
      <c r="A685" s="245"/>
      <c r="B685" s="245"/>
      <c r="C685" s="245"/>
      <c r="D685" s="245"/>
      <c r="E685" s="245"/>
      <c r="F685" s="243"/>
      <c r="G685" s="245"/>
      <c r="H685" s="245"/>
      <c r="I685" s="245"/>
      <c r="J685" s="245"/>
      <c r="K685" s="245"/>
      <c r="L685" s="245"/>
      <c r="M685" s="245"/>
      <c r="N685" s="245"/>
      <c r="O685" s="245"/>
      <c r="P685" s="246"/>
      <c r="Q685" s="246"/>
    </row>
    <row r="686">
      <c r="A686" s="245"/>
      <c r="B686" s="245"/>
      <c r="C686" s="245"/>
      <c r="D686" s="245"/>
      <c r="E686" s="245"/>
      <c r="F686" s="243"/>
      <c r="G686" s="245"/>
      <c r="H686" s="245"/>
      <c r="I686" s="245"/>
      <c r="J686" s="245"/>
      <c r="K686" s="245"/>
      <c r="L686" s="245"/>
      <c r="M686" s="245"/>
      <c r="N686" s="245"/>
      <c r="O686" s="245"/>
      <c r="P686" s="246"/>
      <c r="Q686" s="246"/>
    </row>
    <row r="687">
      <c r="A687" s="245"/>
      <c r="B687" s="245"/>
      <c r="C687" s="245"/>
      <c r="D687" s="245"/>
      <c r="E687" s="245"/>
      <c r="F687" s="243"/>
      <c r="G687" s="245"/>
      <c r="H687" s="245"/>
      <c r="I687" s="245"/>
      <c r="J687" s="245"/>
      <c r="K687" s="245"/>
      <c r="L687" s="245"/>
      <c r="M687" s="245"/>
      <c r="N687" s="245"/>
      <c r="O687" s="245"/>
      <c r="P687" s="246"/>
      <c r="Q687" s="246"/>
    </row>
    <row r="688">
      <c r="A688" s="245"/>
      <c r="B688" s="245"/>
      <c r="C688" s="245"/>
      <c r="D688" s="245"/>
      <c r="E688" s="245"/>
      <c r="F688" s="243"/>
      <c r="G688" s="245"/>
      <c r="H688" s="245"/>
      <c r="I688" s="245"/>
      <c r="J688" s="245"/>
      <c r="K688" s="245"/>
      <c r="L688" s="245"/>
      <c r="M688" s="245"/>
      <c r="N688" s="245"/>
      <c r="O688" s="245"/>
      <c r="P688" s="246"/>
      <c r="Q688" s="246"/>
    </row>
    <row r="689">
      <c r="A689" s="245"/>
      <c r="B689" s="245"/>
      <c r="C689" s="245"/>
      <c r="D689" s="245"/>
      <c r="E689" s="245"/>
      <c r="F689" s="243"/>
      <c r="G689" s="245"/>
      <c r="H689" s="245"/>
      <c r="I689" s="245"/>
      <c r="J689" s="245"/>
      <c r="K689" s="245"/>
      <c r="L689" s="245"/>
      <c r="M689" s="245"/>
      <c r="N689" s="245"/>
      <c r="O689" s="245"/>
      <c r="P689" s="246"/>
      <c r="Q689" s="246"/>
    </row>
    <row r="690">
      <c r="A690" s="245"/>
      <c r="B690" s="245"/>
      <c r="C690" s="245"/>
      <c r="D690" s="245"/>
      <c r="E690" s="245"/>
      <c r="F690" s="243"/>
      <c r="G690" s="245"/>
      <c r="H690" s="245"/>
      <c r="I690" s="245"/>
      <c r="J690" s="245"/>
      <c r="K690" s="245"/>
      <c r="L690" s="245"/>
      <c r="M690" s="245"/>
      <c r="N690" s="245"/>
      <c r="O690" s="245"/>
      <c r="P690" s="246"/>
      <c r="Q690" s="246"/>
    </row>
    <row r="691">
      <c r="A691" s="245"/>
      <c r="B691" s="245"/>
      <c r="C691" s="245"/>
      <c r="D691" s="245"/>
      <c r="E691" s="245"/>
      <c r="F691" s="243"/>
      <c r="G691" s="245"/>
      <c r="H691" s="245"/>
      <c r="I691" s="245"/>
      <c r="J691" s="245"/>
      <c r="K691" s="245"/>
      <c r="L691" s="245"/>
      <c r="M691" s="245"/>
      <c r="N691" s="245"/>
      <c r="O691" s="245"/>
      <c r="P691" s="246"/>
      <c r="Q691" s="246"/>
    </row>
    <row r="692">
      <c r="A692" s="245"/>
      <c r="B692" s="245"/>
      <c r="C692" s="245"/>
      <c r="D692" s="245"/>
      <c r="E692" s="245"/>
      <c r="F692" s="243"/>
      <c r="G692" s="245"/>
      <c r="H692" s="245"/>
      <c r="I692" s="245"/>
      <c r="J692" s="245"/>
      <c r="K692" s="245"/>
      <c r="L692" s="245"/>
      <c r="M692" s="245"/>
      <c r="N692" s="245"/>
      <c r="O692" s="245"/>
      <c r="P692" s="246"/>
      <c r="Q692" s="246"/>
    </row>
    <row r="693">
      <c r="A693" s="245"/>
      <c r="B693" s="245"/>
      <c r="C693" s="245"/>
      <c r="D693" s="245"/>
      <c r="E693" s="245"/>
      <c r="F693" s="243"/>
      <c r="G693" s="245"/>
      <c r="H693" s="245"/>
      <c r="I693" s="245"/>
      <c r="J693" s="245"/>
      <c r="K693" s="245"/>
      <c r="L693" s="245"/>
      <c r="M693" s="245"/>
      <c r="N693" s="245"/>
      <c r="O693" s="245"/>
      <c r="P693" s="246"/>
      <c r="Q693" s="246"/>
    </row>
    <row r="694">
      <c r="A694" s="245"/>
      <c r="B694" s="245"/>
      <c r="C694" s="245"/>
      <c r="D694" s="245"/>
      <c r="E694" s="245"/>
      <c r="F694" s="243"/>
      <c r="G694" s="245"/>
      <c r="H694" s="245"/>
      <c r="I694" s="245"/>
      <c r="J694" s="245"/>
      <c r="K694" s="245"/>
      <c r="L694" s="245"/>
      <c r="M694" s="245"/>
      <c r="N694" s="245"/>
      <c r="O694" s="245"/>
      <c r="P694" s="246"/>
      <c r="Q694" s="246"/>
    </row>
    <row r="695">
      <c r="A695" s="245"/>
      <c r="B695" s="245"/>
      <c r="C695" s="245"/>
      <c r="D695" s="245"/>
      <c r="E695" s="245"/>
      <c r="F695" s="243"/>
      <c r="G695" s="245"/>
      <c r="H695" s="245"/>
      <c r="I695" s="245"/>
      <c r="J695" s="245"/>
      <c r="K695" s="245"/>
      <c r="L695" s="245"/>
      <c r="M695" s="245"/>
      <c r="N695" s="245"/>
      <c r="O695" s="245"/>
      <c r="P695" s="246"/>
      <c r="Q695" s="246"/>
    </row>
    <row r="696">
      <c r="A696" s="245"/>
      <c r="B696" s="245"/>
      <c r="C696" s="245"/>
      <c r="D696" s="245"/>
      <c r="E696" s="245"/>
      <c r="F696" s="243"/>
      <c r="G696" s="245"/>
      <c r="H696" s="245"/>
      <c r="I696" s="245"/>
      <c r="J696" s="245"/>
      <c r="K696" s="245"/>
      <c r="L696" s="245"/>
      <c r="M696" s="245"/>
      <c r="N696" s="245"/>
      <c r="O696" s="245"/>
      <c r="P696" s="246"/>
      <c r="Q696" s="246"/>
    </row>
    <row r="697">
      <c r="A697" s="245"/>
      <c r="B697" s="245"/>
      <c r="C697" s="245"/>
      <c r="D697" s="245"/>
      <c r="E697" s="245"/>
      <c r="F697" s="243"/>
      <c r="G697" s="245"/>
      <c r="H697" s="245"/>
      <c r="I697" s="245"/>
      <c r="J697" s="245"/>
      <c r="K697" s="245"/>
      <c r="L697" s="245"/>
      <c r="M697" s="245"/>
      <c r="N697" s="245"/>
      <c r="O697" s="245"/>
      <c r="P697" s="246"/>
      <c r="Q697" s="246"/>
    </row>
    <row r="698">
      <c r="A698" s="245"/>
      <c r="B698" s="245"/>
      <c r="C698" s="245"/>
      <c r="D698" s="245"/>
      <c r="E698" s="245"/>
      <c r="F698" s="243"/>
      <c r="G698" s="245"/>
      <c r="H698" s="245"/>
      <c r="I698" s="245"/>
      <c r="J698" s="245"/>
      <c r="K698" s="245"/>
      <c r="L698" s="245"/>
      <c r="M698" s="245"/>
      <c r="N698" s="245"/>
      <c r="O698" s="245"/>
      <c r="P698" s="246"/>
      <c r="Q698" s="246"/>
    </row>
    <row r="699">
      <c r="A699" s="245"/>
      <c r="B699" s="245"/>
      <c r="C699" s="245"/>
      <c r="D699" s="245"/>
      <c r="E699" s="245"/>
      <c r="F699" s="243"/>
      <c r="G699" s="245"/>
      <c r="H699" s="245"/>
      <c r="I699" s="245"/>
      <c r="J699" s="245"/>
      <c r="K699" s="245"/>
      <c r="L699" s="245"/>
      <c r="M699" s="245"/>
      <c r="N699" s="245"/>
      <c r="O699" s="245"/>
      <c r="P699" s="246"/>
      <c r="Q699" s="246"/>
    </row>
    <row r="700">
      <c r="A700" s="245"/>
      <c r="B700" s="245"/>
      <c r="C700" s="245"/>
      <c r="D700" s="245"/>
      <c r="E700" s="245"/>
      <c r="F700" s="243"/>
      <c r="G700" s="245"/>
      <c r="H700" s="245"/>
      <c r="I700" s="245"/>
      <c r="J700" s="245"/>
      <c r="K700" s="245"/>
      <c r="L700" s="245"/>
      <c r="M700" s="245"/>
      <c r="N700" s="245"/>
      <c r="O700" s="245"/>
      <c r="P700" s="246"/>
      <c r="Q700" s="246"/>
    </row>
    <row r="701">
      <c r="A701" s="245"/>
      <c r="B701" s="245"/>
      <c r="C701" s="245"/>
      <c r="D701" s="245"/>
      <c r="E701" s="245"/>
      <c r="F701" s="243"/>
      <c r="G701" s="245"/>
      <c r="H701" s="245"/>
      <c r="I701" s="245"/>
      <c r="J701" s="245"/>
      <c r="K701" s="245"/>
      <c r="L701" s="245"/>
      <c r="M701" s="245"/>
      <c r="N701" s="245"/>
      <c r="O701" s="245"/>
      <c r="P701" s="246"/>
      <c r="Q701" s="246"/>
    </row>
    <row r="702">
      <c r="A702" s="245"/>
      <c r="B702" s="245"/>
      <c r="C702" s="245"/>
      <c r="D702" s="245"/>
      <c r="E702" s="245"/>
      <c r="F702" s="243"/>
      <c r="G702" s="245"/>
      <c r="H702" s="245"/>
      <c r="I702" s="245"/>
      <c r="J702" s="245"/>
      <c r="K702" s="245"/>
      <c r="L702" s="245"/>
      <c r="M702" s="245"/>
      <c r="N702" s="245"/>
      <c r="O702" s="245"/>
      <c r="P702" s="246"/>
      <c r="Q702" s="246"/>
    </row>
    <row r="703">
      <c r="A703" s="245"/>
      <c r="B703" s="245"/>
      <c r="C703" s="245"/>
      <c r="D703" s="245"/>
      <c r="E703" s="245"/>
      <c r="F703" s="243"/>
      <c r="G703" s="245"/>
      <c r="H703" s="245"/>
      <c r="I703" s="245"/>
      <c r="J703" s="245"/>
      <c r="K703" s="245"/>
      <c r="L703" s="245"/>
      <c r="M703" s="245"/>
      <c r="N703" s="245"/>
      <c r="O703" s="245"/>
      <c r="P703" s="246"/>
      <c r="Q703" s="246"/>
    </row>
    <row r="704">
      <c r="A704" s="245"/>
      <c r="B704" s="245"/>
      <c r="C704" s="245"/>
      <c r="D704" s="245"/>
      <c r="E704" s="245"/>
      <c r="F704" s="243"/>
      <c r="G704" s="245"/>
      <c r="H704" s="245"/>
      <c r="I704" s="245"/>
      <c r="J704" s="245"/>
      <c r="K704" s="245"/>
      <c r="L704" s="245"/>
      <c r="M704" s="245"/>
      <c r="N704" s="245"/>
      <c r="O704" s="245"/>
      <c r="P704" s="246"/>
      <c r="Q704" s="246"/>
    </row>
    <row r="705">
      <c r="A705" s="245"/>
      <c r="B705" s="245"/>
      <c r="C705" s="245"/>
      <c r="D705" s="245"/>
      <c r="E705" s="245"/>
      <c r="F705" s="243"/>
      <c r="G705" s="245"/>
      <c r="H705" s="245"/>
      <c r="I705" s="245"/>
      <c r="J705" s="245"/>
      <c r="K705" s="245"/>
      <c r="L705" s="245"/>
      <c r="M705" s="245"/>
      <c r="N705" s="245"/>
      <c r="O705" s="245"/>
      <c r="P705" s="246"/>
      <c r="Q705" s="246"/>
    </row>
    <row r="706">
      <c r="A706" s="245"/>
      <c r="B706" s="245"/>
      <c r="C706" s="245"/>
      <c r="D706" s="245"/>
      <c r="E706" s="245"/>
      <c r="F706" s="243"/>
      <c r="G706" s="245"/>
      <c r="H706" s="245"/>
      <c r="I706" s="245"/>
      <c r="J706" s="245"/>
      <c r="K706" s="245"/>
      <c r="L706" s="245"/>
      <c r="M706" s="245"/>
      <c r="N706" s="245"/>
      <c r="O706" s="245"/>
      <c r="P706" s="246"/>
      <c r="Q706" s="246"/>
    </row>
    <row r="707">
      <c r="A707" s="245"/>
      <c r="B707" s="245"/>
      <c r="C707" s="245"/>
      <c r="D707" s="245"/>
      <c r="E707" s="245"/>
      <c r="F707" s="243"/>
      <c r="G707" s="245"/>
      <c r="H707" s="245"/>
      <c r="I707" s="245"/>
      <c r="J707" s="245"/>
      <c r="K707" s="245"/>
      <c r="L707" s="245"/>
      <c r="M707" s="245"/>
      <c r="N707" s="245"/>
      <c r="O707" s="245"/>
      <c r="P707" s="246"/>
      <c r="Q707" s="246"/>
    </row>
    <row r="708">
      <c r="A708" s="245"/>
      <c r="B708" s="245"/>
      <c r="C708" s="245"/>
      <c r="D708" s="245"/>
      <c r="E708" s="245"/>
      <c r="F708" s="243"/>
      <c r="G708" s="245"/>
      <c r="H708" s="245"/>
      <c r="I708" s="245"/>
      <c r="J708" s="245"/>
      <c r="K708" s="245"/>
      <c r="L708" s="245"/>
      <c r="M708" s="245"/>
      <c r="N708" s="245"/>
      <c r="O708" s="245"/>
      <c r="P708" s="246"/>
      <c r="Q708" s="246"/>
    </row>
    <row r="709">
      <c r="A709" s="245"/>
      <c r="B709" s="245"/>
      <c r="C709" s="245"/>
      <c r="D709" s="245"/>
      <c r="E709" s="245"/>
      <c r="F709" s="243"/>
      <c r="G709" s="245"/>
      <c r="H709" s="245"/>
      <c r="I709" s="245"/>
      <c r="J709" s="245"/>
      <c r="K709" s="245"/>
      <c r="L709" s="245"/>
      <c r="M709" s="245"/>
      <c r="N709" s="245"/>
      <c r="O709" s="245"/>
      <c r="P709" s="246"/>
      <c r="Q709" s="246"/>
    </row>
    <row r="710">
      <c r="A710" s="245"/>
      <c r="B710" s="245"/>
      <c r="C710" s="245"/>
      <c r="D710" s="245"/>
      <c r="E710" s="245"/>
      <c r="F710" s="243"/>
      <c r="G710" s="245"/>
      <c r="H710" s="245"/>
      <c r="I710" s="245"/>
      <c r="J710" s="245"/>
      <c r="K710" s="245"/>
      <c r="L710" s="245"/>
      <c r="M710" s="245"/>
      <c r="N710" s="245"/>
      <c r="O710" s="245"/>
      <c r="P710" s="246"/>
      <c r="Q710" s="246"/>
    </row>
    <row r="711">
      <c r="A711" s="245"/>
      <c r="B711" s="245"/>
      <c r="C711" s="245"/>
      <c r="D711" s="245"/>
      <c r="E711" s="245"/>
      <c r="F711" s="243"/>
      <c r="G711" s="245"/>
      <c r="H711" s="245"/>
      <c r="I711" s="245"/>
      <c r="J711" s="245"/>
      <c r="K711" s="245"/>
      <c r="L711" s="245"/>
      <c r="M711" s="245"/>
      <c r="N711" s="245"/>
      <c r="O711" s="245"/>
      <c r="P711" s="246"/>
      <c r="Q711" s="246"/>
    </row>
    <row r="712">
      <c r="A712" s="245"/>
      <c r="B712" s="245"/>
      <c r="C712" s="245"/>
      <c r="D712" s="245"/>
      <c r="E712" s="245"/>
      <c r="F712" s="243"/>
      <c r="G712" s="245"/>
      <c r="H712" s="245"/>
      <c r="I712" s="245"/>
      <c r="J712" s="245"/>
      <c r="K712" s="245"/>
      <c r="L712" s="245"/>
      <c r="M712" s="245"/>
      <c r="N712" s="245"/>
      <c r="O712" s="245"/>
      <c r="P712" s="246"/>
      <c r="Q712" s="246"/>
    </row>
    <row r="713">
      <c r="A713" s="245"/>
      <c r="B713" s="245"/>
      <c r="C713" s="245"/>
      <c r="D713" s="245"/>
      <c r="E713" s="245"/>
      <c r="F713" s="243"/>
      <c r="G713" s="245"/>
      <c r="H713" s="245"/>
      <c r="I713" s="245"/>
      <c r="J713" s="245"/>
      <c r="K713" s="245"/>
      <c r="L713" s="245"/>
      <c r="M713" s="245"/>
      <c r="N713" s="245"/>
      <c r="O713" s="245"/>
      <c r="P713" s="246"/>
      <c r="Q713" s="246"/>
    </row>
    <row r="714">
      <c r="A714" s="245"/>
      <c r="B714" s="245"/>
      <c r="C714" s="245"/>
      <c r="D714" s="245"/>
      <c r="E714" s="245"/>
      <c r="F714" s="243"/>
      <c r="G714" s="245"/>
      <c r="H714" s="245"/>
      <c r="I714" s="245"/>
      <c r="J714" s="245"/>
      <c r="K714" s="245"/>
      <c r="L714" s="245"/>
      <c r="M714" s="245"/>
      <c r="N714" s="245"/>
      <c r="O714" s="245"/>
      <c r="P714" s="246"/>
      <c r="Q714" s="246"/>
    </row>
    <row r="715">
      <c r="A715" s="245"/>
      <c r="B715" s="245"/>
      <c r="C715" s="245"/>
      <c r="D715" s="245"/>
      <c r="E715" s="245"/>
      <c r="F715" s="243"/>
      <c r="G715" s="245"/>
      <c r="H715" s="245"/>
      <c r="I715" s="245"/>
      <c r="J715" s="245"/>
      <c r="K715" s="245"/>
      <c r="L715" s="245"/>
      <c r="M715" s="245"/>
      <c r="N715" s="245"/>
      <c r="O715" s="245"/>
      <c r="P715" s="246"/>
      <c r="Q715" s="246"/>
    </row>
    <row r="716">
      <c r="A716" s="245"/>
      <c r="B716" s="245"/>
      <c r="C716" s="245"/>
      <c r="D716" s="245"/>
      <c r="E716" s="245"/>
      <c r="F716" s="243"/>
      <c r="G716" s="245"/>
      <c r="H716" s="245"/>
      <c r="I716" s="245"/>
      <c r="J716" s="245"/>
      <c r="K716" s="245"/>
      <c r="L716" s="245"/>
      <c r="M716" s="245"/>
      <c r="N716" s="245"/>
      <c r="O716" s="245"/>
      <c r="P716" s="246"/>
      <c r="Q716" s="246"/>
    </row>
    <row r="717">
      <c r="A717" s="245"/>
      <c r="B717" s="245"/>
      <c r="C717" s="245"/>
      <c r="D717" s="245"/>
      <c r="E717" s="245"/>
      <c r="F717" s="243"/>
      <c r="G717" s="245"/>
      <c r="H717" s="245"/>
      <c r="I717" s="245"/>
      <c r="J717" s="245"/>
      <c r="K717" s="245"/>
      <c r="L717" s="245"/>
      <c r="M717" s="245"/>
      <c r="N717" s="245"/>
      <c r="O717" s="245"/>
      <c r="P717" s="246"/>
      <c r="Q717" s="246"/>
    </row>
    <row r="718">
      <c r="F718" s="247"/>
      <c r="I718" s="246"/>
      <c r="J718" s="246"/>
      <c r="K718" s="246"/>
    </row>
    <row r="719">
      <c r="F719" s="247"/>
      <c r="I719" s="246"/>
      <c r="J719" s="246"/>
      <c r="K719" s="246"/>
    </row>
    <row r="720">
      <c r="F720" s="247"/>
      <c r="I720" s="246"/>
      <c r="J720" s="246"/>
      <c r="K720" s="246"/>
    </row>
    <row r="721">
      <c r="F721" s="247"/>
      <c r="I721" s="246"/>
      <c r="J721" s="246"/>
      <c r="K721" s="246"/>
    </row>
    <row r="722">
      <c r="F722" s="247"/>
      <c r="I722" s="246"/>
      <c r="J722" s="246"/>
      <c r="K722" s="246"/>
    </row>
    <row r="723">
      <c r="F723" s="247"/>
      <c r="I723" s="246"/>
      <c r="J723" s="246"/>
      <c r="K723" s="246"/>
    </row>
    <row r="724">
      <c r="F724" s="247"/>
      <c r="I724" s="246"/>
      <c r="J724" s="246"/>
      <c r="K724" s="246"/>
    </row>
    <row r="725">
      <c r="F725" s="247"/>
      <c r="I725" s="246"/>
      <c r="J725" s="246"/>
      <c r="K725" s="246"/>
    </row>
    <row r="726">
      <c r="F726" s="247"/>
      <c r="I726" s="246"/>
      <c r="J726" s="246"/>
      <c r="K726" s="246"/>
    </row>
    <row r="727">
      <c r="F727" s="247"/>
      <c r="I727" s="246"/>
      <c r="J727" s="246"/>
      <c r="K727" s="246"/>
    </row>
    <row r="728">
      <c r="F728" s="247"/>
      <c r="I728" s="246"/>
      <c r="J728" s="246"/>
      <c r="K728" s="246"/>
    </row>
    <row r="729">
      <c r="F729" s="247"/>
      <c r="I729" s="246"/>
      <c r="J729" s="246"/>
      <c r="K729" s="246"/>
    </row>
    <row r="730">
      <c r="F730" s="247"/>
      <c r="I730" s="246"/>
      <c r="J730" s="246"/>
      <c r="K730" s="246"/>
    </row>
    <row r="731">
      <c r="F731" s="247"/>
      <c r="I731" s="246"/>
      <c r="J731" s="246"/>
      <c r="K731" s="246"/>
    </row>
    <row r="732">
      <c r="F732" s="247"/>
      <c r="I732" s="246"/>
      <c r="J732" s="246"/>
      <c r="K732" s="246"/>
    </row>
    <row r="733">
      <c r="F733" s="247"/>
      <c r="I733" s="246"/>
      <c r="J733" s="246"/>
      <c r="K733" s="246"/>
    </row>
    <row r="734">
      <c r="F734" s="247"/>
      <c r="I734" s="246"/>
      <c r="J734" s="246"/>
      <c r="K734" s="246"/>
    </row>
    <row r="735">
      <c r="F735" s="247"/>
      <c r="I735" s="246"/>
      <c r="J735" s="246"/>
      <c r="K735" s="246"/>
    </row>
    <row r="736">
      <c r="F736" s="247"/>
      <c r="I736" s="246"/>
      <c r="J736" s="246"/>
      <c r="K736" s="246"/>
    </row>
    <row r="737">
      <c r="F737" s="247"/>
      <c r="I737" s="246"/>
      <c r="J737" s="246"/>
      <c r="K737" s="246"/>
    </row>
    <row r="738">
      <c r="F738" s="247"/>
      <c r="I738" s="246"/>
      <c r="J738" s="246"/>
      <c r="K738" s="246"/>
    </row>
    <row r="739">
      <c r="F739" s="247"/>
      <c r="I739" s="246"/>
      <c r="J739" s="246"/>
      <c r="K739" s="246"/>
    </row>
    <row r="740">
      <c r="F740" s="247"/>
      <c r="I740" s="246"/>
      <c r="J740" s="246"/>
      <c r="K740" s="246"/>
    </row>
    <row r="741">
      <c r="F741" s="247"/>
      <c r="I741" s="246"/>
      <c r="J741" s="246"/>
      <c r="K741" s="246"/>
    </row>
    <row r="742">
      <c r="F742" s="247"/>
      <c r="I742" s="246"/>
      <c r="J742" s="246"/>
      <c r="K742" s="246"/>
    </row>
    <row r="743">
      <c r="F743" s="247"/>
      <c r="I743" s="246"/>
      <c r="J743" s="246"/>
      <c r="K743" s="246"/>
    </row>
    <row r="744">
      <c r="F744" s="247"/>
      <c r="I744" s="246"/>
      <c r="J744" s="246"/>
      <c r="K744" s="246"/>
    </row>
    <row r="745">
      <c r="F745" s="247"/>
      <c r="I745" s="246"/>
      <c r="J745" s="246"/>
      <c r="K745" s="246"/>
    </row>
    <row r="746">
      <c r="F746" s="247"/>
      <c r="I746" s="246"/>
      <c r="J746" s="246"/>
      <c r="K746" s="246"/>
    </row>
    <row r="747">
      <c r="F747" s="247"/>
      <c r="I747" s="246"/>
      <c r="J747" s="246"/>
      <c r="K747" s="246"/>
    </row>
    <row r="748">
      <c r="F748" s="247"/>
      <c r="I748" s="246"/>
      <c r="J748" s="246"/>
      <c r="K748" s="246"/>
    </row>
    <row r="749">
      <c r="F749" s="247"/>
      <c r="I749" s="246"/>
      <c r="J749" s="246"/>
      <c r="K749" s="246"/>
    </row>
    <row r="750">
      <c r="F750" s="247"/>
      <c r="I750" s="246"/>
      <c r="J750" s="246"/>
      <c r="K750" s="246"/>
    </row>
    <row r="751">
      <c r="F751" s="247"/>
      <c r="I751" s="246"/>
      <c r="J751" s="246"/>
      <c r="K751" s="246"/>
    </row>
    <row r="752">
      <c r="F752" s="247"/>
      <c r="I752" s="246"/>
      <c r="J752" s="246"/>
      <c r="K752" s="246"/>
    </row>
    <row r="753">
      <c r="F753" s="247"/>
      <c r="I753" s="246"/>
      <c r="J753" s="246"/>
      <c r="K753" s="246"/>
    </row>
    <row r="754">
      <c r="F754" s="247"/>
      <c r="I754" s="246"/>
      <c r="J754" s="246"/>
      <c r="K754" s="246"/>
    </row>
    <row r="755">
      <c r="F755" s="247"/>
      <c r="I755" s="246"/>
      <c r="J755" s="246"/>
      <c r="K755" s="246"/>
    </row>
    <row r="756">
      <c r="F756" s="247"/>
      <c r="I756" s="246"/>
      <c r="J756" s="246"/>
      <c r="K756" s="246"/>
    </row>
    <row r="757">
      <c r="F757" s="247"/>
      <c r="I757" s="246"/>
      <c r="J757" s="246"/>
      <c r="K757" s="246"/>
    </row>
  </sheetData>
  <mergeCells count="49">
    <mergeCell ref="A6:J6"/>
    <mergeCell ref="A7:O7"/>
    <mergeCell ref="A9:O9"/>
    <mergeCell ref="A10:K10"/>
    <mergeCell ref="A11:O11"/>
    <mergeCell ref="A23:O23"/>
    <mergeCell ref="A30:O30"/>
    <mergeCell ref="A53:O53"/>
    <mergeCell ref="A54:O54"/>
    <mergeCell ref="H56:I56"/>
    <mergeCell ref="H57:I57"/>
    <mergeCell ref="H58:I58"/>
    <mergeCell ref="H59:I59"/>
    <mergeCell ref="H60:I60"/>
    <mergeCell ref="H61:I61"/>
    <mergeCell ref="H62:I62"/>
    <mergeCell ref="H63:I63"/>
    <mergeCell ref="H64:I64"/>
    <mergeCell ref="H65:I65"/>
    <mergeCell ref="A66:O66"/>
    <mergeCell ref="A78:O78"/>
    <mergeCell ref="A92:O92"/>
    <mergeCell ref="A93:O93"/>
    <mergeCell ref="A100:J100"/>
    <mergeCell ref="A101:O101"/>
    <mergeCell ref="A104:O104"/>
    <mergeCell ref="H105:I105"/>
    <mergeCell ref="H106:I106"/>
    <mergeCell ref="H107:I107"/>
    <mergeCell ref="H108:I108"/>
    <mergeCell ref="H109:I109"/>
    <mergeCell ref="H110:I110"/>
    <mergeCell ref="H111:I111"/>
    <mergeCell ref="H112:I112"/>
    <mergeCell ref="H113:I113"/>
    <mergeCell ref="A152:J152"/>
    <mergeCell ref="A153:O153"/>
    <mergeCell ref="A156:O156"/>
    <mergeCell ref="A157:J157"/>
    <mergeCell ref="A159:O159"/>
    <mergeCell ref="A160:O160"/>
    <mergeCell ref="A161:J161"/>
    <mergeCell ref="A114:O114"/>
    <mergeCell ref="A117:O117"/>
    <mergeCell ref="A118:O118"/>
    <mergeCell ref="A122:O122"/>
    <mergeCell ref="A124:O124"/>
    <mergeCell ref="A149:O149"/>
    <mergeCell ref="A151:O151"/>
  </mergeCells>
  <hyperlinks>
    <hyperlink r:id="rId1" ref="J56"/>
    <hyperlink r:id="rId2" ref="J57"/>
    <hyperlink r:id="rId3" ref="J58"/>
    <hyperlink r:id="rId4" ref="J59"/>
    <hyperlink r:id="rId5" ref="J60"/>
    <hyperlink r:id="rId6" ref="J61"/>
    <hyperlink r:id="rId7" ref="J62"/>
    <hyperlink r:id="rId8" ref="J63"/>
    <hyperlink r:id="rId9" ref="J64"/>
    <hyperlink r:id="rId10" ref="J65"/>
    <hyperlink r:id="rId11" ref="E94"/>
    <hyperlink r:id="rId12" ref="E95"/>
    <hyperlink r:id="rId13" ref="E96"/>
    <hyperlink r:id="rId14" ref="E97"/>
    <hyperlink r:id="rId15" ref="E98"/>
    <hyperlink r:id="rId16" ref="E99"/>
  </hyperlinks>
  <printOptions gridLines="1" horizontalCentered="1"/>
  <pageMargins bottom="0.75" footer="0.0" header="0.0" left="0.25" right="0.25" top="0.75"/>
  <pageSetup fitToHeight="0" paperSize="9" cellComments="atEnd" orientation="landscape" pageOrder="overThenDown"/>
  <drawing r:id="rId17"/>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29.63"/>
    <col customWidth="1" min="3" max="3" width="24.5"/>
    <col customWidth="1" min="4" max="4" width="64.0"/>
    <col customWidth="1" min="5" max="5" width="22.0"/>
    <col customWidth="1" min="11" max="11" width="30.0"/>
    <col customWidth="1" min="12" max="12" width="32.25"/>
  </cols>
  <sheetData>
    <row r="1">
      <c r="A1" s="248" t="s">
        <v>0</v>
      </c>
      <c r="B1" s="249" t="s">
        <v>1</v>
      </c>
      <c r="C1" s="249" t="s">
        <v>2</v>
      </c>
      <c r="D1" s="249" t="s">
        <v>366</v>
      </c>
      <c r="E1" s="250" t="s">
        <v>367</v>
      </c>
      <c r="F1" s="249" t="s">
        <v>5</v>
      </c>
      <c r="G1" s="251" t="s">
        <v>6</v>
      </c>
      <c r="H1" s="251" t="s">
        <v>7</v>
      </c>
      <c r="I1" s="249" t="s">
        <v>8</v>
      </c>
      <c r="J1" s="249" t="s">
        <v>9</v>
      </c>
      <c r="K1" s="249" t="s">
        <v>10</v>
      </c>
      <c r="L1" s="249" t="s">
        <v>11</v>
      </c>
    </row>
    <row r="2">
      <c r="A2" s="252" t="s">
        <v>368</v>
      </c>
    </row>
    <row r="3">
      <c r="A3" s="253" t="s">
        <v>369</v>
      </c>
      <c r="B3" s="253"/>
      <c r="C3" s="253" t="s">
        <v>370</v>
      </c>
      <c r="D3" s="253" t="s">
        <v>371</v>
      </c>
      <c r="E3" s="254" t="s">
        <v>372</v>
      </c>
      <c r="F3" s="255"/>
      <c r="G3" s="256"/>
      <c r="H3" s="256"/>
      <c r="I3" s="257">
        <v>45931.0</v>
      </c>
      <c r="J3" s="258">
        <v>46022.0</v>
      </c>
      <c r="K3" s="255"/>
      <c r="L3" s="259" t="s">
        <v>373</v>
      </c>
    </row>
    <row r="4">
      <c r="A4" s="253" t="s">
        <v>374</v>
      </c>
      <c r="B4" s="260"/>
      <c r="C4" s="253" t="s">
        <v>375</v>
      </c>
      <c r="D4" s="253" t="s">
        <v>376</v>
      </c>
      <c r="E4" s="254" t="s">
        <v>377</v>
      </c>
      <c r="F4" s="255"/>
      <c r="G4" s="256"/>
      <c r="H4" s="256"/>
      <c r="I4" s="257">
        <v>45976.0</v>
      </c>
      <c r="J4" s="258">
        <v>46053.0</v>
      </c>
      <c r="K4" s="255"/>
      <c r="L4" s="259" t="s">
        <v>373</v>
      </c>
    </row>
    <row r="5">
      <c r="A5" s="253" t="s">
        <v>378</v>
      </c>
      <c r="B5" s="260"/>
      <c r="C5" s="260"/>
      <c r="D5" s="260"/>
      <c r="E5" s="254"/>
      <c r="F5" s="255"/>
      <c r="G5" s="256"/>
      <c r="H5" s="256"/>
      <c r="I5" s="261"/>
      <c r="J5" s="262"/>
      <c r="K5" s="255"/>
      <c r="L5" s="263"/>
    </row>
    <row r="6">
      <c r="A6" s="253"/>
      <c r="B6" s="260"/>
      <c r="C6" s="260"/>
      <c r="D6" s="260"/>
      <c r="E6" s="254"/>
      <c r="F6" s="255"/>
      <c r="G6" s="256"/>
      <c r="H6" s="256"/>
      <c r="I6" s="261"/>
      <c r="J6" s="262"/>
      <c r="K6" s="255"/>
      <c r="L6" s="263"/>
    </row>
    <row r="7">
      <c r="A7" s="252" t="s">
        <v>379</v>
      </c>
      <c r="M7" s="264"/>
      <c r="N7" s="264"/>
      <c r="O7" s="265"/>
      <c r="P7" s="265"/>
      <c r="Q7" s="265"/>
      <c r="R7" s="265"/>
      <c r="S7" s="265"/>
      <c r="T7" s="265"/>
      <c r="U7" s="265"/>
      <c r="V7" s="265"/>
      <c r="W7" s="265"/>
    </row>
    <row r="8">
      <c r="A8" s="253" t="s">
        <v>380</v>
      </c>
      <c r="B8" s="253">
        <v>1223350.0</v>
      </c>
      <c r="C8" s="253" t="s">
        <v>381</v>
      </c>
      <c r="D8" s="253" t="s">
        <v>382</v>
      </c>
      <c r="E8" s="254" t="s">
        <v>383</v>
      </c>
      <c r="F8" s="266">
        <v>1229693.0</v>
      </c>
      <c r="G8" s="256">
        <v>39.99</v>
      </c>
      <c r="H8" s="256">
        <v>0.0</v>
      </c>
      <c r="I8" s="257">
        <v>45961.0</v>
      </c>
      <c r="J8" s="258">
        <v>45992.0</v>
      </c>
      <c r="K8" s="267" t="s">
        <v>384</v>
      </c>
      <c r="L8" s="268"/>
    </row>
    <row r="9">
      <c r="A9" s="253" t="s">
        <v>380</v>
      </c>
      <c r="B9" s="253">
        <v>1223362.0</v>
      </c>
      <c r="C9" s="253" t="s">
        <v>381</v>
      </c>
      <c r="D9" s="253" t="s">
        <v>385</v>
      </c>
      <c r="E9" s="254" t="s">
        <v>383</v>
      </c>
      <c r="F9" s="27"/>
      <c r="G9" s="256">
        <v>39.99</v>
      </c>
      <c r="H9" s="256">
        <v>0.0</v>
      </c>
      <c r="I9" s="257">
        <v>45961.0</v>
      </c>
      <c r="J9" s="258">
        <v>45992.0</v>
      </c>
      <c r="K9" s="27"/>
      <c r="L9" s="27"/>
    </row>
    <row r="10">
      <c r="A10" s="253" t="s">
        <v>380</v>
      </c>
      <c r="B10" s="253">
        <v>1223364.0</v>
      </c>
      <c r="C10" s="253" t="s">
        <v>381</v>
      </c>
      <c r="D10" s="253" t="s">
        <v>386</v>
      </c>
      <c r="E10" s="254" t="s">
        <v>383</v>
      </c>
      <c r="F10" s="29"/>
      <c r="G10" s="256">
        <v>39.99</v>
      </c>
      <c r="H10" s="256">
        <v>0.0</v>
      </c>
      <c r="I10" s="257">
        <v>45961.0</v>
      </c>
      <c r="J10" s="258">
        <v>45992.0</v>
      </c>
      <c r="K10" s="29"/>
      <c r="L10" s="29"/>
    </row>
    <row r="11">
      <c r="A11" s="253" t="s">
        <v>387</v>
      </c>
      <c r="B11" s="253">
        <v>8010981.0</v>
      </c>
      <c r="C11" s="253" t="s">
        <v>388</v>
      </c>
      <c r="D11" s="253" t="s">
        <v>389</v>
      </c>
      <c r="E11" s="254" t="s">
        <v>383</v>
      </c>
      <c r="F11" s="269">
        <v>1230441.0</v>
      </c>
      <c r="G11" s="256">
        <v>19.99</v>
      </c>
      <c r="H11" s="256">
        <v>9.99</v>
      </c>
      <c r="I11" s="257">
        <v>45961.0</v>
      </c>
      <c r="J11" s="258">
        <v>45992.0</v>
      </c>
      <c r="K11" s="255"/>
      <c r="L11" s="270"/>
    </row>
    <row r="12">
      <c r="A12" s="253" t="s">
        <v>390</v>
      </c>
      <c r="B12" s="253">
        <v>1148006.0</v>
      </c>
      <c r="C12" s="253" t="s">
        <v>391</v>
      </c>
      <c r="D12" s="253" t="s">
        <v>392</v>
      </c>
      <c r="E12" s="254" t="s">
        <v>276</v>
      </c>
      <c r="F12" s="271"/>
      <c r="G12" s="256">
        <v>119.0</v>
      </c>
      <c r="H12" s="256">
        <v>79.99</v>
      </c>
      <c r="I12" s="257">
        <v>45938.0</v>
      </c>
      <c r="J12" s="258">
        <v>46022.0</v>
      </c>
      <c r="K12" s="272" t="s">
        <v>393</v>
      </c>
      <c r="L12" s="273"/>
    </row>
    <row r="13">
      <c r="A13" s="253" t="s">
        <v>390</v>
      </c>
      <c r="B13" s="253">
        <v>1197531.0</v>
      </c>
      <c r="C13" s="253" t="s">
        <v>391</v>
      </c>
      <c r="D13" s="253" t="s">
        <v>394</v>
      </c>
      <c r="E13" s="254" t="s">
        <v>276</v>
      </c>
      <c r="F13" s="271"/>
      <c r="G13" s="256">
        <v>119.0</v>
      </c>
      <c r="H13" s="256">
        <v>79.99</v>
      </c>
      <c r="I13" s="257">
        <v>45938.0</v>
      </c>
      <c r="J13" s="258">
        <v>46022.0</v>
      </c>
      <c r="K13" s="27"/>
      <c r="L13" s="27"/>
    </row>
    <row r="14">
      <c r="A14" s="253" t="s">
        <v>390</v>
      </c>
      <c r="B14" s="253">
        <v>1148061.0</v>
      </c>
      <c r="C14" s="253" t="s">
        <v>391</v>
      </c>
      <c r="D14" s="253" t="s">
        <v>395</v>
      </c>
      <c r="E14" s="254" t="s">
        <v>276</v>
      </c>
      <c r="F14" s="271"/>
      <c r="G14" s="256">
        <v>119.0</v>
      </c>
      <c r="H14" s="256">
        <v>79.99</v>
      </c>
      <c r="I14" s="257">
        <v>45938.0</v>
      </c>
      <c r="J14" s="258">
        <v>46022.0</v>
      </c>
      <c r="K14" s="27"/>
      <c r="L14" s="27"/>
    </row>
    <row r="15">
      <c r="A15" s="253" t="s">
        <v>390</v>
      </c>
      <c r="B15" s="253">
        <v>1148049.0</v>
      </c>
      <c r="C15" s="253" t="s">
        <v>391</v>
      </c>
      <c r="D15" s="253" t="s">
        <v>396</v>
      </c>
      <c r="E15" s="254" t="s">
        <v>276</v>
      </c>
      <c r="F15" s="271"/>
      <c r="G15" s="256">
        <v>119.0</v>
      </c>
      <c r="H15" s="256">
        <v>79.99</v>
      </c>
      <c r="I15" s="257">
        <v>45938.0</v>
      </c>
      <c r="J15" s="258">
        <v>46022.0</v>
      </c>
      <c r="K15" s="27"/>
      <c r="L15" s="27"/>
    </row>
    <row r="16">
      <c r="A16" s="253" t="s">
        <v>390</v>
      </c>
      <c r="B16" s="274">
        <v>1148025.0</v>
      </c>
      <c r="C16" s="253" t="s">
        <v>391</v>
      </c>
      <c r="D16" s="274" t="s">
        <v>397</v>
      </c>
      <c r="E16" s="254" t="s">
        <v>276</v>
      </c>
      <c r="F16" s="275"/>
      <c r="G16" s="256">
        <v>119.0</v>
      </c>
      <c r="H16" s="256">
        <v>79.99</v>
      </c>
      <c r="I16" s="257">
        <v>45938.0</v>
      </c>
      <c r="J16" s="258">
        <v>46022.0</v>
      </c>
      <c r="K16" s="27"/>
      <c r="L16" s="27"/>
    </row>
    <row r="17">
      <c r="A17" s="253" t="s">
        <v>390</v>
      </c>
      <c r="B17" s="274">
        <v>1148034.0</v>
      </c>
      <c r="C17" s="253" t="s">
        <v>391</v>
      </c>
      <c r="D17" s="274" t="s">
        <v>398</v>
      </c>
      <c r="E17" s="254" t="s">
        <v>276</v>
      </c>
      <c r="F17" s="275"/>
      <c r="G17" s="256">
        <v>119.0</v>
      </c>
      <c r="H17" s="256">
        <v>79.99</v>
      </c>
      <c r="I17" s="257">
        <v>45938.0</v>
      </c>
      <c r="J17" s="258">
        <v>46022.0</v>
      </c>
      <c r="K17" s="27"/>
      <c r="L17" s="27"/>
    </row>
    <row r="18">
      <c r="A18" s="253" t="s">
        <v>399</v>
      </c>
      <c r="B18" s="253">
        <v>1197773.0</v>
      </c>
      <c r="C18" s="253" t="s">
        <v>391</v>
      </c>
      <c r="D18" s="253" t="s">
        <v>400</v>
      </c>
      <c r="E18" s="254" t="s">
        <v>276</v>
      </c>
      <c r="F18" s="276"/>
      <c r="G18" s="256">
        <v>99.0</v>
      </c>
      <c r="H18" s="256">
        <v>79.99</v>
      </c>
      <c r="I18" s="257">
        <v>45938.0</v>
      </c>
      <c r="J18" s="258">
        <v>46022.0</v>
      </c>
      <c r="K18" s="27"/>
      <c r="L18" s="27"/>
    </row>
    <row r="19">
      <c r="A19" s="253" t="s">
        <v>399</v>
      </c>
      <c r="B19" s="253">
        <v>1197772.0</v>
      </c>
      <c r="C19" s="253" t="s">
        <v>391</v>
      </c>
      <c r="D19" s="253" t="s">
        <v>401</v>
      </c>
      <c r="E19" s="254" t="s">
        <v>276</v>
      </c>
      <c r="F19" s="276"/>
      <c r="G19" s="256">
        <v>99.0</v>
      </c>
      <c r="H19" s="256">
        <v>79.99</v>
      </c>
      <c r="I19" s="257">
        <v>45938.0</v>
      </c>
      <c r="J19" s="258">
        <v>46022.0</v>
      </c>
      <c r="K19" s="27"/>
      <c r="L19" s="27"/>
    </row>
    <row r="20">
      <c r="A20" s="253" t="s">
        <v>399</v>
      </c>
      <c r="B20" s="253">
        <v>1197689.0</v>
      </c>
      <c r="C20" s="253" t="s">
        <v>391</v>
      </c>
      <c r="D20" s="253" t="s">
        <v>402</v>
      </c>
      <c r="E20" s="254" t="s">
        <v>276</v>
      </c>
      <c r="F20" s="276"/>
      <c r="G20" s="256">
        <v>99.0</v>
      </c>
      <c r="H20" s="256">
        <v>79.99</v>
      </c>
      <c r="I20" s="257">
        <v>45938.0</v>
      </c>
      <c r="J20" s="258">
        <v>46022.0</v>
      </c>
      <c r="K20" s="27"/>
      <c r="L20" s="27"/>
    </row>
    <row r="21">
      <c r="A21" s="253" t="s">
        <v>399</v>
      </c>
      <c r="B21" s="253">
        <v>1197771.0</v>
      </c>
      <c r="C21" s="253" t="s">
        <v>391</v>
      </c>
      <c r="D21" s="253" t="s">
        <v>403</v>
      </c>
      <c r="E21" s="254" t="s">
        <v>276</v>
      </c>
      <c r="F21" s="276"/>
      <c r="G21" s="256">
        <v>99.0</v>
      </c>
      <c r="H21" s="256">
        <v>79.99</v>
      </c>
      <c r="I21" s="257">
        <v>45938.0</v>
      </c>
      <c r="J21" s="258">
        <v>46022.0</v>
      </c>
      <c r="K21" s="29"/>
      <c r="L21" s="29"/>
    </row>
    <row r="22">
      <c r="A22" s="253" t="s">
        <v>404</v>
      </c>
      <c r="B22" s="253">
        <v>1223412.0</v>
      </c>
      <c r="C22" s="253" t="s">
        <v>388</v>
      </c>
      <c r="D22" s="253" t="s">
        <v>405</v>
      </c>
      <c r="E22" s="254" t="s">
        <v>406</v>
      </c>
      <c r="F22" s="269">
        <v>1231811.0</v>
      </c>
      <c r="G22" s="256">
        <v>39.99</v>
      </c>
      <c r="H22" s="256">
        <v>0.0</v>
      </c>
      <c r="I22" s="257">
        <v>45967.0</v>
      </c>
      <c r="J22" s="258">
        <v>45991.0</v>
      </c>
      <c r="K22" s="277" t="s">
        <v>407</v>
      </c>
      <c r="L22" s="263"/>
    </row>
    <row r="23">
      <c r="A23" s="260"/>
      <c r="B23" s="260"/>
      <c r="C23" s="260"/>
      <c r="D23" s="260"/>
      <c r="E23" s="254"/>
      <c r="F23" s="278"/>
      <c r="G23" s="279"/>
      <c r="H23" s="279"/>
      <c r="I23" s="257"/>
      <c r="J23" s="258"/>
      <c r="K23" s="254"/>
      <c r="L23" s="263"/>
    </row>
    <row r="24">
      <c r="A24" s="260"/>
      <c r="B24" s="260"/>
      <c r="C24" s="260"/>
      <c r="D24" s="260"/>
      <c r="E24" s="254"/>
      <c r="F24" s="278"/>
      <c r="G24" s="279"/>
      <c r="H24" s="279"/>
      <c r="I24" s="257"/>
      <c r="J24" s="258"/>
      <c r="K24" s="254"/>
      <c r="L24" s="263"/>
    </row>
    <row r="25">
      <c r="A25" s="260"/>
      <c r="B25" s="260"/>
      <c r="C25" s="260"/>
      <c r="D25" s="260"/>
      <c r="E25" s="254"/>
      <c r="F25" s="278"/>
      <c r="G25" s="279"/>
      <c r="H25" s="279"/>
      <c r="I25" s="257"/>
      <c r="J25" s="258"/>
      <c r="K25" s="254"/>
      <c r="L25" s="263"/>
    </row>
    <row r="26">
      <c r="A26" s="260"/>
      <c r="B26" s="260"/>
      <c r="C26" s="260"/>
      <c r="D26" s="260"/>
      <c r="E26" s="254"/>
      <c r="F26" s="278"/>
      <c r="G26" s="279"/>
      <c r="H26" s="279"/>
      <c r="I26" s="257"/>
      <c r="J26" s="258"/>
      <c r="K26" s="254"/>
      <c r="L26" s="263"/>
    </row>
    <row r="27">
      <c r="A27" s="260"/>
      <c r="B27" s="260"/>
      <c r="C27" s="260"/>
      <c r="D27" s="260"/>
      <c r="E27" s="254"/>
      <c r="F27" s="278"/>
      <c r="G27" s="279"/>
      <c r="H27" s="279"/>
      <c r="I27" s="257"/>
      <c r="J27" s="258"/>
      <c r="K27" s="254"/>
      <c r="L27" s="263"/>
    </row>
    <row r="28">
      <c r="A28" s="260"/>
      <c r="B28" s="260"/>
      <c r="C28" s="260"/>
      <c r="D28" s="260"/>
      <c r="E28" s="254"/>
      <c r="F28" s="278"/>
      <c r="G28" s="279"/>
      <c r="H28" s="279"/>
      <c r="I28" s="257"/>
      <c r="J28" s="258"/>
      <c r="K28" s="254"/>
      <c r="L28" s="263"/>
    </row>
    <row r="29">
      <c r="A29" s="260"/>
      <c r="B29" s="260"/>
      <c r="C29" s="260"/>
      <c r="D29" s="260"/>
      <c r="E29" s="254"/>
      <c r="F29" s="278"/>
      <c r="G29" s="279"/>
      <c r="H29" s="279"/>
      <c r="I29" s="257"/>
      <c r="J29" s="258"/>
      <c r="K29" s="254"/>
      <c r="L29" s="263"/>
    </row>
    <row r="30">
      <c r="A30" s="260"/>
      <c r="B30" s="260"/>
      <c r="C30" s="260"/>
      <c r="D30" s="260"/>
      <c r="E30" s="254"/>
      <c r="F30" s="278"/>
      <c r="G30" s="279"/>
      <c r="H30" s="279"/>
      <c r="I30" s="257"/>
      <c r="J30" s="258"/>
      <c r="K30" s="254"/>
      <c r="L30" s="263"/>
    </row>
    <row r="31">
      <c r="A31" s="260"/>
      <c r="B31" s="260"/>
      <c r="C31" s="260"/>
      <c r="D31" s="260"/>
      <c r="E31" s="254"/>
      <c r="F31" s="278"/>
      <c r="G31" s="279"/>
      <c r="H31" s="279"/>
      <c r="I31" s="257"/>
      <c r="J31" s="258"/>
      <c r="K31" s="254"/>
      <c r="L31" s="263"/>
    </row>
    <row r="32">
      <c r="A32" s="260"/>
      <c r="B32" s="260"/>
      <c r="C32" s="260"/>
      <c r="D32" s="260"/>
      <c r="E32" s="254"/>
      <c r="F32" s="278"/>
      <c r="G32" s="279"/>
      <c r="H32" s="279"/>
      <c r="I32" s="257"/>
      <c r="J32" s="258"/>
      <c r="K32" s="254"/>
      <c r="L32" s="263"/>
    </row>
    <row r="33">
      <c r="A33" s="260"/>
      <c r="B33" s="260"/>
      <c r="C33" s="260"/>
      <c r="D33" s="260"/>
      <c r="E33" s="254"/>
      <c r="F33" s="278"/>
      <c r="G33" s="279"/>
      <c r="H33" s="279"/>
      <c r="I33" s="257"/>
      <c r="J33" s="258"/>
      <c r="K33" s="254"/>
      <c r="L33" s="263"/>
    </row>
    <row r="34">
      <c r="A34" s="260"/>
      <c r="B34" s="260"/>
      <c r="C34" s="260"/>
      <c r="D34" s="260"/>
      <c r="E34" s="254"/>
      <c r="F34" s="278"/>
      <c r="G34" s="279"/>
      <c r="H34" s="279"/>
      <c r="I34" s="257"/>
      <c r="J34" s="258"/>
      <c r="K34" s="254"/>
      <c r="L34" s="263"/>
    </row>
    <row r="35">
      <c r="A35" s="260"/>
      <c r="B35" s="260"/>
      <c r="C35" s="260"/>
      <c r="D35" s="260"/>
      <c r="E35" s="254"/>
      <c r="F35" s="278"/>
      <c r="G35" s="279"/>
      <c r="H35" s="279"/>
      <c r="I35" s="257"/>
      <c r="J35" s="258"/>
      <c r="K35" s="254"/>
      <c r="L35" s="263"/>
    </row>
    <row r="36">
      <c r="A36" s="260"/>
      <c r="B36" s="260"/>
      <c r="C36" s="260"/>
      <c r="D36" s="260"/>
      <c r="E36" s="254"/>
      <c r="F36" s="278"/>
      <c r="G36" s="279"/>
      <c r="H36" s="279"/>
      <c r="I36" s="257"/>
      <c r="J36" s="258"/>
      <c r="K36" s="254"/>
      <c r="L36" s="263"/>
    </row>
    <row r="37">
      <c r="A37" s="260"/>
      <c r="B37" s="260"/>
      <c r="C37" s="260"/>
      <c r="D37" s="260"/>
      <c r="E37" s="254"/>
      <c r="F37" s="278"/>
      <c r="G37" s="279"/>
      <c r="H37" s="279"/>
      <c r="I37" s="257"/>
      <c r="J37" s="258"/>
      <c r="K37" s="254"/>
      <c r="L37" s="263"/>
    </row>
    <row r="38">
      <c r="A38" s="260"/>
      <c r="B38" s="260"/>
      <c r="C38" s="260"/>
      <c r="D38" s="260"/>
      <c r="E38" s="254"/>
      <c r="F38" s="278"/>
      <c r="G38" s="279"/>
      <c r="H38" s="279"/>
      <c r="I38" s="257"/>
      <c r="J38" s="258"/>
      <c r="K38" s="254"/>
      <c r="L38" s="263"/>
    </row>
    <row r="39">
      <c r="A39" s="260"/>
      <c r="B39" s="260"/>
      <c r="C39" s="260"/>
      <c r="D39" s="260"/>
      <c r="E39" s="254"/>
      <c r="F39" s="278"/>
      <c r="G39" s="279"/>
      <c r="H39" s="279"/>
      <c r="I39" s="257"/>
      <c r="J39" s="258"/>
      <c r="K39" s="254"/>
      <c r="L39" s="263"/>
    </row>
    <row r="40">
      <c r="A40" s="274"/>
      <c r="B40" s="274"/>
      <c r="C40" s="274"/>
      <c r="D40" s="274"/>
      <c r="E40" s="254"/>
      <c r="F40" s="278"/>
      <c r="G40" s="279"/>
      <c r="H40" s="279"/>
      <c r="I40" s="257"/>
      <c r="J40" s="258"/>
      <c r="K40" s="254"/>
      <c r="L40" s="270"/>
    </row>
    <row r="41">
      <c r="A41" s="274"/>
      <c r="B41" s="274"/>
      <c r="C41" s="274"/>
      <c r="D41" s="274"/>
      <c r="E41" s="254"/>
      <c r="F41" s="36"/>
      <c r="G41" s="256"/>
      <c r="H41" s="256"/>
      <c r="I41" s="257"/>
      <c r="J41" s="258"/>
      <c r="K41" s="254"/>
      <c r="L41" s="273"/>
    </row>
    <row r="42">
      <c r="A42" s="274"/>
      <c r="B42" s="274"/>
      <c r="C42" s="274"/>
      <c r="D42" s="274"/>
      <c r="E42" s="254"/>
      <c r="F42" s="27"/>
      <c r="G42" s="256"/>
      <c r="H42" s="256"/>
      <c r="I42" s="257"/>
      <c r="J42" s="258"/>
      <c r="K42" s="254"/>
      <c r="L42" s="27"/>
    </row>
    <row r="43">
      <c r="A43" s="274"/>
      <c r="B43" s="274"/>
      <c r="C43" s="274"/>
      <c r="D43" s="274"/>
      <c r="E43" s="254"/>
      <c r="F43" s="29"/>
      <c r="G43" s="256"/>
      <c r="H43" s="256"/>
      <c r="I43" s="257"/>
      <c r="J43" s="258"/>
      <c r="K43" s="254"/>
      <c r="L43" s="29"/>
    </row>
    <row r="44">
      <c r="A44" s="274"/>
      <c r="B44" s="274"/>
      <c r="C44" s="274"/>
      <c r="D44" s="274"/>
      <c r="E44" s="254"/>
      <c r="F44" s="278"/>
      <c r="G44" s="274"/>
      <c r="H44" s="274"/>
      <c r="I44" s="257"/>
      <c r="J44" s="258"/>
      <c r="K44" s="254"/>
      <c r="L44" s="263"/>
    </row>
    <row r="45">
      <c r="A45" s="274"/>
      <c r="B45" s="274"/>
      <c r="C45" s="274"/>
      <c r="D45" s="274"/>
      <c r="E45" s="254"/>
      <c r="F45" s="278"/>
      <c r="G45" s="274"/>
      <c r="H45" s="274"/>
      <c r="I45" s="257"/>
      <c r="J45" s="258"/>
      <c r="K45" s="254"/>
      <c r="L45" s="263"/>
    </row>
    <row r="46">
      <c r="A46" s="274"/>
      <c r="B46" s="274"/>
      <c r="C46" s="274"/>
      <c r="D46" s="274"/>
      <c r="E46" s="254"/>
      <c r="F46" s="278"/>
      <c r="G46" s="274"/>
      <c r="H46" s="274"/>
      <c r="I46" s="257"/>
      <c r="J46" s="258"/>
      <c r="K46" s="254"/>
      <c r="L46" s="263"/>
    </row>
    <row r="47">
      <c r="A47" s="274"/>
      <c r="B47" s="274"/>
      <c r="C47" s="274"/>
      <c r="D47" s="274"/>
      <c r="E47" s="254"/>
      <c r="F47" s="278"/>
      <c r="G47" s="274"/>
      <c r="H47" s="274"/>
      <c r="I47" s="257"/>
      <c r="J47" s="258"/>
      <c r="K47" s="254"/>
      <c r="L47" s="263"/>
    </row>
    <row r="48">
      <c r="A48" s="274"/>
      <c r="B48" s="274"/>
      <c r="C48" s="274"/>
      <c r="D48" s="274"/>
      <c r="E48" s="254"/>
      <c r="F48" s="278"/>
      <c r="G48" s="274"/>
      <c r="H48" s="274"/>
      <c r="I48" s="257"/>
      <c r="J48" s="258"/>
      <c r="K48" s="254"/>
      <c r="L48" s="263"/>
    </row>
    <row r="49">
      <c r="A49" s="274"/>
      <c r="B49" s="274"/>
      <c r="C49" s="274"/>
      <c r="D49" s="274"/>
      <c r="E49" s="254"/>
      <c r="F49" s="278"/>
      <c r="G49" s="274"/>
      <c r="H49" s="274"/>
      <c r="I49" s="257"/>
      <c r="J49" s="258"/>
      <c r="K49" s="254"/>
      <c r="L49" s="263"/>
    </row>
    <row r="50">
      <c r="A50" s="274"/>
      <c r="B50" s="274"/>
      <c r="C50" s="274"/>
      <c r="D50" s="274"/>
      <c r="E50" s="254"/>
      <c r="F50" s="278"/>
      <c r="G50" s="274"/>
      <c r="H50" s="274"/>
      <c r="I50" s="257"/>
      <c r="J50" s="258"/>
      <c r="K50" s="254"/>
      <c r="L50" s="263"/>
    </row>
    <row r="51">
      <c r="A51" s="274"/>
      <c r="B51" s="274"/>
      <c r="C51" s="274"/>
      <c r="D51" s="274"/>
      <c r="E51" s="254"/>
      <c r="F51" s="278"/>
      <c r="G51" s="274"/>
      <c r="H51" s="274"/>
      <c r="I51" s="257"/>
      <c r="J51" s="258"/>
      <c r="K51" s="254"/>
      <c r="L51" s="263"/>
    </row>
    <row r="52">
      <c r="A52" s="252"/>
    </row>
    <row r="53">
      <c r="A53" s="280"/>
      <c r="B53" s="280"/>
      <c r="C53" s="280"/>
      <c r="D53" s="280"/>
      <c r="E53" s="280"/>
      <c r="F53" s="281"/>
      <c r="G53" s="282"/>
      <c r="H53" s="282"/>
      <c r="I53" s="261"/>
      <c r="J53" s="262"/>
      <c r="K53" s="283"/>
      <c r="L53" s="263"/>
    </row>
    <row r="54">
      <c r="A54" s="280"/>
      <c r="B54" s="280"/>
      <c r="C54" s="280"/>
      <c r="D54" s="280"/>
      <c r="E54" s="280"/>
      <c r="F54" s="281"/>
      <c r="G54" s="282"/>
      <c r="H54" s="282"/>
      <c r="I54" s="261"/>
      <c r="J54" s="262"/>
      <c r="K54" s="283"/>
      <c r="L54" s="284"/>
    </row>
    <row r="55">
      <c r="A55" s="280"/>
      <c r="B55" s="280"/>
      <c r="C55" s="280"/>
      <c r="D55" s="280"/>
      <c r="E55" s="280"/>
      <c r="F55" s="281"/>
      <c r="G55" s="282"/>
      <c r="H55" s="282"/>
      <c r="I55" s="261"/>
      <c r="J55" s="262"/>
      <c r="K55" s="283"/>
      <c r="L55" s="212"/>
    </row>
    <row r="56">
      <c r="A56" s="280"/>
      <c r="B56" s="280"/>
      <c r="C56" s="280"/>
      <c r="D56" s="280"/>
      <c r="E56" s="280"/>
      <c r="F56" s="281"/>
      <c r="G56" s="282"/>
      <c r="H56" s="282"/>
      <c r="I56" s="261"/>
      <c r="J56" s="262"/>
      <c r="K56" s="283"/>
      <c r="L56" s="212"/>
    </row>
    <row r="57">
      <c r="A57" s="280"/>
      <c r="B57" s="280"/>
      <c r="C57" s="280"/>
      <c r="D57" s="280"/>
      <c r="E57" s="280"/>
      <c r="F57" s="281"/>
      <c r="G57" s="285"/>
      <c r="H57" s="285"/>
      <c r="I57" s="261"/>
      <c r="J57" s="262"/>
      <c r="K57" s="283"/>
      <c r="L57" s="212"/>
    </row>
    <row r="58">
      <c r="A58" s="255"/>
      <c r="B58" s="255"/>
      <c r="C58" s="255"/>
      <c r="D58" s="255"/>
      <c r="E58" s="280"/>
      <c r="F58" s="278"/>
      <c r="G58" s="286"/>
      <c r="H58" s="286"/>
      <c r="I58" s="261"/>
      <c r="J58" s="262"/>
      <c r="K58" s="287"/>
      <c r="L58" s="212"/>
    </row>
    <row r="59">
      <c r="A59" s="255"/>
      <c r="B59" s="255"/>
      <c r="C59" s="255"/>
      <c r="D59" s="255"/>
      <c r="E59" s="280"/>
      <c r="F59" s="278"/>
      <c r="G59" s="286"/>
      <c r="H59" s="286"/>
      <c r="I59" s="261"/>
      <c r="J59" s="262"/>
      <c r="K59" s="287"/>
      <c r="L59" s="212"/>
    </row>
    <row r="60">
      <c r="A60" s="255"/>
      <c r="B60" s="255"/>
      <c r="C60" s="255"/>
      <c r="D60" s="255"/>
      <c r="E60" s="280"/>
      <c r="F60" s="278"/>
      <c r="G60" s="286"/>
      <c r="H60" s="286"/>
      <c r="I60" s="261"/>
      <c r="J60" s="262"/>
      <c r="K60" s="287"/>
      <c r="L60" s="212"/>
    </row>
    <row r="61">
      <c r="A61" s="255"/>
      <c r="B61" s="255"/>
      <c r="C61" s="255"/>
      <c r="D61" s="255"/>
      <c r="E61" s="280"/>
      <c r="F61" s="278"/>
      <c r="G61" s="286"/>
      <c r="H61" s="286"/>
      <c r="I61" s="261"/>
      <c r="J61" s="262"/>
      <c r="K61" s="287"/>
      <c r="L61" s="212"/>
    </row>
    <row r="62">
      <c r="A62" s="255"/>
      <c r="B62" s="255"/>
      <c r="C62" s="255"/>
      <c r="D62" s="255"/>
      <c r="E62" s="280"/>
      <c r="F62" s="278"/>
      <c r="G62" s="286"/>
      <c r="H62" s="286"/>
      <c r="I62" s="261"/>
      <c r="J62" s="262"/>
      <c r="K62" s="287"/>
      <c r="L62" s="212"/>
    </row>
    <row r="63">
      <c r="A63" s="255"/>
      <c r="B63" s="255"/>
      <c r="C63" s="255"/>
      <c r="D63" s="255"/>
      <c r="E63" s="280"/>
      <c r="F63" s="278"/>
      <c r="G63" s="286"/>
      <c r="H63" s="286"/>
      <c r="I63" s="261"/>
      <c r="J63" s="262"/>
      <c r="K63" s="287"/>
      <c r="L63" s="212"/>
    </row>
    <row r="64">
      <c r="A64" s="255"/>
      <c r="B64" s="255"/>
      <c r="C64" s="255"/>
      <c r="D64" s="255"/>
      <c r="E64" s="280"/>
      <c r="F64" s="278"/>
      <c r="G64" s="286"/>
      <c r="H64" s="286"/>
      <c r="I64" s="261"/>
      <c r="J64" s="262"/>
      <c r="K64" s="287"/>
      <c r="L64" s="212"/>
    </row>
    <row r="65">
      <c r="A65" s="288"/>
    </row>
    <row r="66">
      <c r="A66" s="289"/>
      <c r="B66" s="290"/>
      <c r="C66" s="289"/>
      <c r="D66" s="291"/>
      <c r="E66" s="281"/>
      <c r="F66" s="289"/>
      <c r="G66" s="292"/>
      <c r="H66" s="293"/>
      <c r="I66" s="294"/>
      <c r="J66" s="295"/>
      <c r="K66" s="291"/>
      <c r="L66" s="296"/>
    </row>
    <row r="67">
      <c r="A67" s="289"/>
      <c r="B67" s="290"/>
      <c r="C67" s="289"/>
      <c r="D67" s="291"/>
      <c r="E67" s="297"/>
      <c r="F67" s="298"/>
      <c r="G67" s="292"/>
      <c r="H67" s="27"/>
      <c r="I67" s="257"/>
      <c r="J67" s="295"/>
      <c r="K67" s="291"/>
      <c r="L67" s="27"/>
    </row>
    <row r="68">
      <c r="A68" s="289"/>
      <c r="B68" s="290"/>
      <c r="C68" s="289"/>
      <c r="D68" s="291"/>
      <c r="E68" s="297"/>
      <c r="F68" s="27"/>
      <c r="G68" s="292"/>
      <c r="H68" s="27"/>
      <c r="I68" s="257"/>
      <c r="J68" s="295"/>
      <c r="K68" s="291"/>
      <c r="L68" s="27"/>
    </row>
    <row r="69">
      <c r="A69" s="289"/>
      <c r="B69" s="290"/>
      <c r="C69" s="289"/>
      <c r="D69" s="291"/>
      <c r="E69" s="297"/>
      <c r="F69" s="29"/>
      <c r="G69" s="292"/>
      <c r="H69" s="27"/>
      <c r="I69" s="257"/>
      <c r="J69" s="295"/>
      <c r="K69" s="291"/>
      <c r="L69" s="27"/>
    </row>
    <row r="70">
      <c r="A70" s="289"/>
      <c r="B70" s="290"/>
      <c r="C70" s="289"/>
      <c r="D70" s="291"/>
      <c r="E70" s="297"/>
      <c r="F70" s="298"/>
      <c r="G70" s="292"/>
      <c r="H70" s="27"/>
      <c r="I70" s="257"/>
      <c r="J70" s="295"/>
      <c r="K70" s="291"/>
      <c r="L70" s="27"/>
    </row>
    <row r="71">
      <c r="A71" s="289"/>
      <c r="B71" s="290"/>
      <c r="C71" s="289"/>
      <c r="D71" s="291"/>
      <c r="E71" s="297"/>
      <c r="F71" s="27"/>
      <c r="G71" s="292"/>
      <c r="H71" s="27"/>
      <c r="I71" s="257"/>
      <c r="J71" s="295"/>
      <c r="K71" s="291"/>
      <c r="L71" s="27"/>
    </row>
    <row r="72">
      <c r="A72" s="289"/>
      <c r="B72" s="290"/>
      <c r="C72" s="289"/>
      <c r="D72" s="291"/>
      <c r="E72" s="297"/>
      <c r="F72" s="27"/>
      <c r="G72" s="292"/>
      <c r="H72" s="27"/>
      <c r="I72" s="257"/>
      <c r="J72" s="295"/>
      <c r="K72" s="291"/>
      <c r="L72" s="27"/>
    </row>
    <row r="73">
      <c r="A73" s="289"/>
      <c r="B73" s="290"/>
      <c r="C73" s="289"/>
      <c r="D73" s="291"/>
      <c r="E73" s="297"/>
      <c r="F73" s="27"/>
      <c r="G73" s="292"/>
      <c r="H73" s="27"/>
      <c r="I73" s="257"/>
      <c r="J73" s="295"/>
      <c r="K73" s="291"/>
      <c r="L73" s="27"/>
    </row>
    <row r="74">
      <c r="A74" s="289"/>
      <c r="B74" s="290"/>
      <c r="C74" s="289"/>
      <c r="D74" s="291"/>
      <c r="E74" s="297"/>
      <c r="F74" s="27"/>
      <c r="G74" s="292"/>
      <c r="H74" s="27"/>
      <c r="I74" s="257"/>
      <c r="J74" s="295"/>
      <c r="K74" s="291"/>
      <c r="L74" s="27"/>
    </row>
    <row r="75">
      <c r="A75" s="289"/>
      <c r="B75" s="290"/>
      <c r="C75" s="289"/>
      <c r="D75" s="291"/>
      <c r="E75" s="297"/>
      <c r="F75" s="27"/>
      <c r="G75" s="292"/>
      <c r="H75" s="27"/>
      <c r="I75" s="257"/>
      <c r="J75" s="295"/>
      <c r="K75" s="291"/>
      <c r="L75" s="27"/>
    </row>
    <row r="76">
      <c r="A76" s="289"/>
      <c r="B76" s="290"/>
      <c r="C76" s="289"/>
      <c r="D76" s="291"/>
      <c r="E76" s="297"/>
      <c r="F76" s="27"/>
      <c r="G76" s="292"/>
      <c r="H76" s="27"/>
      <c r="I76" s="257"/>
      <c r="J76" s="295"/>
      <c r="K76" s="291"/>
      <c r="L76" s="27"/>
    </row>
    <row r="77">
      <c r="A77" s="289"/>
      <c r="B77" s="290"/>
      <c r="C77" s="289"/>
      <c r="D77" s="291"/>
      <c r="E77" s="297"/>
      <c r="F77" s="27"/>
      <c r="G77" s="292"/>
      <c r="H77" s="27"/>
      <c r="I77" s="257"/>
      <c r="J77" s="295"/>
      <c r="K77" s="291"/>
      <c r="L77" s="27"/>
    </row>
    <row r="78">
      <c r="A78" s="289"/>
      <c r="B78" s="290"/>
      <c r="C78" s="289"/>
      <c r="D78" s="291"/>
      <c r="E78" s="299"/>
      <c r="F78" s="29"/>
      <c r="G78" s="292"/>
      <c r="H78" s="29"/>
      <c r="I78" s="257"/>
      <c r="J78" s="295"/>
      <c r="K78" s="291"/>
      <c r="L78" s="29"/>
    </row>
    <row r="79">
      <c r="A79" s="288"/>
    </row>
    <row r="80">
      <c r="A80" s="289"/>
      <c r="B80" s="290"/>
      <c r="C80" s="289"/>
      <c r="D80" s="291"/>
      <c r="E80" s="300"/>
      <c r="F80" s="291"/>
      <c r="G80" s="301"/>
      <c r="H80" s="302"/>
      <c r="I80" s="257"/>
      <c r="J80" s="295"/>
      <c r="K80" s="291"/>
      <c r="L80" s="296"/>
    </row>
    <row r="81">
      <c r="A81" s="289"/>
      <c r="B81" s="290"/>
      <c r="C81" s="289"/>
      <c r="D81" s="291"/>
      <c r="E81" s="27"/>
      <c r="F81" s="291"/>
      <c r="G81" s="301"/>
      <c r="H81" s="27"/>
      <c r="I81" s="257"/>
      <c r="J81" s="295"/>
      <c r="K81" s="291"/>
      <c r="L81" s="27"/>
    </row>
    <row r="82">
      <c r="A82" s="289"/>
      <c r="B82" s="290"/>
      <c r="C82" s="289"/>
      <c r="D82" s="291"/>
      <c r="E82" s="27"/>
      <c r="F82" s="291"/>
      <c r="G82" s="301"/>
      <c r="H82" s="27"/>
      <c r="I82" s="257"/>
      <c r="J82" s="295"/>
      <c r="K82" s="291"/>
      <c r="L82" s="27"/>
    </row>
    <row r="83">
      <c r="A83" s="289"/>
      <c r="B83" s="290"/>
      <c r="C83" s="289"/>
      <c r="D83" s="291"/>
      <c r="E83" s="27"/>
      <c r="F83" s="291"/>
      <c r="G83" s="301"/>
      <c r="H83" s="27"/>
      <c r="I83" s="257"/>
      <c r="J83" s="295"/>
      <c r="K83" s="291"/>
      <c r="L83" s="27"/>
    </row>
    <row r="84">
      <c r="A84" s="289"/>
      <c r="B84" s="290"/>
      <c r="C84" s="289"/>
      <c r="D84" s="291"/>
      <c r="E84" s="27"/>
      <c r="F84" s="291"/>
      <c r="G84" s="301"/>
      <c r="H84" s="27"/>
      <c r="I84" s="257"/>
      <c r="J84" s="295"/>
      <c r="K84" s="291"/>
      <c r="L84" s="27"/>
    </row>
    <row r="85">
      <c r="A85" s="289"/>
      <c r="B85" s="290"/>
      <c r="C85" s="289"/>
      <c r="D85" s="291"/>
      <c r="E85" s="27"/>
      <c r="F85" s="291"/>
      <c r="G85" s="301"/>
      <c r="H85" s="27"/>
      <c r="I85" s="257"/>
      <c r="J85" s="295"/>
      <c r="K85" s="291"/>
      <c r="L85" s="27"/>
    </row>
    <row r="86">
      <c r="A86" s="289"/>
      <c r="B86" s="290"/>
      <c r="C86" s="289"/>
      <c r="D86" s="291"/>
      <c r="E86" s="27"/>
      <c r="F86" s="291"/>
      <c r="G86" s="301"/>
      <c r="H86" s="27"/>
      <c r="I86" s="257"/>
      <c r="J86" s="295"/>
      <c r="K86" s="291"/>
      <c r="L86" s="27"/>
    </row>
    <row r="87">
      <c r="A87" s="289"/>
      <c r="B87" s="290"/>
      <c r="C87" s="289"/>
      <c r="D87" s="291"/>
      <c r="E87" s="27"/>
      <c r="F87" s="291"/>
      <c r="G87" s="301"/>
      <c r="H87" s="27"/>
      <c r="I87" s="257"/>
      <c r="J87" s="295"/>
      <c r="K87" s="291"/>
      <c r="L87" s="27"/>
    </row>
    <row r="88">
      <c r="A88" s="289"/>
      <c r="B88" s="290"/>
      <c r="C88" s="289"/>
      <c r="D88" s="291"/>
      <c r="E88" s="27"/>
      <c r="F88" s="291"/>
      <c r="G88" s="301"/>
      <c r="H88" s="27"/>
      <c r="I88" s="257"/>
      <c r="J88" s="295"/>
      <c r="K88" s="291"/>
      <c r="L88" s="27"/>
    </row>
    <row r="89">
      <c r="A89" s="289"/>
      <c r="B89" s="290"/>
      <c r="C89" s="289"/>
      <c r="D89" s="291"/>
      <c r="E89" s="27"/>
      <c r="F89" s="291"/>
      <c r="G89" s="301"/>
      <c r="H89" s="27"/>
      <c r="I89" s="257"/>
      <c r="J89" s="295"/>
      <c r="K89" s="291"/>
      <c r="L89" s="27"/>
    </row>
    <row r="90">
      <c r="A90" s="289"/>
      <c r="B90" s="290"/>
      <c r="C90" s="289"/>
      <c r="D90" s="291"/>
      <c r="E90" s="27"/>
      <c r="F90" s="291"/>
      <c r="G90" s="301"/>
      <c r="H90" s="27"/>
      <c r="I90" s="257"/>
      <c r="J90" s="295"/>
      <c r="K90" s="291"/>
      <c r="L90" s="27"/>
    </row>
    <row r="91">
      <c r="A91" s="289"/>
      <c r="B91" s="290"/>
      <c r="C91" s="289"/>
      <c r="D91" s="291"/>
      <c r="E91" s="27"/>
      <c r="F91" s="291"/>
      <c r="G91" s="301"/>
      <c r="H91" s="27"/>
      <c r="I91" s="257"/>
      <c r="J91" s="295"/>
      <c r="K91" s="291"/>
      <c r="L91" s="27"/>
    </row>
    <row r="92">
      <c r="A92" s="289"/>
      <c r="B92" s="290"/>
      <c r="C92" s="289"/>
      <c r="D92" s="291"/>
      <c r="E92" s="27"/>
      <c r="F92" s="291"/>
      <c r="G92" s="301"/>
      <c r="H92" s="27"/>
      <c r="I92" s="257"/>
      <c r="J92" s="295"/>
      <c r="K92" s="291"/>
      <c r="L92" s="27"/>
    </row>
    <row r="93">
      <c r="A93" s="289"/>
      <c r="B93" s="290"/>
      <c r="C93" s="289"/>
      <c r="D93" s="291"/>
      <c r="E93" s="27"/>
      <c r="F93" s="291"/>
      <c r="G93" s="301"/>
      <c r="H93" s="27"/>
      <c r="I93" s="257"/>
      <c r="J93" s="295"/>
      <c r="K93" s="291"/>
      <c r="L93" s="27"/>
    </row>
    <row r="94">
      <c r="A94" s="289"/>
      <c r="B94" s="290"/>
      <c r="C94" s="289"/>
      <c r="D94" s="291"/>
      <c r="E94" s="29"/>
      <c r="F94" s="291"/>
      <c r="G94" s="301"/>
      <c r="H94" s="29"/>
      <c r="I94" s="257"/>
      <c r="J94" s="295"/>
      <c r="K94" s="291"/>
      <c r="L94" s="29"/>
    </row>
    <row r="95">
      <c r="A95" s="288"/>
    </row>
    <row r="96">
      <c r="A96" s="83"/>
      <c r="B96" s="303"/>
      <c r="C96" s="291"/>
      <c r="D96" s="291"/>
      <c r="E96" s="304"/>
      <c r="F96" s="93"/>
      <c r="G96" s="291"/>
      <c r="H96" s="305"/>
      <c r="I96" s="306"/>
      <c r="J96" s="307"/>
      <c r="K96" s="291"/>
      <c r="L96" s="308"/>
    </row>
    <row r="97">
      <c r="A97" s="288"/>
    </row>
    <row r="98">
      <c r="A98" s="289"/>
      <c r="B98" s="290"/>
      <c r="C98" s="289"/>
      <c r="D98" s="291"/>
      <c r="E98" s="300"/>
      <c r="F98" s="291"/>
      <c r="G98" s="301"/>
      <c r="H98" s="301"/>
      <c r="I98" s="257"/>
      <c r="J98" s="295"/>
      <c r="K98" s="291"/>
      <c r="L98" s="309"/>
    </row>
    <row r="99">
      <c r="A99" s="289"/>
      <c r="B99" s="290"/>
      <c r="C99" s="289"/>
      <c r="D99" s="291"/>
      <c r="E99" s="27"/>
      <c r="F99" s="291"/>
      <c r="G99" s="301"/>
      <c r="H99" s="301"/>
      <c r="I99" s="257"/>
      <c r="J99" s="295"/>
      <c r="K99" s="291"/>
      <c r="L99" s="27"/>
    </row>
    <row r="100">
      <c r="A100" s="289"/>
      <c r="B100" s="290"/>
      <c r="C100" s="289"/>
      <c r="D100" s="291"/>
      <c r="E100" s="27"/>
      <c r="F100" s="291"/>
      <c r="G100" s="301"/>
      <c r="H100" s="301"/>
      <c r="I100" s="257"/>
      <c r="J100" s="295"/>
      <c r="K100" s="291"/>
      <c r="L100" s="27"/>
    </row>
    <row r="101">
      <c r="A101" s="289"/>
      <c r="B101" s="290"/>
      <c r="C101" s="289"/>
      <c r="D101" s="291"/>
      <c r="E101" s="27"/>
      <c r="F101" s="291"/>
      <c r="G101" s="301"/>
      <c r="H101" s="301"/>
      <c r="I101" s="257"/>
      <c r="J101" s="295"/>
      <c r="K101" s="291"/>
      <c r="L101" s="27"/>
    </row>
    <row r="102">
      <c r="A102" s="289"/>
      <c r="B102" s="290"/>
      <c r="C102" s="289"/>
      <c r="D102" s="291"/>
      <c r="E102" s="27"/>
      <c r="F102" s="291"/>
      <c r="G102" s="301"/>
      <c r="H102" s="301"/>
      <c r="I102" s="257"/>
      <c r="J102" s="295"/>
      <c r="K102" s="291"/>
      <c r="L102" s="27"/>
    </row>
    <row r="103">
      <c r="A103" s="289"/>
      <c r="B103" s="290"/>
      <c r="C103" s="289"/>
      <c r="D103" s="291"/>
      <c r="E103" s="27"/>
      <c r="F103" s="291"/>
      <c r="G103" s="301"/>
      <c r="H103" s="301"/>
      <c r="I103" s="257"/>
      <c r="J103" s="295"/>
      <c r="K103" s="291"/>
      <c r="L103" s="27"/>
    </row>
    <row r="104">
      <c r="A104" s="289"/>
      <c r="B104" s="290"/>
      <c r="C104" s="289"/>
      <c r="D104" s="291"/>
      <c r="E104" s="27"/>
      <c r="F104" s="291"/>
      <c r="G104" s="301"/>
      <c r="H104" s="301"/>
      <c r="I104" s="257"/>
      <c r="J104" s="295"/>
      <c r="K104" s="291"/>
      <c r="L104" s="27"/>
    </row>
    <row r="105">
      <c r="A105" s="289"/>
      <c r="B105" s="290"/>
      <c r="C105" s="289"/>
      <c r="D105" s="291"/>
      <c r="E105" s="27"/>
      <c r="F105" s="291"/>
      <c r="G105" s="301"/>
      <c r="H105" s="301"/>
      <c r="I105" s="257"/>
      <c r="J105" s="295"/>
      <c r="K105" s="291"/>
      <c r="L105" s="27"/>
    </row>
    <row r="106">
      <c r="A106" s="289"/>
      <c r="B106" s="290"/>
      <c r="C106" s="289"/>
      <c r="D106" s="291"/>
      <c r="E106" s="27"/>
      <c r="F106" s="291"/>
      <c r="G106" s="301"/>
      <c r="H106" s="301"/>
      <c r="I106" s="257"/>
      <c r="J106" s="295"/>
      <c r="K106" s="291"/>
      <c r="L106" s="27"/>
    </row>
    <row r="107">
      <c r="A107" s="289"/>
      <c r="B107" s="290"/>
      <c r="C107" s="289"/>
      <c r="D107" s="291"/>
      <c r="E107" s="27"/>
      <c r="F107" s="291"/>
      <c r="G107" s="301"/>
      <c r="H107" s="301"/>
      <c r="I107" s="257"/>
      <c r="J107" s="295"/>
      <c r="K107" s="291"/>
      <c r="L107" s="27"/>
    </row>
    <row r="108">
      <c r="A108" s="289"/>
      <c r="B108" s="290"/>
      <c r="C108" s="289"/>
      <c r="D108" s="291"/>
      <c r="E108" s="27"/>
      <c r="F108" s="291"/>
      <c r="G108" s="301"/>
      <c r="H108" s="301"/>
      <c r="I108" s="257"/>
      <c r="J108" s="295"/>
      <c r="K108" s="291"/>
      <c r="L108" s="27"/>
    </row>
    <row r="109">
      <c r="A109" s="289"/>
      <c r="B109" s="290"/>
      <c r="C109" s="289"/>
      <c r="D109" s="291"/>
      <c r="E109" s="27"/>
      <c r="F109" s="291"/>
      <c r="G109" s="301"/>
      <c r="H109" s="301"/>
      <c r="I109" s="257"/>
      <c r="J109" s="295"/>
      <c r="K109" s="291"/>
      <c r="L109" s="27"/>
    </row>
    <row r="110">
      <c r="A110" s="289"/>
      <c r="B110" s="290"/>
      <c r="C110" s="289"/>
      <c r="D110" s="291"/>
      <c r="E110" s="27"/>
      <c r="F110" s="291"/>
      <c r="G110" s="301"/>
      <c r="H110" s="301"/>
      <c r="I110" s="257"/>
      <c r="J110" s="295"/>
      <c r="K110" s="291"/>
      <c r="L110" s="27"/>
    </row>
    <row r="111">
      <c r="A111" s="289"/>
      <c r="B111" s="290"/>
      <c r="C111" s="289"/>
      <c r="D111" s="291"/>
      <c r="E111" s="27"/>
      <c r="F111" s="291"/>
      <c r="G111" s="301"/>
      <c r="H111" s="301"/>
      <c r="I111" s="257"/>
      <c r="J111" s="295"/>
      <c r="K111" s="291"/>
      <c r="L111" s="27"/>
    </row>
    <row r="112">
      <c r="A112" s="289"/>
      <c r="B112" s="290"/>
      <c r="C112" s="289"/>
      <c r="D112" s="291"/>
      <c r="E112" s="27"/>
      <c r="F112" s="291"/>
      <c r="G112" s="301"/>
      <c r="H112" s="301"/>
      <c r="I112" s="257"/>
      <c r="J112" s="295"/>
      <c r="K112" s="291"/>
      <c r="L112" s="27"/>
    </row>
    <row r="113">
      <c r="A113" s="289"/>
      <c r="B113" s="290"/>
      <c r="C113" s="289"/>
      <c r="D113" s="291"/>
      <c r="E113" s="27"/>
      <c r="F113" s="291"/>
      <c r="G113" s="301"/>
      <c r="H113" s="301"/>
      <c r="I113" s="257"/>
      <c r="J113" s="295"/>
      <c r="K113" s="291"/>
      <c r="L113" s="27"/>
    </row>
    <row r="114">
      <c r="A114" s="289"/>
      <c r="B114" s="290"/>
      <c r="C114" s="289"/>
      <c r="D114" s="291"/>
      <c r="E114" s="27"/>
      <c r="F114" s="291"/>
      <c r="G114" s="301"/>
      <c r="H114" s="301"/>
      <c r="I114" s="257"/>
      <c r="J114" s="295"/>
      <c r="K114" s="291"/>
      <c r="L114" s="27"/>
    </row>
    <row r="115">
      <c r="A115" s="289"/>
      <c r="B115" s="290"/>
      <c r="C115" s="289"/>
      <c r="D115" s="291"/>
      <c r="E115" s="27"/>
      <c r="F115" s="291"/>
      <c r="G115" s="301"/>
      <c r="H115" s="301"/>
      <c r="I115" s="257"/>
      <c r="J115" s="295"/>
      <c r="K115" s="291"/>
      <c r="L115" s="27"/>
    </row>
    <row r="116">
      <c r="A116" s="289"/>
      <c r="B116" s="290"/>
      <c r="C116" s="289"/>
      <c r="D116" s="291"/>
      <c r="E116" s="27"/>
      <c r="F116" s="291"/>
      <c r="G116" s="301"/>
      <c r="H116" s="301"/>
      <c r="I116" s="257"/>
      <c r="J116" s="295"/>
      <c r="K116" s="291"/>
      <c r="L116" s="27"/>
    </row>
    <row r="117">
      <c r="A117" s="289"/>
      <c r="B117" s="290"/>
      <c r="C117" s="289"/>
      <c r="D117" s="291"/>
      <c r="E117" s="27"/>
      <c r="F117" s="291"/>
      <c r="G117" s="301"/>
      <c r="H117" s="301"/>
      <c r="I117" s="257"/>
      <c r="J117" s="295"/>
      <c r="K117" s="291"/>
      <c r="L117" s="27"/>
    </row>
    <row r="118">
      <c r="A118" s="289"/>
      <c r="B118" s="290"/>
      <c r="C118" s="289"/>
      <c r="D118" s="291"/>
      <c r="E118" s="27"/>
      <c r="F118" s="291"/>
      <c r="G118" s="301"/>
      <c r="H118" s="301"/>
      <c r="I118" s="257"/>
      <c r="J118" s="295"/>
      <c r="K118" s="291"/>
      <c r="L118" s="27"/>
    </row>
    <row r="119">
      <c r="A119" s="289"/>
      <c r="B119" s="290"/>
      <c r="C119" s="289"/>
      <c r="D119" s="291"/>
      <c r="E119" s="27"/>
      <c r="F119" s="291"/>
      <c r="G119" s="301"/>
      <c r="H119" s="301"/>
      <c r="I119" s="257"/>
      <c r="J119" s="295"/>
      <c r="K119" s="291"/>
      <c r="L119" s="27"/>
    </row>
    <row r="120">
      <c r="A120" s="289"/>
      <c r="B120" s="290"/>
      <c r="C120" s="289"/>
      <c r="D120" s="291"/>
      <c r="E120" s="27"/>
      <c r="F120" s="291"/>
      <c r="G120" s="301"/>
      <c r="H120" s="301"/>
      <c r="I120" s="257"/>
      <c r="J120" s="295"/>
      <c r="K120" s="291"/>
      <c r="L120" s="27"/>
    </row>
    <row r="121">
      <c r="A121" s="289"/>
      <c r="B121" s="290"/>
      <c r="C121" s="289"/>
      <c r="D121" s="291"/>
      <c r="E121" s="29"/>
      <c r="F121" s="291"/>
      <c r="G121" s="301"/>
      <c r="H121" s="301"/>
      <c r="I121" s="257"/>
      <c r="J121" s="295"/>
      <c r="K121" s="291"/>
      <c r="L121" s="29"/>
    </row>
    <row r="122">
      <c r="A122" s="288"/>
    </row>
    <row r="123">
      <c r="A123" s="289"/>
      <c r="B123" s="290"/>
      <c r="C123" s="291"/>
      <c r="D123" s="291"/>
      <c r="E123" s="296"/>
      <c r="F123" s="291"/>
      <c r="G123" s="292"/>
      <c r="H123" s="292"/>
      <c r="I123" s="257"/>
      <c r="J123" s="295"/>
      <c r="K123" s="291"/>
      <c r="L123" s="300"/>
    </row>
    <row r="124">
      <c r="A124" s="289"/>
      <c r="B124" s="290"/>
      <c r="C124" s="291"/>
      <c r="D124" s="291"/>
      <c r="E124" s="27"/>
      <c r="F124" s="291"/>
      <c r="G124" s="292"/>
      <c r="H124" s="292"/>
      <c r="I124" s="257"/>
      <c r="J124" s="295"/>
      <c r="K124" s="291"/>
      <c r="L124" s="27"/>
    </row>
    <row r="125">
      <c r="A125" s="289"/>
      <c r="B125" s="290"/>
      <c r="C125" s="291"/>
      <c r="D125" s="291"/>
      <c r="E125" s="27"/>
      <c r="F125" s="291"/>
      <c r="G125" s="292"/>
      <c r="H125" s="292"/>
      <c r="I125" s="257"/>
      <c r="J125" s="295"/>
      <c r="K125" s="291"/>
      <c r="L125" s="27"/>
    </row>
    <row r="126">
      <c r="A126" s="289"/>
      <c r="B126" s="290"/>
      <c r="C126" s="291"/>
      <c r="D126" s="291"/>
      <c r="E126" s="27"/>
      <c r="F126" s="291"/>
      <c r="G126" s="292"/>
      <c r="H126" s="292"/>
      <c r="I126" s="257"/>
      <c r="J126" s="295"/>
      <c r="K126" s="291"/>
      <c r="L126" s="27"/>
    </row>
    <row r="127">
      <c r="A127" s="289"/>
      <c r="B127" s="290"/>
      <c r="C127" s="291"/>
      <c r="D127" s="291"/>
      <c r="E127" s="27"/>
      <c r="F127" s="291"/>
      <c r="G127" s="292"/>
      <c r="H127" s="292"/>
      <c r="I127" s="257"/>
      <c r="J127" s="295"/>
      <c r="K127" s="291"/>
      <c r="L127" s="27"/>
    </row>
    <row r="128">
      <c r="A128" s="289"/>
      <c r="B128" s="290"/>
      <c r="C128" s="291"/>
      <c r="D128" s="291"/>
      <c r="E128" s="27"/>
      <c r="F128" s="291"/>
      <c r="G128" s="292"/>
      <c r="H128" s="292"/>
      <c r="I128" s="257"/>
      <c r="J128" s="295"/>
      <c r="K128" s="291"/>
      <c r="L128" s="27"/>
    </row>
    <row r="129">
      <c r="A129" s="289"/>
      <c r="B129" s="290"/>
      <c r="C129" s="291"/>
      <c r="D129" s="291"/>
      <c r="E129" s="27"/>
      <c r="F129" s="291"/>
      <c r="G129" s="292"/>
      <c r="H129" s="292"/>
      <c r="I129" s="257"/>
      <c r="J129" s="295"/>
      <c r="K129" s="291"/>
      <c r="L129" s="27"/>
    </row>
    <row r="130">
      <c r="A130" s="289"/>
      <c r="B130" s="290"/>
      <c r="C130" s="291"/>
      <c r="D130" s="291"/>
      <c r="E130" s="27"/>
      <c r="F130" s="291"/>
      <c r="G130" s="292"/>
      <c r="H130" s="292"/>
      <c r="I130" s="257"/>
      <c r="J130" s="295"/>
      <c r="K130" s="291"/>
      <c r="L130" s="27"/>
    </row>
    <row r="131">
      <c r="A131" s="289"/>
      <c r="B131" s="290"/>
      <c r="C131" s="291"/>
      <c r="D131" s="291"/>
      <c r="E131" s="29"/>
      <c r="F131" s="291"/>
      <c r="G131" s="292"/>
      <c r="H131" s="292"/>
      <c r="I131" s="257"/>
      <c r="J131" s="295"/>
      <c r="K131" s="291"/>
      <c r="L131" s="29"/>
    </row>
    <row r="132">
      <c r="A132" s="288"/>
    </row>
    <row r="133" ht="138.0" customHeight="1">
      <c r="A133" s="310"/>
      <c r="B133" s="311"/>
      <c r="C133" s="311"/>
      <c r="D133" s="311"/>
      <c r="E133" s="308"/>
      <c r="F133" s="310"/>
      <c r="G133" s="311"/>
      <c r="H133" s="311"/>
      <c r="I133" s="307"/>
      <c r="J133" s="312"/>
      <c r="K133" s="291"/>
      <c r="L133" s="310"/>
    </row>
    <row r="134">
      <c r="A134" s="313"/>
      <c r="B134" s="31"/>
      <c r="C134" s="31"/>
      <c r="D134" s="31"/>
      <c r="E134" s="31"/>
      <c r="F134" s="31"/>
      <c r="G134" s="31"/>
      <c r="H134" s="31"/>
      <c r="I134" s="31"/>
      <c r="J134" s="31"/>
      <c r="K134" s="31"/>
      <c r="L134" s="32"/>
    </row>
    <row r="135" ht="19.5" customHeight="1">
      <c r="A135" s="289"/>
      <c r="B135" s="289"/>
      <c r="C135" s="291"/>
      <c r="D135" s="291"/>
      <c r="E135" s="314"/>
      <c r="F135" s="289"/>
      <c r="G135" s="289"/>
      <c r="H135" s="291"/>
      <c r="I135" s="312"/>
      <c r="J135" s="312"/>
      <c r="K135" s="291"/>
      <c r="L135" s="298"/>
    </row>
    <row r="136">
      <c r="A136" s="289"/>
      <c r="B136" s="289"/>
      <c r="C136" s="291"/>
      <c r="D136" s="291"/>
      <c r="E136" s="27"/>
      <c r="F136" s="289"/>
      <c r="G136" s="289"/>
      <c r="H136" s="291"/>
      <c r="I136" s="312"/>
      <c r="J136" s="312"/>
      <c r="K136" s="291"/>
      <c r="L136" s="27"/>
    </row>
    <row r="137">
      <c r="A137" s="289"/>
      <c r="B137" s="289"/>
      <c r="C137" s="291"/>
      <c r="D137" s="291"/>
      <c r="E137" s="27"/>
      <c r="F137" s="289"/>
      <c r="G137" s="289"/>
      <c r="H137" s="291"/>
      <c r="I137" s="312"/>
      <c r="J137" s="312"/>
      <c r="K137" s="291"/>
      <c r="L137" s="27"/>
    </row>
    <row r="138">
      <c r="A138" s="289"/>
      <c r="B138" s="289"/>
      <c r="C138" s="291"/>
      <c r="D138" s="291"/>
      <c r="E138" s="29"/>
      <c r="F138" s="289"/>
      <c r="G138" s="289"/>
      <c r="H138" s="291"/>
      <c r="I138" s="312"/>
      <c r="J138" s="312"/>
      <c r="K138" s="291"/>
      <c r="L138" s="29"/>
    </row>
    <row r="139">
      <c r="A139" s="313"/>
      <c r="B139" s="31"/>
      <c r="C139" s="31"/>
      <c r="D139" s="31"/>
      <c r="E139" s="31"/>
      <c r="F139" s="31"/>
      <c r="G139" s="31"/>
      <c r="H139" s="31"/>
      <c r="I139" s="31"/>
      <c r="J139" s="31"/>
      <c r="K139" s="31"/>
      <c r="L139" s="32"/>
    </row>
    <row r="140">
      <c r="A140" s="289"/>
      <c r="B140" s="315"/>
      <c r="C140" s="316"/>
      <c r="D140" s="291"/>
      <c r="E140" s="317"/>
      <c r="F140" s="291"/>
      <c r="G140" s="318"/>
      <c r="H140" s="318"/>
      <c r="I140" s="312"/>
      <c r="J140" s="312"/>
      <c r="K140" s="291"/>
      <c r="L140" s="296"/>
    </row>
    <row r="141">
      <c r="A141" s="289"/>
      <c r="B141" s="315"/>
      <c r="C141" s="316"/>
      <c r="D141" s="291"/>
      <c r="E141" s="27"/>
      <c r="F141" s="291"/>
      <c r="G141" s="318"/>
      <c r="H141" s="318"/>
      <c r="I141" s="312"/>
      <c r="J141" s="312"/>
      <c r="K141" s="291"/>
      <c r="L141" s="27"/>
    </row>
    <row r="142">
      <c r="A142" s="289"/>
      <c r="B142" s="315"/>
      <c r="C142" s="316"/>
      <c r="D142" s="291"/>
      <c r="E142" s="27"/>
      <c r="F142" s="291"/>
      <c r="G142" s="318"/>
      <c r="H142" s="318"/>
      <c r="I142" s="312"/>
      <c r="J142" s="312"/>
      <c r="K142" s="291"/>
      <c r="L142" s="27"/>
    </row>
    <row r="143">
      <c r="A143" s="289"/>
      <c r="B143" s="315"/>
      <c r="C143" s="316"/>
      <c r="D143" s="291"/>
      <c r="E143" s="27"/>
      <c r="F143" s="291"/>
      <c r="G143" s="318"/>
      <c r="H143" s="318"/>
      <c r="I143" s="312"/>
      <c r="J143" s="312"/>
      <c r="K143" s="291"/>
      <c r="L143" s="27"/>
    </row>
    <row r="144">
      <c r="A144" s="289"/>
      <c r="B144" s="315"/>
      <c r="C144" s="316"/>
      <c r="D144" s="291"/>
      <c r="E144" s="27"/>
      <c r="F144" s="291"/>
      <c r="G144" s="318"/>
      <c r="H144" s="318"/>
      <c r="I144" s="312"/>
      <c r="J144" s="312"/>
      <c r="K144" s="291"/>
      <c r="L144" s="27"/>
    </row>
    <row r="145">
      <c r="A145" s="289"/>
      <c r="B145" s="315"/>
      <c r="C145" s="316"/>
      <c r="D145" s="291"/>
      <c r="E145" s="27"/>
      <c r="F145" s="291"/>
      <c r="G145" s="318"/>
      <c r="H145" s="318"/>
      <c r="I145" s="312"/>
      <c r="J145" s="312"/>
      <c r="K145" s="291"/>
      <c r="L145" s="27"/>
    </row>
    <row r="146">
      <c r="A146" s="289"/>
      <c r="B146" s="315"/>
      <c r="C146" s="316"/>
      <c r="D146" s="291"/>
      <c r="E146" s="27"/>
      <c r="F146" s="291"/>
      <c r="G146" s="318"/>
      <c r="H146" s="318"/>
      <c r="I146" s="312"/>
      <c r="J146" s="312"/>
      <c r="K146" s="291"/>
      <c r="L146" s="27"/>
    </row>
    <row r="147">
      <c r="A147" s="289"/>
      <c r="B147" s="315"/>
      <c r="C147" s="316"/>
      <c r="D147" s="291"/>
      <c r="E147" s="27"/>
      <c r="F147" s="291"/>
      <c r="G147" s="318"/>
      <c r="H147" s="318"/>
      <c r="I147" s="312"/>
      <c r="J147" s="312"/>
      <c r="K147" s="291"/>
      <c r="L147" s="27"/>
    </row>
    <row r="148">
      <c r="A148" s="289"/>
      <c r="B148" s="315"/>
      <c r="C148" s="316"/>
      <c r="D148" s="291"/>
      <c r="E148" s="27"/>
      <c r="F148" s="291"/>
      <c r="G148" s="318"/>
      <c r="H148" s="318"/>
      <c r="I148" s="312"/>
      <c r="J148" s="312"/>
      <c r="K148" s="291"/>
      <c r="L148" s="27"/>
    </row>
    <row r="149">
      <c r="A149" s="289"/>
      <c r="B149" s="315"/>
      <c r="C149" s="316"/>
      <c r="D149" s="291"/>
      <c r="E149" s="27"/>
      <c r="F149" s="291"/>
      <c r="G149" s="318"/>
      <c r="H149" s="318"/>
      <c r="I149" s="312"/>
      <c r="J149" s="312"/>
      <c r="K149" s="291"/>
      <c r="L149" s="27"/>
    </row>
    <row r="150">
      <c r="A150" s="289"/>
      <c r="B150" s="315"/>
      <c r="C150" s="316"/>
      <c r="D150" s="291"/>
      <c r="E150" s="27"/>
      <c r="F150" s="291"/>
      <c r="G150" s="318"/>
      <c r="H150" s="318"/>
      <c r="I150" s="312"/>
      <c r="J150" s="312"/>
      <c r="K150" s="291"/>
      <c r="L150" s="27"/>
    </row>
    <row r="151">
      <c r="A151" s="289"/>
      <c r="B151" s="315"/>
      <c r="C151" s="316"/>
      <c r="D151" s="291"/>
      <c r="E151" s="27"/>
      <c r="F151" s="291"/>
      <c r="G151" s="318"/>
      <c r="H151" s="318"/>
      <c r="I151" s="312"/>
      <c r="J151" s="312"/>
      <c r="K151" s="291"/>
      <c r="L151" s="29"/>
    </row>
    <row r="152">
      <c r="A152" s="289"/>
      <c r="B152" s="315"/>
      <c r="C152" s="316"/>
      <c r="D152" s="291"/>
      <c r="E152" s="29"/>
      <c r="F152" s="291"/>
      <c r="G152" s="318"/>
      <c r="H152" s="318"/>
      <c r="I152" s="312"/>
      <c r="J152" s="312"/>
      <c r="K152" s="291"/>
      <c r="L152" s="291"/>
    </row>
    <row r="153">
      <c r="A153" s="288"/>
    </row>
    <row r="154">
      <c r="A154" s="310"/>
      <c r="B154" s="311"/>
      <c r="C154" s="311"/>
      <c r="D154" s="311"/>
      <c r="E154" s="308"/>
      <c r="F154" s="310"/>
      <c r="G154" s="311"/>
      <c r="H154" s="311"/>
      <c r="I154" s="307"/>
      <c r="J154" s="312"/>
      <c r="K154" s="291"/>
      <c r="L154" s="310"/>
    </row>
  </sheetData>
  <mergeCells count="34">
    <mergeCell ref="A2:L2"/>
    <mergeCell ref="A7:L7"/>
    <mergeCell ref="F8:F10"/>
    <mergeCell ref="K8:K10"/>
    <mergeCell ref="L8:L10"/>
    <mergeCell ref="K12:K21"/>
    <mergeCell ref="L12:L21"/>
    <mergeCell ref="F41:F43"/>
    <mergeCell ref="L41:L43"/>
    <mergeCell ref="A52:L52"/>
    <mergeCell ref="A65:L65"/>
    <mergeCell ref="H66:H78"/>
    <mergeCell ref="L66:L78"/>
    <mergeCell ref="F67:F69"/>
    <mergeCell ref="L80:L94"/>
    <mergeCell ref="L98:L121"/>
    <mergeCell ref="L123:L131"/>
    <mergeCell ref="L135:L138"/>
    <mergeCell ref="L140:L151"/>
    <mergeCell ref="E98:E121"/>
    <mergeCell ref="E123:E131"/>
    <mergeCell ref="E135:E138"/>
    <mergeCell ref="E140:E152"/>
    <mergeCell ref="A132:L132"/>
    <mergeCell ref="A134:L134"/>
    <mergeCell ref="A139:L139"/>
    <mergeCell ref="A153:L153"/>
    <mergeCell ref="F70:F78"/>
    <mergeCell ref="A79:L79"/>
    <mergeCell ref="E80:E94"/>
    <mergeCell ref="H80:H94"/>
    <mergeCell ref="A95:L95"/>
    <mergeCell ref="A97:L97"/>
    <mergeCell ref="A122:L122"/>
  </mergeCells>
  <conditionalFormatting sqref="I3:J6 L3:L6 I8:J51 L8:L51 I53:L64 I67:I78 I80:I94 I96 I98:I121 I123:I131">
    <cfRule type="expression" dxfId="3" priority="1">
      <formula>$H3&gt;TODAY()</formula>
    </cfRule>
  </conditionalFormatting>
  <hyperlinks>
    <hyperlink r:id="rId1" ref="L3"/>
    <hyperlink r:id="rId2" ref="L4"/>
  </hyperlinks>
  <printOptions gridLines="1" horizontalCentered="1"/>
  <pageMargins bottom="0.75" footer="0.0" header="0.0" left="0.7" right="0.7" top="0.75"/>
  <pageSetup fitToHeight="0" paperSize="9" cellComments="atEnd" orientation="landscape" pageOrder="overThenDown"/>
  <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14.5"/>
    <col customWidth="1" min="3" max="3" width="38.63"/>
    <col customWidth="1" min="4" max="4" width="31.25"/>
    <col customWidth="1" min="5" max="5" width="51.88"/>
    <col customWidth="1" min="6" max="6" width="65.63"/>
    <col customWidth="1" min="7" max="7" width="15.75"/>
    <col customWidth="1" min="8" max="8" width="24.63"/>
    <col customWidth="1" min="9" max="10" width="30.63"/>
    <col customWidth="1" min="11" max="11" width="51.63"/>
    <col customWidth="1" min="12" max="12" width="36.63"/>
  </cols>
  <sheetData>
    <row r="1" ht="33.0" customHeight="1">
      <c r="A1" s="319"/>
      <c r="B1" s="319"/>
      <c r="C1" s="319"/>
      <c r="D1" s="319"/>
      <c r="E1" s="319"/>
      <c r="F1" s="320"/>
      <c r="G1" s="320"/>
      <c r="H1" s="321"/>
      <c r="I1" s="321"/>
      <c r="J1" s="319"/>
      <c r="K1" s="319"/>
      <c r="L1" s="322"/>
      <c r="M1" s="322"/>
      <c r="N1" s="322"/>
      <c r="O1" s="322"/>
    </row>
    <row r="2" ht="33.0" customHeight="1">
      <c r="A2" s="323" t="s">
        <v>0</v>
      </c>
      <c r="B2" s="323" t="s">
        <v>1</v>
      </c>
      <c r="C2" s="324" t="s">
        <v>408</v>
      </c>
      <c r="D2" s="323" t="s">
        <v>367</v>
      </c>
      <c r="E2" s="323" t="s">
        <v>409</v>
      </c>
      <c r="F2" s="325" t="s">
        <v>410</v>
      </c>
      <c r="G2" s="325" t="s">
        <v>411</v>
      </c>
      <c r="H2" s="326" t="s">
        <v>130</v>
      </c>
      <c r="I2" s="327"/>
      <c r="J2" s="326"/>
      <c r="K2" s="221"/>
      <c r="L2" s="328"/>
      <c r="M2" s="329"/>
      <c r="N2" s="329"/>
      <c r="O2" s="329"/>
    </row>
    <row r="3" ht="23.25" customHeight="1">
      <c r="A3" s="330" t="s">
        <v>165</v>
      </c>
      <c r="B3" s="331"/>
      <c r="C3" s="331"/>
      <c r="D3" s="331"/>
      <c r="E3" s="331"/>
      <c r="F3" s="331"/>
      <c r="G3" s="331"/>
      <c r="H3" s="331"/>
      <c r="I3" s="331"/>
      <c r="J3" s="331"/>
      <c r="K3" s="332"/>
      <c r="L3" s="333"/>
    </row>
    <row r="4" ht="21.75" customHeight="1">
      <c r="A4" s="334" t="s">
        <v>412</v>
      </c>
      <c r="B4" s="80"/>
      <c r="C4" s="80"/>
      <c r="D4" s="80"/>
      <c r="E4" s="80"/>
      <c r="F4" s="80"/>
      <c r="G4" s="80"/>
      <c r="H4" s="80"/>
      <c r="I4" s="80"/>
      <c r="J4" s="80"/>
      <c r="K4" s="81"/>
      <c r="L4" s="335"/>
    </row>
    <row r="5">
      <c r="A5" s="336" t="s">
        <v>413</v>
      </c>
      <c r="B5" s="337">
        <v>1204846.0</v>
      </c>
      <c r="C5" s="338" t="s">
        <v>414</v>
      </c>
      <c r="D5" s="339" t="s">
        <v>412</v>
      </c>
      <c r="E5" s="340" t="s">
        <v>415</v>
      </c>
      <c r="F5" s="341">
        <v>45962.0</v>
      </c>
      <c r="G5" s="341">
        <v>45991.0</v>
      </c>
      <c r="H5" s="342" t="s">
        <v>130</v>
      </c>
      <c r="I5" s="343"/>
      <c r="J5" s="344"/>
      <c r="K5" s="345"/>
      <c r="L5" s="346"/>
      <c r="M5" s="347"/>
      <c r="N5" s="347"/>
      <c r="O5" s="347"/>
    </row>
    <row r="6">
      <c r="A6" s="348" t="s">
        <v>413</v>
      </c>
      <c r="B6" s="349">
        <v>1204847.0</v>
      </c>
      <c r="C6" s="350"/>
      <c r="D6" s="351"/>
      <c r="E6" s="352" t="s">
        <v>415</v>
      </c>
      <c r="F6" s="353">
        <v>45962.0</v>
      </c>
      <c r="G6" s="353">
        <v>45991.0</v>
      </c>
      <c r="H6" s="354"/>
      <c r="I6" s="355"/>
      <c r="J6" s="356"/>
      <c r="K6" s="357"/>
      <c r="L6" s="358"/>
      <c r="M6" s="347"/>
      <c r="N6" s="347"/>
      <c r="O6" s="347"/>
    </row>
    <row r="7">
      <c r="A7" s="359"/>
      <c r="B7" s="360"/>
      <c r="C7" s="361"/>
      <c r="D7" s="362"/>
      <c r="E7" s="363"/>
      <c r="F7" s="364"/>
      <c r="G7" s="364"/>
      <c r="H7" s="365"/>
      <c r="I7" s="343"/>
      <c r="J7" s="344"/>
      <c r="K7" s="345"/>
      <c r="L7" s="346"/>
      <c r="M7" s="347"/>
      <c r="N7" s="347"/>
      <c r="O7" s="347"/>
    </row>
    <row r="8">
      <c r="A8" s="348" t="s">
        <v>416</v>
      </c>
      <c r="B8" s="349">
        <v>1129963.0</v>
      </c>
      <c r="C8" s="350"/>
      <c r="D8" s="351"/>
      <c r="E8" s="352" t="s">
        <v>417</v>
      </c>
      <c r="F8" s="353">
        <v>45962.0</v>
      </c>
      <c r="G8" s="353">
        <v>45991.0</v>
      </c>
      <c r="H8" s="354"/>
      <c r="I8" s="355"/>
      <c r="J8" s="356"/>
      <c r="K8" s="357"/>
      <c r="L8" s="358"/>
      <c r="M8" s="347"/>
      <c r="N8" s="347"/>
      <c r="O8" s="347"/>
    </row>
    <row r="9">
      <c r="A9" s="336" t="s">
        <v>416</v>
      </c>
      <c r="B9" s="337">
        <v>1131206.0</v>
      </c>
      <c r="C9" s="361"/>
      <c r="D9" s="362"/>
      <c r="E9" s="340" t="s">
        <v>418</v>
      </c>
      <c r="F9" s="341">
        <v>45962.0</v>
      </c>
      <c r="G9" s="341">
        <v>45991.0</v>
      </c>
      <c r="H9" s="365"/>
      <c r="I9" s="343"/>
      <c r="J9" s="344"/>
      <c r="K9" s="345"/>
      <c r="L9" s="346"/>
      <c r="M9" s="347"/>
      <c r="N9" s="347"/>
      <c r="O9" s="347"/>
    </row>
    <row r="10" ht="21.0" customHeight="1">
      <c r="A10" s="348" t="s">
        <v>416</v>
      </c>
      <c r="B10" s="349">
        <v>1144489.0</v>
      </c>
      <c r="C10" s="350"/>
      <c r="D10" s="351"/>
      <c r="E10" s="352" t="s">
        <v>419</v>
      </c>
      <c r="F10" s="353">
        <v>45962.0</v>
      </c>
      <c r="G10" s="353">
        <v>45991.0</v>
      </c>
      <c r="H10" s="354"/>
      <c r="I10" s="355"/>
      <c r="J10" s="356"/>
      <c r="K10" s="357"/>
      <c r="L10" s="358"/>
      <c r="M10" s="347"/>
      <c r="N10" s="347"/>
      <c r="O10" s="347"/>
    </row>
    <row r="11">
      <c r="A11" s="336" t="s">
        <v>416</v>
      </c>
      <c r="B11" s="337">
        <v>1163068.0</v>
      </c>
      <c r="C11" s="361"/>
      <c r="D11" s="362"/>
      <c r="E11" s="340" t="s">
        <v>420</v>
      </c>
      <c r="F11" s="341">
        <v>45962.0</v>
      </c>
      <c r="G11" s="341">
        <v>45991.0</v>
      </c>
      <c r="H11" s="365"/>
      <c r="I11" s="343"/>
      <c r="J11" s="344"/>
      <c r="K11" s="345"/>
      <c r="L11" s="346"/>
      <c r="M11" s="347"/>
      <c r="N11" s="347"/>
      <c r="O11" s="347"/>
    </row>
    <row r="12">
      <c r="A12" s="348" t="s">
        <v>416</v>
      </c>
      <c r="B12" s="349">
        <v>1166895.0</v>
      </c>
      <c r="C12" s="350"/>
      <c r="D12" s="351"/>
      <c r="E12" s="352" t="s">
        <v>421</v>
      </c>
      <c r="F12" s="353">
        <v>45962.0</v>
      </c>
      <c r="G12" s="353">
        <v>45991.0</v>
      </c>
      <c r="H12" s="354"/>
      <c r="I12" s="355"/>
      <c r="J12" s="356"/>
      <c r="K12" s="357"/>
      <c r="L12" s="358"/>
      <c r="M12" s="347"/>
      <c r="N12" s="347"/>
      <c r="O12" s="347"/>
    </row>
    <row r="13">
      <c r="A13" s="336" t="s">
        <v>416</v>
      </c>
      <c r="B13" s="337">
        <v>1195757.0</v>
      </c>
      <c r="C13" s="361"/>
      <c r="D13" s="362"/>
      <c r="E13" s="340" t="s">
        <v>422</v>
      </c>
      <c r="F13" s="341">
        <v>45962.0</v>
      </c>
      <c r="G13" s="341">
        <v>45991.0</v>
      </c>
      <c r="H13" s="365"/>
      <c r="I13" s="343"/>
      <c r="J13" s="344"/>
      <c r="K13" s="345"/>
      <c r="L13" s="346"/>
      <c r="M13" s="347"/>
      <c r="N13" s="347"/>
      <c r="O13" s="347"/>
    </row>
    <row r="14">
      <c r="A14" s="348" t="s">
        <v>416</v>
      </c>
      <c r="B14" s="349">
        <v>1229741.0</v>
      </c>
      <c r="C14" s="350"/>
      <c r="D14" s="351"/>
      <c r="E14" s="352" t="s">
        <v>423</v>
      </c>
      <c r="F14" s="353">
        <v>45962.0</v>
      </c>
      <c r="G14" s="353">
        <v>45991.0</v>
      </c>
      <c r="H14" s="354"/>
      <c r="I14" s="355"/>
      <c r="J14" s="356"/>
      <c r="K14" s="357"/>
      <c r="L14" s="358"/>
      <c r="M14" s="347"/>
      <c r="N14" s="347"/>
      <c r="O14" s="347"/>
    </row>
    <row r="15">
      <c r="A15" s="336" t="s">
        <v>416</v>
      </c>
      <c r="B15" s="337">
        <v>1229742.0</v>
      </c>
      <c r="C15" s="361"/>
      <c r="D15" s="362"/>
      <c r="E15" s="340" t="s">
        <v>424</v>
      </c>
      <c r="F15" s="341">
        <v>45962.0</v>
      </c>
      <c r="G15" s="341">
        <v>45991.0</v>
      </c>
      <c r="H15" s="365"/>
      <c r="I15" s="343"/>
      <c r="J15" s="344"/>
      <c r="K15" s="345"/>
      <c r="L15" s="346"/>
      <c r="M15" s="347"/>
      <c r="N15" s="347"/>
      <c r="O15" s="347"/>
    </row>
    <row r="16">
      <c r="A16" s="348" t="s">
        <v>416</v>
      </c>
      <c r="B16" s="349">
        <v>1229743.0</v>
      </c>
      <c r="C16" s="366"/>
      <c r="D16" s="79"/>
      <c r="E16" s="352" t="s">
        <v>425</v>
      </c>
      <c r="F16" s="353">
        <v>45962.0</v>
      </c>
      <c r="G16" s="353">
        <v>45991.0</v>
      </c>
      <c r="H16" s="367"/>
      <c r="I16" s="355"/>
      <c r="J16" s="356"/>
      <c r="K16" s="357"/>
      <c r="L16" s="358"/>
      <c r="M16" s="347"/>
      <c r="N16" s="347"/>
      <c r="O16" s="347"/>
    </row>
    <row r="17" ht="33.0" customHeight="1">
      <c r="A17" s="368"/>
      <c r="B17" s="368"/>
      <c r="C17" s="368"/>
      <c r="D17" s="368"/>
      <c r="E17" s="368"/>
      <c r="F17" s="369"/>
      <c r="G17" s="369"/>
      <c r="H17" s="370"/>
      <c r="I17" s="370"/>
      <c r="J17" s="371"/>
      <c r="K17" s="372"/>
      <c r="L17" s="322"/>
      <c r="M17" s="322"/>
      <c r="N17" s="322"/>
      <c r="O17" s="322"/>
    </row>
    <row r="18" ht="33.0" customHeight="1">
      <c r="A18" s="323" t="s">
        <v>0</v>
      </c>
      <c r="B18" s="323" t="s">
        <v>1</v>
      </c>
      <c r="C18" s="323" t="s">
        <v>367</v>
      </c>
      <c r="D18" s="323" t="s">
        <v>409</v>
      </c>
      <c r="E18" s="325" t="s">
        <v>410</v>
      </c>
      <c r="F18" s="325" t="s">
        <v>411</v>
      </c>
      <c r="G18" s="326" t="s">
        <v>130</v>
      </c>
      <c r="H18" s="326"/>
      <c r="I18" s="327"/>
      <c r="J18" s="326"/>
      <c r="K18" s="221"/>
      <c r="L18" s="328"/>
      <c r="M18" s="329"/>
      <c r="N18" s="329"/>
      <c r="O18" s="329"/>
    </row>
    <row r="19" ht="23.25" customHeight="1">
      <c r="A19" s="330" t="s">
        <v>426</v>
      </c>
      <c r="B19" s="331"/>
      <c r="C19" s="331"/>
      <c r="D19" s="331"/>
      <c r="E19" s="331"/>
      <c r="F19" s="331"/>
      <c r="G19" s="331"/>
      <c r="H19" s="331"/>
      <c r="I19" s="331"/>
      <c r="J19" s="331"/>
      <c r="K19" s="332"/>
      <c r="L19" s="333"/>
    </row>
    <row r="20" ht="21.75" customHeight="1">
      <c r="A20" s="334" t="s">
        <v>427</v>
      </c>
      <c r="B20" s="80"/>
      <c r="C20" s="80"/>
      <c r="D20" s="80"/>
      <c r="E20" s="80"/>
      <c r="F20" s="80"/>
      <c r="G20" s="80"/>
      <c r="H20" s="80"/>
      <c r="I20" s="80"/>
      <c r="J20" s="80"/>
      <c r="K20" s="81"/>
      <c r="L20" s="335" t="s">
        <v>428</v>
      </c>
    </row>
    <row r="21" ht="33.0" customHeight="1">
      <c r="A21" s="336" t="s">
        <v>426</v>
      </c>
      <c r="B21" s="336">
        <v>141581.0</v>
      </c>
      <c r="C21" s="373" t="s">
        <v>429</v>
      </c>
      <c r="D21" s="374" t="s">
        <v>430</v>
      </c>
      <c r="E21" s="375">
        <v>45901.0</v>
      </c>
      <c r="F21" s="375">
        <v>46053.0</v>
      </c>
      <c r="G21" s="376" t="s">
        <v>130</v>
      </c>
      <c r="H21" s="377"/>
      <c r="I21" s="377"/>
      <c r="J21" s="378"/>
      <c r="K21" s="226"/>
      <c r="L21" s="379"/>
      <c r="M21" s="328"/>
      <c r="N21" s="328"/>
      <c r="O21" s="328"/>
    </row>
    <row r="22" ht="33.0" customHeight="1">
      <c r="A22" s="348" t="s">
        <v>426</v>
      </c>
      <c r="B22" s="348">
        <v>1055166.0</v>
      </c>
      <c r="C22" s="351"/>
      <c r="D22" s="380" t="s">
        <v>431</v>
      </c>
      <c r="E22" s="381">
        <v>45901.0</v>
      </c>
      <c r="F22" s="381">
        <v>46053.0</v>
      </c>
      <c r="G22" s="351"/>
      <c r="H22" s="382"/>
      <c r="I22" s="382"/>
      <c r="J22" s="383"/>
      <c r="K22" s="384"/>
      <c r="L22" s="385"/>
      <c r="M22" s="328"/>
      <c r="N22" s="328"/>
      <c r="O22" s="328"/>
    </row>
    <row r="23" ht="33.0" customHeight="1">
      <c r="A23" s="336" t="s">
        <v>426</v>
      </c>
      <c r="B23" s="336">
        <v>1055179.0</v>
      </c>
      <c r="C23" s="362"/>
      <c r="D23" s="374" t="s">
        <v>432</v>
      </c>
      <c r="E23" s="375">
        <v>45901.0</v>
      </c>
      <c r="F23" s="375">
        <v>46053.0</v>
      </c>
      <c r="G23" s="362"/>
      <c r="H23" s="377"/>
      <c r="I23" s="377"/>
      <c r="J23" s="378"/>
      <c r="K23" s="226"/>
      <c r="L23" s="379"/>
      <c r="M23" s="328"/>
      <c r="N23" s="328"/>
      <c r="O23" s="328"/>
    </row>
    <row r="24" ht="33.0" customHeight="1">
      <c r="A24" s="348" t="s">
        <v>426</v>
      </c>
      <c r="B24" s="348">
        <v>1099519.0</v>
      </c>
      <c r="C24" s="351"/>
      <c r="D24" s="380" t="s">
        <v>433</v>
      </c>
      <c r="E24" s="381">
        <v>45901.0</v>
      </c>
      <c r="F24" s="381">
        <v>46053.0</v>
      </c>
      <c r="G24" s="351"/>
      <c r="H24" s="382"/>
      <c r="I24" s="382"/>
      <c r="J24" s="383"/>
      <c r="K24" s="384"/>
      <c r="L24" s="385"/>
      <c r="M24" s="328"/>
      <c r="N24" s="328"/>
      <c r="O24" s="328"/>
    </row>
    <row r="25" ht="33.0" customHeight="1">
      <c r="A25" s="336" t="s">
        <v>426</v>
      </c>
      <c r="B25" s="336">
        <v>1101382.0</v>
      </c>
      <c r="C25" s="362"/>
      <c r="D25" s="374" t="s">
        <v>434</v>
      </c>
      <c r="E25" s="375">
        <v>45901.0</v>
      </c>
      <c r="F25" s="375">
        <v>46053.0</v>
      </c>
      <c r="G25" s="362"/>
      <c r="H25" s="377"/>
      <c r="I25" s="377"/>
      <c r="J25" s="378"/>
      <c r="K25" s="226"/>
      <c r="L25" s="379"/>
      <c r="M25" s="328"/>
      <c r="N25" s="328"/>
      <c r="O25" s="328"/>
    </row>
    <row r="26" ht="33.0" customHeight="1">
      <c r="A26" s="348" t="s">
        <v>426</v>
      </c>
      <c r="B26" s="348">
        <v>1104207.0</v>
      </c>
      <c r="C26" s="351"/>
      <c r="D26" s="380" t="s">
        <v>435</v>
      </c>
      <c r="E26" s="381">
        <v>45901.0</v>
      </c>
      <c r="F26" s="381">
        <v>46053.0</v>
      </c>
      <c r="G26" s="351"/>
      <c r="H26" s="382"/>
      <c r="I26" s="382"/>
      <c r="J26" s="383"/>
      <c r="K26" s="384"/>
      <c r="L26" s="385"/>
      <c r="M26" s="328"/>
      <c r="N26" s="328"/>
      <c r="O26" s="328"/>
    </row>
    <row r="27" ht="33.0" customHeight="1">
      <c r="A27" s="336" t="s">
        <v>426</v>
      </c>
      <c r="B27" s="336">
        <v>1121729.0</v>
      </c>
      <c r="C27" s="362"/>
      <c r="D27" s="374" t="s">
        <v>436</v>
      </c>
      <c r="E27" s="375">
        <v>45901.0</v>
      </c>
      <c r="F27" s="375">
        <v>46053.0</v>
      </c>
      <c r="G27" s="362"/>
      <c r="H27" s="377"/>
      <c r="I27" s="377"/>
      <c r="J27" s="378"/>
      <c r="K27" s="226"/>
      <c r="L27" s="379"/>
      <c r="M27" s="328"/>
      <c r="N27" s="328"/>
      <c r="O27" s="328"/>
    </row>
    <row r="28" ht="33.0" customHeight="1">
      <c r="A28" s="348" t="s">
        <v>426</v>
      </c>
      <c r="B28" s="348">
        <v>1146594.0</v>
      </c>
      <c r="C28" s="351"/>
      <c r="D28" s="380" t="s">
        <v>437</v>
      </c>
      <c r="E28" s="381">
        <v>45901.0</v>
      </c>
      <c r="F28" s="381">
        <v>46053.0</v>
      </c>
      <c r="G28" s="351"/>
      <c r="H28" s="382"/>
      <c r="I28" s="382"/>
      <c r="J28" s="383"/>
      <c r="K28" s="384"/>
      <c r="L28" s="385"/>
      <c r="M28" s="328"/>
      <c r="N28" s="328"/>
      <c r="O28" s="328"/>
    </row>
    <row r="29" ht="33.0" customHeight="1">
      <c r="A29" s="336" t="s">
        <v>426</v>
      </c>
      <c r="B29" s="336">
        <v>1151374.0</v>
      </c>
      <c r="C29" s="362"/>
      <c r="D29" s="374" t="s">
        <v>438</v>
      </c>
      <c r="E29" s="375">
        <v>45901.0</v>
      </c>
      <c r="F29" s="375">
        <v>46053.0</v>
      </c>
      <c r="G29" s="362"/>
      <c r="H29" s="377"/>
      <c r="I29" s="377"/>
      <c r="J29" s="378"/>
      <c r="K29" s="226"/>
      <c r="L29" s="379"/>
      <c r="M29" s="328"/>
      <c r="N29" s="328"/>
      <c r="O29" s="328"/>
    </row>
    <row r="30" ht="33.0" customHeight="1">
      <c r="A30" s="348" t="s">
        <v>426</v>
      </c>
      <c r="B30" s="348">
        <v>1153005.0</v>
      </c>
      <c r="C30" s="351"/>
      <c r="D30" s="380" t="s">
        <v>439</v>
      </c>
      <c r="E30" s="381">
        <v>45901.0</v>
      </c>
      <c r="F30" s="381">
        <v>46053.0</v>
      </c>
      <c r="G30" s="351"/>
      <c r="H30" s="382"/>
      <c r="I30" s="382"/>
      <c r="J30" s="383"/>
      <c r="K30" s="384"/>
      <c r="L30" s="385"/>
      <c r="M30" s="328"/>
      <c r="N30" s="328"/>
      <c r="O30" s="328"/>
    </row>
    <row r="31" ht="33.0" customHeight="1">
      <c r="A31" s="336" t="s">
        <v>426</v>
      </c>
      <c r="B31" s="336">
        <v>1153006.0</v>
      </c>
      <c r="C31" s="362"/>
      <c r="D31" s="374" t="s">
        <v>440</v>
      </c>
      <c r="E31" s="375">
        <v>45901.0</v>
      </c>
      <c r="F31" s="375">
        <v>46053.0</v>
      </c>
      <c r="G31" s="362"/>
      <c r="H31" s="377"/>
      <c r="I31" s="377"/>
      <c r="J31" s="378"/>
      <c r="K31" s="226"/>
      <c r="L31" s="379"/>
      <c r="M31" s="328"/>
      <c r="N31" s="328"/>
      <c r="O31" s="328"/>
    </row>
    <row r="32" ht="33.0" customHeight="1">
      <c r="A32" s="348" t="s">
        <v>426</v>
      </c>
      <c r="B32" s="348">
        <v>1153007.0</v>
      </c>
      <c r="C32" s="351"/>
      <c r="D32" s="380" t="s">
        <v>441</v>
      </c>
      <c r="E32" s="381">
        <v>45901.0</v>
      </c>
      <c r="F32" s="381">
        <v>46053.0</v>
      </c>
      <c r="G32" s="351"/>
      <c r="H32" s="382"/>
      <c r="I32" s="382"/>
      <c r="J32" s="383"/>
      <c r="K32" s="384"/>
      <c r="L32" s="385"/>
      <c r="M32" s="328"/>
      <c r="N32" s="328"/>
      <c r="O32" s="328"/>
    </row>
    <row r="33" ht="33.0" customHeight="1">
      <c r="A33" s="336" t="s">
        <v>426</v>
      </c>
      <c r="B33" s="336">
        <v>1153009.0</v>
      </c>
      <c r="C33" s="362"/>
      <c r="D33" s="374" t="s">
        <v>442</v>
      </c>
      <c r="E33" s="375">
        <v>45901.0</v>
      </c>
      <c r="F33" s="375">
        <v>46053.0</v>
      </c>
      <c r="G33" s="362"/>
      <c r="H33" s="377"/>
      <c r="I33" s="377"/>
      <c r="J33" s="378"/>
      <c r="K33" s="226"/>
      <c r="L33" s="379"/>
      <c r="M33" s="328"/>
      <c r="N33" s="328"/>
      <c r="O33" s="328"/>
    </row>
    <row r="34" ht="33.0" customHeight="1">
      <c r="A34" s="348" t="s">
        <v>426</v>
      </c>
      <c r="B34" s="348">
        <v>1160529.0</v>
      </c>
      <c r="C34" s="351"/>
      <c r="D34" s="380" t="s">
        <v>443</v>
      </c>
      <c r="E34" s="381">
        <v>45901.0</v>
      </c>
      <c r="F34" s="381">
        <v>46053.0</v>
      </c>
      <c r="G34" s="351"/>
      <c r="H34" s="382"/>
      <c r="I34" s="382"/>
      <c r="J34" s="383"/>
      <c r="K34" s="384"/>
      <c r="L34" s="385"/>
      <c r="M34" s="328"/>
      <c r="N34" s="328"/>
      <c r="O34" s="328"/>
    </row>
    <row r="35" ht="33.0" customHeight="1">
      <c r="A35" s="336" t="s">
        <v>426</v>
      </c>
      <c r="B35" s="336">
        <v>1160530.0</v>
      </c>
      <c r="C35" s="362"/>
      <c r="D35" s="374" t="s">
        <v>444</v>
      </c>
      <c r="E35" s="375">
        <v>45901.0</v>
      </c>
      <c r="F35" s="375">
        <v>46053.0</v>
      </c>
      <c r="G35" s="362"/>
      <c r="H35" s="377"/>
      <c r="I35" s="377"/>
      <c r="J35" s="378"/>
      <c r="K35" s="226"/>
      <c r="L35" s="379"/>
      <c r="M35" s="328"/>
      <c r="N35" s="328"/>
      <c r="O35" s="328"/>
    </row>
    <row r="36" ht="33.0" customHeight="1">
      <c r="A36" s="348" t="s">
        <v>426</v>
      </c>
      <c r="B36" s="348">
        <v>1167361.0</v>
      </c>
      <c r="C36" s="351"/>
      <c r="D36" s="380" t="s">
        <v>445</v>
      </c>
      <c r="E36" s="381">
        <v>45901.0</v>
      </c>
      <c r="F36" s="381">
        <v>46053.0</v>
      </c>
      <c r="G36" s="351"/>
      <c r="H36" s="382"/>
      <c r="I36" s="382"/>
      <c r="J36" s="383"/>
      <c r="K36" s="384"/>
      <c r="L36" s="385"/>
      <c r="M36" s="328"/>
      <c r="N36" s="328"/>
      <c r="O36" s="328"/>
    </row>
    <row r="37" ht="33.0" customHeight="1">
      <c r="A37" s="336" t="s">
        <v>426</v>
      </c>
      <c r="B37" s="336">
        <v>1182888.0</v>
      </c>
      <c r="C37" s="362"/>
      <c r="D37" s="374" t="s">
        <v>446</v>
      </c>
      <c r="E37" s="375">
        <v>45901.0</v>
      </c>
      <c r="F37" s="375">
        <v>46053.0</v>
      </c>
      <c r="G37" s="362"/>
      <c r="H37" s="377"/>
      <c r="I37" s="377"/>
      <c r="J37" s="378"/>
      <c r="K37" s="226"/>
      <c r="L37" s="379"/>
      <c r="M37" s="328"/>
      <c r="N37" s="328"/>
      <c r="O37" s="328"/>
    </row>
    <row r="38" ht="33.0" customHeight="1">
      <c r="A38" s="348" t="s">
        <v>426</v>
      </c>
      <c r="B38" s="348">
        <v>1182956.0</v>
      </c>
      <c r="C38" s="351"/>
      <c r="D38" s="380" t="s">
        <v>447</v>
      </c>
      <c r="E38" s="381">
        <v>45901.0</v>
      </c>
      <c r="F38" s="381">
        <v>46053.0</v>
      </c>
      <c r="G38" s="351"/>
      <c r="H38" s="382"/>
      <c r="I38" s="382"/>
      <c r="J38" s="383"/>
      <c r="K38" s="384"/>
      <c r="L38" s="385"/>
      <c r="M38" s="328"/>
      <c r="N38" s="328"/>
      <c r="O38" s="328"/>
    </row>
    <row r="39" ht="33.0" customHeight="1">
      <c r="A39" s="336" t="s">
        <v>426</v>
      </c>
      <c r="B39" s="336">
        <v>1183031.0</v>
      </c>
      <c r="C39" s="362"/>
      <c r="D39" s="374" t="s">
        <v>448</v>
      </c>
      <c r="E39" s="375">
        <v>45901.0</v>
      </c>
      <c r="F39" s="375">
        <v>46053.0</v>
      </c>
      <c r="G39" s="362"/>
      <c r="H39" s="377"/>
      <c r="I39" s="377"/>
      <c r="J39" s="378"/>
      <c r="K39" s="226"/>
      <c r="L39" s="379"/>
      <c r="M39" s="328"/>
      <c r="N39" s="328"/>
      <c r="O39" s="328"/>
    </row>
    <row r="40" ht="33.0" customHeight="1">
      <c r="A40" s="348" t="s">
        <v>426</v>
      </c>
      <c r="B40" s="348">
        <v>1183033.0</v>
      </c>
      <c r="C40" s="351"/>
      <c r="D40" s="380" t="s">
        <v>449</v>
      </c>
      <c r="E40" s="381">
        <v>45901.0</v>
      </c>
      <c r="F40" s="381">
        <v>46053.0</v>
      </c>
      <c r="G40" s="351"/>
      <c r="H40" s="382"/>
      <c r="I40" s="382"/>
      <c r="J40" s="383"/>
      <c r="K40" s="384"/>
      <c r="L40" s="385"/>
      <c r="M40" s="328"/>
      <c r="N40" s="328"/>
      <c r="O40" s="328"/>
    </row>
    <row r="41" ht="33.0" customHeight="1">
      <c r="A41" s="336" t="s">
        <v>426</v>
      </c>
      <c r="B41" s="336">
        <v>1184375.0</v>
      </c>
      <c r="C41" s="362"/>
      <c r="D41" s="374" t="s">
        <v>450</v>
      </c>
      <c r="E41" s="375">
        <v>45901.0</v>
      </c>
      <c r="F41" s="375">
        <v>46053.0</v>
      </c>
      <c r="G41" s="362"/>
      <c r="H41" s="377"/>
      <c r="I41" s="377"/>
      <c r="J41" s="378"/>
      <c r="K41" s="226"/>
      <c r="L41" s="379"/>
      <c r="M41" s="328"/>
      <c r="N41" s="328"/>
      <c r="O41" s="328"/>
    </row>
    <row r="42" ht="33.0" customHeight="1">
      <c r="A42" s="348" t="s">
        <v>426</v>
      </c>
      <c r="B42" s="348">
        <v>1184412.0</v>
      </c>
      <c r="C42" s="351"/>
      <c r="D42" s="380" t="s">
        <v>451</v>
      </c>
      <c r="E42" s="381">
        <v>45901.0</v>
      </c>
      <c r="F42" s="381">
        <v>46053.0</v>
      </c>
      <c r="G42" s="351"/>
      <c r="H42" s="382"/>
      <c r="I42" s="382"/>
      <c r="J42" s="383"/>
      <c r="K42" s="384"/>
      <c r="L42" s="385"/>
      <c r="M42" s="328"/>
      <c r="N42" s="328"/>
      <c r="O42" s="328"/>
    </row>
    <row r="43" ht="33.0" customHeight="1">
      <c r="A43" s="336" t="s">
        <v>426</v>
      </c>
      <c r="B43" s="336">
        <v>1215963.0</v>
      </c>
      <c r="C43" s="386"/>
      <c r="D43" s="374" t="s">
        <v>452</v>
      </c>
      <c r="E43" s="375">
        <v>45901.0</v>
      </c>
      <c r="F43" s="375">
        <v>46053.0</v>
      </c>
      <c r="G43" s="386"/>
      <c r="H43" s="377"/>
      <c r="I43" s="377"/>
      <c r="J43" s="378"/>
      <c r="K43" s="226"/>
      <c r="L43" s="379"/>
      <c r="M43" s="328"/>
      <c r="N43" s="328"/>
      <c r="O43" s="328"/>
    </row>
    <row r="44" ht="33.0" customHeight="1">
      <c r="A44" s="368"/>
      <c r="B44" s="368"/>
      <c r="C44" s="368"/>
      <c r="D44" s="368"/>
      <c r="E44" s="368"/>
      <c r="F44" s="369"/>
      <c r="G44" s="369"/>
      <c r="H44" s="370"/>
      <c r="I44" s="370"/>
      <c r="J44" s="371"/>
      <c r="K44" s="372"/>
      <c r="L44" s="322"/>
      <c r="M44" s="322"/>
      <c r="N44" s="322"/>
      <c r="O44" s="322"/>
    </row>
    <row r="45" ht="33.0" customHeight="1">
      <c r="A45" s="323" t="s">
        <v>0</v>
      </c>
      <c r="B45" s="323" t="s">
        <v>1</v>
      </c>
      <c r="C45" s="323" t="s">
        <v>367</v>
      </c>
      <c r="D45" s="323" t="s">
        <v>409</v>
      </c>
      <c r="E45" s="325" t="s">
        <v>410</v>
      </c>
      <c r="F45" s="325" t="s">
        <v>411</v>
      </c>
      <c r="G45" s="326" t="s">
        <v>130</v>
      </c>
      <c r="H45" s="326"/>
      <c r="I45" s="327"/>
      <c r="J45" s="326"/>
      <c r="K45" s="221"/>
      <c r="L45" s="328"/>
      <c r="M45" s="329"/>
      <c r="N45" s="329"/>
      <c r="O45" s="329"/>
    </row>
    <row r="46" ht="23.25" customHeight="1">
      <c r="A46" s="330" t="s">
        <v>426</v>
      </c>
      <c r="B46" s="331"/>
      <c r="C46" s="331"/>
      <c r="D46" s="331"/>
      <c r="E46" s="331"/>
      <c r="F46" s="331"/>
      <c r="G46" s="331"/>
      <c r="H46" s="331"/>
      <c r="I46" s="331"/>
      <c r="J46" s="331"/>
      <c r="K46" s="332"/>
      <c r="L46" s="333"/>
    </row>
    <row r="47" ht="21.75" customHeight="1">
      <c r="A47" s="334" t="s">
        <v>453</v>
      </c>
      <c r="B47" s="80"/>
      <c r="C47" s="80"/>
      <c r="D47" s="80"/>
      <c r="E47" s="80"/>
      <c r="F47" s="80"/>
      <c r="G47" s="80"/>
      <c r="H47" s="80"/>
      <c r="I47" s="80"/>
      <c r="J47" s="80"/>
      <c r="K47" s="81"/>
      <c r="L47" s="335" t="s">
        <v>428</v>
      </c>
    </row>
    <row r="48" ht="33.0" customHeight="1">
      <c r="A48" s="336" t="s">
        <v>426</v>
      </c>
      <c r="B48" s="336">
        <v>1151193.0</v>
      </c>
      <c r="C48" s="373" t="s">
        <v>454</v>
      </c>
      <c r="D48" s="374" t="s">
        <v>455</v>
      </c>
      <c r="E48" s="375">
        <v>45901.0</v>
      </c>
      <c r="F48" s="375">
        <v>46053.0</v>
      </c>
      <c r="G48" s="376" t="s">
        <v>130</v>
      </c>
      <c r="H48" s="377"/>
      <c r="I48" s="377"/>
      <c r="J48" s="378"/>
      <c r="K48" s="226"/>
      <c r="L48" s="379"/>
      <c r="M48" s="328"/>
      <c r="N48" s="328"/>
      <c r="O48" s="328"/>
    </row>
    <row r="49" ht="33.0" customHeight="1">
      <c r="A49" s="348" t="s">
        <v>426</v>
      </c>
      <c r="B49" s="348">
        <v>1162882.0</v>
      </c>
      <c r="C49" s="351"/>
      <c r="D49" s="380" t="s">
        <v>456</v>
      </c>
      <c r="E49" s="381">
        <v>45901.0</v>
      </c>
      <c r="F49" s="381">
        <v>46053.0</v>
      </c>
      <c r="G49" s="351"/>
      <c r="H49" s="382"/>
      <c r="I49" s="382"/>
      <c r="J49" s="383"/>
      <c r="K49" s="384"/>
      <c r="L49" s="385"/>
      <c r="M49" s="328"/>
      <c r="N49" s="328"/>
      <c r="O49" s="328"/>
    </row>
    <row r="50" ht="33.0" customHeight="1">
      <c r="A50" s="336" t="s">
        <v>426</v>
      </c>
      <c r="B50" s="336">
        <v>1162885.0</v>
      </c>
      <c r="C50" s="362"/>
      <c r="D50" s="374" t="s">
        <v>457</v>
      </c>
      <c r="E50" s="375">
        <v>45901.0</v>
      </c>
      <c r="F50" s="375">
        <v>46053.0</v>
      </c>
      <c r="G50" s="362"/>
      <c r="H50" s="377"/>
      <c r="I50" s="377"/>
      <c r="J50" s="378"/>
      <c r="K50" s="226"/>
      <c r="L50" s="379"/>
      <c r="M50" s="328"/>
      <c r="N50" s="328"/>
      <c r="O50" s="328"/>
    </row>
    <row r="51" ht="33.0" customHeight="1">
      <c r="A51" s="348" t="s">
        <v>426</v>
      </c>
      <c r="B51" s="348">
        <v>1169409.0</v>
      </c>
      <c r="C51" s="351"/>
      <c r="D51" s="380" t="s">
        <v>458</v>
      </c>
      <c r="E51" s="381">
        <v>45901.0</v>
      </c>
      <c r="F51" s="381">
        <v>46053.0</v>
      </c>
      <c r="G51" s="351"/>
      <c r="H51" s="382"/>
      <c r="I51" s="382"/>
      <c r="J51" s="383"/>
      <c r="K51" s="384"/>
      <c r="L51" s="385"/>
      <c r="M51" s="328"/>
      <c r="N51" s="328"/>
      <c r="O51" s="328"/>
    </row>
    <row r="52" ht="33.0" customHeight="1">
      <c r="A52" s="336" t="s">
        <v>426</v>
      </c>
      <c r="B52" s="336">
        <v>1169410.0</v>
      </c>
      <c r="C52" s="362"/>
      <c r="D52" s="374" t="s">
        <v>459</v>
      </c>
      <c r="E52" s="375">
        <v>45901.0</v>
      </c>
      <c r="F52" s="375">
        <v>46053.0</v>
      </c>
      <c r="G52" s="362"/>
      <c r="H52" s="377"/>
      <c r="I52" s="377"/>
      <c r="J52" s="378"/>
      <c r="K52" s="226"/>
      <c r="L52" s="379"/>
      <c r="M52" s="328"/>
      <c r="N52" s="328"/>
      <c r="O52" s="328"/>
    </row>
    <row r="53" ht="33.0" customHeight="1">
      <c r="A53" s="348" t="s">
        <v>426</v>
      </c>
      <c r="B53" s="348">
        <v>1169421.0</v>
      </c>
      <c r="C53" s="351"/>
      <c r="D53" s="380" t="s">
        <v>460</v>
      </c>
      <c r="E53" s="381">
        <v>45901.0</v>
      </c>
      <c r="F53" s="381">
        <v>46053.0</v>
      </c>
      <c r="G53" s="351"/>
      <c r="H53" s="382"/>
      <c r="I53" s="382"/>
      <c r="J53" s="383"/>
      <c r="K53" s="384"/>
      <c r="L53" s="385"/>
      <c r="M53" s="328"/>
      <c r="N53" s="328"/>
      <c r="O53" s="328"/>
    </row>
    <row r="54" ht="33.0" customHeight="1">
      <c r="A54" s="336" t="s">
        <v>426</v>
      </c>
      <c r="B54" s="336">
        <v>1169422.0</v>
      </c>
      <c r="C54" s="362"/>
      <c r="D54" s="374" t="s">
        <v>461</v>
      </c>
      <c r="E54" s="375">
        <v>45901.0</v>
      </c>
      <c r="F54" s="375">
        <v>46053.0</v>
      </c>
      <c r="G54" s="362"/>
      <c r="H54" s="377"/>
      <c r="I54" s="377"/>
      <c r="J54" s="378"/>
      <c r="K54" s="226"/>
      <c r="L54" s="379"/>
      <c r="M54" s="328"/>
      <c r="N54" s="328"/>
      <c r="O54" s="328"/>
    </row>
    <row r="55" ht="33.0" customHeight="1">
      <c r="A55" s="348" t="s">
        <v>426</v>
      </c>
      <c r="B55" s="348">
        <v>1192463.0</v>
      </c>
      <c r="C55" s="351"/>
      <c r="D55" s="380" t="s">
        <v>462</v>
      </c>
      <c r="E55" s="381">
        <v>45901.0</v>
      </c>
      <c r="F55" s="381">
        <v>46053.0</v>
      </c>
      <c r="G55" s="351"/>
      <c r="H55" s="382"/>
      <c r="I55" s="382"/>
      <c r="J55" s="383"/>
      <c r="K55" s="384"/>
      <c r="L55" s="385"/>
      <c r="M55" s="328"/>
      <c r="N55" s="328"/>
      <c r="O55" s="328"/>
    </row>
    <row r="56" ht="33.0" customHeight="1">
      <c r="A56" s="336" t="s">
        <v>426</v>
      </c>
      <c r="B56" s="336">
        <v>1193524.0</v>
      </c>
      <c r="C56" s="362"/>
      <c r="D56" s="374" t="s">
        <v>463</v>
      </c>
      <c r="E56" s="375">
        <v>45901.0</v>
      </c>
      <c r="F56" s="375">
        <v>46053.0</v>
      </c>
      <c r="G56" s="362"/>
      <c r="H56" s="377"/>
      <c r="I56" s="377"/>
      <c r="J56" s="378"/>
      <c r="K56" s="226"/>
      <c r="L56" s="379"/>
      <c r="M56" s="328"/>
      <c r="N56" s="328"/>
      <c r="O56" s="328"/>
    </row>
    <row r="57" ht="33.0" customHeight="1">
      <c r="A57" s="348" t="s">
        <v>426</v>
      </c>
      <c r="B57" s="348">
        <v>1200410.0</v>
      </c>
      <c r="C57" s="351"/>
      <c r="D57" s="380" t="s">
        <v>464</v>
      </c>
      <c r="E57" s="381">
        <v>45901.0</v>
      </c>
      <c r="F57" s="381">
        <v>46053.0</v>
      </c>
      <c r="G57" s="351"/>
      <c r="H57" s="382"/>
      <c r="I57" s="382"/>
      <c r="J57" s="383"/>
      <c r="K57" s="384"/>
      <c r="L57" s="385"/>
      <c r="M57" s="328"/>
      <c r="N57" s="328"/>
      <c r="O57" s="328"/>
    </row>
    <row r="58" ht="33.0" customHeight="1">
      <c r="A58" s="336" t="s">
        <v>426</v>
      </c>
      <c r="B58" s="336">
        <v>1218100.0</v>
      </c>
      <c r="C58" s="362"/>
      <c r="D58" s="374" t="s">
        <v>465</v>
      </c>
      <c r="E58" s="375">
        <v>45901.0</v>
      </c>
      <c r="F58" s="375">
        <v>46053.0</v>
      </c>
      <c r="G58" s="362"/>
      <c r="H58" s="377"/>
      <c r="I58" s="377"/>
      <c r="J58" s="378"/>
      <c r="K58" s="226"/>
      <c r="L58" s="379"/>
      <c r="M58" s="328"/>
      <c r="N58" s="328"/>
      <c r="O58" s="328"/>
    </row>
    <row r="59" ht="33.0" customHeight="1">
      <c r="A59" s="348" t="s">
        <v>426</v>
      </c>
      <c r="B59" s="348">
        <v>1218131.0</v>
      </c>
      <c r="C59" s="351"/>
      <c r="D59" s="380" t="s">
        <v>466</v>
      </c>
      <c r="E59" s="381">
        <v>45901.0</v>
      </c>
      <c r="F59" s="381">
        <v>46053.0</v>
      </c>
      <c r="G59" s="351"/>
      <c r="H59" s="382"/>
      <c r="I59" s="382"/>
      <c r="J59" s="383"/>
      <c r="K59" s="384"/>
      <c r="L59" s="385"/>
      <c r="M59" s="328"/>
      <c r="N59" s="328"/>
      <c r="O59" s="328"/>
    </row>
    <row r="60" ht="33.0" customHeight="1">
      <c r="A60" s="336" t="s">
        <v>426</v>
      </c>
      <c r="B60" s="336">
        <v>1218132.0</v>
      </c>
      <c r="C60" s="362"/>
      <c r="D60" s="374" t="s">
        <v>467</v>
      </c>
      <c r="E60" s="375">
        <v>45901.0</v>
      </c>
      <c r="F60" s="375">
        <v>46053.0</v>
      </c>
      <c r="G60" s="362"/>
      <c r="H60" s="377"/>
      <c r="I60" s="377"/>
      <c r="J60" s="378"/>
      <c r="K60" s="226"/>
      <c r="L60" s="379"/>
      <c r="M60" s="328"/>
      <c r="N60" s="328"/>
      <c r="O60" s="328"/>
    </row>
    <row r="61" ht="33.0" customHeight="1">
      <c r="A61" s="348" t="s">
        <v>426</v>
      </c>
      <c r="B61" s="348">
        <v>1224890.0</v>
      </c>
      <c r="C61" s="351"/>
      <c r="D61" s="380" t="s">
        <v>468</v>
      </c>
      <c r="E61" s="381">
        <v>45901.0</v>
      </c>
      <c r="F61" s="381">
        <v>46053.0</v>
      </c>
      <c r="G61" s="351"/>
      <c r="H61" s="382"/>
      <c r="I61" s="382"/>
      <c r="J61" s="383"/>
      <c r="K61" s="384"/>
      <c r="L61" s="385"/>
      <c r="M61" s="328"/>
      <c r="N61" s="328"/>
      <c r="O61" s="328"/>
    </row>
    <row r="62" ht="33.0" customHeight="1">
      <c r="A62" s="336" t="s">
        <v>426</v>
      </c>
      <c r="B62" s="336">
        <v>1224931.0</v>
      </c>
      <c r="C62" s="362"/>
      <c r="D62" s="374" t="s">
        <v>469</v>
      </c>
      <c r="E62" s="375">
        <v>45901.0</v>
      </c>
      <c r="F62" s="375">
        <v>46053.0</v>
      </c>
      <c r="G62" s="362"/>
      <c r="H62" s="377"/>
      <c r="I62" s="377"/>
      <c r="J62" s="378"/>
      <c r="K62" s="226"/>
      <c r="L62" s="379"/>
      <c r="M62" s="328"/>
      <c r="N62" s="328"/>
      <c r="O62" s="328"/>
    </row>
    <row r="63" ht="33.0" customHeight="1">
      <c r="A63" s="348" t="s">
        <v>426</v>
      </c>
      <c r="B63" s="348">
        <v>1224932.0</v>
      </c>
      <c r="C63" s="351"/>
      <c r="D63" s="380" t="s">
        <v>470</v>
      </c>
      <c r="E63" s="381">
        <v>45901.0</v>
      </c>
      <c r="F63" s="381">
        <v>46053.0</v>
      </c>
      <c r="G63" s="351"/>
      <c r="H63" s="382"/>
      <c r="I63" s="382"/>
      <c r="J63" s="383"/>
      <c r="K63" s="384"/>
      <c r="L63" s="385"/>
      <c r="M63" s="328"/>
      <c r="N63" s="328"/>
      <c r="O63" s="328"/>
    </row>
    <row r="64" ht="33.0" customHeight="1">
      <c r="A64" s="336" t="s">
        <v>426</v>
      </c>
      <c r="B64" s="336">
        <v>1225382.0</v>
      </c>
      <c r="C64" s="386"/>
      <c r="D64" s="374" t="s">
        <v>471</v>
      </c>
      <c r="E64" s="375">
        <v>45901.0</v>
      </c>
      <c r="F64" s="375">
        <v>46053.0</v>
      </c>
      <c r="G64" s="386"/>
      <c r="H64" s="377"/>
      <c r="I64" s="377"/>
      <c r="J64" s="378"/>
      <c r="K64" s="226"/>
      <c r="L64" s="379"/>
      <c r="M64" s="328"/>
      <c r="N64" s="328"/>
      <c r="O64" s="328"/>
    </row>
    <row r="65" ht="33.0" hidden="1" customHeight="1">
      <c r="A65" s="387"/>
      <c r="B65" s="387"/>
      <c r="C65" s="387"/>
      <c r="D65" s="387"/>
      <c r="E65" s="387"/>
      <c r="F65" s="388"/>
      <c r="G65" s="388"/>
      <c r="H65" s="389"/>
      <c r="I65" s="389"/>
      <c r="J65" s="390"/>
      <c r="K65" s="319"/>
      <c r="L65" s="322"/>
      <c r="M65" s="322"/>
      <c r="N65" s="322"/>
      <c r="O65" s="322"/>
    </row>
    <row r="66" ht="33.0" hidden="1" customHeight="1">
      <c r="A66" s="48" t="s">
        <v>0</v>
      </c>
      <c r="B66" s="48" t="s">
        <v>1</v>
      </c>
      <c r="C66" s="49" t="s">
        <v>472</v>
      </c>
      <c r="D66" s="48" t="s">
        <v>473</v>
      </c>
      <c r="E66" s="48" t="s">
        <v>409</v>
      </c>
      <c r="F66" s="50" t="s">
        <v>410</v>
      </c>
      <c r="G66" s="50" t="s">
        <v>411</v>
      </c>
      <c r="H66" s="48" t="s">
        <v>11</v>
      </c>
      <c r="I66" s="48"/>
      <c r="J66" s="48"/>
      <c r="K66" s="48"/>
      <c r="L66" s="391"/>
    </row>
    <row r="67" ht="21.75" hidden="1" customHeight="1">
      <c r="A67" s="392" t="s">
        <v>474</v>
      </c>
      <c r="B67" s="56"/>
      <c r="C67" s="56"/>
      <c r="D67" s="56"/>
      <c r="E67" s="56"/>
      <c r="F67" s="56"/>
      <c r="G67" s="56"/>
      <c r="H67" s="56"/>
      <c r="I67" s="56"/>
      <c r="J67" s="56"/>
      <c r="K67" s="57"/>
      <c r="L67" s="333"/>
    </row>
    <row r="68" ht="21.75" hidden="1" customHeight="1">
      <c r="A68" s="334" t="s">
        <v>475</v>
      </c>
      <c r="B68" s="80"/>
      <c r="C68" s="80"/>
      <c r="D68" s="80"/>
      <c r="E68" s="80"/>
      <c r="F68" s="80"/>
      <c r="G68" s="80"/>
      <c r="H68" s="80"/>
      <c r="I68" s="80"/>
      <c r="J68" s="80"/>
      <c r="K68" s="81"/>
      <c r="L68" s="393"/>
    </row>
    <row r="69" ht="33.0" hidden="1" customHeight="1">
      <c r="A69" s="394" t="s">
        <v>474</v>
      </c>
      <c r="B69" s="394">
        <v>1204251.0</v>
      </c>
      <c r="C69" s="394" t="s">
        <v>476</v>
      </c>
      <c r="D69" s="395" t="s">
        <v>477</v>
      </c>
      <c r="E69" s="394" t="s">
        <v>478</v>
      </c>
      <c r="F69" s="396">
        <v>45848.0</v>
      </c>
      <c r="G69" s="396">
        <v>45930.0</v>
      </c>
      <c r="H69" s="397" t="s">
        <v>130</v>
      </c>
      <c r="I69" s="398"/>
      <c r="J69" s="399"/>
      <c r="K69" s="400"/>
      <c r="L69" s="333"/>
    </row>
    <row r="70">
      <c r="A70" s="401"/>
      <c r="B70" s="402"/>
      <c r="C70" s="402"/>
      <c r="D70" s="402"/>
      <c r="E70" s="402"/>
      <c r="F70" s="403"/>
      <c r="G70" s="403"/>
      <c r="H70" s="404"/>
      <c r="I70" s="405"/>
      <c r="J70" s="406"/>
      <c r="K70" s="407"/>
      <c r="L70" s="407"/>
      <c r="M70" s="408"/>
      <c r="N70" s="408"/>
      <c r="O70" s="408"/>
    </row>
    <row r="71" ht="33.0" customHeight="1">
      <c r="A71" s="368"/>
      <c r="B71" s="368"/>
      <c r="C71" s="368"/>
      <c r="D71" s="368"/>
      <c r="E71" s="368"/>
      <c r="F71" s="369"/>
      <c r="G71" s="369"/>
      <c r="H71" s="370"/>
      <c r="I71" s="370"/>
      <c r="J71" s="371"/>
      <c r="K71" s="372"/>
      <c r="L71" s="322"/>
      <c r="M71" s="322"/>
      <c r="N71" s="322"/>
      <c r="O71" s="322"/>
    </row>
    <row r="72" ht="33.0" customHeight="1">
      <c r="A72" s="48" t="s">
        <v>479</v>
      </c>
      <c r="B72" s="48" t="s">
        <v>1</v>
      </c>
      <c r="C72" s="48" t="s">
        <v>2</v>
      </c>
      <c r="D72" s="48" t="s">
        <v>366</v>
      </c>
      <c r="E72" s="48" t="s">
        <v>480</v>
      </c>
      <c r="F72" s="48" t="s">
        <v>481</v>
      </c>
      <c r="G72" s="48" t="s">
        <v>482</v>
      </c>
      <c r="H72" s="409" t="s">
        <v>483</v>
      </c>
      <c r="I72" s="48" t="s">
        <v>484</v>
      </c>
      <c r="J72" s="48" t="s">
        <v>485</v>
      </c>
      <c r="K72" s="48" t="s">
        <v>411</v>
      </c>
      <c r="L72" s="48"/>
      <c r="M72" s="410"/>
      <c r="N72" s="410"/>
      <c r="O72" s="410"/>
    </row>
    <row r="73" ht="33.0" customHeight="1">
      <c r="A73" s="411"/>
      <c r="B73" s="412"/>
      <c r="C73" s="413"/>
      <c r="D73" s="414"/>
      <c r="E73" s="414"/>
      <c r="F73" s="414"/>
      <c r="G73" s="415"/>
      <c r="H73" s="416"/>
      <c r="I73" s="417"/>
      <c r="J73" s="418"/>
      <c r="K73" s="419"/>
      <c r="L73" s="420"/>
      <c r="M73" s="410"/>
      <c r="N73" s="410"/>
      <c r="O73" s="410"/>
    </row>
    <row r="74" ht="33.0" customHeight="1">
      <c r="A74" s="411"/>
      <c r="B74" s="412"/>
      <c r="C74" s="413"/>
      <c r="D74" s="414"/>
      <c r="E74" s="414"/>
      <c r="F74" s="414"/>
      <c r="G74" s="415"/>
      <c r="H74" s="416"/>
      <c r="I74" s="417"/>
      <c r="J74" s="418"/>
      <c r="K74" s="419"/>
      <c r="L74" s="420"/>
      <c r="M74" s="410"/>
      <c r="N74" s="410"/>
      <c r="O74" s="410"/>
    </row>
    <row r="75" ht="33.0" customHeight="1">
      <c r="A75" s="411"/>
      <c r="B75" s="412"/>
      <c r="C75" s="413"/>
      <c r="D75" s="414"/>
      <c r="E75" s="414"/>
      <c r="F75" s="414"/>
      <c r="G75" s="415"/>
      <c r="H75" s="416"/>
      <c r="I75" s="417"/>
      <c r="J75" s="418"/>
      <c r="K75" s="419"/>
      <c r="L75" s="420"/>
      <c r="M75" s="410"/>
      <c r="N75" s="410"/>
      <c r="O75" s="410"/>
    </row>
    <row r="76" ht="33.0" customHeight="1">
      <c r="A76" s="411"/>
      <c r="B76" s="412"/>
      <c r="C76" s="413"/>
      <c r="D76" s="414"/>
      <c r="E76" s="414"/>
      <c r="F76" s="414"/>
      <c r="G76" s="415"/>
      <c r="H76" s="416"/>
      <c r="I76" s="417"/>
      <c r="J76" s="418"/>
      <c r="K76" s="419"/>
      <c r="L76" s="420"/>
      <c r="M76" s="410"/>
      <c r="N76" s="410"/>
      <c r="O76" s="410"/>
    </row>
    <row r="77" ht="33.0" customHeight="1">
      <c r="A77" s="411"/>
      <c r="B77" s="412"/>
      <c r="C77" s="413"/>
      <c r="D77" s="414"/>
      <c r="E77" s="414"/>
      <c r="F77" s="414"/>
      <c r="G77" s="415"/>
      <c r="H77" s="416"/>
      <c r="I77" s="417"/>
      <c r="J77" s="418"/>
      <c r="K77" s="419"/>
      <c r="L77" s="420"/>
      <c r="M77" s="410"/>
      <c r="N77" s="410"/>
      <c r="O77" s="410"/>
    </row>
    <row r="78" ht="33.0" customHeight="1">
      <c r="A78" s="411"/>
      <c r="B78" s="412"/>
      <c r="C78" s="413"/>
      <c r="D78" s="414"/>
      <c r="E78" s="414"/>
      <c r="F78" s="414"/>
      <c r="G78" s="415"/>
      <c r="H78" s="416"/>
      <c r="I78" s="417"/>
      <c r="J78" s="418"/>
      <c r="K78" s="419"/>
      <c r="L78" s="420"/>
      <c r="M78" s="410"/>
      <c r="N78" s="410"/>
      <c r="O78" s="410"/>
    </row>
    <row r="79" ht="33.0" customHeight="1">
      <c r="A79" s="411"/>
      <c r="B79" s="412"/>
      <c r="C79" s="413"/>
      <c r="D79" s="414"/>
      <c r="E79" s="414"/>
      <c r="F79" s="414"/>
      <c r="G79" s="415"/>
      <c r="H79" s="416"/>
      <c r="I79" s="417"/>
      <c r="J79" s="418"/>
      <c r="K79" s="419"/>
      <c r="L79" s="420"/>
      <c r="M79" s="410"/>
      <c r="N79" s="410"/>
      <c r="O79" s="410"/>
    </row>
    <row r="80" ht="33.0" customHeight="1">
      <c r="A80" s="411"/>
      <c r="B80" s="412"/>
      <c r="C80" s="413"/>
      <c r="D80" s="414"/>
      <c r="E80" s="414"/>
      <c r="F80" s="414"/>
      <c r="G80" s="415"/>
      <c r="H80" s="416"/>
      <c r="I80" s="417"/>
      <c r="J80" s="418"/>
      <c r="K80" s="419"/>
      <c r="L80" s="420"/>
      <c r="M80" s="410"/>
      <c r="N80" s="410"/>
      <c r="O80" s="410"/>
    </row>
    <row r="81" ht="33.0" customHeight="1">
      <c r="A81" s="411"/>
      <c r="B81" s="412"/>
      <c r="C81" s="413"/>
      <c r="D81" s="414"/>
      <c r="E81" s="414"/>
      <c r="F81" s="414"/>
      <c r="G81" s="415"/>
      <c r="H81" s="416"/>
      <c r="I81" s="417"/>
      <c r="J81" s="418"/>
      <c r="K81" s="419"/>
      <c r="L81" s="420"/>
      <c r="M81" s="410"/>
      <c r="N81" s="410"/>
      <c r="O81" s="410"/>
    </row>
    <row r="82" ht="33.0" customHeight="1">
      <c r="A82" s="411"/>
      <c r="B82" s="412"/>
      <c r="C82" s="413"/>
      <c r="D82" s="414"/>
      <c r="E82" s="414"/>
      <c r="F82" s="414"/>
      <c r="G82" s="415"/>
      <c r="H82" s="416"/>
      <c r="I82" s="417"/>
      <c r="J82" s="418"/>
      <c r="K82" s="419"/>
      <c r="L82" s="420"/>
      <c r="M82" s="410"/>
      <c r="N82" s="410"/>
      <c r="O82" s="410"/>
    </row>
    <row r="83" ht="33.0" customHeight="1">
      <c r="A83" s="411"/>
      <c r="B83" s="412"/>
      <c r="C83" s="413"/>
      <c r="D83" s="414"/>
      <c r="E83" s="414"/>
      <c r="F83" s="414"/>
      <c r="G83" s="415"/>
      <c r="H83" s="416"/>
      <c r="I83" s="417"/>
      <c r="J83" s="418"/>
      <c r="K83" s="419"/>
      <c r="L83" s="420"/>
      <c r="M83" s="410"/>
      <c r="N83" s="410"/>
      <c r="O83" s="410"/>
    </row>
    <row r="84" ht="33.0" customHeight="1">
      <c r="A84" s="411"/>
      <c r="B84" s="412"/>
      <c r="C84" s="413"/>
      <c r="D84" s="414"/>
      <c r="E84" s="414"/>
      <c r="F84" s="414"/>
      <c r="G84" s="415"/>
      <c r="H84" s="416"/>
      <c r="I84" s="417"/>
      <c r="J84" s="418"/>
      <c r="K84" s="419"/>
      <c r="L84" s="420"/>
      <c r="M84" s="410"/>
      <c r="N84" s="410"/>
      <c r="O84" s="410"/>
    </row>
    <row r="85" ht="33.0" customHeight="1">
      <c r="A85" s="411"/>
      <c r="B85" s="412"/>
      <c r="C85" s="413"/>
      <c r="D85" s="414"/>
      <c r="E85" s="414"/>
      <c r="F85" s="414"/>
      <c r="G85" s="415"/>
      <c r="H85" s="416"/>
      <c r="I85" s="417"/>
      <c r="J85" s="418"/>
      <c r="K85" s="419"/>
      <c r="L85" s="420"/>
      <c r="M85" s="410"/>
      <c r="N85" s="410"/>
      <c r="O85" s="410"/>
    </row>
    <row r="86" ht="33.0" customHeight="1">
      <c r="A86" s="411"/>
      <c r="B86" s="412"/>
      <c r="C86" s="413"/>
      <c r="D86" s="414"/>
      <c r="E86" s="414"/>
      <c r="F86" s="414"/>
      <c r="G86" s="415"/>
      <c r="H86" s="416"/>
      <c r="I86" s="417"/>
      <c r="J86" s="418"/>
      <c r="K86" s="419"/>
      <c r="L86" s="420"/>
      <c r="M86" s="410"/>
      <c r="N86" s="410"/>
      <c r="O86" s="410"/>
    </row>
    <row r="87" ht="33.0" customHeight="1">
      <c r="A87" s="411"/>
      <c r="B87" s="412"/>
      <c r="C87" s="413"/>
      <c r="D87" s="414"/>
      <c r="E87" s="414"/>
      <c r="F87" s="414"/>
      <c r="G87" s="415"/>
      <c r="H87" s="416"/>
      <c r="I87" s="417"/>
      <c r="J87" s="418"/>
      <c r="K87" s="419"/>
      <c r="L87" s="420"/>
      <c r="M87" s="410"/>
      <c r="N87" s="410"/>
      <c r="O87" s="410"/>
    </row>
    <row r="88" ht="33.0" customHeight="1">
      <c r="A88" s="411"/>
      <c r="B88" s="412"/>
      <c r="C88" s="413"/>
      <c r="D88" s="414"/>
      <c r="E88" s="414"/>
      <c r="F88" s="414"/>
      <c r="G88" s="415"/>
      <c r="H88" s="416"/>
      <c r="I88" s="417"/>
      <c r="J88" s="418"/>
      <c r="K88" s="419"/>
      <c r="L88" s="420"/>
      <c r="M88" s="410"/>
      <c r="N88" s="410"/>
      <c r="O88" s="410"/>
    </row>
    <row r="89" ht="33.0" customHeight="1">
      <c r="A89" s="411"/>
      <c r="B89" s="412"/>
      <c r="C89" s="413"/>
      <c r="D89" s="414"/>
      <c r="E89" s="414"/>
      <c r="F89" s="414"/>
      <c r="G89" s="415"/>
      <c r="H89" s="416"/>
      <c r="I89" s="417"/>
      <c r="J89" s="418"/>
      <c r="K89" s="419"/>
      <c r="L89" s="420"/>
      <c r="M89" s="410"/>
      <c r="N89" s="410"/>
      <c r="O89" s="410"/>
    </row>
    <row r="90" ht="33.0" customHeight="1">
      <c r="A90" s="411"/>
      <c r="B90" s="412"/>
      <c r="C90" s="413"/>
      <c r="D90" s="414"/>
      <c r="E90" s="414"/>
      <c r="F90" s="414"/>
      <c r="G90" s="415"/>
      <c r="H90" s="416"/>
      <c r="I90" s="417"/>
      <c r="J90" s="418"/>
      <c r="K90" s="419"/>
      <c r="L90" s="420"/>
      <c r="M90" s="410"/>
      <c r="N90" s="410"/>
      <c r="O90" s="410"/>
    </row>
    <row r="91" ht="33.0" customHeight="1">
      <c r="A91" s="411"/>
      <c r="B91" s="412"/>
      <c r="C91" s="413"/>
      <c r="D91" s="414"/>
      <c r="E91" s="414"/>
      <c r="F91" s="414"/>
      <c r="G91" s="415"/>
      <c r="H91" s="416"/>
      <c r="I91" s="417"/>
      <c r="J91" s="418"/>
      <c r="K91" s="419"/>
      <c r="L91" s="420"/>
      <c r="M91" s="410"/>
      <c r="N91" s="410"/>
      <c r="O91" s="410"/>
    </row>
    <row r="92" ht="33.0" customHeight="1">
      <c r="A92" s="411"/>
      <c r="B92" s="412"/>
      <c r="C92" s="413"/>
      <c r="D92" s="414"/>
      <c r="E92" s="414"/>
      <c r="F92" s="414"/>
      <c r="G92" s="415"/>
      <c r="H92" s="416"/>
      <c r="I92" s="417"/>
      <c r="J92" s="418"/>
      <c r="K92" s="419"/>
      <c r="L92" s="420"/>
      <c r="M92" s="410"/>
      <c r="N92" s="410"/>
      <c r="O92" s="410"/>
    </row>
    <row r="93" ht="33.0" customHeight="1">
      <c r="A93" s="411"/>
      <c r="B93" s="412"/>
      <c r="C93" s="413"/>
      <c r="D93" s="414"/>
      <c r="E93" s="414"/>
      <c r="F93" s="414"/>
      <c r="G93" s="415"/>
      <c r="H93" s="416"/>
      <c r="I93" s="417"/>
      <c r="J93" s="418"/>
      <c r="K93" s="419"/>
      <c r="L93" s="420"/>
      <c r="M93" s="410"/>
      <c r="N93" s="410"/>
      <c r="O93" s="410"/>
    </row>
    <row r="94" ht="33.0" customHeight="1">
      <c r="A94" s="411"/>
      <c r="B94" s="412"/>
      <c r="C94" s="413"/>
      <c r="D94" s="414"/>
      <c r="E94" s="414"/>
      <c r="F94" s="414"/>
      <c r="G94" s="415"/>
      <c r="H94" s="416"/>
      <c r="I94" s="417"/>
      <c r="J94" s="418"/>
      <c r="K94" s="419"/>
      <c r="L94" s="420"/>
      <c r="M94" s="410"/>
      <c r="N94" s="410"/>
      <c r="O94" s="410"/>
    </row>
    <row r="95" ht="33.0" customHeight="1">
      <c r="A95" s="411"/>
      <c r="B95" s="412"/>
      <c r="C95" s="413"/>
      <c r="D95" s="414"/>
      <c r="E95" s="414"/>
      <c r="F95" s="414"/>
      <c r="G95" s="415"/>
      <c r="H95" s="416"/>
      <c r="I95" s="417"/>
      <c r="J95" s="418"/>
      <c r="K95" s="419"/>
      <c r="L95" s="420"/>
      <c r="M95" s="410"/>
      <c r="N95" s="410"/>
      <c r="O95" s="410"/>
    </row>
    <row r="96" ht="33.0" customHeight="1">
      <c r="A96" s="411"/>
      <c r="B96" s="412"/>
      <c r="C96" s="413"/>
      <c r="D96" s="414"/>
      <c r="E96" s="414"/>
      <c r="F96" s="414"/>
      <c r="G96" s="415"/>
      <c r="H96" s="416"/>
      <c r="I96" s="417"/>
      <c r="J96" s="418"/>
      <c r="K96" s="419"/>
      <c r="L96" s="420"/>
      <c r="M96" s="410"/>
      <c r="N96" s="410"/>
      <c r="O96" s="410"/>
    </row>
    <row r="97" ht="33.0" customHeight="1">
      <c r="A97" s="411"/>
      <c r="B97" s="412"/>
      <c r="C97" s="413"/>
      <c r="D97" s="414"/>
      <c r="E97" s="414"/>
      <c r="F97" s="414"/>
      <c r="G97" s="415"/>
      <c r="H97" s="416"/>
      <c r="I97" s="417"/>
      <c r="J97" s="418"/>
      <c r="K97" s="419"/>
      <c r="L97" s="420"/>
      <c r="M97" s="410"/>
      <c r="N97" s="410"/>
      <c r="O97" s="410"/>
    </row>
    <row r="98" ht="33.0" customHeight="1">
      <c r="A98" s="411"/>
      <c r="B98" s="412"/>
      <c r="C98" s="413"/>
      <c r="D98" s="414"/>
      <c r="E98" s="414"/>
      <c r="F98" s="414"/>
      <c r="G98" s="415"/>
      <c r="H98" s="416"/>
      <c r="I98" s="417"/>
      <c r="J98" s="418"/>
      <c r="K98" s="419"/>
      <c r="L98" s="420"/>
      <c r="M98" s="410"/>
      <c r="N98" s="410"/>
      <c r="O98" s="410"/>
    </row>
    <row r="99" ht="33.0" customHeight="1">
      <c r="A99" s="411"/>
      <c r="B99" s="412"/>
      <c r="C99" s="413"/>
      <c r="D99" s="414"/>
      <c r="E99" s="414"/>
      <c r="F99" s="414"/>
      <c r="G99" s="415"/>
      <c r="H99" s="416"/>
      <c r="I99" s="417"/>
      <c r="J99" s="418"/>
      <c r="K99" s="419"/>
      <c r="L99" s="420"/>
      <c r="M99" s="410"/>
      <c r="N99" s="410"/>
      <c r="O99" s="410"/>
    </row>
    <row r="100" ht="33.0" customHeight="1">
      <c r="A100" s="411"/>
      <c r="B100" s="412"/>
      <c r="C100" s="413"/>
      <c r="D100" s="414"/>
      <c r="E100" s="414"/>
      <c r="F100" s="414"/>
      <c r="G100" s="415"/>
      <c r="H100" s="416"/>
      <c r="I100" s="417"/>
      <c r="J100" s="418"/>
      <c r="K100" s="419"/>
      <c r="L100" s="420"/>
      <c r="M100" s="410"/>
      <c r="N100" s="410"/>
      <c r="O100" s="410"/>
    </row>
    <row r="101" ht="33.0" customHeight="1">
      <c r="A101" s="411"/>
      <c r="B101" s="412"/>
      <c r="C101" s="413"/>
      <c r="D101" s="414"/>
      <c r="E101" s="414"/>
      <c r="F101" s="414"/>
      <c r="G101" s="415"/>
      <c r="H101" s="416"/>
      <c r="I101" s="417"/>
      <c r="J101" s="418"/>
      <c r="K101" s="419"/>
      <c r="L101" s="420"/>
      <c r="M101" s="410"/>
      <c r="N101" s="410"/>
      <c r="O101" s="410"/>
    </row>
    <row r="102" ht="33.0" customHeight="1">
      <c r="A102" s="411"/>
      <c r="B102" s="412"/>
      <c r="C102" s="413"/>
      <c r="D102" s="414"/>
      <c r="E102" s="414"/>
      <c r="F102" s="414"/>
      <c r="G102" s="415"/>
      <c r="H102" s="416"/>
      <c r="I102" s="417"/>
      <c r="J102" s="418"/>
      <c r="K102" s="419"/>
      <c r="L102" s="420"/>
      <c r="M102" s="410"/>
      <c r="N102" s="410"/>
      <c r="O102" s="410"/>
    </row>
    <row r="103" ht="33.0" hidden="1" customHeight="1">
      <c r="A103" s="411" t="s">
        <v>486</v>
      </c>
      <c r="B103" s="412">
        <v>1182956.0</v>
      </c>
      <c r="C103" s="413" t="s">
        <v>487</v>
      </c>
      <c r="D103" s="414" t="s">
        <v>447</v>
      </c>
      <c r="E103" s="414" t="s">
        <v>488</v>
      </c>
      <c r="F103" s="421" t="s">
        <v>489</v>
      </c>
      <c r="G103" s="422">
        <v>59.99</v>
      </c>
      <c r="H103" s="423">
        <v>59.99</v>
      </c>
      <c r="I103" s="417">
        <v>49.99</v>
      </c>
      <c r="J103" s="418">
        <v>45891.0</v>
      </c>
      <c r="K103" s="419">
        <v>45928.0</v>
      </c>
      <c r="L103" s="420"/>
      <c r="M103" s="410"/>
      <c r="N103" s="410"/>
      <c r="O103" s="410"/>
    </row>
    <row r="104" ht="33.0" hidden="1" customHeight="1">
      <c r="A104" s="411" t="s">
        <v>486</v>
      </c>
      <c r="B104" s="412">
        <v>1200410.0</v>
      </c>
      <c r="C104" s="413" t="s">
        <v>490</v>
      </c>
      <c r="D104" s="414" t="s">
        <v>464</v>
      </c>
      <c r="E104" s="414" t="s">
        <v>491</v>
      </c>
      <c r="F104" s="421" t="s">
        <v>492</v>
      </c>
      <c r="G104" s="422">
        <v>229.99</v>
      </c>
      <c r="H104" s="423">
        <v>199.99</v>
      </c>
      <c r="I104" s="417">
        <v>189.99</v>
      </c>
      <c r="J104" s="418">
        <v>45891.0</v>
      </c>
      <c r="K104" s="419">
        <v>45928.0</v>
      </c>
      <c r="L104" s="420"/>
      <c r="M104" s="410"/>
      <c r="N104" s="410"/>
      <c r="O104" s="410"/>
    </row>
    <row r="105" ht="33.0" hidden="1" customHeight="1">
      <c r="A105" s="411" t="s">
        <v>493</v>
      </c>
      <c r="B105" s="412">
        <v>1223904.0</v>
      </c>
      <c r="C105" s="413" t="s">
        <v>494</v>
      </c>
      <c r="D105" s="414" t="s">
        <v>495</v>
      </c>
      <c r="E105" s="414" t="s">
        <v>496</v>
      </c>
      <c r="F105" s="421" t="s">
        <v>497</v>
      </c>
      <c r="G105" s="422">
        <v>99.9</v>
      </c>
      <c r="H105" s="423">
        <v>99.9</v>
      </c>
      <c r="I105" s="417">
        <v>79.9</v>
      </c>
      <c r="J105" s="418">
        <v>45891.0</v>
      </c>
      <c r="K105" s="419">
        <v>45928.0</v>
      </c>
      <c r="L105" s="420"/>
      <c r="M105" s="410"/>
      <c r="N105" s="410"/>
      <c r="O105" s="410"/>
    </row>
    <row r="106" ht="33.0" hidden="1" customHeight="1">
      <c r="A106" s="411" t="s">
        <v>498</v>
      </c>
      <c r="B106" s="412">
        <v>1220940.0</v>
      </c>
      <c r="C106" s="413" t="s">
        <v>499</v>
      </c>
      <c r="D106" s="414" t="s">
        <v>500</v>
      </c>
      <c r="E106" s="424" t="s">
        <v>491</v>
      </c>
      <c r="F106" s="421" t="s">
        <v>501</v>
      </c>
      <c r="G106" s="422">
        <v>109.99</v>
      </c>
      <c r="H106" s="423">
        <v>109.99</v>
      </c>
      <c r="I106" s="417">
        <v>99.99</v>
      </c>
      <c r="J106" s="418">
        <v>45891.0</v>
      </c>
      <c r="K106" s="419">
        <v>45911.0</v>
      </c>
      <c r="L106" s="420"/>
      <c r="M106" s="410"/>
      <c r="N106" s="410"/>
      <c r="O106" s="410"/>
    </row>
    <row r="107" ht="33.0" hidden="1" customHeight="1">
      <c r="A107" s="411" t="s">
        <v>498</v>
      </c>
      <c r="B107" s="412">
        <v>1221014.0</v>
      </c>
      <c r="C107" s="413" t="s">
        <v>499</v>
      </c>
      <c r="D107" s="414" t="s">
        <v>502</v>
      </c>
      <c r="E107" s="414" t="s">
        <v>496</v>
      </c>
      <c r="F107" s="421" t="s">
        <v>501</v>
      </c>
      <c r="G107" s="422">
        <v>209.99</v>
      </c>
      <c r="H107" s="423">
        <v>209.99</v>
      </c>
      <c r="I107" s="417">
        <v>194.99</v>
      </c>
      <c r="J107" s="418">
        <v>45891.0</v>
      </c>
      <c r="K107" s="419">
        <v>45911.0</v>
      </c>
      <c r="L107" s="420"/>
      <c r="M107" s="410"/>
      <c r="N107" s="410"/>
      <c r="O107" s="410"/>
    </row>
    <row r="108" ht="33.0" hidden="1" customHeight="1">
      <c r="A108" s="411" t="s">
        <v>503</v>
      </c>
      <c r="B108" s="412">
        <v>1206435.0</v>
      </c>
      <c r="C108" s="413" t="s">
        <v>504</v>
      </c>
      <c r="D108" s="414" t="s">
        <v>505</v>
      </c>
      <c r="E108" s="414" t="s">
        <v>506</v>
      </c>
      <c r="F108" s="421" t="s">
        <v>507</v>
      </c>
      <c r="G108" s="422">
        <v>119.99</v>
      </c>
      <c r="H108" s="423">
        <v>119.99</v>
      </c>
      <c r="I108" s="417">
        <v>109.9</v>
      </c>
      <c r="J108" s="418">
        <v>45891.0</v>
      </c>
      <c r="K108" s="419">
        <v>45923.0</v>
      </c>
      <c r="L108" s="420"/>
      <c r="M108" s="410"/>
      <c r="N108" s="410"/>
      <c r="O108" s="410"/>
    </row>
    <row r="109" ht="33.0" hidden="1" customHeight="1">
      <c r="A109" s="411" t="s">
        <v>503</v>
      </c>
      <c r="B109" s="412">
        <v>1198177.0</v>
      </c>
      <c r="C109" s="413" t="s">
        <v>504</v>
      </c>
      <c r="D109" s="414" t="s">
        <v>508</v>
      </c>
      <c r="E109" s="414" t="s">
        <v>488</v>
      </c>
      <c r="F109" s="421" t="s">
        <v>507</v>
      </c>
      <c r="G109" s="422">
        <v>220.02</v>
      </c>
      <c r="H109" s="423">
        <v>164.99</v>
      </c>
      <c r="I109" s="417">
        <v>164.9</v>
      </c>
      <c r="J109" s="418">
        <v>45891.0</v>
      </c>
      <c r="K109" s="419">
        <v>45923.0</v>
      </c>
      <c r="L109" s="420"/>
      <c r="M109" s="410"/>
      <c r="N109" s="410"/>
      <c r="O109" s="410"/>
    </row>
    <row r="110" ht="33.0" hidden="1" customHeight="1">
      <c r="A110" s="411" t="s">
        <v>503</v>
      </c>
      <c r="B110" s="412">
        <v>1206465.0</v>
      </c>
      <c r="C110" s="413" t="s">
        <v>504</v>
      </c>
      <c r="D110" s="414" t="s">
        <v>509</v>
      </c>
      <c r="E110" s="414" t="s">
        <v>488</v>
      </c>
      <c r="F110" s="421" t="s">
        <v>507</v>
      </c>
      <c r="G110" s="422">
        <v>329.0</v>
      </c>
      <c r="H110" s="423">
        <v>329.0</v>
      </c>
      <c r="I110" s="417">
        <v>299.9</v>
      </c>
      <c r="J110" s="418">
        <v>45891.0</v>
      </c>
      <c r="K110" s="419">
        <v>45923.0</v>
      </c>
      <c r="L110" s="420"/>
      <c r="M110" s="410"/>
      <c r="N110" s="410"/>
      <c r="O110" s="410"/>
    </row>
    <row r="111" ht="33.0" hidden="1" customHeight="1">
      <c r="A111" s="411" t="s">
        <v>493</v>
      </c>
      <c r="B111" s="412">
        <v>1192713.0</v>
      </c>
      <c r="C111" s="413" t="s">
        <v>510</v>
      </c>
      <c r="D111" s="414" t="s">
        <v>511</v>
      </c>
      <c r="E111" s="414" t="s">
        <v>506</v>
      </c>
      <c r="F111" s="421" t="s">
        <v>497</v>
      </c>
      <c r="G111" s="422">
        <v>59.9</v>
      </c>
      <c r="H111" s="423">
        <v>39.9</v>
      </c>
      <c r="I111" s="417">
        <v>39.9</v>
      </c>
      <c r="J111" s="418">
        <v>45891.0</v>
      </c>
      <c r="K111" s="419">
        <v>45928.0</v>
      </c>
      <c r="L111" s="420"/>
      <c r="M111" s="410"/>
      <c r="N111" s="410"/>
      <c r="O111" s="410"/>
    </row>
    <row r="112" ht="33.0" hidden="1" customHeight="1">
      <c r="A112" s="411" t="s">
        <v>493</v>
      </c>
      <c r="B112" s="412">
        <v>1214470.0</v>
      </c>
      <c r="C112" s="413" t="s">
        <v>510</v>
      </c>
      <c r="D112" s="414" t="s">
        <v>512</v>
      </c>
      <c r="E112" s="414" t="s">
        <v>488</v>
      </c>
      <c r="F112" s="421" t="s">
        <v>497</v>
      </c>
      <c r="G112" s="422">
        <v>299.91</v>
      </c>
      <c r="H112" s="423">
        <v>299.91</v>
      </c>
      <c r="I112" s="417">
        <v>199.9</v>
      </c>
      <c r="J112" s="418">
        <v>45891.0</v>
      </c>
      <c r="K112" s="419">
        <v>45928.0</v>
      </c>
      <c r="L112" s="420"/>
      <c r="M112" s="410"/>
      <c r="N112" s="410"/>
      <c r="O112" s="410"/>
    </row>
    <row r="113" ht="33.0" hidden="1" customHeight="1">
      <c r="A113" s="411" t="s">
        <v>493</v>
      </c>
      <c r="B113" s="412">
        <v>1203826.0</v>
      </c>
      <c r="C113" s="413" t="s">
        <v>510</v>
      </c>
      <c r="D113" s="414" t="s">
        <v>513</v>
      </c>
      <c r="E113" s="414" t="s">
        <v>496</v>
      </c>
      <c r="F113" s="421" t="s">
        <v>497</v>
      </c>
      <c r="G113" s="422">
        <v>449.97</v>
      </c>
      <c r="H113" s="423">
        <v>449.97</v>
      </c>
      <c r="I113" s="417">
        <v>279.9</v>
      </c>
      <c r="J113" s="418">
        <v>45891.0</v>
      </c>
      <c r="K113" s="419">
        <v>45928.0</v>
      </c>
      <c r="L113" s="420"/>
      <c r="M113" s="410"/>
      <c r="N113" s="410"/>
      <c r="O113" s="410"/>
    </row>
    <row r="114" ht="33.0" hidden="1" customHeight="1">
      <c r="A114" s="411" t="s">
        <v>493</v>
      </c>
      <c r="B114" s="412">
        <v>1177780.0</v>
      </c>
      <c r="C114" s="413" t="s">
        <v>514</v>
      </c>
      <c r="D114" s="414" t="s">
        <v>515</v>
      </c>
      <c r="E114" s="414" t="s">
        <v>491</v>
      </c>
      <c r="F114" s="421" t="s">
        <v>497</v>
      </c>
      <c r="G114" s="422">
        <v>199.91</v>
      </c>
      <c r="H114" s="423">
        <v>199.9</v>
      </c>
      <c r="I114" s="417">
        <v>149.9</v>
      </c>
      <c r="J114" s="418">
        <v>45891.0</v>
      </c>
      <c r="K114" s="419">
        <v>45928.0</v>
      </c>
      <c r="L114" s="420"/>
      <c r="M114" s="410"/>
      <c r="N114" s="410"/>
      <c r="O114" s="410"/>
    </row>
    <row r="115" ht="33.0" hidden="1" customHeight="1">
      <c r="A115" s="411" t="s">
        <v>493</v>
      </c>
      <c r="B115" s="412">
        <v>1168750.0</v>
      </c>
      <c r="C115" s="413" t="s">
        <v>494</v>
      </c>
      <c r="D115" s="414" t="s">
        <v>516</v>
      </c>
      <c r="E115" s="414" t="s">
        <v>491</v>
      </c>
      <c r="F115" s="421" t="s">
        <v>497</v>
      </c>
      <c r="G115" s="422">
        <v>89.99</v>
      </c>
      <c r="H115" s="423">
        <v>89.99</v>
      </c>
      <c r="I115" s="417">
        <v>69.9</v>
      </c>
      <c r="J115" s="418">
        <v>45891.0</v>
      </c>
      <c r="K115" s="419">
        <v>45928.0</v>
      </c>
      <c r="L115" s="420"/>
      <c r="M115" s="410"/>
      <c r="N115" s="410"/>
      <c r="O115" s="410"/>
    </row>
    <row r="116" ht="33.0" hidden="1" customHeight="1">
      <c r="A116" s="411" t="s">
        <v>493</v>
      </c>
      <c r="B116" s="412">
        <v>1205873.0</v>
      </c>
      <c r="C116" s="413" t="s">
        <v>494</v>
      </c>
      <c r="D116" s="414" t="s">
        <v>517</v>
      </c>
      <c r="E116" s="414" t="s">
        <v>491</v>
      </c>
      <c r="F116" s="421" t="s">
        <v>497</v>
      </c>
      <c r="G116" s="422">
        <v>60.0</v>
      </c>
      <c r="H116" s="423">
        <v>38.99</v>
      </c>
      <c r="I116" s="417">
        <v>39.9</v>
      </c>
      <c r="J116" s="418">
        <v>45891.0</v>
      </c>
      <c r="K116" s="419">
        <v>45928.0</v>
      </c>
      <c r="L116" s="420"/>
      <c r="M116" s="410"/>
      <c r="N116" s="410"/>
      <c r="O116" s="410"/>
    </row>
    <row r="117" ht="33.0" hidden="1" customHeight="1">
      <c r="A117" s="411" t="s">
        <v>493</v>
      </c>
      <c r="B117" s="412">
        <v>1184504.0</v>
      </c>
      <c r="C117" s="413" t="s">
        <v>518</v>
      </c>
      <c r="D117" s="414" t="s">
        <v>519</v>
      </c>
      <c r="E117" s="414" t="s">
        <v>506</v>
      </c>
      <c r="F117" s="421" t="s">
        <v>497</v>
      </c>
      <c r="G117" s="422">
        <v>80.0</v>
      </c>
      <c r="H117" s="423">
        <v>74.99</v>
      </c>
      <c r="I117" s="417">
        <v>59.9</v>
      </c>
      <c r="J117" s="418">
        <v>45891.0</v>
      </c>
      <c r="K117" s="419">
        <v>45928.0</v>
      </c>
      <c r="L117" s="420"/>
      <c r="M117" s="410"/>
      <c r="N117" s="410"/>
      <c r="O117" s="410"/>
    </row>
    <row r="118" ht="33.0" hidden="1" customHeight="1">
      <c r="A118" s="411" t="s">
        <v>493</v>
      </c>
      <c r="B118" s="412">
        <v>1159226.0</v>
      </c>
      <c r="C118" s="413" t="s">
        <v>520</v>
      </c>
      <c r="D118" s="414" t="s">
        <v>521</v>
      </c>
      <c r="E118" s="414" t="s">
        <v>491</v>
      </c>
      <c r="F118" s="421" t="s">
        <v>497</v>
      </c>
      <c r="G118" s="422">
        <v>30.0</v>
      </c>
      <c r="H118" s="423">
        <v>29.9</v>
      </c>
      <c r="I118" s="417">
        <v>19.9</v>
      </c>
      <c r="J118" s="418">
        <v>45891.0</v>
      </c>
      <c r="K118" s="419">
        <v>45928.0</v>
      </c>
      <c r="L118" s="420"/>
      <c r="M118" s="410"/>
      <c r="N118" s="410"/>
      <c r="O118" s="410"/>
    </row>
    <row r="119" ht="33.0" hidden="1" customHeight="1">
      <c r="A119" s="411" t="s">
        <v>522</v>
      </c>
      <c r="B119" s="412">
        <v>1127812.0</v>
      </c>
      <c r="C119" s="413" t="s">
        <v>523</v>
      </c>
      <c r="D119" s="414" t="s">
        <v>524</v>
      </c>
      <c r="E119" s="414" t="s">
        <v>488</v>
      </c>
      <c r="F119" s="421" t="s">
        <v>525</v>
      </c>
      <c r="G119" s="422">
        <v>29.99</v>
      </c>
      <c r="H119" s="423">
        <v>29.99</v>
      </c>
      <c r="I119" s="417">
        <v>24.99</v>
      </c>
      <c r="J119" s="418">
        <v>45891.0</v>
      </c>
      <c r="K119" s="419">
        <v>45923.0</v>
      </c>
      <c r="L119" s="420"/>
      <c r="M119" s="410"/>
      <c r="N119" s="410"/>
      <c r="O119" s="410"/>
    </row>
    <row r="120" ht="33.0" hidden="1" customHeight="1">
      <c r="A120" s="411" t="s">
        <v>522</v>
      </c>
      <c r="B120" s="412">
        <v>1184919.0</v>
      </c>
      <c r="C120" s="413" t="s">
        <v>510</v>
      </c>
      <c r="D120" s="414" t="s">
        <v>526</v>
      </c>
      <c r="E120" s="414" t="s">
        <v>496</v>
      </c>
      <c r="F120" s="421" t="s">
        <v>527</v>
      </c>
      <c r="G120" s="422">
        <v>699.99</v>
      </c>
      <c r="H120" s="423">
        <v>699.99</v>
      </c>
      <c r="I120" s="417">
        <v>429.99</v>
      </c>
      <c r="J120" s="418">
        <v>45891.0</v>
      </c>
      <c r="K120" s="419">
        <v>45923.0</v>
      </c>
      <c r="L120" s="420"/>
      <c r="M120" s="410"/>
      <c r="N120" s="410"/>
      <c r="O120" s="410"/>
    </row>
    <row r="121" ht="33.0" hidden="1" customHeight="1">
      <c r="A121" s="411" t="s">
        <v>522</v>
      </c>
      <c r="B121" s="412">
        <v>1127817.0</v>
      </c>
      <c r="C121" s="413" t="s">
        <v>520</v>
      </c>
      <c r="D121" s="414" t="s">
        <v>528</v>
      </c>
      <c r="E121" s="414" t="s">
        <v>488</v>
      </c>
      <c r="F121" s="421" t="s">
        <v>527</v>
      </c>
      <c r="G121" s="422">
        <v>39.99</v>
      </c>
      <c r="H121" s="423">
        <v>32.95</v>
      </c>
      <c r="I121" s="417">
        <v>27.99</v>
      </c>
      <c r="J121" s="418">
        <v>45891.0</v>
      </c>
      <c r="K121" s="419">
        <v>45923.0</v>
      </c>
      <c r="L121" s="420"/>
      <c r="M121" s="410"/>
      <c r="N121" s="410"/>
      <c r="O121" s="410"/>
    </row>
    <row r="122" ht="33.0" hidden="1" customHeight="1">
      <c r="A122" s="411" t="s">
        <v>522</v>
      </c>
      <c r="B122" s="412">
        <v>1070668.0</v>
      </c>
      <c r="C122" s="413" t="s">
        <v>494</v>
      </c>
      <c r="D122" s="414" t="s">
        <v>529</v>
      </c>
      <c r="E122" s="414" t="s">
        <v>488</v>
      </c>
      <c r="F122" s="421" t="s">
        <v>527</v>
      </c>
      <c r="G122" s="422">
        <v>60.04</v>
      </c>
      <c r="H122" s="423">
        <v>49.99</v>
      </c>
      <c r="I122" s="417">
        <v>49.99</v>
      </c>
      <c r="J122" s="418">
        <v>45891.0</v>
      </c>
      <c r="K122" s="419">
        <v>45923.0</v>
      </c>
      <c r="L122" s="420"/>
      <c r="M122" s="410"/>
      <c r="N122" s="410"/>
      <c r="O122" s="410"/>
    </row>
    <row r="123" ht="33.0" hidden="1" customHeight="1">
      <c r="A123" s="411" t="s">
        <v>522</v>
      </c>
      <c r="B123" s="412">
        <v>1209009.0</v>
      </c>
      <c r="C123" s="413" t="s">
        <v>520</v>
      </c>
      <c r="D123" s="414" t="s">
        <v>530</v>
      </c>
      <c r="E123" s="414" t="s">
        <v>491</v>
      </c>
      <c r="F123" s="421" t="s">
        <v>527</v>
      </c>
      <c r="G123" s="422">
        <v>47.1</v>
      </c>
      <c r="H123" s="423">
        <v>39.07</v>
      </c>
      <c r="I123" s="417">
        <v>34.99</v>
      </c>
      <c r="J123" s="418">
        <v>45891.0</v>
      </c>
      <c r="K123" s="419">
        <v>45923.0</v>
      </c>
      <c r="L123" s="420"/>
      <c r="M123" s="410"/>
      <c r="N123" s="410"/>
      <c r="O123" s="410"/>
    </row>
    <row r="124" ht="33.0" hidden="1" customHeight="1">
      <c r="A124" s="411" t="s">
        <v>14</v>
      </c>
      <c r="B124" s="412">
        <v>1213074.0</v>
      </c>
      <c r="C124" s="413" t="s">
        <v>487</v>
      </c>
      <c r="D124" s="414" t="s">
        <v>531</v>
      </c>
      <c r="E124" s="414" t="s">
        <v>491</v>
      </c>
      <c r="F124" s="421" t="s">
        <v>532</v>
      </c>
      <c r="G124" s="422">
        <v>109.9</v>
      </c>
      <c r="H124" s="423">
        <v>89.9</v>
      </c>
      <c r="I124" s="417">
        <v>89.9</v>
      </c>
      <c r="J124" s="418">
        <v>45891.0</v>
      </c>
      <c r="K124" s="419">
        <v>45923.0</v>
      </c>
      <c r="L124" s="420"/>
      <c r="M124" s="410"/>
      <c r="N124" s="410"/>
      <c r="O124" s="410"/>
    </row>
    <row r="125" ht="33.0" hidden="1" customHeight="1">
      <c r="A125" s="411" t="s">
        <v>14</v>
      </c>
      <c r="B125" s="412">
        <v>1172246.0</v>
      </c>
      <c r="C125" s="413" t="s">
        <v>490</v>
      </c>
      <c r="D125" s="414" t="s">
        <v>533</v>
      </c>
      <c r="E125" s="414" t="s">
        <v>488</v>
      </c>
      <c r="F125" s="421" t="s">
        <v>532</v>
      </c>
      <c r="G125" s="422">
        <v>349.99</v>
      </c>
      <c r="H125" s="423">
        <v>349.99</v>
      </c>
      <c r="I125" s="417">
        <v>279.9</v>
      </c>
      <c r="J125" s="418">
        <v>45891.0</v>
      </c>
      <c r="K125" s="419">
        <v>45923.0</v>
      </c>
      <c r="L125" s="420"/>
      <c r="M125" s="410"/>
      <c r="N125" s="410"/>
      <c r="O125" s="410"/>
    </row>
    <row r="126" ht="33.0" hidden="1" customHeight="1">
      <c r="A126" s="411" t="s">
        <v>534</v>
      </c>
      <c r="B126" s="412">
        <v>1188995.0</v>
      </c>
      <c r="C126" s="413" t="s">
        <v>499</v>
      </c>
      <c r="D126" s="414" t="s">
        <v>535</v>
      </c>
      <c r="E126" s="414" t="s">
        <v>506</v>
      </c>
      <c r="F126" s="421" t="s">
        <v>536</v>
      </c>
      <c r="G126" s="422">
        <v>94.99</v>
      </c>
      <c r="H126" s="423">
        <v>94.99</v>
      </c>
      <c r="I126" s="417">
        <v>79.99</v>
      </c>
      <c r="J126" s="418">
        <v>45891.0</v>
      </c>
      <c r="K126" s="419">
        <v>45923.0</v>
      </c>
      <c r="L126" s="420"/>
      <c r="M126" s="410"/>
      <c r="N126" s="410"/>
      <c r="O126" s="410"/>
    </row>
    <row r="127" ht="33.0" hidden="1" customHeight="1">
      <c r="A127" s="411" t="s">
        <v>537</v>
      </c>
      <c r="B127" s="412">
        <v>1118218.0</v>
      </c>
      <c r="C127" s="413" t="s">
        <v>487</v>
      </c>
      <c r="D127" s="414" t="s">
        <v>538</v>
      </c>
      <c r="E127" s="414" t="s">
        <v>491</v>
      </c>
      <c r="F127" s="421" t="s">
        <v>539</v>
      </c>
      <c r="G127" s="422">
        <v>69.99</v>
      </c>
      <c r="H127" s="423">
        <v>69.99</v>
      </c>
      <c r="I127" s="417">
        <v>49.99</v>
      </c>
      <c r="J127" s="418">
        <v>45891.0</v>
      </c>
      <c r="K127" s="419">
        <v>45923.0</v>
      </c>
      <c r="L127" s="420"/>
      <c r="M127" s="410"/>
      <c r="N127" s="410"/>
      <c r="O127" s="410"/>
    </row>
    <row r="128" ht="33.0" hidden="1" customHeight="1">
      <c r="A128" s="411" t="s">
        <v>537</v>
      </c>
      <c r="B128" s="412">
        <v>1188145.0</v>
      </c>
      <c r="C128" s="413" t="s">
        <v>487</v>
      </c>
      <c r="D128" s="414" t="s">
        <v>540</v>
      </c>
      <c r="E128" s="414" t="s">
        <v>488</v>
      </c>
      <c r="F128" s="421" t="s">
        <v>539</v>
      </c>
      <c r="G128" s="422">
        <v>79.99</v>
      </c>
      <c r="H128" s="423">
        <v>79.99</v>
      </c>
      <c r="I128" s="417">
        <v>59.99</v>
      </c>
      <c r="J128" s="418">
        <v>45891.0</v>
      </c>
      <c r="K128" s="419">
        <v>45923.0</v>
      </c>
      <c r="L128" s="420"/>
      <c r="M128" s="410"/>
      <c r="N128" s="410"/>
      <c r="O128" s="410"/>
    </row>
    <row r="129" ht="33.0" hidden="1" customHeight="1">
      <c r="A129" s="411" t="s">
        <v>537</v>
      </c>
      <c r="B129" s="412">
        <v>1200799.0</v>
      </c>
      <c r="C129" s="413" t="s">
        <v>487</v>
      </c>
      <c r="D129" s="414" t="s">
        <v>541</v>
      </c>
      <c r="E129" s="414" t="s">
        <v>496</v>
      </c>
      <c r="F129" s="421" t="s">
        <v>539</v>
      </c>
      <c r="G129" s="422">
        <v>99.99</v>
      </c>
      <c r="H129" s="423">
        <v>93.22</v>
      </c>
      <c r="I129" s="417">
        <v>79.99</v>
      </c>
      <c r="J129" s="418">
        <v>45891.0</v>
      </c>
      <c r="K129" s="419">
        <v>45923.0</v>
      </c>
      <c r="L129" s="420"/>
      <c r="M129" s="410"/>
      <c r="N129" s="410"/>
      <c r="O129" s="410"/>
    </row>
    <row r="130" ht="33.0" hidden="1" customHeight="1">
      <c r="A130" s="411" t="s">
        <v>537</v>
      </c>
      <c r="B130" s="412">
        <v>1200800.0</v>
      </c>
      <c r="C130" s="413" t="s">
        <v>487</v>
      </c>
      <c r="D130" s="414" t="s">
        <v>542</v>
      </c>
      <c r="E130" s="414" t="s">
        <v>543</v>
      </c>
      <c r="F130" s="421" t="s">
        <v>539</v>
      </c>
      <c r="G130" s="422">
        <v>219.99</v>
      </c>
      <c r="H130" s="423">
        <v>219.99</v>
      </c>
      <c r="I130" s="417">
        <v>179.99</v>
      </c>
      <c r="J130" s="418">
        <v>45891.0</v>
      </c>
      <c r="K130" s="419">
        <v>45923.0</v>
      </c>
      <c r="L130" s="420"/>
      <c r="M130" s="410"/>
      <c r="N130" s="410"/>
      <c r="O130" s="410"/>
    </row>
    <row r="131" ht="33.0" hidden="1" customHeight="1">
      <c r="A131" s="411" t="s">
        <v>537</v>
      </c>
      <c r="B131" s="412">
        <v>1177775.0</v>
      </c>
      <c r="C131" s="413" t="s">
        <v>490</v>
      </c>
      <c r="D131" s="414" t="s">
        <v>544</v>
      </c>
      <c r="E131" s="414" t="s">
        <v>496</v>
      </c>
      <c r="F131" s="421" t="s">
        <v>539</v>
      </c>
      <c r="G131" s="422">
        <v>299.99</v>
      </c>
      <c r="H131" s="423">
        <v>299.99</v>
      </c>
      <c r="I131" s="417">
        <v>269.99</v>
      </c>
      <c r="J131" s="418">
        <v>45891.0</v>
      </c>
      <c r="K131" s="419">
        <v>45923.0</v>
      </c>
      <c r="L131" s="420"/>
      <c r="M131" s="410"/>
      <c r="N131" s="410"/>
      <c r="O131" s="410"/>
    </row>
    <row r="132" ht="33.0" hidden="1" customHeight="1">
      <c r="A132" s="411" t="s">
        <v>537</v>
      </c>
      <c r="B132" s="412">
        <v>1220386.0</v>
      </c>
      <c r="C132" s="413" t="s">
        <v>490</v>
      </c>
      <c r="D132" s="414" t="s">
        <v>545</v>
      </c>
      <c r="E132" s="414" t="s">
        <v>543</v>
      </c>
      <c r="F132" s="421" t="s">
        <v>539</v>
      </c>
      <c r="G132" s="422">
        <v>299.99</v>
      </c>
      <c r="H132" s="423">
        <v>299.99</v>
      </c>
      <c r="I132" s="417">
        <v>249.99</v>
      </c>
      <c r="J132" s="418">
        <v>45891.0</v>
      </c>
      <c r="K132" s="419">
        <v>45923.0</v>
      </c>
      <c r="L132" s="420"/>
      <c r="M132" s="410"/>
      <c r="N132" s="410"/>
      <c r="O132" s="410"/>
    </row>
    <row r="133" ht="33.0" hidden="1" customHeight="1">
      <c r="A133" s="411" t="s">
        <v>165</v>
      </c>
      <c r="B133" s="412">
        <v>1184762.0</v>
      </c>
      <c r="C133" s="413" t="s">
        <v>504</v>
      </c>
      <c r="D133" s="414" t="s">
        <v>546</v>
      </c>
      <c r="E133" s="414" t="s">
        <v>491</v>
      </c>
      <c r="F133" s="421" t="s">
        <v>547</v>
      </c>
      <c r="G133" s="422">
        <v>170.02</v>
      </c>
      <c r="H133" s="423">
        <v>119.99</v>
      </c>
      <c r="I133" s="417">
        <v>99.99</v>
      </c>
      <c r="J133" s="418">
        <v>45891.0</v>
      </c>
      <c r="K133" s="419">
        <v>45923.0</v>
      </c>
      <c r="L133" s="420"/>
      <c r="M133" s="410"/>
      <c r="N133" s="410"/>
      <c r="O133" s="410"/>
    </row>
    <row r="134" ht="33.0" hidden="1" customHeight="1">
      <c r="A134" s="411" t="s">
        <v>165</v>
      </c>
      <c r="B134" s="412">
        <v>1145528.0</v>
      </c>
      <c r="C134" s="413" t="s">
        <v>504</v>
      </c>
      <c r="D134" s="414" t="s">
        <v>548</v>
      </c>
      <c r="E134" s="414" t="s">
        <v>491</v>
      </c>
      <c r="F134" s="421" t="s">
        <v>547</v>
      </c>
      <c r="G134" s="422">
        <v>250.02</v>
      </c>
      <c r="H134" s="423">
        <v>154.99</v>
      </c>
      <c r="I134" s="417">
        <v>139.99</v>
      </c>
      <c r="J134" s="418">
        <v>45891.0</v>
      </c>
      <c r="K134" s="419">
        <v>45923.0</v>
      </c>
      <c r="L134" s="420"/>
      <c r="M134" s="410"/>
      <c r="N134" s="410"/>
      <c r="O134" s="410"/>
    </row>
    <row r="135" ht="33.0" hidden="1" customHeight="1">
      <c r="A135" s="411" t="s">
        <v>537</v>
      </c>
      <c r="B135" s="412">
        <v>1186451.0</v>
      </c>
      <c r="C135" s="413" t="s">
        <v>549</v>
      </c>
      <c r="D135" s="414" t="s">
        <v>550</v>
      </c>
      <c r="E135" s="414" t="s">
        <v>543</v>
      </c>
      <c r="F135" s="421" t="s">
        <v>551</v>
      </c>
      <c r="G135" s="422">
        <v>124.55</v>
      </c>
      <c r="H135" s="423">
        <v>99.99</v>
      </c>
      <c r="I135" s="417">
        <v>99.99</v>
      </c>
      <c r="J135" s="418">
        <v>45891.0</v>
      </c>
      <c r="K135" s="419">
        <v>45928.0</v>
      </c>
      <c r="L135" s="420"/>
      <c r="M135" s="410"/>
      <c r="N135" s="410"/>
      <c r="O135" s="410"/>
    </row>
    <row r="136" ht="33.0" hidden="1" customHeight="1">
      <c r="A136" s="411" t="s">
        <v>537</v>
      </c>
      <c r="B136" s="412">
        <v>1186452.0</v>
      </c>
      <c r="C136" s="413" t="s">
        <v>549</v>
      </c>
      <c r="D136" s="414" t="s">
        <v>552</v>
      </c>
      <c r="E136" s="414" t="s">
        <v>543</v>
      </c>
      <c r="F136" s="421" t="s">
        <v>551</v>
      </c>
      <c r="G136" s="422">
        <v>124.55</v>
      </c>
      <c r="H136" s="423">
        <v>99.99</v>
      </c>
      <c r="I136" s="417">
        <v>99.99</v>
      </c>
      <c r="J136" s="418">
        <v>45891.0</v>
      </c>
      <c r="K136" s="419">
        <v>45928.0</v>
      </c>
      <c r="L136" s="420"/>
      <c r="M136" s="410"/>
      <c r="N136" s="410"/>
      <c r="O136" s="410"/>
    </row>
    <row r="137" ht="33.0" hidden="1" customHeight="1">
      <c r="A137" s="411" t="s">
        <v>537</v>
      </c>
      <c r="B137" s="412">
        <v>1186453.0</v>
      </c>
      <c r="C137" s="413" t="s">
        <v>549</v>
      </c>
      <c r="D137" s="414" t="s">
        <v>553</v>
      </c>
      <c r="E137" s="414" t="s">
        <v>543</v>
      </c>
      <c r="F137" s="421" t="s">
        <v>551</v>
      </c>
      <c r="G137" s="422">
        <v>124.55</v>
      </c>
      <c r="H137" s="423">
        <v>99.99</v>
      </c>
      <c r="I137" s="417">
        <v>99.99</v>
      </c>
      <c r="J137" s="418">
        <v>45891.0</v>
      </c>
      <c r="K137" s="419">
        <v>45928.0</v>
      </c>
      <c r="L137" s="420"/>
      <c r="M137" s="410"/>
      <c r="N137" s="410"/>
      <c r="O137" s="410"/>
    </row>
    <row r="138" ht="33.0" hidden="1" customHeight="1">
      <c r="A138" s="411" t="s">
        <v>537</v>
      </c>
      <c r="B138" s="412">
        <v>1189013.0</v>
      </c>
      <c r="C138" s="413" t="s">
        <v>554</v>
      </c>
      <c r="D138" s="414" t="s">
        <v>555</v>
      </c>
      <c r="E138" s="414" t="s">
        <v>543</v>
      </c>
      <c r="F138" s="421" t="s">
        <v>556</v>
      </c>
      <c r="G138" s="422">
        <v>1999.09</v>
      </c>
      <c r="H138" s="423">
        <v>1583.0</v>
      </c>
      <c r="I138" s="417">
        <v>1699.99</v>
      </c>
      <c r="J138" s="418">
        <v>45891.0</v>
      </c>
      <c r="K138" s="419">
        <v>45928.0</v>
      </c>
      <c r="L138" s="420"/>
      <c r="M138" s="410"/>
      <c r="N138" s="410"/>
      <c r="O138" s="410"/>
    </row>
    <row r="139" ht="33.0" hidden="1" customHeight="1">
      <c r="A139" s="411" t="s">
        <v>537</v>
      </c>
      <c r="B139" s="412">
        <v>1189012.0</v>
      </c>
      <c r="C139" s="413" t="s">
        <v>554</v>
      </c>
      <c r="D139" s="414" t="s">
        <v>557</v>
      </c>
      <c r="E139" s="414" t="s">
        <v>543</v>
      </c>
      <c r="F139" s="421" t="s">
        <v>556</v>
      </c>
      <c r="G139" s="422">
        <v>1799.09</v>
      </c>
      <c r="H139" s="423">
        <v>1429.0</v>
      </c>
      <c r="I139" s="417">
        <v>1499.99</v>
      </c>
      <c r="J139" s="418">
        <v>45891.0</v>
      </c>
      <c r="K139" s="419">
        <v>45928.0</v>
      </c>
      <c r="L139" s="420"/>
      <c r="M139" s="410"/>
      <c r="N139" s="410"/>
      <c r="O139" s="410"/>
    </row>
    <row r="140" ht="33.0" hidden="1" customHeight="1">
      <c r="A140" s="411" t="s">
        <v>537</v>
      </c>
      <c r="B140" s="412">
        <v>1192042.0</v>
      </c>
      <c r="C140" s="413" t="s">
        <v>558</v>
      </c>
      <c r="D140" s="414" t="s">
        <v>559</v>
      </c>
      <c r="E140" s="424" t="s">
        <v>491</v>
      </c>
      <c r="F140" s="421" t="s">
        <v>556</v>
      </c>
      <c r="G140" s="422">
        <v>699.09</v>
      </c>
      <c r="H140" s="423">
        <v>629.99</v>
      </c>
      <c r="I140" s="417">
        <v>599.99</v>
      </c>
      <c r="J140" s="418">
        <v>45891.0</v>
      </c>
      <c r="K140" s="419">
        <v>45928.0</v>
      </c>
      <c r="L140" s="420"/>
      <c r="M140" s="410"/>
      <c r="N140" s="410"/>
      <c r="O140" s="410"/>
    </row>
    <row r="141" ht="33.0" hidden="1" customHeight="1">
      <c r="A141" s="411" t="s">
        <v>537</v>
      </c>
      <c r="B141" s="412">
        <v>1192548.0</v>
      </c>
      <c r="C141" s="413" t="s">
        <v>558</v>
      </c>
      <c r="D141" s="414" t="s">
        <v>560</v>
      </c>
      <c r="E141" s="414" t="s">
        <v>496</v>
      </c>
      <c r="F141" s="421" t="s">
        <v>556</v>
      </c>
      <c r="G141" s="422">
        <v>930.08</v>
      </c>
      <c r="H141" s="423">
        <v>829.99</v>
      </c>
      <c r="I141" s="417">
        <v>799.99</v>
      </c>
      <c r="J141" s="418">
        <v>45891.0</v>
      </c>
      <c r="K141" s="419">
        <v>45928.0</v>
      </c>
      <c r="L141" s="420"/>
      <c r="M141" s="410"/>
      <c r="N141" s="410"/>
      <c r="O141" s="410"/>
    </row>
    <row r="142" ht="33.0" hidden="1" customHeight="1">
      <c r="A142" s="411" t="s">
        <v>199</v>
      </c>
      <c r="B142" s="412">
        <v>1196228.0</v>
      </c>
      <c r="C142" s="413" t="s">
        <v>554</v>
      </c>
      <c r="D142" s="414" t="s">
        <v>561</v>
      </c>
      <c r="E142" s="414" t="s">
        <v>543</v>
      </c>
      <c r="F142" s="421"/>
      <c r="G142" s="422">
        <v>2299.0</v>
      </c>
      <c r="H142" s="423">
        <v>2099.0</v>
      </c>
      <c r="I142" s="417">
        <v>2299.0</v>
      </c>
      <c r="J142" s="418">
        <v>45891.0</v>
      </c>
      <c r="K142" s="419">
        <v>45928.0</v>
      </c>
      <c r="L142" s="420"/>
      <c r="M142" s="410"/>
      <c r="N142" s="410"/>
      <c r="O142" s="410"/>
    </row>
    <row r="143" ht="33.0" hidden="1" customHeight="1">
      <c r="A143" s="411" t="s">
        <v>199</v>
      </c>
      <c r="B143" s="412">
        <v>1166752.0</v>
      </c>
      <c r="C143" s="413" t="s">
        <v>558</v>
      </c>
      <c r="D143" s="414" t="s">
        <v>562</v>
      </c>
      <c r="E143" s="414" t="s">
        <v>543</v>
      </c>
      <c r="F143" s="421"/>
      <c r="G143" s="422">
        <v>849.0</v>
      </c>
      <c r="H143" s="423">
        <v>849.0</v>
      </c>
      <c r="I143" s="417">
        <v>749.0</v>
      </c>
      <c r="J143" s="418">
        <v>45891.0</v>
      </c>
      <c r="K143" s="419">
        <v>45928.0</v>
      </c>
      <c r="L143" s="420"/>
      <c r="M143" s="410"/>
      <c r="N143" s="410"/>
      <c r="O143" s="410"/>
    </row>
    <row r="144" ht="33.0" hidden="1" customHeight="1">
      <c r="A144" s="411" t="s">
        <v>199</v>
      </c>
      <c r="B144" s="412">
        <v>1172131.0</v>
      </c>
      <c r="C144" s="413" t="s">
        <v>554</v>
      </c>
      <c r="D144" s="414" t="s">
        <v>563</v>
      </c>
      <c r="E144" s="414" t="s">
        <v>543</v>
      </c>
      <c r="F144" s="421"/>
      <c r="G144" s="422">
        <v>2499.0</v>
      </c>
      <c r="H144" s="423">
        <v>2499.0</v>
      </c>
      <c r="I144" s="417">
        <v>2399.0</v>
      </c>
      <c r="J144" s="418">
        <v>45891.0</v>
      </c>
      <c r="K144" s="419">
        <v>45928.0</v>
      </c>
      <c r="L144" s="420"/>
      <c r="M144" s="410"/>
      <c r="N144" s="410"/>
      <c r="O144" s="410"/>
    </row>
    <row r="145" ht="33.0" hidden="1" customHeight="1">
      <c r="A145" s="411" t="s">
        <v>199</v>
      </c>
      <c r="B145" s="412">
        <v>1172133.0</v>
      </c>
      <c r="C145" s="413" t="s">
        <v>554</v>
      </c>
      <c r="D145" s="414" t="s">
        <v>564</v>
      </c>
      <c r="E145" s="414" t="s">
        <v>496</v>
      </c>
      <c r="F145" s="421"/>
      <c r="G145" s="422">
        <v>2998.97</v>
      </c>
      <c r="H145" s="423">
        <v>2699.0</v>
      </c>
      <c r="I145" s="417">
        <v>2599.0</v>
      </c>
      <c r="J145" s="418">
        <v>45891.0</v>
      </c>
      <c r="K145" s="419">
        <v>45928.0</v>
      </c>
      <c r="L145" s="420"/>
      <c r="M145" s="410"/>
      <c r="N145" s="410"/>
      <c r="O145" s="410"/>
    </row>
    <row r="146" ht="33.0" hidden="1" customHeight="1">
      <c r="A146" s="411" t="s">
        <v>199</v>
      </c>
      <c r="B146" s="412">
        <v>1109070.0</v>
      </c>
      <c r="C146" s="413" t="s">
        <v>554</v>
      </c>
      <c r="D146" s="414" t="s">
        <v>565</v>
      </c>
      <c r="E146" s="414" t="s">
        <v>543</v>
      </c>
      <c r="F146" s="421"/>
      <c r="G146" s="422">
        <v>1799.09</v>
      </c>
      <c r="H146" s="423">
        <v>1599.0</v>
      </c>
      <c r="I146" s="417">
        <v>1399.0</v>
      </c>
      <c r="J146" s="418">
        <v>45891.0</v>
      </c>
      <c r="K146" s="419">
        <v>45928.0</v>
      </c>
      <c r="L146" s="420"/>
      <c r="M146" s="410"/>
      <c r="N146" s="410"/>
      <c r="O146" s="410"/>
    </row>
    <row r="147" ht="33.0" hidden="1" customHeight="1">
      <c r="A147" s="411" t="s">
        <v>199</v>
      </c>
      <c r="B147" s="412">
        <v>1109111.0</v>
      </c>
      <c r="C147" s="413" t="s">
        <v>554</v>
      </c>
      <c r="D147" s="414" t="s">
        <v>566</v>
      </c>
      <c r="E147" s="414" t="s">
        <v>543</v>
      </c>
      <c r="F147" s="421"/>
      <c r="G147" s="422">
        <v>1998.97</v>
      </c>
      <c r="H147" s="423">
        <v>1799.0</v>
      </c>
      <c r="I147" s="417">
        <v>1599.0</v>
      </c>
      <c r="J147" s="418">
        <v>45891.0</v>
      </c>
      <c r="K147" s="419">
        <v>45928.0</v>
      </c>
      <c r="L147" s="420"/>
      <c r="M147" s="410"/>
      <c r="N147" s="410"/>
      <c r="O147" s="410"/>
    </row>
    <row r="148" ht="33.0" hidden="1" customHeight="1">
      <c r="A148" s="411" t="s">
        <v>199</v>
      </c>
      <c r="B148" s="412">
        <v>1152519.0</v>
      </c>
      <c r="C148" s="413" t="s">
        <v>554</v>
      </c>
      <c r="D148" s="414" t="s">
        <v>567</v>
      </c>
      <c r="E148" s="414" t="s">
        <v>543</v>
      </c>
      <c r="F148" s="421"/>
      <c r="G148" s="422">
        <v>2399.09</v>
      </c>
      <c r="H148" s="423">
        <v>1809.66</v>
      </c>
      <c r="I148" s="417">
        <v>1699.0</v>
      </c>
      <c r="J148" s="418">
        <v>45891.0</v>
      </c>
      <c r="K148" s="419">
        <v>45928.0</v>
      </c>
      <c r="L148" s="420"/>
      <c r="M148" s="410"/>
      <c r="N148" s="410"/>
      <c r="O148" s="410"/>
    </row>
    <row r="149" ht="33.0" hidden="1" customHeight="1">
      <c r="A149" s="411" t="s">
        <v>199</v>
      </c>
      <c r="B149" s="412">
        <v>1196231.0</v>
      </c>
      <c r="C149" s="413" t="s">
        <v>554</v>
      </c>
      <c r="D149" s="414" t="s">
        <v>568</v>
      </c>
      <c r="E149" s="414" t="s">
        <v>543</v>
      </c>
      <c r="F149" s="421"/>
      <c r="G149" s="422">
        <v>2399.09</v>
      </c>
      <c r="H149" s="423">
        <v>2399.09</v>
      </c>
      <c r="I149" s="417">
        <v>2299.0</v>
      </c>
      <c r="J149" s="418">
        <v>45891.0</v>
      </c>
      <c r="K149" s="419">
        <v>45928.0</v>
      </c>
      <c r="L149" s="420"/>
      <c r="M149" s="410"/>
      <c r="N149" s="410"/>
      <c r="O149" s="410"/>
    </row>
    <row r="150" ht="33.0" hidden="1" customHeight="1">
      <c r="A150" s="411" t="s">
        <v>199</v>
      </c>
      <c r="B150" s="412">
        <v>1196232.0</v>
      </c>
      <c r="C150" s="413" t="s">
        <v>554</v>
      </c>
      <c r="D150" s="414" t="s">
        <v>569</v>
      </c>
      <c r="E150" s="414" t="s">
        <v>543</v>
      </c>
      <c r="F150" s="421"/>
      <c r="G150" s="422">
        <v>2699.09</v>
      </c>
      <c r="H150" s="423">
        <v>2209.0</v>
      </c>
      <c r="I150" s="417">
        <v>2599.0</v>
      </c>
      <c r="J150" s="418">
        <v>45891.0</v>
      </c>
      <c r="K150" s="419">
        <v>45928.0</v>
      </c>
      <c r="L150" s="420"/>
      <c r="M150" s="410"/>
      <c r="N150" s="410"/>
      <c r="O150" s="410"/>
    </row>
    <row r="151" ht="33.0" hidden="1" customHeight="1">
      <c r="A151" s="411" t="s">
        <v>199</v>
      </c>
      <c r="B151" s="412">
        <v>1166751.0</v>
      </c>
      <c r="C151" s="413" t="s">
        <v>558</v>
      </c>
      <c r="D151" s="414" t="s">
        <v>570</v>
      </c>
      <c r="E151" s="414" t="s">
        <v>543</v>
      </c>
      <c r="F151" s="421"/>
      <c r="G151" s="422">
        <v>749.0</v>
      </c>
      <c r="H151" s="423">
        <v>749.0</v>
      </c>
      <c r="I151" s="417">
        <v>649.0</v>
      </c>
      <c r="J151" s="418">
        <v>45891.0</v>
      </c>
      <c r="K151" s="419">
        <v>45928.0</v>
      </c>
      <c r="L151" s="420"/>
      <c r="M151" s="410"/>
      <c r="N151" s="410"/>
      <c r="O151" s="410"/>
    </row>
    <row r="152" ht="33.0" hidden="1" customHeight="1">
      <c r="A152" s="411"/>
      <c r="B152" s="412"/>
      <c r="C152" s="413"/>
      <c r="D152" s="414"/>
      <c r="E152" s="414"/>
      <c r="F152" s="421"/>
      <c r="G152" s="422"/>
      <c r="H152" s="423"/>
      <c r="I152" s="417"/>
      <c r="J152" s="418"/>
      <c r="K152" s="419"/>
      <c r="L152" s="420"/>
      <c r="M152" s="410"/>
      <c r="N152" s="410"/>
      <c r="O152" s="410"/>
    </row>
    <row r="153" ht="33.0" hidden="1" customHeight="1">
      <c r="A153" s="411"/>
      <c r="B153" s="412"/>
      <c r="C153" s="413"/>
      <c r="D153" s="414"/>
      <c r="E153" s="414"/>
      <c r="F153" s="421"/>
      <c r="G153" s="422"/>
      <c r="H153" s="423"/>
      <c r="I153" s="417"/>
      <c r="J153" s="418"/>
      <c r="K153" s="419"/>
      <c r="L153" s="420"/>
      <c r="M153" s="410"/>
      <c r="N153" s="410"/>
      <c r="O153" s="410"/>
    </row>
    <row r="154" ht="33.0" hidden="1" customHeight="1">
      <c r="A154" s="411"/>
      <c r="B154" s="412"/>
      <c r="C154" s="413"/>
      <c r="D154" s="414"/>
      <c r="E154" s="414"/>
      <c r="F154" s="421"/>
      <c r="G154" s="422"/>
      <c r="H154" s="423"/>
      <c r="I154" s="417"/>
      <c r="J154" s="418"/>
      <c r="K154" s="419"/>
      <c r="L154" s="420"/>
      <c r="M154" s="410"/>
      <c r="N154" s="410"/>
      <c r="O154" s="410"/>
    </row>
    <row r="155" ht="33.0" hidden="1" customHeight="1">
      <c r="A155" s="411"/>
      <c r="B155" s="412"/>
      <c r="C155" s="413"/>
      <c r="D155" s="414"/>
      <c r="E155" s="414"/>
      <c r="F155" s="421"/>
      <c r="G155" s="422"/>
      <c r="H155" s="423"/>
      <c r="I155" s="417"/>
      <c r="J155" s="418"/>
      <c r="K155" s="419"/>
      <c r="L155" s="420"/>
      <c r="M155" s="410"/>
      <c r="N155" s="410"/>
      <c r="O155" s="410"/>
    </row>
    <row r="156" ht="33.0" hidden="1" customHeight="1">
      <c r="A156" s="411"/>
      <c r="B156" s="412"/>
      <c r="C156" s="413"/>
      <c r="D156" s="414"/>
      <c r="E156" s="414"/>
      <c r="F156" s="421"/>
      <c r="G156" s="422"/>
      <c r="H156" s="423"/>
      <c r="I156" s="417"/>
      <c r="J156" s="418"/>
      <c r="K156" s="419"/>
      <c r="L156" s="420"/>
      <c r="M156" s="410"/>
      <c r="N156" s="410"/>
      <c r="O156" s="410"/>
    </row>
    <row r="157" ht="33.0" hidden="1" customHeight="1">
      <c r="A157" s="411"/>
      <c r="B157" s="412"/>
      <c r="C157" s="413"/>
      <c r="D157" s="414"/>
      <c r="E157" s="414"/>
      <c r="F157" s="421"/>
      <c r="G157" s="422"/>
      <c r="H157" s="423"/>
      <c r="I157" s="417"/>
      <c r="J157" s="418"/>
      <c r="K157" s="419"/>
      <c r="L157" s="420"/>
      <c r="M157" s="410"/>
      <c r="N157" s="410"/>
      <c r="O157" s="410"/>
    </row>
    <row r="158" ht="33.0" hidden="1" customHeight="1">
      <c r="A158" s="411"/>
      <c r="B158" s="412"/>
      <c r="C158" s="413"/>
      <c r="D158" s="414"/>
      <c r="E158" s="414"/>
      <c r="F158" s="421"/>
      <c r="G158" s="422"/>
      <c r="H158" s="423"/>
      <c r="I158" s="417"/>
      <c r="J158" s="418"/>
      <c r="K158" s="419"/>
      <c r="L158" s="420"/>
      <c r="M158" s="410"/>
      <c r="N158" s="410"/>
      <c r="O158" s="410"/>
    </row>
    <row r="159" ht="33.0" hidden="1" customHeight="1">
      <c r="A159" s="411"/>
      <c r="B159" s="412"/>
      <c r="C159" s="413"/>
      <c r="D159" s="414"/>
      <c r="E159" s="414"/>
      <c r="F159" s="421"/>
      <c r="G159" s="422"/>
      <c r="H159" s="423"/>
      <c r="I159" s="417"/>
      <c r="J159" s="418"/>
      <c r="K159" s="419"/>
      <c r="L159" s="420"/>
      <c r="M159" s="410"/>
      <c r="N159" s="410"/>
      <c r="O159" s="410"/>
    </row>
    <row r="160" ht="33.0" hidden="1" customHeight="1">
      <c r="A160" s="411"/>
      <c r="B160" s="412"/>
      <c r="C160" s="413"/>
      <c r="D160" s="414"/>
      <c r="E160" s="414"/>
      <c r="F160" s="421"/>
      <c r="G160" s="422"/>
      <c r="H160" s="423"/>
      <c r="I160" s="417"/>
      <c r="J160" s="418"/>
      <c r="K160" s="419"/>
      <c r="L160" s="420"/>
      <c r="M160" s="410"/>
      <c r="N160" s="410"/>
      <c r="O160" s="410"/>
    </row>
    <row r="161" ht="33.0" hidden="1" customHeight="1">
      <c r="A161" s="411"/>
      <c r="B161" s="412"/>
      <c r="C161" s="413"/>
      <c r="D161" s="414"/>
      <c r="E161" s="414"/>
      <c r="F161" s="421"/>
      <c r="G161" s="422"/>
      <c r="H161" s="423"/>
      <c r="I161" s="417"/>
      <c r="J161" s="418"/>
      <c r="K161" s="419"/>
      <c r="L161" s="420"/>
      <c r="M161" s="410"/>
      <c r="N161" s="410"/>
      <c r="O161" s="410"/>
    </row>
    <row r="162" ht="33.0" hidden="1" customHeight="1">
      <c r="A162" s="411"/>
      <c r="B162" s="412"/>
      <c r="C162" s="413"/>
      <c r="D162" s="414"/>
      <c r="E162" s="414"/>
      <c r="F162" s="421"/>
      <c r="G162" s="422"/>
      <c r="H162" s="423"/>
      <c r="I162" s="417"/>
      <c r="J162" s="418"/>
      <c r="K162" s="419"/>
      <c r="L162" s="420"/>
      <c r="M162" s="410"/>
      <c r="N162" s="410"/>
      <c r="O162" s="410"/>
    </row>
    <row r="163" ht="33.0" hidden="1" customHeight="1">
      <c r="A163" s="411"/>
      <c r="B163" s="412"/>
      <c r="C163" s="413"/>
      <c r="D163" s="414"/>
      <c r="E163" s="414"/>
      <c r="F163" s="414"/>
      <c r="G163" s="415"/>
      <c r="H163" s="416"/>
      <c r="I163" s="417"/>
      <c r="J163" s="418"/>
      <c r="K163" s="419"/>
      <c r="L163" s="420"/>
      <c r="M163" s="410"/>
      <c r="N163" s="410"/>
      <c r="O163" s="410"/>
    </row>
    <row r="164" ht="33.0" hidden="1" customHeight="1">
      <c r="A164" s="411"/>
      <c r="B164" s="412"/>
      <c r="C164" s="413"/>
      <c r="D164" s="414"/>
      <c r="E164" s="414"/>
      <c r="F164" s="414"/>
      <c r="G164" s="415"/>
      <c r="H164" s="416"/>
      <c r="I164" s="417"/>
      <c r="J164" s="418"/>
      <c r="K164" s="419"/>
      <c r="L164" s="420"/>
      <c r="M164" s="410"/>
      <c r="N164" s="410"/>
      <c r="O164" s="410"/>
    </row>
    <row r="165" ht="33.0" hidden="1" customHeight="1">
      <c r="A165" s="411"/>
      <c r="B165" s="412"/>
      <c r="C165" s="413"/>
      <c r="D165" s="414"/>
      <c r="E165" s="414"/>
      <c r="F165" s="414"/>
      <c r="G165" s="415"/>
      <c r="H165" s="416"/>
      <c r="I165" s="417"/>
      <c r="J165" s="418"/>
      <c r="K165" s="419"/>
      <c r="L165" s="420"/>
      <c r="M165" s="410"/>
      <c r="N165" s="410"/>
      <c r="O165" s="410"/>
    </row>
    <row r="166" ht="33.0" hidden="1" customHeight="1">
      <c r="A166" s="411"/>
      <c r="B166" s="412"/>
      <c r="C166" s="413"/>
      <c r="D166" s="414"/>
      <c r="E166" s="414"/>
      <c r="F166" s="414"/>
      <c r="G166" s="415"/>
      <c r="H166" s="416"/>
      <c r="I166" s="417"/>
      <c r="J166" s="418"/>
      <c r="K166" s="419"/>
      <c r="L166" s="420"/>
      <c r="M166" s="410"/>
      <c r="N166" s="410"/>
      <c r="O166" s="410"/>
    </row>
    <row r="167" ht="33.0" hidden="1" customHeight="1">
      <c r="A167" s="411"/>
      <c r="B167" s="412"/>
      <c r="C167" s="413"/>
      <c r="D167" s="414"/>
      <c r="E167" s="414"/>
      <c r="F167" s="414"/>
      <c r="G167" s="415"/>
      <c r="H167" s="416"/>
      <c r="I167" s="417"/>
      <c r="J167" s="418"/>
      <c r="K167" s="419"/>
      <c r="L167" s="420"/>
      <c r="M167" s="410"/>
      <c r="N167" s="410"/>
      <c r="O167" s="410"/>
    </row>
    <row r="168" ht="33.0" hidden="1" customHeight="1">
      <c r="A168" s="411"/>
      <c r="B168" s="412"/>
      <c r="C168" s="413"/>
      <c r="D168" s="414"/>
      <c r="E168" s="414"/>
      <c r="F168" s="414"/>
      <c r="G168" s="415"/>
      <c r="H168" s="416"/>
      <c r="I168" s="417"/>
      <c r="J168" s="418"/>
      <c r="K168" s="419"/>
      <c r="L168" s="420"/>
      <c r="M168" s="410"/>
      <c r="N168" s="410"/>
      <c r="O168" s="410"/>
    </row>
  </sheetData>
  <mergeCells count="15">
    <mergeCell ref="H5:H16"/>
    <mergeCell ref="G21:G43"/>
    <mergeCell ref="A46:K46"/>
    <mergeCell ref="A47:K47"/>
    <mergeCell ref="C48:C64"/>
    <mergeCell ref="G48:G64"/>
    <mergeCell ref="A67:K67"/>
    <mergeCell ref="A68:K68"/>
    <mergeCell ref="A3:K3"/>
    <mergeCell ref="A4:K4"/>
    <mergeCell ref="C5:C16"/>
    <mergeCell ref="D5:D16"/>
    <mergeCell ref="A19:K19"/>
    <mergeCell ref="A20:K20"/>
    <mergeCell ref="C21:C43"/>
  </mergeCells>
  <conditionalFormatting sqref="G76:L76 G103:L107 G137:L141">
    <cfRule type="expression" dxfId="4" priority="1">
      <formula>$K76&lt;=TODAY()</formula>
    </cfRule>
  </conditionalFormatting>
  <conditionalFormatting sqref="K76:L76 K103:L107 K137:L141">
    <cfRule type="expression" dxfId="5" priority="2">
      <formula>$K76&lt;=TODAY()</formula>
    </cfRule>
  </conditionalFormatting>
  <conditionalFormatting sqref="A76:L76 A103:L107 A137:L141">
    <cfRule type="expression" dxfId="3" priority="3">
      <formula>IF(($A76-TODAY())&gt;8,TRUE,FALSE)</formula>
    </cfRule>
  </conditionalFormatting>
  <conditionalFormatting sqref="A4 A20 A47 A68">
    <cfRule type="expression" dxfId="3" priority="4">
      <formula>$G4&gt;TODAY()</formula>
    </cfRule>
  </conditionalFormatting>
  <conditionalFormatting sqref="A1:J65 A68:J71 K69">
    <cfRule type="expression" dxfId="3" priority="5">
      <formula>$I1&gt;TODAY()</formula>
    </cfRule>
  </conditionalFormatting>
  <conditionalFormatting sqref="F1:K2 E5:E16 F5:K18 E18 E21:E43 F21:K45 E45 E48:E64 F48:K66 F69:K71 F73:L168">
    <cfRule type="containsBlanks" dxfId="6" priority="6">
      <formula>LEN(TRIM(F1))=0</formula>
    </cfRule>
  </conditionalFormatting>
  <conditionalFormatting sqref="F1:K2 E5:E16 F5:K18 E18 E21:E43 F21:K45 E45 E48:E64 F48:K66 F69:K71 F73:L168">
    <cfRule type="containsBlanks" dxfId="6" priority="7">
      <formula>LEN(TRIM(F1))=0</formula>
    </cfRule>
  </conditionalFormatting>
  <conditionalFormatting sqref="F1:K2 E5:E16 F5:K18 E18 E21:E43 F21:K45 E45 E48:E64 F48:K66 F69:K71 F73:L168">
    <cfRule type="expression" dxfId="4" priority="8">
      <formula>$J1&lt;=TODAY()</formula>
    </cfRule>
  </conditionalFormatting>
  <conditionalFormatting sqref="I1:K2 G5:H16 I5:K18 G21 I21:K45 G48 I48:K66 H66 H69 I69:K71 I73:L168">
    <cfRule type="expression" dxfId="5" priority="9">
      <formula>$J1&lt;=TODAY()</formula>
    </cfRule>
  </conditionalFormatting>
  <conditionalFormatting sqref="A1:K71 L71 A73:L168">
    <cfRule type="expression" dxfId="3" priority="10">
      <formula>IF(($J1-TODAY())&gt;8,TRUE,FALSE)</formula>
    </cfRule>
  </conditionalFormatting>
  <conditionalFormatting sqref="I1:K2 G5:H16 I5:K18 G21 I21:K45 G48 I48:K66 H66 H69 I69:J71 K69 K71 I73:J168 K76:L76 K103:L107 K137:L141">
    <cfRule type="expression" dxfId="7" priority="11">
      <formula>IF(#REF!="Opé future",TRUE,FALSE)</formula>
    </cfRule>
  </conditionalFormatting>
  <hyperlinks>
    <hyperlink r:id="rId1" ref="C5"/>
    <hyperlink r:id="rId2" ref="H5"/>
    <hyperlink r:id="rId3" ref="G21"/>
    <hyperlink r:id="rId4" ref="G48"/>
    <hyperlink r:id="rId5" ref="H69"/>
    <hyperlink r:id="rId6" ref="H72"/>
  </hyperlinks>
  <drawing r:id="rId7"/>
  <tableParts count="4">
    <tablePart r:id="rId12"/>
    <tablePart r:id="rId13"/>
    <tablePart r:id="rId14"/>
    <tablePart r:id="rId15"/>
  </tableParts>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34F5C"/>
    <outlinePr summaryBelow="0" summaryRight="0"/>
    <pageSetUpPr fitToPage="1"/>
  </sheetPr>
  <sheetViews>
    <sheetView workbookViewId="0"/>
  </sheetViews>
  <sheetFormatPr customHeight="1" defaultColWidth="12.63" defaultRowHeight="15.75"/>
  <cols>
    <col customWidth="1" min="1" max="1" width="10.25"/>
    <col customWidth="1" min="2" max="2" width="20.38"/>
    <col customWidth="1" min="3" max="3" width="64.88"/>
    <col customWidth="1" min="4" max="4" width="65.63"/>
    <col customWidth="1" min="5" max="5" width="15.25"/>
    <col customWidth="1" min="6" max="6" width="10.63"/>
    <col customWidth="1" min="7" max="7" width="65.63"/>
    <col customWidth="1" min="8" max="8" width="52.13"/>
    <col customWidth="1" min="9" max="9" width="84.75"/>
    <col customWidth="1" min="10" max="10" width="19.63"/>
    <col customWidth="1" min="11" max="11" width="33.63"/>
    <col customWidth="1" min="12" max="14" width="12.0"/>
  </cols>
  <sheetData>
    <row r="1">
      <c r="A1" s="425" t="s">
        <v>571</v>
      </c>
      <c r="B1" s="48" t="s">
        <v>2</v>
      </c>
      <c r="C1" s="48" t="s">
        <v>3</v>
      </c>
      <c r="D1" s="49" t="s">
        <v>124</v>
      </c>
      <c r="E1" s="426" t="s">
        <v>125</v>
      </c>
      <c r="F1" s="426" t="s">
        <v>126</v>
      </c>
      <c r="G1" s="50" t="s">
        <v>572</v>
      </c>
      <c r="H1" s="427" t="s">
        <v>573</v>
      </c>
      <c r="I1" s="48" t="s">
        <v>130</v>
      </c>
      <c r="J1" s="48" t="s">
        <v>574</v>
      </c>
      <c r="K1" s="428" t="s">
        <v>131</v>
      </c>
      <c r="L1" s="428" t="s">
        <v>132</v>
      </c>
      <c r="M1" s="429"/>
      <c r="N1" s="429"/>
    </row>
    <row r="2" ht="15.0" hidden="1" customHeight="1">
      <c r="A2" s="430" t="s">
        <v>575</v>
      </c>
      <c r="B2" s="430" t="s">
        <v>576</v>
      </c>
      <c r="C2" s="430" t="s">
        <v>577</v>
      </c>
      <c r="D2" s="431" t="s">
        <v>578</v>
      </c>
      <c r="E2" s="432">
        <v>45124.0</v>
      </c>
      <c r="F2" s="432">
        <v>45127.0</v>
      </c>
      <c r="G2" s="433">
        <v>-99.99</v>
      </c>
      <c r="H2" s="434">
        <v>1194675.0</v>
      </c>
      <c r="I2" s="435"/>
      <c r="J2" s="430" t="s">
        <v>579</v>
      </c>
      <c r="K2" s="436"/>
      <c r="L2" s="436"/>
      <c r="M2" s="437"/>
      <c r="N2" s="437"/>
    </row>
    <row r="3" ht="15.0" hidden="1" customHeight="1">
      <c r="A3" s="438" t="s">
        <v>580</v>
      </c>
      <c r="B3" s="438" t="s">
        <v>581</v>
      </c>
      <c r="C3" s="439" t="s">
        <v>582</v>
      </c>
      <c r="D3" s="440" t="s">
        <v>583</v>
      </c>
      <c r="E3" s="441">
        <v>45128.0</v>
      </c>
      <c r="F3" s="441">
        <v>45130.0</v>
      </c>
      <c r="G3" s="442">
        <v>50.0</v>
      </c>
      <c r="H3" s="443">
        <v>1194850.0</v>
      </c>
      <c r="I3" s="444"/>
      <c r="J3" s="440" t="s">
        <v>584</v>
      </c>
      <c r="K3" s="445"/>
      <c r="L3" s="445"/>
      <c r="M3" s="437"/>
      <c r="N3" s="437"/>
    </row>
    <row r="4" ht="15.0" hidden="1" customHeight="1">
      <c r="A4" s="430" t="s">
        <v>585</v>
      </c>
      <c r="B4" s="430" t="s">
        <v>576</v>
      </c>
      <c r="C4" s="446" t="s">
        <v>586</v>
      </c>
      <c r="D4" s="431" t="s">
        <v>587</v>
      </c>
      <c r="E4" s="432">
        <v>45105.0</v>
      </c>
      <c r="F4" s="432">
        <v>45132.0</v>
      </c>
      <c r="G4" s="433">
        <v>-0.4</v>
      </c>
      <c r="H4" s="434">
        <v>1193703.0</v>
      </c>
      <c r="I4" s="435"/>
      <c r="J4" s="447" t="s">
        <v>588</v>
      </c>
      <c r="K4" s="436" t="s">
        <v>589</v>
      </c>
      <c r="L4" s="436"/>
      <c r="M4" s="437"/>
      <c r="N4" s="437"/>
    </row>
    <row r="5" ht="15.0" hidden="1" customHeight="1">
      <c r="A5" s="438" t="s">
        <v>585</v>
      </c>
      <c r="B5" s="438" t="s">
        <v>576</v>
      </c>
      <c r="C5" s="438" t="s">
        <v>586</v>
      </c>
      <c r="D5" s="440" t="s">
        <v>590</v>
      </c>
      <c r="E5" s="441">
        <v>45105.0</v>
      </c>
      <c r="F5" s="441">
        <v>45132.0</v>
      </c>
      <c r="G5" s="442">
        <v>-0.4</v>
      </c>
      <c r="H5" s="443">
        <v>1193704.0</v>
      </c>
      <c r="I5" s="444"/>
      <c r="J5" s="448" t="s">
        <v>588</v>
      </c>
      <c r="K5" s="445" t="s">
        <v>589</v>
      </c>
      <c r="L5" s="445"/>
      <c r="M5" s="437"/>
      <c r="N5" s="437"/>
    </row>
    <row r="6" ht="15.0" hidden="1" customHeight="1">
      <c r="A6" s="430" t="s">
        <v>580</v>
      </c>
      <c r="B6" s="430" t="s">
        <v>576</v>
      </c>
      <c r="C6" s="430" t="s">
        <v>591</v>
      </c>
      <c r="D6" s="431" t="s">
        <v>592</v>
      </c>
      <c r="E6" s="432">
        <v>45129.0</v>
      </c>
      <c r="F6" s="432">
        <v>45135.0</v>
      </c>
      <c r="G6" s="433" t="s">
        <v>141</v>
      </c>
      <c r="H6" s="434">
        <v>1194884.0</v>
      </c>
      <c r="I6" s="449" t="s">
        <v>593</v>
      </c>
      <c r="J6" s="447" t="s">
        <v>594</v>
      </c>
      <c r="K6" s="436" t="s">
        <v>595</v>
      </c>
      <c r="L6" s="436"/>
      <c r="M6" s="437"/>
      <c r="N6" s="437"/>
    </row>
    <row r="7" ht="15.0" hidden="1" customHeight="1">
      <c r="A7" s="438" t="s">
        <v>585</v>
      </c>
      <c r="B7" s="438" t="s">
        <v>576</v>
      </c>
      <c r="C7" s="439" t="s">
        <v>596</v>
      </c>
      <c r="D7" s="440" t="s">
        <v>597</v>
      </c>
      <c r="E7" s="441">
        <v>45135.0</v>
      </c>
      <c r="F7" s="441">
        <v>45137.0</v>
      </c>
      <c r="G7" s="442" t="s">
        <v>141</v>
      </c>
      <c r="H7" s="443">
        <v>1195080.0</v>
      </c>
      <c r="I7" s="440" t="s">
        <v>598</v>
      </c>
      <c r="J7" s="438" t="s">
        <v>599</v>
      </c>
      <c r="K7" s="445"/>
      <c r="L7" s="445"/>
      <c r="M7" s="437"/>
      <c r="N7" s="437"/>
    </row>
    <row r="8" ht="15.0" hidden="1" customHeight="1">
      <c r="A8" s="430" t="s">
        <v>580</v>
      </c>
      <c r="B8" s="430" t="s">
        <v>576</v>
      </c>
      <c r="C8" s="450" t="s">
        <v>600</v>
      </c>
      <c r="D8" s="451" t="s">
        <v>601</v>
      </c>
      <c r="E8" s="432">
        <v>45133.0</v>
      </c>
      <c r="F8" s="432">
        <v>45137.0</v>
      </c>
      <c r="G8" s="433" t="s">
        <v>141</v>
      </c>
      <c r="H8" s="434">
        <v>1194722.0</v>
      </c>
      <c r="I8" s="449" t="s">
        <v>602</v>
      </c>
      <c r="J8" s="431" t="s">
        <v>603</v>
      </c>
      <c r="K8" s="436"/>
      <c r="L8" s="436"/>
      <c r="M8" s="437"/>
      <c r="N8" s="437"/>
    </row>
    <row r="9" ht="15.0" hidden="1" customHeight="1">
      <c r="A9" s="438" t="s">
        <v>580</v>
      </c>
      <c r="B9" s="438" t="s">
        <v>576</v>
      </c>
      <c r="C9" s="439" t="s">
        <v>604</v>
      </c>
      <c r="D9" s="452" t="s">
        <v>605</v>
      </c>
      <c r="E9" s="441">
        <v>45133.0</v>
      </c>
      <c r="F9" s="441">
        <v>45137.0</v>
      </c>
      <c r="G9" s="442" t="s">
        <v>141</v>
      </c>
      <c r="H9" s="443">
        <v>1194726.0</v>
      </c>
      <c r="I9" s="453" t="s">
        <v>602</v>
      </c>
      <c r="J9" s="440" t="s">
        <v>606</v>
      </c>
      <c r="K9" s="445"/>
      <c r="L9" s="445"/>
      <c r="M9" s="437"/>
      <c r="N9" s="437"/>
    </row>
    <row r="10" ht="15.0" hidden="1" customHeight="1">
      <c r="A10" s="430" t="s">
        <v>607</v>
      </c>
      <c r="B10" s="430" t="s">
        <v>576</v>
      </c>
      <c r="C10" s="430" t="s">
        <v>608</v>
      </c>
      <c r="D10" s="454" t="s">
        <v>609</v>
      </c>
      <c r="E10" s="432">
        <v>45105.0</v>
      </c>
      <c r="F10" s="432">
        <v>45137.0</v>
      </c>
      <c r="G10" s="433" t="s">
        <v>141</v>
      </c>
      <c r="H10" s="434">
        <v>1193326.0</v>
      </c>
      <c r="I10" s="435"/>
      <c r="J10" s="447" t="s">
        <v>588</v>
      </c>
      <c r="K10" s="455" t="s">
        <v>610</v>
      </c>
      <c r="L10" s="436"/>
      <c r="M10" s="437"/>
      <c r="N10" s="437"/>
    </row>
    <row r="11" ht="15.0" hidden="1" customHeight="1">
      <c r="A11" s="438" t="s">
        <v>607</v>
      </c>
      <c r="B11" s="438" t="s">
        <v>576</v>
      </c>
      <c r="C11" s="438" t="s">
        <v>611</v>
      </c>
      <c r="D11" s="448" t="s">
        <v>612</v>
      </c>
      <c r="E11" s="441">
        <v>45105.0</v>
      </c>
      <c r="F11" s="441">
        <v>45137.0</v>
      </c>
      <c r="G11" s="442" t="s">
        <v>141</v>
      </c>
      <c r="H11" s="443">
        <v>1193327.0</v>
      </c>
      <c r="I11" s="444"/>
      <c r="J11" s="448" t="s">
        <v>588</v>
      </c>
      <c r="K11" s="456" t="s">
        <v>610</v>
      </c>
      <c r="L11" s="445"/>
      <c r="M11" s="437"/>
      <c r="N11" s="437"/>
    </row>
    <row r="12" ht="15.0" hidden="1" customHeight="1">
      <c r="A12" s="430" t="s">
        <v>607</v>
      </c>
      <c r="B12" s="430" t="s">
        <v>576</v>
      </c>
      <c r="C12" s="430" t="s">
        <v>613</v>
      </c>
      <c r="D12" s="447" t="s">
        <v>614</v>
      </c>
      <c r="E12" s="432">
        <v>45105.0</v>
      </c>
      <c r="F12" s="432">
        <v>45137.0</v>
      </c>
      <c r="G12" s="433" t="s">
        <v>141</v>
      </c>
      <c r="H12" s="434">
        <v>1193411.0</v>
      </c>
      <c r="I12" s="435"/>
      <c r="J12" s="447" t="s">
        <v>588</v>
      </c>
      <c r="K12" s="455" t="s">
        <v>610</v>
      </c>
      <c r="L12" s="455"/>
      <c r="M12" s="457"/>
      <c r="N12" s="457"/>
    </row>
    <row r="13" ht="15.0" hidden="1" customHeight="1">
      <c r="A13" s="438" t="s">
        <v>607</v>
      </c>
      <c r="B13" s="438" t="s">
        <v>576</v>
      </c>
      <c r="C13" s="458" t="s">
        <v>615</v>
      </c>
      <c r="D13" s="448" t="s">
        <v>614</v>
      </c>
      <c r="E13" s="441">
        <v>45105.0</v>
      </c>
      <c r="F13" s="441">
        <v>45137.0</v>
      </c>
      <c r="G13" s="442" t="s">
        <v>141</v>
      </c>
      <c r="H13" s="443">
        <v>1193413.0</v>
      </c>
      <c r="I13" s="444"/>
      <c r="J13" s="448" t="s">
        <v>588</v>
      </c>
      <c r="K13" s="456" t="s">
        <v>610</v>
      </c>
      <c r="L13" s="456"/>
      <c r="M13" s="457"/>
      <c r="N13" s="457"/>
    </row>
    <row r="14" ht="15.0" hidden="1" customHeight="1">
      <c r="A14" s="430" t="s">
        <v>607</v>
      </c>
      <c r="B14" s="430" t="s">
        <v>576</v>
      </c>
      <c r="C14" s="459" t="s">
        <v>615</v>
      </c>
      <c r="D14" s="447" t="s">
        <v>614</v>
      </c>
      <c r="E14" s="432">
        <v>45105.0</v>
      </c>
      <c r="F14" s="432">
        <v>45137.0</v>
      </c>
      <c r="G14" s="433" t="s">
        <v>141</v>
      </c>
      <c r="H14" s="434">
        <v>1193414.0</v>
      </c>
      <c r="I14" s="435"/>
      <c r="J14" s="447" t="s">
        <v>588</v>
      </c>
      <c r="K14" s="455" t="s">
        <v>610</v>
      </c>
      <c r="L14" s="455"/>
      <c r="M14" s="457"/>
      <c r="N14" s="457"/>
    </row>
    <row r="15" ht="15.0" hidden="1" customHeight="1">
      <c r="A15" s="438" t="s">
        <v>580</v>
      </c>
      <c r="B15" s="438" t="s">
        <v>581</v>
      </c>
      <c r="C15" s="438" t="s">
        <v>616</v>
      </c>
      <c r="D15" s="448" t="s">
        <v>617</v>
      </c>
      <c r="E15" s="441">
        <v>45133.0</v>
      </c>
      <c r="F15" s="441">
        <v>45148.0</v>
      </c>
      <c r="G15" s="442">
        <v>-100.0</v>
      </c>
      <c r="H15" s="443">
        <v>1194881.0</v>
      </c>
      <c r="I15" s="440" t="s">
        <v>618</v>
      </c>
      <c r="J15" s="440"/>
      <c r="K15" s="460" t="s">
        <v>619</v>
      </c>
      <c r="L15" s="456"/>
      <c r="M15" s="457"/>
      <c r="N15" s="457"/>
    </row>
    <row r="16" ht="15.0" hidden="1" customHeight="1">
      <c r="A16" s="430" t="s">
        <v>580</v>
      </c>
      <c r="B16" s="430" t="s">
        <v>581</v>
      </c>
      <c r="C16" s="430" t="s">
        <v>620</v>
      </c>
      <c r="D16" s="447" t="s">
        <v>621</v>
      </c>
      <c r="E16" s="432">
        <v>45133.0</v>
      </c>
      <c r="F16" s="432">
        <v>45148.0</v>
      </c>
      <c r="G16" s="433">
        <v>-70.0</v>
      </c>
      <c r="H16" s="434">
        <v>1194876.0</v>
      </c>
      <c r="I16" s="431" t="s">
        <v>618</v>
      </c>
      <c r="J16" s="431"/>
      <c r="K16" s="461" t="s">
        <v>622</v>
      </c>
      <c r="L16" s="455"/>
      <c r="M16" s="457"/>
      <c r="N16" s="457"/>
    </row>
    <row r="17" ht="15.0" hidden="1" customHeight="1">
      <c r="A17" s="438" t="s">
        <v>580</v>
      </c>
      <c r="B17" s="438" t="s">
        <v>576</v>
      </c>
      <c r="C17" s="438" t="s">
        <v>623</v>
      </c>
      <c r="D17" s="440" t="s">
        <v>624</v>
      </c>
      <c r="E17" s="441">
        <v>45133.0</v>
      </c>
      <c r="F17" s="441">
        <v>45148.0</v>
      </c>
      <c r="G17" s="442">
        <v>-100.0</v>
      </c>
      <c r="H17" s="443">
        <v>1194699.0</v>
      </c>
      <c r="I17" s="440" t="s">
        <v>618</v>
      </c>
      <c r="J17" s="440"/>
      <c r="K17" s="445"/>
      <c r="L17" s="460"/>
      <c r="M17" s="462"/>
      <c r="N17" s="462"/>
    </row>
    <row r="18" ht="15.0" hidden="1" customHeight="1">
      <c r="A18" s="430" t="s">
        <v>580</v>
      </c>
      <c r="B18" s="430" t="s">
        <v>576</v>
      </c>
      <c r="C18" s="430" t="s">
        <v>625</v>
      </c>
      <c r="D18" s="431" t="s">
        <v>626</v>
      </c>
      <c r="E18" s="432">
        <v>45133.0</v>
      </c>
      <c r="F18" s="432">
        <v>45148.0</v>
      </c>
      <c r="G18" s="433">
        <v>-150.0</v>
      </c>
      <c r="H18" s="434">
        <v>1194700.0</v>
      </c>
      <c r="I18" s="431" t="s">
        <v>618</v>
      </c>
      <c r="J18" s="431"/>
      <c r="K18" s="436"/>
      <c r="L18" s="461"/>
      <c r="M18" s="462"/>
      <c r="N18" s="462"/>
    </row>
    <row r="19" ht="15.0" hidden="1" customHeight="1">
      <c r="A19" s="438" t="s">
        <v>580</v>
      </c>
      <c r="B19" s="438" t="s">
        <v>627</v>
      </c>
      <c r="C19" s="463" t="s">
        <v>628</v>
      </c>
      <c r="D19" s="452" t="s">
        <v>629</v>
      </c>
      <c r="E19" s="441">
        <v>45133.0</v>
      </c>
      <c r="F19" s="441">
        <v>45148.0</v>
      </c>
      <c r="G19" s="442">
        <v>-100.0</v>
      </c>
      <c r="H19" s="443">
        <v>1194889.0</v>
      </c>
      <c r="I19" s="464" t="s">
        <v>630</v>
      </c>
      <c r="J19" s="440" t="s">
        <v>631</v>
      </c>
      <c r="K19" s="445"/>
      <c r="L19" s="445"/>
      <c r="M19" s="437"/>
      <c r="N19" s="437"/>
    </row>
    <row r="20" ht="15.0" hidden="1" customHeight="1">
      <c r="A20" s="430" t="s">
        <v>580</v>
      </c>
      <c r="B20" s="430" t="s">
        <v>627</v>
      </c>
      <c r="C20" s="465" t="s">
        <v>628</v>
      </c>
      <c r="D20" s="451" t="s">
        <v>632</v>
      </c>
      <c r="E20" s="432">
        <v>45133.0</v>
      </c>
      <c r="F20" s="432">
        <v>45148.0</v>
      </c>
      <c r="G20" s="433">
        <v>-50.0</v>
      </c>
      <c r="H20" s="434">
        <v>1194890.0</v>
      </c>
      <c r="I20" s="431" t="s">
        <v>618</v>
      </c>
      <c r="J20" s="431"/>
      <c r="K20" s="436" t="s">
        <v>633</v>
      </c>
      <c r="L20" s="436"/>
      <c r="M20" s="437"/>
      <c r="N20" s="437"/>
    </row>
    <row r="21" ht="15.0" hidden="1" customHeight="1">
      <c r="A21" s="438" t="s">
        <v>580</v>
      </c>
      <c r="B21" s="438" t="s">
        <v>627</v>
      </c>
      <c r="C21" s="463" t="s">
        <v>628</v>
      </c>
      <c r="D21" s="452" t="s">
        <v>634</v>
      </c>
      <c r="E21" s="441">
        <v>45133.0</v>
      </c>
      <c r="F21" s="441">
        <v>45148.0</v>
      </c>
      <c r="G21" s="442">
        <v>-70.0</v>
      </c>
      <c r="H21" s="443">
        <v>1194991.0</v>
      </c>
      <c r="I21" s="466" t="s">
        <v>618</v>
      </c>
      <c r="J21" s="440"/>
      <c r="K21" s="467" t="s">
        <v>635</v>
      </c>
      <c r="L21" s="445"/>
      <c r="M21" s="437"/>
      <c r="N21" s="437"/>
    </row>
    <row r="22" ht="15.0" hidden="1" customHeight="1">
      <c r="A22" s="430" t="s">
        <v>580</v>
      </c>
      <c r="B22" s="430" t="s">
        <v>627</v>
      </c>
      <c r="C22" s="465" t="s">
        <v>628</v>
      </c>
      <c r="D22" s="451" t="s">
        <v>636</v>
      </c>
      <c r="E22" s="432">
        <v>45133.0</v>
      </c>
      <c r="F22" s="432">
        <v>45148.0</v>
      </c>
      <c r="G22" s="433">
        <v>-100.0</v>
      </c>
      <c r="H22" s="434">
        <v>1194992.0</v>
      </c>
      <c r="I22" s="468" t="s">
        <v>618</v>
      </c>
      <c r="J22" s="431"/>
      <c r="K22" s="469" t="s">
        <v>635</v>
      </c>
      <c r="L22" s="436"/>
      <c r="M22" s="437"/>
      <c r="N22" s="437"/>
    </row>
    <row r="23" ht="15.0" hidden="1" customHeight="1">
      <c r="A23" s="438" t="s">
        <v>580</v>
      </c>
      <c r="B23" s="438" t="s">
        <v>627</v>
      </c>
      <c r="C23" s="463" t="s">
        <v>628</v>
      </c>
      <c r="D23" s="452" t="s">
        <v>637</v>
      </c>
      <c r="E23" s="441">
        <v>45133.0</v>
      </c>
      <c r="F23" s="441">
        <v>45148.0</v>
      </c>
      <c r="G23" s="442">
        <v>-100.0</v>
      </c>
      <c r="H23" s="443">
        <v>1194993.0</v>
      </c>
      <c r="I23" s="466" t="s">
        <v>618</v>
      </c>
      <c r="J23" s="470" t="s">
        <v>631</v>
      </c>
      <c r="K23" s="445"/>
      <c r="L23" s="467"/>
      <c r="M23" s="469"/>
      <c r="N23" s="469"/>
    </row>
    <row r="24" ht="15.0" hidden="1" customHeight="1">
      <c r="A24" s="430" t="s">
        <v>580</v>
      </c>
      <c r="B24" s="430" t="s">
        <v>576</v>
      </c>
      <c r="C24" s="450" t="s">
        <v>638</v>
      </c>
      <c r="D24" s="431" t="s">
        <v>639</v>
      </c>
      <c r="E24" s="432">
        <v>45133.0</v>
      </c>
      <c r="F24" s="432">
        <v>45148.0</v>
      </c>
      <c r="G24" s="433">
        <v>-100.0</v>
      </c>
      <c r="H24" s="471">
        <v>1193695.0</v>
      </c>
      <c r="I24" s="468" t="s">
        <v>640</v>
      </c>
      <c r="J24" s="435" t="s">
        <v>599</v>
      </c>
      <c r="K24" s="436"/>
      <c r="L24" s="469"/>
      <c r="M24" s="469"/>
      <c r="N24" s="469"/>
    </row>
    <row r="25" ht="15.0" hidden="1" customHeight="1">
      <c r="A25" s="463" t="s">
        <v>575</v>
      </c>
      <c r="B25" s="438" t="s">
        <v>576</v>
      </c>
      <c r="C25" s="472" t="s">
        <v>641</v>
      </c>
      <c r="D25" s="440" t="s">
        <v>642</v>
      </c>
      <c r="E25" s="473">
        <v>45134.0</v>
      </c>
      <c r="F25" s="473">
        <v>45153.0</v>
      </c>
      <c r="G25" s="474">
        <v>-50.0</v>
      </c>
      <c r="H25" s="443">
        <v>1195197.0</v>
      </c>
      <c r="I25" s="475" t="s">
        <v>643</v>
      </c>
      <c r="J25" s="463" t="s">
        <v>644</v>
      </c>
      <c r="K25" s="445"/>
      <c r="L25" s="445"/>
      <c r="M25" s="437"/>
      <c r="N25" s="437"/>
    </row>
    <row r="26" ht="15.0" hidden="1" customHeight="1">
      <c r="A26" s="430" t="s">
        <v>645</v>
      </c>
      <c r="B26" s="430" t="s">
        <v>627</v>
      </c>
      <c r="C26" s="430" t="s">
        <v>646</v>
      </c>
      <c r="D26" s="431" t="s">
        <v>647</v>
      </c>
      <c r="E26" s="432">
        <v>45119.0</v>
      </c>
      <c r="F26" s="432">
        <v>45154.0</v>
      </c>
      <c r="G26" s="433" t="s">
        <v>141</v>
      </c>
      <c r="H26" s="434">
        <v>1194174.0</v>
      </c>
      <c r="I26" s="476" t="s">
        <v>648</v>
      </c>
      <c r="J26" s="431"/>
      <c r="K26" s="436"/>
      <c r="L26" s="436"/>
      <c r="M26" s="437"/>
      <c r="N26" s="437"/>
    </row>
    <row r="27" ht="15.0" hidden="1" customHeight="1">
      <c r="A27" s="438" t="s">
        <v>580</v>
      </c>
      <c r="B27" s="438" t="s">
        <v>576</v>
      </c>
      <c r="C27" s="438" t="s">
        <v>649</v>
      </c>
      <c r="D27" s="440" t="s">
        <v>650</v>
      </c>
      <c r="E27" s="441">
        <v>45119.0</v>
      </c>
      <c r="F27" s="441">
        <v>45154.0</v>
      </c>
      <c r="G27" s="442">
        <v>50.0</v>
      </c>
      <c r="H27" s="443">
        <v>1194435.0</v>
      </c>
      <c r="I27" s="477" t="s">
        <v>651</v>
      </c>
      <c r="J27" s="440">
        <v>1192560.0</v>
      </c>
      <c r="K27" s="445"/>
      <c r="L27" s="445"/>
      <c r="M27" s="437"/>
      <c r="N27" s="437"/>
    </row>
    <row r="28" ht="15.0" hidden="1" customHeight="1">
      <c r="A28" s="465" t="s">
        <v>607</v>
      </c>
      <c r="B28" s="430" t="s">
        <v>576</v>
      </c>
      <c r="C28" s="450" t="s">
        <v>613</v>
      </c>
      <c r="D28" s="447" t="s">
        <v>652</v>
      </c>
      <c r="E28" s="432">
        <v>45133.0</v>
      </c>
      <c r="F28" s="432">
        <v>45155.0</v>
      </c>
      <c r="G28" s="433">
        <v>-50.0</v>
      </c>
      <c r="H28" s="434">
        <v>1193328.0</v>
      </c>
      <c r="I28" s="468" t="s">
        <v>618</v>
      </c>
      <c r="J28" s="431" t="s">
        <v>588</v>
      </c>
      <c r="K28" s="461" t="s">
        <v>653</v>
      </c>
      <c r="L28" s="436"/>
      <c r="M28" s="437"/>
      <c r="N28" s="437"/>
    </row>
    <row r="29" ht="15.0" hidden="1" customHeight="1">
      <c r="A29" s="438" t="s">
        <v>607</v>
      </c>
      <c r="B29" s="438" t="s">
        <v>576</v>
      </c>
      <c r="C29" s="438" t="s">
        <v>654</v>
      </c>
      <c r="D29" s="440" t="s">
        <v>655</v>
      </c>
      <c r="E29" s="441">
        <v>45113.0</v>
      </c>
      <c r="F29" s="441">
        <v>45155.0</v>
      </c>
      <c r="G29" s="442">
        <v>100.0</v>
      </c>
      <c r="H29" s="443">
        <v>1193412.0</v>
      </c>
      <c r="I29" s="478" t="s">
        <v>656</v>
      </c>
      <c r="J29" s="440" t="s">
        <v>588</v>
      </c>
      <c r="K29" s="445"/>
      <c r="L29" s="445"/>
      <c r="M29" s="437"/>
      <c r="N29" s="437"/>
    </row>
    <row r="30" ht="15.0" hidden="1" customHeight="1">
      <c r="A30" s="430" t="s">
        <v>580</v>
      </c>
      <c r="B30" s="430" t="s">
        <v>576</v>
      </c>
      <c r="C30" s="430" t="s">
        <v>591</v>
      </c>
      <c r="D30" s="431" t="s">
        <v>657</v>
      </c>
      <c r="E30" s="432">
        <v>45112.0</v>
      </c>
      <c r="F30" s="432">
        <v>45155.0</v>
      </c>
      <c r="G30" s="433">
        <v>-100.0</v>
      </c>
      <c r="H30" s="434">
        <v>1191098.0</v>
      </c>
      <c r="I30" s="476" t="s">
        <v>658</v>
      </c>
      <c r="J30" s="431" t="s">
        <v>588</v>
      </c>
      <c r="K30" s="436"/>
      <c r="L30" s="461"/>
      <c r="M30" s="462"/>
      <c r="N30" s="462"/>
    </row>
    <row r="31" ht="15.0" hidden="1" customHeight="1">
      <c r="A31" s="438" t="s">
        <v>607</v>
      </c>
      <c r="B31" s="438" t="s">
        <v>576</v>
      </c>
      <c r="C31" s="463" t="s">
        <v>659</v>
      </c>
      <c r="D31" s="440" t="s">
        <v>660</v>
      </c>
      <c r="E31" s="441">
        <v>45105.0</v>
      </c>
      <c r="F31" s="441">
        <v>45155.0</v>
      </c>
      <c r="G31" s="442">
        <v>200.0</v>
      </c>
      <c r="H31" s="443">
        <v>1190781.0</v>
      </c>
      <c r="I31" s="466"/>
      <c r="J31" s="440" t="s">
        <v>588</v>
      </c>
      <c r="K31" s="445" t="s">
        <v>661</v>
      </c>
      <c r="L31" s="445"/>
      <c r="M31" s="437"/>
      <c r="N31" s="437"/>
    </row>
    <row r="32" ht="15.0" hidden="1" customHeight="1">
      <c r="A32" s="430" t="s">
        <v>662</v>
      </c>
      <c r="B32" s="430" t="s">
        <v>576</v>
      </c>
      <c r="C32" s="430" t="s">
        <v>663</v>
      </c>
      <c r="D32" s="447" t="s">
        <v>664</v>
      </c>
      <c r="E32" s="432">
        <v>45139.0</v>
      </c>
      <c r="F32" s="432">
        <v>45169.0</v>
      </c>
      <c r="G32" s="433">
        <v>-50.0</v>
      </c>
      <c r="H32" s="434">
        <v>1194994.0</v>
      </c>
      <c r="I32" s="468" t="s">
        <v>598</v>
      </c>
      <c r="J32" s="435" t="s">
        <v>665</v>
      </c>
      <c r="K32" s="479"/>
      <c r="L32" s="436"/>
      <c r="M32" s="437"/>
      <c r="N32" s="437"/>
    </row>
    <row r="33" ht="15.0" hidden="1" customHeight="1">
      <c r="A33" s="438" t="s">
        <v>666</v>
      </c>
      <c r="B33" s="438" t="s">
        <v>576</v>
      </c>
      <c r="C33" s="438" t="s">
        <v>667</v>
      </c>
      <c r="D33" s="448" t="s">
        <v>668</v>
      </c>
      <c r="E33" s="441">
        <v>45125.0</v>
      </c>
      <c r="F33" s="473">
        <v>45169.0</v>
      </c>
      <c r="G33" s="442">
        <v>50.0</v>
      </c>
      <c r="H33" s="443">
        <v>1194718.0</v>
      </c>
      <c r="I33" s="453" t="s">
        <v>669</v>
      </c>
      <c r="J33" s="444"/>
      <c r="K33" s="456"/>
      <c r="L33" s="445"/>
      <c r="M33" s="437"/>
      <c r="N33" s="437"/>
    </row>
    <row r="34" ht="15.0" hidden="1" customHeight="1">
      <c r="A34" s="430" t="s">
        <v>670</v>
      </c>
      <c r="B34" s="430" t="s">
        <v>576</v>
      </c>
      <c r="C34" s="430" t="s">
        <v>671</v>
      </c>
      <c r="D34" s="431" t="s">
        <v>672</v>
      </c>
      <c r="E34" s="432">
        <v>45125.0</v>
      </c>
      <c r="F34" s="480">
        <v>45169.0</v>
      </c>
      <c r="G34" s="433">
        <v>30.0</v>
      </c>
      <c r="H34" s="434">
        <v>1194717.0</v>
      </c>
      <c r="I34" s="476" t="s">
        <v>673</v>
      </c>
      <c r="J34" s="435"/>
      <c r="K34" s="436"/>
      <c r="L34" s="479"/>
      <c r="M34" s="481"/>
      <c r="N34" s="481"/>
    </row>
    <row r="35" ht="15.0" hidden="1" customHeight="1">
      <c r="A35" s="463" t="s">
        <v>580</v>
      </c>
      <c r="B35" s="438" t="s">
        <v>576</v>
      </c>
      <c r="C35" s="463" t="s">
        <v>674</v>
      </c>
      <c r="D35" s="470" t="s">
        <v>675</v>
      </c>
      <c r="E35" s="473">
        <v>45171.0</v>
      </c>
      <c r="F35" s="473">
        <v>45172.0</v>
      </c>
      <c r="G35" s="474" t="s">
        <v>676</v>
      </c>
      <c r="H35" s="482" t="s">
        <v>677</v>
      </c>
      <c r="I35" s="475" t="s">
        <v>678</v>
      </c>
      <c r="J35" s="440"/>
      <c r="K35" s="445"/>
      <c r="L35" s="456"/>
      <c r="M35" s="457"/>
      <c r="N35" s="457"/>
    </row>
    <row r="36" ht="15.0" hidden="1" customHeight="1">
      <c r="A36" s="465" t="s">
        <v>679</v>
      </c>
      <c r="B36" s="465" t="s">
        <v>576</v>
      </c>
      <c r="C36" s="483" t="s">
        <v>680</v>
      </c>
      <c r="D36" s="447" t="s">
        <v>681</v>
      </c>
      <c r="E36" s="480">
        <v>45150.0</v>
      </c>
      <c r="F36" s="480">
        <v>45173.0</v>
      </c>
      <c r="G36" s="484">
        <v>-14.99</v>
      </c>
      <c r="H36" s="471">
        <v>1195795.0</v>
      </c>
      <c r="I36" s="485" t="s">
        <v>682</v>
      </c>
      <c r="J36" s="465"/>
      <c r="K36" s="461" t="s">
        <v>683</v>
      </c>
      <c r="L36" s="436"/>
      <c r="M36" s="437"/>
      <c r="N36" s="437"/>
    </row>
    <row r="37" ht="15.0" hidden="1" customHeight="1">
      <c r="A37" s="463" t="s">
        <v>679</v>
      </c>
      <c r="B37" s="463" t="s">
        <v>576</v>
      </c>
      <c r="C37" s="472" t="s">
        <v>684</v>
      </c>
      <c r="D37" s="440" t="s">
        <v>685</v>
      </c>
      <c r="E37" s="473">
        <v>45150.0</v>
      </c>
      <c r="F37" s="473">
        <v>45173.0</v>
      </c>
      <c r="G37" s="474">
        <v>-30.0</v>
      </c>
      <c r="H37" s="482">
        <v>1195796.0</v>
      </c>
      <c r="I37" s="464" t="s">
        <v>682</v>
      </c>
      <c r="J37" s="463"/>
      <c r="K37" s="445"/>
      <c r="L37" s="445"/>
      <c r="M37" s="437"/>
      <c r="N37" s="437"/>
    </row>
    <row r="38" ht="15.0" hidden="1" customHeight="1">
      <c r="A38" s="430" t="s">
        <v>670</v>
      </c>
      <c r="B38" s="430" t="s">
        <v>627</v>
      </c>
      <c r="C38" s="465" t="s">
        <v>686</v>
      </c>
      <c r="D38" s="486" t="s">
        <v>687</v>
      </c>
      <c r="E38" s="480">
        <v>45155.0</v>
      </c>
      <c r="F38" s="480">
        <v>45180.0</v>
      </c>
      <c r="G38" s="484">
        <v>-29.99</v>
      </c>
      <c r="H38" s="471">
        <v>1195574.0</v>
      </c>
      <c r="I38" s="465"/>
      <c r="J38" s="465" t="s">
        <v>688</v>
      </c>
      <c r="K38" s="461"/>
      <c r="L38" s="461"/>
      <c r="M38" s="462"/>
      <c r="N38" s="462"/>
    </row>
    <row r="39" ht="15.0" hidden="1" customHeight="1">
      <c r="A39" s="463" t="s">
        <v>679</v>
      </c>
      <c r="B39" s="463" t="s">
        <v>576</v>
      </c>
      <c r="C39" s="463" t="s">
        <v>689</v>
      </c>
      <c r="D39" s="470" t="s">
        <v>690</v>
      </c>
      <c r="E39" s="473">
        <v>45184.0</v>
      </c>
      <c r="F39" s="473">
        <v>45190.0</v>
      </c>
      <c r="G39" s="474">
        <v>-30.0</v>
      </c>
      <c r="H39" s="482">
        <v>1196882.0</v>
      </c>
      <c r="I39" s="463"/>
      <c r="J39" s="463"/>
      <c r="K39" s="460"/>
      <c r="L39" s="445"/>
      <c r="M39" s="437"/>
      <c r="N39" s="437"/>
    </row>
    <row r="40" ht="15.0" hidden="1" customHeight="1">
      <c r="A40" s="465" t="s">
        <v>679</v>
      </c>
      <c r="B40" s="465" t="s">
        <v>576</v>
      </c>
      <c r="C40" s="465" t="s">
        <v>689</v>
      </c>
      <c r="D40" s="486" t="s">
        <v>691</v>
      </c>
      <c r="E40" s="480">
        <v>45184.0</v>
      </c>
      <c r="F40" s="480">
        <v>45190.0</v>
      </c>
      <c r="G40" s="484">
        <v>-30.0</v>
      </c>
      <c r="H40" s="471">
        <v>1196886.0</v>
      </c>
      <c r="I40" s="465"/>
      <c r="J40" s="465"/>
      <c r="K40" s="461"/>
      <c r="L40" s="461"/>
      <c r="M40" s="462"/>
      <c r="N40" s="462"/>
    </row>
    <row r="41" ht="15.0" hidden="1" customHeight="1">
      <c r="A41" s="463" t="s">
        <v>679</v>
      </c>
      <c r="B41" s="463" t="s">
        <v>576</v>
      </c>
      <c r="C41" s="463" t="s">
        <v>689</v>
      </c>
      <c r="D41" s="470" t="s">
        <v>692</v>
      </c>
      <c r="E41" s="473">
        <v>45184.0</v>
      </c>
      <c r="F41" s="473">
        <v>45190.0</v>
      </c>
      <c r="G41" s="474">
        <v>-20.0</v>
      </c>
      <c r="H41" s="482">
        <v>1196932.0</v>
      </c>
      <c r="I41" s="463"/>
      <c r="J41" s="463"/>
      <c r="K41" s="460"/>
      <c r="L41" s="445"/>
      <c r="M41" s="437"/>
      <c r="N41" s="437"/>
    </row>
    <row r="42" ht="15.0" hidden="1" customHeight="1">
      <c r="A42" s="465" t="s">
        <v>679</v>
      </c>
      <c r="B42" s="465" t="s">
        <v>576</v>
      </c>
      <c r="C42" s="465" t="s">
        <v>689</v>
      </c>
      <c r="D42" s="486" t="s">
        <v>690</v>
      </c>
      <c r="E42" s="480">
        <v>45191.0</v>
      </c>
      <c r="F42" s="480">
        <v>45193.0</v>
      </c>
      <c r="G42" s="484">
        <v>-30.0</v>
      </c>
      <c r="H42" s="471">
        <v>1196884.0</v>
      </c>
      <c r="I42" s="465"/>
      <c r="J42" s="465"/>
      <c r="K42" s="461"/>
      <c r="L42" s="436"/>
      <c r="M42" s="437"/>
      <c r="N42" s="437"/>
    </row>
    <row r="43" ht="15.0" hidden="1" customHeight="1">
      <c r="A43" s="463" t="s">
        <v>679</v>
      </c>
      <c r="B43" s="463" t="s">
        <v>576</v>
      </c>
      <c r="C43" s="463" t="s">
        <v>689</v>
      </c>
      <c r="D43" s="470" t="s">
        <v>691</v>
      </c>
      <c r="E43" s="473">
        <v>45191.0</v>
      </c>
      <c r="F43" s="473">
        <v>45193.0</v>
      </c>
      <c r="G43" s="474">
        <v>-30.0</v>
      </c>
      <c r="H43" s="482">
        <v>1196888.0</v>
      </c>
      <c r="I43" s="463"/>
      <c r="J43" s="463"/>
      <c r="K43" s="460"/>
      <c r="L43" s="445"/>
      <c r="M43" s="437"/>
      <c r="N43" s="437"/>
    </row>
    <row r="44" ht="15.0" hidden="1" customHeight="1">
      <c r="A44" s="430" t="s">
        <v>580</v>
      </c>
      <c r="B44" s="430" t="s">
        <v>627</v>
      </c>
      <c r="C44" s="430" t="s">
        <v>693</v>
      </c>
      <c r="D44" s="431" t="s">
        <v>694</v>
      </c>
      <c r="E44" s="432">
        <v>45114.0</v>
      </c>
      <c r="F44" s="432">
        <v>45199.0</v>
      </c>
      <c r="G44" s="433">
        <v>-60.0</v>
      </c>
      <c r="H44" s="471">
        <v>1193979.0</v>
      </c>
      <c r="I44" s="487" t="s">
        <v>695</v>
      </c>
      <c r="J44" s="446"/>
      <c r="K44" s="436"/>
      <c r="L44" s="436"/>
      <c r="M44" s="437"/>
      <c r="N44" s="437"/>
    </row>
    <row r="45" ht="15.0" hidden="1" customHeight="1">
      <c r="A45" s="438" t="s">
        <v>580</v>
      </c>
      <c r="B45" s="438" t="s">
        <v>576</v>
      </c>
      <c r="C45" s="438" t="s">
        <v>696</v>
      </c>
      <c r="D45" s="470" t="s">
        <v>697</v>
      </c>
      <c r="E45" s="441">
        <v>45133.0</v>
      </c>
      <c r="F45" s="441">
        <v>45199.0</v>
      </c>
      <c r="G45" s="474">
        <v>-100.0</v>
      </c>
      <c r="H45" s="443">
        <v>1194729.0</v>
      </c>
      <c r="I45" s="475" t="s">
        <v>698</v>
      </c>
      <c r="J45" s="440" t="s">
        <v>699</v>
      </c>
      <c r="K45" s="445"/>
      <c r="L45" s="445"/>
      <c r="M45" s="437"/>
      <c r="N45" s="437"/>
    </row>
    <row r="46" ht="15.0" hidden="1" customHeight="1">
      <c r="A46" s="430" t="s">
        <v>580</v>
      </c>
      <c r="B46" s="430" t="s">
        <v>581</v>
      </c>
      <c r="C46" s="430" t="s">
        <v>616</v>
      </c>
      <c r="D46" s="431" t="s">
        <v>700</v>
      </c>
      <c r="E46" s="432">
        <v>45133.0</v>
      </c>
      <c r="F46" s="432">
        <v>45199.0</v>
      </c>
      <c r="G46" s="433">
        <v>-100.0</v>
      </c>
      <c r="H46" s="434">
        <v>1194883.0</v>
      </c>
      <c r="I46" s="487" t="s">
        <v>701</v>
      </c>
      <c r="J46" s="431"/>
      <c r="K46" s="436" t="s">
        <v>702</v>
      </c>
      <c r="L46" s="436"/>
      <c r="M46" s="437"/>
      <c r="N46" s="437"/>
    </row>
    <row r="47" ht="15.0" hidden="1" customHeight="1">
      <c r="A47" s="438" t="s">
        <v>580</v>
      </c>
      <c r="B47" s="438" t="s">
        <v>581</v>
      </c>
      <c r="C47" s="438" t="s">
        <v>620</v>
      </c>
      <c r="D47" s="440" t="s">
        <v>703</v>
      </c>
      <c r="E47" s="441">
        <v>45133.0</v>
      </c>
      <c r="F47" s="441">
        <v>45199.0</v>
      </c>
      <c r="G47" s="442">
        <v>-70.0</v>
      </c>
      <c r="H47" s="443">
        <v>1194882.0</v>
      </c>
      <c r="I47" s="475" t="s">
        <v>701</v>
      </c>
      <c r="J47" s="440"/>
      <c r="K47" s="445"/>
      <c r="L47" s="445"/>
      <c r="M47" s="437"/>
      <c r="N47" s="437"/>
    </row>
    <row r="48" ht="15.0" hidden="1" customHeight="1">
      <c r="A48" s="430" t="s">
        <v>580</v>
      </c>
      <c r="B48" s="430" t="s">
        <v>627</v>
      </c>
      <c r="C48" s="488" t="s">
        <v>704</v>
      </c>
      <c r="D48" s="431" t="s">
        <v>705</v>
      </c>
      <c r="E48" s="432">
        <v>45133.0</v>
      </c>
      <c r="F48" s="432">
        <v>45199.0</v>
      </c>
      <c r="G48" s="433" t="s">
        <v>141</v>
      </c>
      <c r="H48" s="434">
        <v>1194996.0</v>
      </c>
      <c r="I48" s="468" t="s">
        <v>618</v>
      </c>
      <c r="J48" s="431" t="s">
        <v>706</v>
      </c>
      <c r="K48" s="436"/>
      <c r="L48" s="436"/>
      <c r="M48" s="437"/>
      <c r="N48" s="437"/>
    </row>
    <row r="49" ht="15.0" hidden="1" customHeight="1">
      <c r="A49" s="438" t="s">
        <v>580</v>
      </c>
      <c r="B49" s="438" t="s">
        <v>581</v>
      </c>
      <c r="C49" s="438" t="s">
        <v>707</v>
      </c>
      <c r="D49" s="470" t="s">
        <v>708</v>
      </c>
      <c r="E49" s="441">
        <v>45149.0</v>
      </c>
      <c r="F49" s="441">
        <v>45199.0</v>
      </c>
      <c r="G49" s="442">
        <v>-100.0</v>
      </c>
      <c r="H49" s="443">
        <v>1194881.0</v>
      </c>
      <c r="I49" s="466" t="s">
        <v>618</v>
      </c>
      <c r="J49" s="440"/>
      <c r="K49" s="445" t="s">
        <v>709</v>
      </c>
      <c r="L49" s="445"/>
      <c r="M49" s="437"/>
      <c r="N49" s="437"/>
    </row>
    <row r="50" ht="15.0" hidden="1" customHeight="1">
      <c r="A50" s="430" t="s">
        <v>580</v>
      </c>
      <c r="B50" s="430" t="s">
        <v>581</v>
      </c>
      <c r="C50" s="430" t="s">
        <v>620</v>
      </c>
      <c r="D50" s="431" t="s">
        <v>710</v>
      </c>
      <c r="E50" s="432">
        <v>45149.0</v>
      </c>
      <c r="F50" s="432">
        <v>45199.0</v>
      </c>
      <c r="G50" s="433">
        <v>-70.0</v>
      </c>
      <c r="H50" s="434">
        <v>1194876.0</v>
      </c>
      <c r="I50" s="468" t="s">
        <v>618</v>
      </c>
      <c r="J50" s="431"/>
      <c r="K50" s="436" t="s">
        <v>619</v>
      </c>
      <c r="L50" s="436"/>
      <c r="M50" s="437"/>
      <c r="N50" s="437"/>
    </row>
    <row r="51" ht="15.0" hidden="1" customHeight="1">
      <c r="A51" s="438" t="s">
        <v>580</v>
      </c>
      <c r="B51" s="438" t="s">
        <v>576</v>
      </c>
      <c r="C51" s="438" t="s">
        <v>625</v>
      </c>
      <c r="D51" s="440" t="s">
        <v>711</v>
      </c>
      <c r="E51" s="441">
        <v>45149.0</v>
      </c>
      <c r="F51" s="441">
        <v>45199.0</v>
      </c>
      <c r="G51" s="442">
        <v>-150.0</v>
      </c>
      <c r="H51" s="443">
        <v>1194700.0</v>
      </c>
      <c r="I51" s="466" t="s">
        <v>618</v>
      </c>
      <c r="J51" s="440"/>
      <c r="K51" s="445"/>
      <c r="L51" s="467"/>
      <c r="M51" s="469"/>
      <c r="N51" s="469"/>
    </row>
    <row r="52" ht="15.0" hidden="1" customHeight="1">
      <c r="A52" s="430" t="s">
        <v>580</v>
      </c>
      <c r="B52" s="430" t="s">
        <v>576</v>
      </c>
      <c r="C52" s="430" t="s">
        <v>623</v>
      </c>
      <c r="D52" s="431" t="s">
        <v>712</v>
      </c>
      <c r="E52" s="432">
        <v>45149.0</v>
      </c>
      <c r="F52" s="432">
        <v>45199.0</v>
      </c>
      <c r="G52" s="433">
        <v>-100.0</v>
      </c>
      <c r="H52" s="434">
        <v>1194699.0</v>
      </c>
      <c r="I52" s="468" t="s">
        <v>618</v>
      </c>
      <c r="J52" s="431"/>
      <c r="K52" s="436"/>
      <c r="L52" s="469"/>
      <c r="M52" s="469"/>
      <c r="N52" s="469"/>
    </row>
    <row r="53" ht="15.0" hidden="1" customHeight="1">
      <c r="A53" s="438" t="s">
        <v>580</v>
      </c>
      <c r="B53" s="438" t="s">
        <v>627</v>
      </c>
      <c r="C53" s="463" t="s">
        <v>628</v>
      </c>
      <c r="D53" s="452" t="s">
        <v>629</v>
      </c>
      <c r="E53" s="441">
        <v>45149.0</v>
      </c>
      <c r="F53" s="441">
        <v>45199.0</v>
      </c>
      <c r="G53" s="489">
        <v>-100.0</v>
      </c>
      <c r="H53" s="443">
        <v>1194889.0</v>
      </c>
      <c r="I53" s="475" t="s">
        <v>713</v>
      </c>
      <c r="J53" s="440" t="s">
        <v>706</v>
      </c>
      <c r="K53" s="445"/>
      <c r="L53" s="490"/>
      <c r="M53" s="491"/>
      <c r="N53" s="491"/>
    </row>
    <row r="54" ht="15.0" hidden="1" customHeight="1">
      <c r="A54" s="430" t="s">
        <v>580</v>
      </c>
      <c r="B54" s="430" t="s">
        <v>627</v>
      </c>
      <c r="C54" s="465" t="s">
        <v>628</v>
      </c>
      <c r="D54" s="451" t="s">
        <v>714</v>
      </c>
      <c r="E54" s="432">
        <v>45149.0</v>
      </c>
      <c r="F54" s="432">
        <v>45199.0</v>
      </c>
      <c r="G54" s="433">
        <v>-70.0</v>
      </c>
      <c r="H54" s="434">
        <v>1194991.0</v>
      </c>
      <c r="I54" s="431" t="s">
        <v>618</v>
      </c>
      <c r="J54" s="431"/>
      <c r="K54" s="469" t="s">
        <v>715</v>
      </c>
      <c r="L54" s="461"/>
      <c r="M54" s="462"/>
      <c r="N54" s="462"/>
    </row>
    <row r="55" ht="15.0" hidden="1" customHeight="1">
      <c r="A55" s="438" t="s">
        <v>580</v>
      </c>
      <c r="B55" s="438" t="s">
        <v>627</v>
      </c>
      <c r="C55" s="463" t="s">
        <v>628</v>
      </c>
      <c r="D55" s="452" t="s">
        <v>716</v>
      </c>
      <c r="E55" s="441">
        <v>45149.0</v>
      </c>
      <c r="F55" s="441">
        <v>45199.0</v>
      </c>
      <c r="G55" s="442">
        <v>-100.0</v>
      </c>
      <c r="H55" s="443">
        <v>1194992.0</v>
      </c>
      <c r="I55" s="466" t="s">
        <v>618</v>
      </c>
      <c r="J55" s="440"/>
      <c r="K55" s="467" t="s">
        <v>715</v>
      </c>
      <c r="L55" s="492"/>
      <c r="M55" s="493"/>
      <c r="N55" s="493"/>
    </row>
    <row r="56" ht="15.0" hidden="1" customHeight="1">
      <c r="A56" s="465" t="s">
        <v>717</v>
      </c>
      <c r="B56" s="430" t="s">
        <v>627</v>
      </c>
      <c r="C56" s="465" t="s">
        <v>718</v>
      </c>
      <c r="D56" s="486" t="s">
        <v>719</v>
      </c>
      <c r="E56" s="480">
        <v>45155.0</v>
      </c>
      <c r="F56" s="480">
        <v>45199.0</v>
      </c>
      <c r="G56" s="484">
        <v>-30.0</v>
      </c>
      <c r="H56" s="494">
        <v>1195903.0</v>
      </c>
      <c r="I56" s="495"/>
      <c r="J56" s="486">
        <v>1190941.0</v>
      </c>
      <c r="K56" s="496"/>
      <c r="L56" s="497"/>
      <c r="M56" s="498"/>
      <c r="N56" s="498"/>
    </row>
    <row r="57" ht="15.0" hidden="1" customHeight="1">
      <c r="A57" s="438" t="s">
        <v>666</v>
      </c>
      <c r="B57" s="438" t="s">
        <v>576</v>
      </c>
      <c r="C57" s="463" t="s">
        <v>671</v>
      </c>
      <c r="D57" s="470" t="s">
        <v>720</v>
      </c>
      <c r="E57" s="473">
        <v>45170.0</v>
      </c>
      <c r="F57" s="473">
        <v>45199.0</v>
      </c>
      <c r="G57" s="474">
        <v>-30.0</v>
      </c>
      <c r="H57" s="482">
        <v>1195752.0</v>
      </c>
      <c r="I57" s="475" t="s">
        <v>721</v>
      </c>
      <c r="J57" s="470"/>
      <c r="K57" s="499"/>
      <c r="L57" s="499"/>
      <c r="M57" s="498"/>
      <c r="N57" s="498"/>
    </row>
    <row r="58" ht="15.0" hidden="1" customHeight="1">
      <c r="A58" s="430" t="s">
        <v>666</v>
      </c>
      <c r="B58" s="430" t="s">
        <v>576</v>
      </c>
      <c r="C58" s="465" t="s">
        <v>667</v>
      </c>
      <c r="D58" s="486" t="s">
        <v>722</v>
      </c>
      <c r="E58" s="480">
        <v>45170.0</v>
      </c>
      <c r="F58" s="480">
        <v>45199.0</v>
      </c>
      <c r="G58" s="484">
        <v>-50.0</v>
      </c>
      <c r="H58" s="471">
        <v>1195753.0</v>
      </c>
      <c r="I58" s="435"/>
      <c r="J58" s="486"/>
      <c r="K58" s="497"/>
      <c r="L58" s="497"/>
      <c r="M58" s="498"/>
      <c r="N58" s="498"/>
    </row>
    <row r="59" ht="15.0" hidden="1" customHeight="1">
      <c r="A59" s="438" t="s">
        <v>670</v>
      </c>
      <c r="B59" s="438" t="s">
        <v>576</v>
      </c>
      <c r="C59" s="463" t="s">
        <v>723</v>
      </c>
      <c r="D59" s="470" t="s">
        <v>720</v>
      </c>
      <c r="E59" s="473">
        <v>45170.0</v>
      </c>
      <c r="F59" s="473">
        <v>45199.0</v>
      </c>
      <c r="G59" s="474">
        <v>-30.0</v>
      </c>
      <c r="H59" s="482">
        <v>1196378.0</v>
      </c>
      <c r="I59" s="444"/>
      <c r="J59" s="463" t="s">
        <v>724</v>
      </c>
      <c r="K59" s="445"/>
      <c r="L59" s="499"/>
      <c r="M59" s="498"/>
      <c r="N59" s="498"/>
    </row>
    <row r="60" ht="15.0" hidden="1" customHeight="1">
      <c r="A60" s="430" t="s">
        <v>670</v>
      </c>
      <c r="B60" s="430" t="s">
        <v>576</v>
      </c>
      <c r="C60" s="465" t="s">
        <v>725</v>
      </c>
      <c r="D60" s="486" t="s">
        <v>726</v>
      </c>
      <c r="E60" s="480">
        <v>45195.0</v>
      </c>
      <c r="F60" s="432">
        <v>45199.0</v>
      </c>
      <c r="G60" s="484">
        <v>-100.0</v>
      </c>
      <c r="H60" s="471">
        <v>1196917.0</v>
      </c>
      <c r="I60" s="500"/>
      <c r="J60" s="465" t="s">
        <v>727</v>
      </c>
      <c r="K60" s="461"/>
      <c r="L60" s="436"/>
      <c r="M60" s="437"/>
      <c r="N60" s="437"/>
    </row>
    <row r="61" ht="15.0" hidden="1" customHeight="1">
      <c r="A61" s="463" t="s">
        <v>670</v>
      </c>
      <c r="B61" s="463" t="s">
        <v>576</v>
      </c>
      <c r="C61" s="463" t="s">
        <v>728</v>
      </c>
      <c r="D61" s="470" t="s">
        <v>726</v>
      </c>
      <c r="E61" s="473">
        <v>45195.0</v>
      </c>
      <c r="F61" s="473">
        <v>45199.0</v>
      </c>
      <c r="G61" s="474">
        <v>-100.0</v>
      </c>
      <c r="H61" s="482">
        <v>1196151.0</v>
      </c>
      <c r="I61" s="501"/>
      <c r="J61" s="463" t="s">
        <v>729</v>
      </c>
      <c r="K61" s="460"/>
      <c r="L61" s="460"/>
      <c r="M61" s="462"/>
      <c r="N61" s="462"/>
    </row>
    <row r="62" ht="15.0" hidden="1" customHeight="1">
      <c r="A62" s="430" t="s">
        <v>670</v>
      </c>
      <c r="B62" s="465" t="s">
        <v>576</v>
      </c>
      <c r="C62" s="465" t="s">
        <v>730</v>
      </c>
      <c r="D62" s="486" t="s">
        <v>731</v>
      </c>
      <c r="E62" s="480">
        <v>45195.0</v>
      </c>
      <c r="F62" s="480">
        <v>45199.0</v>
      </c>
      <c r="G62" s="484">
        <v>-199.0</v>
      </c>
      <c r="H62" s="471">
        <v>1197251.0</v>
      </c>
      <c r="I62" s="502" t="s">
        <v>732</v>
      </c>
      <c r="J62" s="465" t="s">
        <v>733</v>
      </c>
      <c r="K62" s="461"/>
      <c r="L62" s="461"/>
      <c r="M62" s="462"/>
      <c r="N62" s="462"/>
    </row>
    <row r="63" ht="15.0" hidden="1" customHeight="1">
      <c r="A63" s="503" t="s">
        <v>670</v>
      </c>
      <c r="B63" s="504" t="s">
        <v>576</v>
      </c>
      <c r="C63" s="504" t="s">
        <v>734</v>
      </c>
      <c r="D63" s="505" t="s">
        <v>735</v>
      </c>
      <c r="E63" s="506">
        <v>45195.0</v>
      </c>
      <c r="F63" s="506">
        <v>45199.0</v>
      </c>
      <c r="G63" s="507">
        <v>-100.0</v>
      </c>
      <c r="H63" s="508">
        <v>1197252.0</v>
      </c>
      <c r="I63" s="504"/>
      <c r="J63" s="504" t="s">
        <v>736</v>
      </c>
      <c r="K63" s="509" t="s">
        <v>737</v>
      </c>
      <c r="L63" s="510"/>
      <c r="M63" s="511"/>
      <c r="N63" s="511"/>
    </row>
    <row r="64" ht="15.0" hidden="1" customHeight="1">
      <c r="A64" s="430" t="s">
        <v>666</v>
      </c>
      <c r="B64" s="430" t="s">
        <v>576</v>
      </c>
      <c r="C64" s="465" t="s">
        <v>738</v>
      </c>
      <c r="D64" s="447" t="s">
        <v>739</v>
      </c>
      <c r="E64" s="480">
        <v>45155.0</v>
      </c>
      <c r="F64" s="480">
        <v>45200.0</v>
      </c>
      <c r="G64" s="484">
        <v>29.99</v>
      </c>
      <c r="H64" s="434">
        <v>1195030.0</v>
      </c>
      <c r="I64" s="512" t="s">
        <v>740</v>
      </c>
      <c r="J64" s="465" t="s">
        <v>741</v>
      </c>
      <c r="K64" s="461" t="s">
        <v>742</v>
      </c>
      <c r="L64" s="461"/>
      <c r="M64" s="462"/>
      <c r="N64" s="462"/>
    </row>
    <row r="65" ht="15.0" hidden="1" customHeight="1">
      <c r="A65" s="463" t="s">
        <v>580</v>
      </c>
      <c r="B65" s="463" t="s">
        <v>576</v>
      </c>
      <c r="C65" s="463" t="s">
        <v>743</v>
      </c>
      <c r="D65" s="470" t="s">
        <v>744</v>
      </c>
      <c r="E65" s="473">
        <v>45198.0</v>
      </c>
      <c r="F65" s="473">
        <v>45200.0</v>
      </c>
      <c r="G65" s="474" t="s">
        <v>745</v>
      </c>
      <c r="H65" s="119" t="s">
        <v>746</v>
      </c>
      <c r="I65" s="475" t="s">
        <v>747</v>
      </c>
      <c r="J65" s="470"/>
      <c r="K65" s="445"/>
      <c r="L65" s="460"/>
      <c r="M65" s="462"/>
      <c r="N65" s="462"/>
    </row>
    <row r="66" ht="15.0" hidden="1" customHeight="1">
      <c r="A66" s="465" t="s">
        <v>580</v>
      </c>
      <c r="B66" s="465" t="s">
        <v>627</v>
      </c>
      <c r="C66" s="465" t="s">
        <v>748</v>
      </c>
      <c r="D66" s="486" t="s">
        <v>744</v>
      </c>
      <c r="E66" s="480">
        <v>45198.0</v>
      </c>
      <c r="F66" s="480">
        <v>45200.0</v>
      </c>
      <c r="G66" s="484" t="s">
        <v>749</v>
      </c>
      <c r="H66" s="104" t="s">
        <v>750</v>
      </c>
      <c r="I66" s="487" t="s">
        <v>751</v>
      </c>
      <c r="J66" s="486"/>
      <c r="K66" s="436"/>
      <c r="L66" s="513"/>
      <c r="M66" s="514"/>
      <c r="N66" s="514"/>
    </row>
    <row r="67" ht="15.0" hidden="1" customHeight="1">
      <c r="A67" s="463" t="s">
        <v>679</v>
      </c>
      <c r="B67" s="463" t="s">
        <v>581</v>
      </c>
      <c r="C67" s="463" t="s">
        <v>752</v>
      </c>
      <c r="D67" s="470" t="s">
        <v>753</v>
      </c>
      <c r="E67" s="473">
        <v>45191.0</v>
      </c>
      <c r="F67" s="473">
        <v>45201.0</v>
      </c>
      <c r="G67" s="474">
        <v>-0.5</v>
      </c>
      <c r="H67" s="482">
        <v>1196885.0</v>
      </c>
      <c r="I67" s="463"/>
      <c r="J67" s="463"/>
      <c r="K67" s="460"/>
      <c r="L67" s="460"/>
      <c r="M67" s="462"/>
      <c r="N67" s="462"/>
    </row>
    <row r="68" ht="15.0" hidden="1" customHeight="1">
      <c r="A68" s="465" t="s">
        <v>679</v>
      </c>
      <c r="B68" s="465" t="s">
        <v>581</v>
      </c>
      <c r="C68" s="465" t="s">
        <v>752</v>
      </c>
      <c r="D68" s="486" t="s">
        <v>754</v>
      </c>
      <c r="E68" s="480">
        <v>45191.0</v>
      </c>
      <c r="F68" s="480">
        <v>45201.0</v>
      </c>
      <c r="G68" s="484">
        <v>-0.5</v>
      </c>
      <c r="H68" s="471">
        <v>1196889.0</v>
      </c>
      <c r="I68" s="465"/>
      <c r="J68" s="465"/>
      <c r="K68" s="461"/>
      <c r="L68" s="461"/>
      <c r="M68" s="462"/>
      <c r="N68" s="462"/>
    </row>
    <row r="69" ht="15.0" hidden="1" customHeight="1">
      <c r="A69" s="463" t="s">
        <v>580</v>
      </c>
      <c r="B69" s="438" t="s">
        <v>576</v>
      </c>
      <c r="C69" s="463" t="s">
        <v>755</v>
      </c>
      <c r="D69" s="470" t="s">
        <v>756</v>
      </c>
      <c r="E69" s="473">
        <v>45192.0</v>
      </c>
      <c r="F69" s="473">
        <v>45201.0</v>
      </c>
      <c r="G69" s="474" t="s">
        <v>141</v>
      </c>
      <c r="H69" s="482">
        <v>1196568.0</v>
      </c>
      <c r="I69" s="501"/>
      <c r="J69" s="470" t="s">
        <v>757</v>
      </c>
      <c r="K69" s="510" t="s">
        <v>758</v>
      </c>
      <c r="L69" s="460"/>
      <c r="M69" s="462"/>
      <c r="N69" s="462"/>
    </row>
    <row r="70" ht="15.0" hidden="1" customHeight="1">
      <c r="A70" s="465" t="s">
        <v>580</v>
      </c>
      <c r="B70" s="465" t="s">
        <v>627</v>
      </c>
      <c r="C70" s="465" t="s">
        <v>759</v>
      </c>
      <c r="D70" s="486" t="s">
        <v>760</v>
      </c>
      <c r="E70" s="480">
        <v>45195.0</v>
      </c>
      <c r="F70" s="480">
        <v>45201.0</v>
      </c>
      <c r="G70" s="484">
        <v>-200.0</v>
      </c>
      <c r="H70" s="471">
        <v>1196963.0</v>
      </c>
      <c r="I70" s="468"/>
      <c r="J70" s="486">
        <v>1197109.0</v>
      </c>
      <c r="K70" s="436"/>
      <c r="L70" s="461"/>
      <c r="M70" s="462"/>
      <c r="N70" s="462"/>
    </row>
    <row r="71" ht="15.0" hidden="1" customHeight="1">
      <c r="A71" s="463" t="s">
        <v>580</v>
      </c>
      <c r="B71" s="463" t="s">
        <v>581</v>
      </c>
      <c r="C71" s="463" t="s">
        <v>761</v>
      </c>
      <c r="D71" s="470" t="s">
        <v>744</v>
      </c>
      <c r="E71" s="473">
        <v>45195.0</v>
      </c>
      <c r="F71" s="473">
        <v>45201.0</v>
      </c>
      <c r="G71" s="474" t="s">
        <v>762</v>
      </c>
      <c r="H71" s="119" t="s">
        <v>763</v>
      </c>
      <c r="I71" s="466"/>
      <c r="J71" s="470"/>
      <c r="K71" s="445"/>
      <c r="L71" s="509"/>
      <c r="M71" s="515"/>
      <c r="N71" s="515"/>
    </row>
    <row r="72" ht="15.0" hidden="1" customHeight="1">
      <c r="A72" s="465" t="s">
        <v>670</v>
      </c>
      <c r="B72" s="465" t="s">
        <v>576</v>
      </c>
      <c r="C72" s="465" t="s">
        <v>764</v>
      </c>
      <c r="D72" s="486" t="s">
        <v>765</v>
      </c>
      <c r="E72" s="480">
        <v>45196.0</v>
      </c>
      <c r="F72" s="480">
        <v>45201.0</v>
      </c>
      <c r="G72" s="484">
        <v>-20.0</v>
      </c>
      <c r="H72" s="471">
        <v>1197489.0</v>
      </c>
      <c r="I72" s="468"/>
      <c r="J72" s="486" t="s">
        <v>766</v>
      </c>
      <c r="K72" s="436"/>
      <c r="L72" s="461"/>
      <c r="M72" s="462"/>
      <c r="N72" s="462"/>
    </row>
    <row r="73" ht="15.0" hidden="1" customHeight="1">
      <c r="A73" s="438" t="s">
        <v>96</v>
      </c>
      <c r="B73" s="438" t="s">
        <v>627</v>
      </c>
      <c r="C73" s="448" t="s">
        <v>767</v>
      </c>
      <c r="D73" s="448" t="s">
        <v>768</v>
      </c>
      <c r="E73" s="473">
        <v>45199.0</v>
      </c>
      <c r="F73" s="473">
        <v>45202.0</v>
      </c>
      <c r="G73" s="474">
        <v>-39.99</v>
      </c>
      <c r="H73" s="482">
        <v>1196150.0</v>
      </c>
      <c r="I73" s="440"/>
      <c r="J73" s="516"/>
      <c r="K73" s="492"/>
      <c r="L73" s="445"/>
      <c r="M73" s="437"/>
      <c r="N73" s="437"/>
    </row>
    <row r="74" ht="15.0" hidden="1" customHeight="1">
      <c r="A74" s="465" t="s">
        <v>585</v>
      </c>
      <c r="B74" s="465" t="s">
        <v>576</v>
      </c>
      <c r="C74" s="465" t="s">
        <v>769</v>
      </c>
      <c r="D74" s="486" t="s">
        <v>770</v>
      </c>
      <c r="E74" s="480">
        <v>45209.0</v>
      </c>
      <c r="F74" s="480">
        <v>45210.0</v>
      </c>
      <c r="G74" s="484" t="s">
        <v>771</v>
      </c>
      <c r="H74" s="104" t="s">
        <v>772</v>
      </c>
      <c r="I74" s="468"/>
      <c r="J74" s="486"/>
      <c r="K74" s="436"/>
      <c r="L74" s="436"/>
      <c r="M74" s="437"/>
      <c r="N74" s="437"/>
    </row>
    <row r="75" ht="15.0" hidden="1" customHeight="1">
      <c r="A75" s="463" t="s">
        <v>580</v>
      </c>
      <c r="B75" s="463" t="s">
        <v>627</v>
      </c>
      <c r="C75" s="463" t="s">
        <v>759</v>
      </c>
      <c r="D75" s="470" t="s">
        <v>760</v>
      </c>
      <c r="E75" s="473">
        <v>45202.0</v>
      </c>
      <c r="F75" s="473">
        <v>45214.0</v>
      </c>
      <c r="G75" s="474">
        <v>-200.0</v>
      </c>
      <c r="H75" s="482">
        <v>1196963.0</v>
      </c>
      <c r="I75" s="466"/>
      <c r="J75" s="470">
        <v>1197109.0</v>
      </c>
      <c r="K75" s="445"/>
      <c r="L75" s="445"/>
      <c r="M75" s="437"/>
      <c r="N75" s="437"/>
    </row>
    <row r="76" ht="15.0" hidden="1" customHeight="1">
      <c r="A76" s="494" t="s">
        <v>580</v>
      </c>
      <c r="B76" s="494" t="s">
        <v>576</v>
      </c>
      <c r="C76" s="494" t="s">
        <v>743</v>
      </c>
      <c r="D76" s="104" t="s">
        <v>744</v>
      </c>
      <c r="E76" s="517">
        <v>45212.0</v>
      </c>
      <c r="F76" s="517">
        <v>45214.0</v>
      </c>
      <c r="G76" s="518" t="s">
        <v>773</v>
      </c>
      <c r="H76" s="104" t="s">
        <v>774</v>
      </c>
      <c r="I76" s="519"/>
      <c r="J76" s="520"/>
      <c r="K76" s="521"/>
      <c r="L76" s="461"/>
      <c r="M76" s="462"/>
      <c r="N76" s="462"/>
    </row>
    <row r="77" ht="15.0" hidden="1" customHeight="1">
      <c r="A77" s="522" t="s">
        <v>580</v>
      </c>
      <c r="B77" s="522" t="s">
        <v>627</v>
      </c>
      <c r="C77" s="522" t="s">
        <v>775</v>
      </c>
      <c r="D77" s="119" t="s">
        <v>744</v>
      </c>
      <c r="E77" s="523">
        <v>45212.0</v>
      </c>
      <c r="F77" s="523">
        <v>45214.0</v>
      </c>
      <c r="G77" s="524" t="s">
        <v>776</v>
      </c>
      <c r="H77" s="119" t="s">
        <v>777</v>
      </c>
      <c r="I77" s="466"/>
      <c r="J77" s="470" t="s">
        <v>778</v>
      </c>
      <c r="K77" s="445"/>
      <c r="L77" s="460"/>
      <c r="M77" s="462"/>
      <c r="N77" s="462"/>
    </row>
    <row r="78" ht="15.0" hidden="1" customHeight="1">
      <c r="A78" s="465" t="s">
        <v>580</v>
      </c>
      <c r="B78" s="465" t="s">
        <v>576</v>
      </c>
      <c r="C78" s="465" t="s">
        <v>779</v>
      </c>
      <c r="D78" s="486" t="s">
        <v>780</v>
      </c>
      <c r="E78" s="480">
        <v>45205.0</v>
      </c>
      <c r="F78" s="480">
        <v>45221.0</v>
      </c>
      <c r="G78" s="484">
        <v>-469.0</v>
      </c>
      <c r="H78" s="104">
        <v>1197838.0</v>
      </c>
      <c r="I78" s="468"/>
      <c r="J78" s="486" t="s">
        <v>606</v>
      </c>
      <c r="K78" s="436"/>
      <c r="L78" s="461"/>
      <c r="M78" s="462"/>
      <c r="N78" s="462"/>
    </row>
    <row r="79" ht="15.0" hidden="1" customHeight="1">
      <c r="A79" s="463" t="s">
        <v>670</v>
      </c>
      <c r="B79" s="438" t="s">
        <v>576</v>
      </c>
      <c r="C79" s="463" t="s">
        <v>725</v>
      </c>
      <c r="D79" s="470" t="s">
        <v>726</v>
      </c>
      <c r="E79" s="473">
        <v>45200.0</v>
      </c>
      <c r="F79" s="525">
        <v>45228.0</v>
      </c>
      <c r="G79" s="474">
        <v>100.0</v>
      </c>
      <c r="H79" s="482">
        <v>1195753.0</v>
      </c>
      <c r="I79" s="463"/>
      <c r="J79" s="463" t="s">
        <v>781</v>
      </c>
      <c r="K79" s="460"/>
      <c r="L79" s="460"/>
      <c r="M79" s="462"/>
      <c r="N79" s="462"/>
    </row>
    <row r="80" ht="15.0" hidden="1" customHeight="1">
      <c r="A80" s="465" t="s">
        <v>670</v>
      </c>
      <c r="B80" s="465" t="s">
        <v>576</v>
      </c>
      <c r="C80" s="465" t="s">
        <v>728</v>
      </c>
      <c r="D80" s="486" t="s">
        <v>726</v>
      </c>
      <c r="E80" s="480">
        <v>45200.0</v>
      </c>
      <c r="F80" s="480">
        <v>45228.0</v>
      </c>
      <c r="G80" s="484">
        <v>-100.0</v>
      </c>
      <c r="H80" s="471">
        <v>1196151.0</v>
      </c>
      <c r="I80" s="500"/>
      <c r="J80" s="465" t="s">
        <v>733</v>
      </c>
      <c r="K80" s="461"/>
      <c r="L80" s="436"/>
      <c r="M80" s="437"/>
      <c r="N80" s="437"/>
    </row>
    <row r="81" ht="15.0" hidden="1" customHeight="1">
      <c r="A81" s="463" t="s">
        <v>580</v>
      </c>
      <c r="B81" s="463" t="s">
        <v>576</v>
      </c>
      <c r="C81" s="463" t="s">
        <v>782</v>
      </c>
      <c r="D81" s="470" t="s">
        <v>783</v>
      </c>
      <c r="E81" s="473">
        <v>45205.0</v>
      </c>
      <c r="F81" s="473">
        <v>45228.0</v>
      </c>
      <c r="G81" s="474">
        <v>-100.0</v>
      </c>
      <c r="H81" s="482">
        <v>1198114.0</v>
      </c>
      <c r="I81" s="466"/>
      <c r="J81" s="440"/>
      <c r="K81" s="445"/>
      <c r="L81" s="445"/>
      <c r="M81" s="437"/>
      <c r="N81" s="437"/>
    </row>
    <row r="82" ht="15.0" hidden="1" customHeight="1">
      <c r="A82" s="430" t="s">
        <v>666</v>
      </c>
      <c r="B82" s="430" t="s">
        <v>576</v>
      </c>
      <c r="C82" s="465" t="s">
        <v>784</v>
      </c>
      <c r="D82" s="486" t="s">
        <v>720</v>
      </c>
      <c r="E82" s="480">
        <v>45200.0</v>
      </c>
      <c r="F82" s="480">
        <v>45230.0</v>
      </c>
      <c r="G82" s="484">
        <v>-30.0</v>
      </c>
      <c r="H82" s="471">
        <v>1195752.0</v>
      </c>
      <c r="I82" s="487" t="s">
        <v>785</v>
      </c>
      <c r="J82" s="486"/>
      <c r="K82" s="497"/>
      <c r="L82" s="436"/>
      <c r="M82" s="437"/>
      <c r="N82" s="437"/>
    </row>
    <row r="83" ht="15.0" hidden="1" customHeight="1">
      <c r="A83" s="463" t="s">
        <v>585</v>
      </c>
      <c r="B83" s="463" t="s">
        <v>576</v>
      </c>
      <c r="C83" s="463" t="s">
        <v>786</v>
      </c>
      <c r="D83" s="470" t="s">
        <v>787</v>
      </c>
      <c r="E83" s="473">
        <v>45200.0</v>
      </c>
      <c r="F83" s="473">
        <v>45230.0</v>
      </c>
      <c r="G83" s="474">
        <v>-15.0</v>
      </c>
      <c r="H83" s="482">
        <v>1197199.0</v>
      </c>
      <c r="I83" s="463"/>
      <c r="J83" s="463"/>
      <c r="K83" s="460"/>
      <c r="L83" s="445"/>
      <c r="M83" s="437"/>
      <c r="N83" s="437"/>
    </row>
    <row r="84" ht="15.0" hidden="1" customHeight="1">
      <c r="A84" s="465" t="s">
        <v>580</v>
      </c>
      <c r="B84" s="465" t="s">
        <v>627</v>
      </c>
      <c r="C84" s="465" t="s">
        <v>788</v>
      </c>
      <c r="D84" s="486" t="s">
        <v>789</v>
      </c>
      <c r="E84" s="480">
        <v>45200.0</v>
      </c>
      <c r="F84" s="480">
        <v>45230.0</v>
      </c>
      <c r="G84" s="484">
        <v>-39.99</v>
      </c>
      <c r="H84" s="471">
        <v>1197359.0</v>
      </c>
      <c r="I84" s="468"/>
      <c r="J84" s="431"/>
      <c r="K84" s="436"/>
      <c r="L84" s="436"/>
      <c r="M84" s="437"/>
      <c r="N84" s="437"/>
    </row>
    <row r="85" ht="15.0" hidden="1" customHeight="1">
      <c r="A85" s="522" t="s">
        <v>670</v>
      </c>
      <c r="B85" s="522" t="s">
        <v>576</v>
      </c>
      <c r="C85" s="522" t="s">
        <v>730</v>
      </c>
      <c r="D85" s="119" t="s">
        <v>731</v>
      </c>
      <c r="E85" s="523">
        <v>45203.0</v>
      </c>
      <c r="F85" s="523">
        <v>45230.0</v>
      </c>
      <c r="G85" s="524">
        <v>-199.0</v>
      </c>
      <c r="H85" s="522">
        <v>1197788.0</v>
      </c>
      <c r="I85" s="526" t="s">
        <v>732</v>
      </c>
      <c r="J85" s="522" t="s">
        <v>733</v>
      </c>
      <c r="K85" s="445"/>
      <c r="L85" s="445"/>
      <c r="M85" s="437"/>
      <c r="N85" s="437"/>
    </row>
    <row r="86" ht="15.0" hidden="1" customHeight="1">
      <c r="A86" s="494" t="s">
        <v>790</v>
      </c>
      <c r="B86" s="494" t="s">
        <v>576</v>
      </c>
      <c r="C86" s="494" t="s">
        <v>577</v>
      </c>
      <c r="D86" s="104" t="s">
        <v>791</v>
      </c>
      <c r="E86" s="527">
        <v>45215.0</v>
      </c>
      <c r="F86" s="527">
        <v>45230.0</v>
      </c>
      <c r="G86" s="518">
        <v>-119.99</v>
      </c>
      <c r="H86" s="471">
        <v>1198117.0</v>
      </c>
      <c r="I86" s="468"/>
      <c r="J86" s="471">
        <v>1187146.0</v>
      </c>
      <c r="K86" s="436"/>
      <c r="L86" s="436"/>
      <c r="M86" s="437"/>
      <c r="N86" s="437"/>
    </row>
    <row r="87" ht="15.0" hidden="1" customHeight="1">
      <c r="A87" s="438" t="s">
        <v>666</v>
      </c>
      <c r="B87" s="438" t="s">
        <v>576</v>
      </c>
      <c r="C87" s="463" t="s">
        <v>792</v>
      </c>
      <c r="D87" s="470" t="s">
        <v>722</v>
      </c>
      <c r="E87" s="473">
        <v>45200.0</v>
      </c>
      <c r="F87" s="473">
        <v>45230.0</v>
      </c>
      <c r="G87" s="474">
        <v>-50.0</v>
      </c>
      <c r="H87" s="482">
        <v>1195753.0</v>
      </c>
      <c r="I87" s="444"/>
      <c r="J87" s="470"/>
      <c r="K87" s="499"/>
      <c r="L87" s="445"/>
      <c r="M87" s="437"/>
      <c r="N87" s="437"/>
    </row>
    <row r="88" ht="15.0" hidden="1" customHeight="1">
      <c r="A88" s="465" t="s">
        <v>580</v>
      </c>
      <c r="B88" s="465" t="s">
        <v>581</v>
      </c>
      <c r="C88" s="465" t="s">
        <v>793</v>
      </c>
      <c r="D88" s="486" t="s">
        <v>794</v>
      </c>
      <c r="E88" s="471" t="s">
        <v>795</v>
      </c>
      <c r="F88" s="480">
        <v>45235.0</v>
      </c>
      <c r="G88" s="484">
        <v>-50.0</v>
      </c>
      <c r="H88" s="528">
        <v>1198433.0</v>
      </c>
      <c r="I88" s="529"/>
      <c r="J88" s="471"/>
      <c r="K88" s="530"/>
      <c r="L88" s="436"/>
      <c r="M88" s="437"/>
      <c r="N88" s="437"/>
    </row>
    <row r="89" ht="15.0" hidden="1" customHeight="1">
      <c r="A89" s="463" t="s">
        <v>580</v>
      </c>
      <c r="B89" s="463" t="s">
        <v>796</v>
      </c>
      <c r="C89" s="463" t="s">
        <v>600</v>
      </c>
      <c r="D89" s="470" t="s">
        <v>797</v>
      </c>
      <c r="E89" s="473">
        <v>45222.0</v>
      </c>
      <c r="F89" s="473">
        <v>45235.0</v>
      </c>
      <c r="G89" s="474">
        <v>-39.99</v>
      </c>
      <c r="H89" s="522">
        <v>1198227.0</v>
      </c>
      <c r="I89" s="478"/>
      <c r="J89" s="470" t="s">
        <v>798</v>
      </c>
      <c r="K89" s="531"/>
      <c r="L89" s="445"/>
      <c r="M89" s="437"/>
      <c r="N89" s="437"/>
    </row>
    <row r="90" ht="15.0" hidden="1" customHeight="1">
      <c r="A90" s="465" t="s">
        <v>580</v>
      </c>
      <c r="B90" s="465" t="s">
        <v>796</v>
      </c>
      <c r="C90" s="465" t="s">
        <v>604</v>
      </c>
      <c r="D90" s="486" t="s">
        <v>799</v>
      </c>
      <c r="E90" s="480">
        <v>45222.0</v>
      </c>
      <c r="F90" s="480">
        <v>45235.0</v>
      </c>
      <c r="G90" s="484">
        <v>-44.99</v>
      </c>
      <c r="H90" s="494">
        <v>1198226.0</v>
      </c>
      <c r="I90" s="476"/>
      <c r="J90" s="486" t="s">
        <v>606</v>
      </c>
      <c r="K90" s="513"/>
      <c r="L90" s="436"/>
      <c r="M90" s="437"/>
      <c r="N90" s="437"/>
    </row>
    <row r="91" ht="15.0" hidden="1" customHeight="1">
      <c r="A91" s="522" t="s">
        <v>580</v>
      </c>
      <c r="B91" s="522" t="s">
        <v>627</v>
      </c>
      <c r="C91" s="463" t="s">
        <v>800</v>
      </c>
      <c r="D91" s="470" t="s">
        <v>801</v>
      </c>
      <c r="E91" s="532">
        <v>45223.0</v>
      </c>
      <c r="F91" s="523">
        <v>45235.0</v>
      </c>
      <c r="G91" s="524" t="s">
        <v>802</v>
      </c>
      <c r="H91" s="522" t="s">
        <v>803</v>
      </c>
      <c r="I91" s="466"/>
      <c r="J91" s="522" t="s">
        <v>804</v>
      </c>
      <c r="K91" s="445"/>
      <c r="L91" s="445"/>
      <c r="M91" s="437"/>
      <c r="N91" s="437"/>
    </row>
    <row r="92" ht="15.0" hidden="1" customHeight="1">
      <c r="A92" s="494" t="s">
        <v>580</v>
      </c>
      <c r="B92" s="494" t="s">
        <v>576</v>
      </c>
      <c r="C92" s="465" t="s">
        <v>755</v>
      </c>
      <c r="D92" s="486" t="s">
        <v>805</v>
      </c>
      <c r="E92" s="527">
        <v>45229.0</v>
      </c>
      <c r="F92" s="517">
        <v>45240.0</v>
      </c>
      <c r="G92" s="484">
        <v>-70.0</v>
      </c>
      <c r="H92" s="494">
        <v>1197485.0</v>
      </c>
      <c r="I92" s="533" t="s">
        <v>806</v>
      </c>
      <c r="J92" s="486"/>
      <c r="K92" s="461" t="s">
        <v>807</v>
      </c>
      <c r="L92" s="436"/>
      <c r="M92" s="437"/>
      <c r="N92" s="437"/>
    </row>
    <row r="93" ht="15.0" hidden="1" customHeight="1">
      <c r="A93" s="463" t="s">
        <v>580</v>
      </c>
      <c r="B93" s="463" t="s">
        <v>581</v>
      </c>
      <c r="C93" s="463" t="s">
        <v>793</v>
      </c>
      <c r="D93" s="470" t="s">
        <v>794</v>
      </c>
      <c r="E93" s="482" t="s">
        <v>808</v>
      </c>
      <c r="F93" s="473">
        <v>45242.0</v>
      </c>
      <c r="G93" s="474">
        <v>-50.0</v>
      </c>
      <c r="H93" s="534">
        <v>1198433.0</v>
      </c>
      <c r="I93" s="535"/>
      <c r="J93" s="482"/>
      <c r="K93" s="536"/>
      <c r="L93" s="445"/>
      <c r="M93" s="437"/>
      <c r="N93" s="437"/>
    </row>
    <row r="94" ht="15.0" hidden="1" customHeight="1">
      <c r="A94" s="494" t="s">
        <v>670</v>
      </c>
      <c r="B94" s="494" t="s">
        <v>627</v>
      </c>
      <c r="C94" s="465" t="s">
        <v>809</v>
      </c>
      <c r="D94" s="486" t="s">
        <v>810</v>
      </c>
      <c r="E94" s="517">
        <v>45231.0</v>
      </c>
      <c r="F94" s="517">
        <v>45244.0</v>
      </c>
      <c r="G94" s="484">
        <v>-59.94</v>
      </c>
      <c r="H94" s="494">
        <v>1198383.0</v>
      </c>
      <c r="I94" s="468"/>
      <c r="J94" s="486" t="s">
        <v>811</v>
      </c>
      <c r="K94" s="436"/>
      <c r="L94" s="436"/>
      <c r="M94" s="437"/>
      <c r="N94" s="437"/>
    </row>
    <row r="95" ht="15.0" hidden="1" customHeight="1">
      <c r="A95" s="463" t="s">
        <v>580</v>
      </c>
      <c r="B95" s="463" t="s">
        <v>627</v>
      </c>
      <c r="C95" s="463" t="s">
        <v>812</v>
      </c>
      <c r="D95" s="470" t="s">
        <v>813</v>
      </c>
      <c r="E95" s="473">
        <v>45200.0</v>
      </c>
      <c r="F95" s="473">
        <v>45245.0</v>
      </c>
      <c r="G95" s="474">
        <v>-150.0</v>
      </c>
      <c r="H95" s="482">
        <v>1197363.0</v>
      </c>
      <c r="I95" s="475" t="s">
        <v>814</v>
      </c>
      <c r="J95" s="440"/>
      <c r="K95" s="445"/>
      <c r="L95" s="445"/>
      <c r="M95" s="437"/>
      <c r="N95" s="437"/>
    </row>
    <row r="96" ht="15.0" hidden="1" customHeight="1">
      <c r="A96" s="465" t="s">
        <v>580</v>
      </c>
      <c r="B96" s="465" t="s">
        <v>581</v>
      </c>
      <c r="C96" s="465" t="s">
        <v>793</v>
      </c>
      <c r="D96" s="486" t="s">
        <v>815</v>
      </c>
      <c r="E96" s="480">
        <v>45200.0</v>
      </c>
      <c r="F96" s="480">
        <v>45245.0</v>
      </c>
      <c r="G96" s="484">
        <v>-14.99</v>
      </c>
      <c r="H96" s="471">
        <v>1197649.0</v>
      </c>
      <c r="I96" s="529"/>
      <c r="J96" s="471"/>
      <c r="K96" s="530"/>
      <c r="L96" s="436"/>
      <c r="M96" s="437"/>
      <c r="N96" s="437"/>
    </row>
    <row r="97" ht="15.0" hidden="1" customHeight="1">
      <c r="A97" s="463" t="s">
        <v>580</v>
      </c>
      <c r="B97" s="463" t="s">
        <v>576</v>
      </c>
      <c r="C97" s="463" t="s">
        <v>816</v>
      </c>
      <c r="D97" s="470" t="s">
        <v>817</v>
      </c>
      <c r="E97" s="473">
        <v>45209.0</v>
      </c>
      <c r="F97" s="473">
        <v>45245.0</v>
      </c>
      <c r="G97" s="474">
        <v>-150.0</v>
      </c>
      <c r="H97" s="482">
        <v>1191098.0</v>
      </c>
      <c r="I97" s="475" t="s">
        <v>814</v>
      </c>
      <c r="J97" s="440"/>
      <c r="K97" s="445"/>
      <c r="L97" s="445"/>
      <c r="M97" s="437"/>
      <c r="N97" s="437"/>
    </row>
    <row r="98" ht="15.0" hidden="1" customHeight="1">
      <c r="A98" s="465" t="s">
        <v>580</v>
      </c>
      <c r="B98" s="465" t="s">
        <v>576</v>
      </c>
      <c r="C98" s="465" t="s">
        <v>818</v>
      </c>
      <c r="D98" s="486" t="s">
        <v>819</v>
      </c>
      <c r="E98" s="480">
        <v>45218.0</v>
      </c>
      <c r="F98" s="480">
        <v>45222.0</v>
      </c>
      <c r="G98" s="484">
        <v>-50.0</v>
      </c>
      <c r="H98" s="494">
        <v>1198324.0</v>
      </c>
      <c r="I98" s="476"/>
      <c r="J98" s="431"/>
      <c r="K98" s="513"/>
      <c r="L98" s="436"/>
      <c r="M98" s="437"/>
      <c r="N98" s="437"/>
    </row>
    <row r="99" ht="15.0" hidden="1" customHeight="1">
      <c r="A99" s="522" t="s">
        <v>580</v>
      </c>
      <c r="B99" s="522" t="s">
        <v>576</v>
      </c>
      <c r="C99" s="463" t="s">
        <v>820</v>
      </c>
      <c r="D99" s="470" t="s">
        <v>821</v>
      </c>
      <c r="E99" s="532">
        <v>45222.0</v>
      </c>
      <c r="F99" s="523">
        <v>45246.0</v>
      </c>
      <c r="G99" s="474">
        <v>-50.0</v>
      </c>
      <c r="H99" s="522">
        <v>1197515.0</v>
      </c>
      <c r="I99" s="537" t="s">
        <v>806</v>
      </c>
      <c r="J99" s="470"/>
      <c r="K99" s="538"/>
      <c r="L99" s="445"/>
      <c r="M99" s="437"/>
      <c r="N99" s="437"/>
    </row>
    <row r="100" ht="15.0" hidden="1" customHeight="1">
      <c r="A100" s="465" t="s">
        <v>670</v>
      </c>
      <c r="B100" s="465" t="s">
        <v>627</v>
      </c>
      <c r="C100" s="465" t="s">
        <v>809</v>
      </c>
      <c r="D100" s="486" t="s">
        <v>810</v>
      </c>
      <c r="E100" s="480">
        <v>45222.0</v>
      </c>
      <c r="F100" s="480">
        <v>45230.0</v>
      </c>
      <c r="G100" s="484">
        <v>-59.94</v>
      </c>
      <c r="H100" s="494">
        <v>1198383.0</v>
      </c>
      <c r="I100" s="476"/>
      <c r="J100" s="486" t="s">
        <v>811</v>
      </c>
      <c r="K100" s="513"/>
      <c r="L100" s="436"/>
      <c r="M100" s="437"/>
      <c r="N100" s="437"/>
    </row>
    <row r="101" ht="15.0" hidden="1" customHeight="1">
      <c r="A101" s="522" t="s">
        <v>580</v>
      </c>
      <c r="B101" s="522" t="s">
        <v>576</v>
      </c>
      <c r="C101" s="463" t="s">
        <v>822</v>
      </c>
      <c r="D101" s="470" t="s">
        <v>823</v>
      </c>
      <c r="E101" s="532">
        <v>45229.0</v>
      </c>
      <c r="F101" s="523">
        <v>45246.0</v>
      </c>
      <c r="G101" s="474">
        <v>-210.0</v>
      </c>
      <c r="H101" s="534">
        <v>1197499.0</v>
      </c>
      <c r="I101" s="537" t="s">
        <v>806</v>
      </c>
      <c r="J101" s="470"/>
      <c r="K101" s="538"/>
      <c r="L101" s="445"/>
      <c r="M101" s="437"/>
      <c r="N101" s="437"/>
    </row>
    <row r="102" ht="15.0" hidden="1" customHeight="1">
      <c r="A102" s="494" t="s">
        <v>580</v>
      </c>
      <c r="B102" s="494" t="s">
        <v>576</v>
      </c>
      <c r="C102" s="465" t="s">
        <v>824</v>
      </c>
      <c r="D102" s="486" t="s">
        <v>823</v>
      </c>
      <c r="E102" s="527">
        <v>45229.0</v>
      </c>
      <c r="F102" s="517">
        <v>45246.0</v>
      </c>
      <c r="G102" s="484">
        <v>-210.0</v>
      </c>
      <c r="H102" s="494">
        <v>1197520.0</v>
      </c>
      <c r="I102" s="533" t="s">
        <v>806</v>
      </c>
      <c r="J102" s="486"/>
      <c r="K102" s="539"/>
      <c r="L102" s="436"/>
      <c r="M102" s="437"/>
      <c r="N102" s="437"/>
    </row>
    <row r="103" ht="15.0" hidden="1" customHeight="1">
      <c r="A103" s="522" t="s">
        <v>96</v>
      </c>
      <c r="B103" s="522" t="s">
        <v>627</v>
      </c>
      <c r="C103" s="463" t="s">
        <v>825</v>
      </c>
      <c r="D103" s="470" t="s">
        <v>826</v>
      </c>
      <c r="E103" s="532">
        <v>45219.0</v>
      </c>
      <c r="F103" s="523">
        <v>45229.0</v>
      </c>
      <c r="G103" s="474">
        <v>-20.0</v>
      </c>
      <c r="H103" s="522">
        <v>1198511.0</v>
      </c>
      <c r="I103" s="466"/>
      <c r="J103" s="470">
        <v>1194969.0</v>
      </c>
      <c r="K103" s="445"/>
      <c r="L103" s="445"/>
      <c r="M103" s="437"/>
      <c r="N103" s="437"/>
    </row>
    <row r="104" ht="15.0" hidden="1" customHeight="1">
      <c r="A104" s="494" t="s">
        <v>580</v>
      </c>
      <c r="B104" s="494" t="s">
        <v>581</v>
      </c>
      <c r="C104" s="494" t="s">
        <v>827</v>
      </c>
      <c r="D104" s="104" t="s">
        <v>828</v>
      </c>
      <c r="E104" s="517">
        <v>45247.0</v>
      </c>
      <c r="F104" s="517">
        <v>45257.0</v>
      </c>
      <c r="G104" s="518">
        <v>-70.0</v>
      </c>
      <c r="H104" s="104">
        <v>1199002.0</v>
      </c>
      <c r="I104" s="468"/>
      <c r="J104" s="486" t="s">
        <v>829</v>
      </c>
      <c r="K104" s="436"/>
      <c r="L104" s="436"/>
      <c r="M104" s="437"/>
      <c r="N104" s="437"/>
    </row>
    <row r="105" ht="15.0" hidden="1" customHeight="1">
      <c r="A105" s="463" t="s">
        <v>670</v>
      </c>
      <c r="B105" s="463" t="s">
        <v>627</v>
      </c>
      <c r="C105" s="463" t="s">
        <v>830</v>
      </c>
      <c r="D105" s="470" t="s">
        <v>810</v>
      </c>
      <c r="E105" s="473">
        <v>45222.0</v>
      </c>
      <c r="F105" s="473">
        <v>45261.0</v>
      </c>
      <c r="G105" s="474">
        <v>-59.94</v>
      </c>
      <c r="H105" s="522">
        <v>1198382.0</v>
      </c>
      <c r="I105" s="478"/>
      <c r="J105" s="470" t="s">
        <v>831</v>
      </c>
      <c r="K105" s="531"/>
      <c r="L105" s="445"/>
      <c r="M105" s="437"/>
      <c r="N105" s="437"/>
    </row>
    <row r="106" ht="15.0" hidden="1" customHeight="1">
      <c r="A106" s="465" t="s">
        <v>670</v>
      </c>
      <c r="B106" s="465" t="s">
        <v>627</v>
      </c>
      <c r="C106" s="465" t="s">
        <v>832</v>
      </c>
      <c r="D106" s="486" t="s">
        <v>810</v>
      </c>
      <c r="E106" s="480">
        <v>45261.0</v>
      </c>
      <c r="F106" s="540">
        <v>45291.0</v>
      </c>
      <c r="G106" s="484">
        <v>-59.94</v>
      </c>
      <c r="H106" s="541">
        <v>1198828.0</v>
      </c>
      <c r="I106" s="476"/>
      <c r="J106" s="486" t="s">
        <v>833</v>
      </c>
      <c r="K106" s="513"/>
      <c r="L106" s="436"/>
      <c r="M106" s="437"/>
      <c r="N106" s="437"/>
    </row>
    <row r="107" ht="15.0" hidden="1" customHeight="1">
      <c r="A107" s="438" t="s">
        <v>670</v>
      </c>
      <c r="B107" s="438" t="s">
        <v>576</v>
      </c>
      <c r="C107" s="463" t="s">
        <v>834</v>
      </c>
      <c r="D107" s="470" t="s">
        <v>835</v>
      </c>
      <c r="E107" s="542" t="s">
        <v>836</v>
      </c>
      <c r="F107" s="81"/>
      <c r="G107" s="442"/>
      <c r="H107" s="522">
        <v>1188362.0</v>
      </c>
      <c r="I107" s="543" t="s">
        <v>837</v>
      </c>
      <c r="J107" s="440"/>
      <c r="K107" s="531" t="s">
        <v>838</v>
      </c>
      <c r="L107" s="445"/>
      <c r="M107" s="437"/>
      <c r="N107" s="437"/>
    </row>
    <row r="108" ht="15.0" hidden="1" customHeight="1">
      <c r="A108" s="465" t="s">
        <v>670</v>
      </c>
      <c r="B108" s="465" t="s">
        <v>576</v>
      </c>
      <c r="C108" s="465" t="s">
        <v>839</v>
      </c>
      <c r="D108" s="544" t="s">
        <v>840</v>
      </c>
      <c r="E108" s="480">
        <v>45231.0</v>
      </c>
      <c r="F108" s="480">
        <v>45291.0</v>
      </c>
      <c r="G108" s="484">
        <v>-50.0</v>
      </c>
      <c r="H108" s="471">
        <v>1195753.0</v>
      </c>
      <c r="I108" s="487" t="s">
        <v>841</v>
      </c>
      <c r="J108" s="431"/>
      <c r="K108" s="513"/>
      <c r="L108" s="436"/>
      <c r="M108" s="437"/>
      <c r="N108" s="437"/>
    </row>
    <row r="109" ht="15.0" hidden="1" customHeight="1">
      <c r="A109" s="463" t="s">
        <v>670</v>
      </c>
      <c r="B109" s="463" t="s">
        <v>576</v>
      </c>
      <c r="C109" s="463" t="s">
        <v>842</v>
      </c>
      <c r="D109" s="545" t="s">
        <v>843</v>
      </c>
      <c r="E109" s="473">
        <v>45231.0</v>
      </c>
      <c r="F109" s="473">
        <v>45291.0</v>
      </c>
      <c r="G109" s="474">
        <v>-30.0</v>
      </c>
      <c r="H109" s="482">
        <v>1195752.0</v>
      </c>
      <c r="I109" s="546" t="s">
        <v>844</v>
      </c>
      <c r="J109" s="440"/>
      <c r="K109" s="531"/>
      <c r="L109" s="445"/>
      <c r="M109" s="437"/>
      <c r="N109" s="437"/>
    </row>
    <row r="110" ht="15.0" hidden="1" customHeight="1">
      <c r="A110" s="465" t="s">
        <v>670</v>
      </c>
      <c r="B110" s="465" t="s">
        <v>576</v>
      </c>
      <c r="C110" s="465" t="s">
        <v>845</v>
      </c>
      <c r="D110" s="486" t="s">
        <v>846</v>
      </c>
      <c r="E110" s="480">
        <v>45231.0</v>
      </c>
      <c r="F110" s="480">
        <v>45291.0</v>
      </c>
      <c r="G110" s="484">
        <v>-100.0</v>
      </c>
      <c r="H110" s="494">
        <v>1196917.0</v>
      </c>
      <c r="I110" s="547"/>
      <c r="J110" s="486" t="s">
        <v>847</v>
      </c>
      <c r="K110" s="513"/>
      <c r="L110" s="436"/>
      <c r="M110" s="437"/>
      <c r="N110" s="437"/>
    </row>
    <row r="111" ht="15.0" hidden="1" customHeight="1">
      <c r="A111" s="463" t="s">
        <v>670</v>
      </c>
      <c r="B111" s="463" t="s">
        <v>576</v>
      </c>
      <c r="C111" s="463" t="s">
        <v>848</v>
      </c>
      <c r="D111" s="470" t="s">
        <v>846</v>
      </c>
      <c r="E111" s="473">
        <v>45231.0</v>
      </c>
      <c r="F111" s="473">
        <v>45291.0</v>
      </c>
      <c r="G111" s="474">
        <v>-100.0</v>
      </c>
      <c r="H111" s="482">
        <v>1196151.0</v>
      </c>
      <c r="I111" s="543"/>
      <c r="J111" s="470" t="s">
        <v>733</v>
      </c>
      <c r="K111" s="531"/>
      <c r="L111" s="445"/>
      <c r="M111" s="437"/>
      <c r="N111" s="437"/>
    </row>
    <row r="112" ht="15.0" hidden="1" customHeight="1">
      <c r="A112" s="465" t="s">
        <v>679</v>
      </c>
      <c r="B112" s="465" t="s">
        <v>576</v>
      </c>
      <c r="C112" s="465" t="s">
        <v>849</v>
      </c>
      <c r="D112" s="486" t="s">
        <v>850</v>
      </c>
      <c r="E112" s="480">
        <v>45254.0</v>
      </c>
      <c r="F112" s="480">
        <v>45284.0</v>
      </c>
      <c r="G112" s="484">
        <v>-50.0</v>
      </c>
      <c r="H112" s="471">
        <v>1199472.0</v>
      </c>
      <c r="I112" s="548" t="s">
        <v>851</v>
      </c>
      <c r="J112" s="486"/>
      <c r="K112" s="513"/>
      <c r="L112" s="436"/>
      <c r="M112" s="437"/>
      <c r="N112" s="437"/>
    </row>
    <row r="113" ht="15.0" hidden="1" customHeight="1">
      <c r="A113" s="463" t="s">
        <v>580</v>
      </c>
      <c r="B113" s="463" t="s">
        <v>627</v>
      </c>
      <c r="C113" s="463" t="s">
        <v>852</v>
      </c>
      <c r="D113" s="470" t="s">
        <v>744</v>
      </c>
      <c r="E113" s="482" t="s">
        <v>853</v>
      </c>
      <c r="F113" s="482" t="s">
        <v>854</v>
      </c>
      <c r="G113" s="474" t="s">
        <v>855</v>
      </c>
      <c r="H113" s="482" t="s">
        <v>856</v>
      </c>
      <c r="I113" s="549" t="s">
        <v>857</v>
      </c>
      <c r="J113" s="550"/>
      <c r="K113" s="551"/>
      <c r="L113" s="552"/>
      <c r="M113" s="553"/>
      <c r="N113" s="553"/>
    </row>
    <row r="114" ht="15.0" hidden="1" customHeight="1">
      <c r="A114" s="465" t="s">
        <v>679</v>
      </c>
      <c r="B114" s="465" t="s">
        <v>576</v>
      </c>
      <c r="C114" s="465" t="s">
        <v>858</v>
      </c>
      <c r="D114" s="486" t="s">
        <v>859</v>
      </c>
      <c r="E114" s="480">
        <v>45254.0</v>
      </c>
      <c r="F114" s="480">
        <v>45284.0</v>
      </c>
      <c r="G114" s="484">
        <v>-90.0</v>
      </c>
      <c r="H114" s="528">
        <v>1199473.0</v>
      </c>
      <c r="I114" s="548" t="s">
        <v>851</v>
      </c>
      <c r="J114" s="486"/>
      <c r="K114" s="513"/>
      <c r="L114" s="436"/>
      <c r="M114" s="437"/>
      <c r="N114" s="437"/>
    </row>
    <row r="115" ht="15.0" hidden="1" customHeight="1">
      <c r="A115" s="463" t="s">
        <v>580</v>
      </c>
      <c r="B115" s="463" t="s">
        <v>576</v>
      </c>
      <c r="C115" s="463" t="s">
        <v>860</v>
      </c>
      <c r="D115" s="470" t="s">
        <v>861</v>
      </c>
      <c r="E115" s="473">
        <v>45261.0</v>
      </c>
      <c r="F115" s="473">
        <v>45270.0</v>
      </c>
      <c r="G115" s="474">
        <v>-100.0</v>
      </c>
      <c r="H115" s="554">
        <v>1199634.0</v>
      </c>
      <c r="I115" s="475" t="s">
        <v>862</v>
      </c>
      <c r="J115" s="470" t="s">
        <v>863</v>
      </c>
      <c r="K115" s="531"/>
      <c r="L115" s="445"/>
      <c r="M115" s="437"/>
      <c r="N115" s="437"/>
    </row>
    <row r="116" ht="15.0" hidden="1" customHeight="1">
      <c r="A116" s="465" t="s">
        <v>580</v>
      </c>
      <c r="B116" s="465" t="s">
        <v>576</v>
      </c>
      <c r="C116" s="465" t="s">
        <v>864</v>
      </c>
      <c r="D116" s="486" t="s">
        <v>865</v>
      </c>
      <c r="E116" s="480">
        <v>45252.0</v>
      </c>
      <c r="F116" s="480">
        <v>45257.0</v>
      </c>
      <c r="G116" s="484">
        <v>-100.0</v>
      </c>
      <c r="H116" s="471">
        <v>1199475.0</v>
      </c>
      <c r="I116" s="547"/>
      <c r="J116" s="486" t="s">
        <v>866</v>
      </c>
      <c r="K116" s="513"/>
      <c r="L116" s="436"/>
      <c r="M116" s="437"/>
      <c r="N116" s="437"/>
    </row>
    <row r="117" ht="15.0" hidden="1" customHeight="1">
      <c r="A117" s="463" t="s">
        <v>580</v>
      </c>
      <c r="B117" s="463" t="s">
        <v>627</v>
      </c>
      <c r="C117" s="463" t="s">
        <v>867</v>
      </c>
      <c r="D117" s="470" t="s">
        <v>868</v>
      </c>
      <c r="E117" s="473">
        <v>45254.0</v>
      </c>
      <c r="F117" s="473">
        <v>45257.0</v>
      </c>
      <c r="G117" s="474">
        <v>-50.0</v>
      </c>
      <c r="H117" s="482">
        <v>1197319.0</v>
      </c>
      <c r="I117" s="543"/>
      <c r="J117" s="470" t="s">
        <v>869</v>
      </c>
      <c r="K117" s="531"/>
      <c r="L117" s="445"/>
      <c r="M117" s="437"/>
      <c r="N117" s="437"/>
    </row>
    <row r="118" ht="15.0" hidden="1" customHeight="1">
      <c r="A118" s="465" t="s">
        <v>580</v>
      </c>
      <c r="B118" s="465" t="s">
        <v>627</v>
      </c>
      <c r="C118" s="465" t="s">
        <v>870</v>
      </c>
      <c r="D118" s="104" t="s">
        <v>868</v>
      </c>
      <c r="E118" s="480">
        <v>45254.0</v>
      </c>
      <c r="F118" s="480">
        <v>45257.0</v>
      </c>
      <c r="G118" s="484">
        <v>-80.0</v>
      </c>
      <c r="H118" s="471">
        <v>1197320.0</v>
      </c>
      <c r="I118" s="547"/>
      <c r="J118" s="486">
        <v>1175323.0</v>
      </c>
      <c r="K118" s="513"/>
      <c r="L118" s="436"/>
      <c r="M118" s="437"/>
      <c r="N118" s="437"/>
    </row>
    <row r="119" ht="15.0" hidden="1" customHeight="1">
      <c r="A119" s="463" t="s">
        <v>585</v>
      </c>
      <c r="B119" s="463" t="s">
        <v>576</v>
      </c>
      <c r="C119" s="463" t="s">
        <v>871</v>
      </c>
      <c r="D119" s="119" t="s">
        <v>865</v>
      </c>
      <c r="E119" s="473">
        <v>45258.0</v>
      </c>
      <c r="F119" s="473">
        <v>45285.0</v>
      </c>
      <c r="G119" s="474">
        <v>-100.0</v>
      </c>
      <c r="H119" s="482">
        <v>1199470.0</v>
      </c>
      <c r="I119" s="546" t="s">
        <v>872</v>
      </c>
      <c r="J119" s="470" t="s">
        <v>873</v>
      </c>
      <c r="K119" s="531"/>
      <c r="L119" s="445"/>
      <c r="M119" s="437"/>
      <c r="N119" s="437"/>
    </row>
    <row r="120" ht="15.0" hidden="1" customHeight="1">
      <c r="A120" s="465" t="s">
        <v>580</v>
      </c>
      <c r="B120" s="465" t="s">
        <v>627</v>
      </c>
      <c r="C120" s="465" t="s">
        <v>874</v>
      </c>
      <c r="D120" s="104" t="s">
        <v>875</v>
      </c>
      <c r="E120" s="480"/>
      <c r="F120" s="480"/>
      <c r="G120" s="484" t="s">
        <v>876</v>
      </c>
      <c r="H120" s="528">
        <v>1194889.0</v>
      </c>
      <c r="I120" s="547"/>
      <c r="J120" s="486" t="s">
        <v>877</v>
      </c>
      <c r="K120" s="513"/>
      <c r="L120" s="436"/>
      <c r="M120" s="555"/>
      <c r="N120" s="555"/>
    </row>
    <row r="121" ht="15.0" hidden="1" customHeight="1">
      <c r="A121" s="463" t="s">
        <v>580</v>
      </c>
      <c r="B121" s="463" t="s">
        <v>627</v>
      </c>
      <c r="C121" s="463" t="s">
        <v>878</v>
      </c>
      <c r="D121" s="119" t="s">
        <v>879</v>
      </c>
      <c r="E121" s="473"/>
      <c r="F121" s="473"/>
      <c r="G121" s="474" t="s">
        <v>876</v>
      </c>
      <c r="H121" s="534">
        <v>1198400.0</v>
      </c>
      <c r="I121" s="543"/>
      <c r="J121" s="470" t="s">
        <v>880</v>
      </c>
      <c r="K121" s="531"/>
      <c r="L121" s="445"/>
      <c r="M121" s="555"/>
      <c r="N121" s="555"/>
    </row>
    <row r="122" ht="15.0" hidden="1" customHeight="1">
      <c r="A122" s="465" t="s">
        <v>580</v>
      </c>
      <c r="B122" s="465" t="s">
        <v>627</v>
      </c>
      <c r="C122" s="465" t="s">
        <v>881</v>
      </c>
      <c r="D122" s="104" t="s">
        <v>882</v>
      </c>
      <c r="E122" s="480"/>
      <c r="F122" s="480"/>
      <c r="G122" s="484" t="s">
        <v>876</v>
      </c>
      <c r="H122" s="528">
        <v>1198431.0</v>
      </c>
      <c r="I122" s="547"/>
      <c r="J122" s="486" t="s">
        <v>883</v>
      </c>
      <c r="K122" s="513"/>
      <c r="L122" s="436"/>
      <c r="M122" s="555"/>
      <c r="N122" s="555"/>
    </row>
    <row r="123" ht="15.0" hidden="1" customHeight="1">
      <c r="A123" s="463" t="s">
        <v>585</v>
      </c>
      <c r="B123" s="463" t="s">
        <v>576</v>
      </c>
      <c r="C123" s="463" t="s">
        <v>884</v>
      </c>
      <c r="D123" s="119" t="s">
        <v>865</v>
      </c>
      <c r="E123" s="473">
        <v>45258.0</v>
      </c>
      <c r="F123" s="473">
        <v>45285.0</v>
      </c>
      <c r="G123" s="474">
        <v>-100.0</v>
      </c>
      <c r="H123" s="482">
        <v>1199501.0</v>
      </c>
      <c r="I123" s="546" t="s">
        <v>872</v>
      </c>
      <c r="J123" s="470" t="s">
        <v>885</v>
      </c>
      <c r="K123" s="531"/>
      <c r="L123" s="445"/>
      <c r="M123" s="437"/>
      <c r="N123" s="437"/>
    </row>
    <row r="124" ht="15.0" hidden="1" customHeight="1">
      <c r="A124" s="465" t="s">
        <v>580</v>
      </c>
      <c r="B124" s="465" t="s">
        <v>581</v>
      </c>
      <c r="C124" s="465" t="s">
        <v>886</v>
      </c>
      <c r="D124" s="556" t="s">
        <v>887</v>
      </c>
      <c r="E124" s="540">
        <v>45282.0</v>
      </c>
      <c r="F124" s="480">
        <v>45293.0</v>
      </c>
      <c r="G124" s="484">
        <v>-70.0</v>
      </c>
      <c r="H124" s="557">
        <v>1199002.0</v>
      </c>
      <c r="I124" s="548"/>
      <c r="J124" s="486" t="s">
        <v>888</v>
      </c>
      <c r="K124" s="513"/>
      <c r="L124" s="436"/>
      <c r="M124" s="437"/>
      <c r="N124" s="437"/>
    </row>
    <row r="125" ht="15.0" hidden="1" customHeight="1">
      <c r="A125" s="463" t="s">
        <v>580</v>
      </c>
      <c r="B125" s="463" t="s">
        <v>581</v>
      </c>
      <c r="C125" s="463" t="s">
        <v>886</v>
      </c>
      <c r="D125" s="470" t="s">
        <v>889</v>
      </c>
      <c r="E125" s="525">
        <v>45282.0</v>
      </c>
      <c r="F125" s="473">
        <v>45293.0</v>
      </c>
      <c r="G125" s="474">
        <v>-99.0</v>
      </c>
      <c r="H125" s="558">
        <v>1200155.0</v>
      </c>
      <c r="I125" s="546"/>
      <c r="J125" s="470" t="s">
        <v>890</v>
      </c>
      <c r="K125" s="531"/>
      <c r="L125" s="445"/>
      <c r="M125" s="437"/>
      <c r="N125" s="437"/>
    </row>
    <row r="126" ht="15.0" hidden="1" customHeight="1">
      <c r="A126" s="465" t="s">
        <v>891</v>
      </c>
      <c r="B126" s="465" t="s">
        <v>627</v>
      </c>
      <c r="C126" s="465"/>
      <c r="D126" s="559"/>
      <c r="E126" s="560"/>
      <c r="F126" s="560"/>
      <c r="G126" s="561"/>
      <c r="H126" s="557"/>
      <c r="I126" s="548"/>
      <c r="J126" s="486"/>
      <c r="K126" s="513"/>
      <c r="L126" s="436"/>
      <c r="M126" s="437"/>
      <c r="N126" s="437"/>
    </row>
    <row r="127" ht="15.0" hidden="1" customHeight="1">
      <c r="A127" s="463" t="s">
        <v>891</v>
      </c>
      <c r="B127" s="463" t="s">
        <v>581</v>
      </c>
      <c r="C127" s="463" t="s">
        <v>892</v>
      </c>
      <c r="D127" s="562" t="s">
        <v>893</v>
      </c>
      <c r="E127" s="563">
        <v>45296.0</v>
      </c>
      <c r="F127" s="563">
        <v>45298.0</v>
      </c>
      <c r="G127" s="564">
        <v>60.0</v>
      </c>
      <c r="H127" s="558">
        <v>1200466.0</v>
      </c>
      <c r="I127" s="546" t="s">
        <v>894</v>
      </c>
      <c r="J127" s="470" t="s">
        <v>895</v>
      </c>
      <c r="K127" s="531"/>
      <c r="L127" s="445"/>
      <c r="M127" s="437"/>
      <c r="N127" s="437"/>
    </row>
    <row r="128" ht="15.0" hidden="1" customHeight="1">
      <c r="A128" s="465" t="s">
        <v>891</v>
      </c>
      <c r="B128" s="465" t="s">
        <v>581</v>
      </c>
      <c r="C128" s="565" t="s">
        <v>896</v>
      </c>
      <c r="D128" s="559" t="s">
        <v>897</v>
      </c>
      <c r="E128" s="560">
        <v>45296.0</v>
      </c>
      <c r="F128" s="560">
        <v>45298.0</v>
      </c>
      <c r="G128" s="561">
        <v>70.0</v>
      </c>
      <c r="H128" s="557">
        <v>1200467.0</v>
      </c>
      <c r="I128" s="548" t="s">
        <v>894</v>
      </c>
      <c r="J128" s="486" t="s">
        <v>898</v>
      </c>
      <c r="K128" s="513"/>
      <c r="L128" s="436"/>
      <c r="M128" s="437"/>
      <c r="N128" s="437"/>
    </row>
    <row r="129" ht="15.0" hidden="1" customHeight="1">
      <c r="A129" s="463" t="s">
        <v>891</v>
      </c>
      <c r="B129" s="463" t="s">
        <v>899</v>
      </c>
      <c r="C129" s="463" t="s">
        <v>900</v>
      </c>
      <c r="D129" s="562" t="s">
        <v>901</v>
      </c>
      <c r="E129" s="563">
        <v>45294.0</v>
      </c>
      <c r="F129" s="563">
        <v>45300.0</v>
      </c>
      <c r="G129" s="564">
        <v>100.0</v>
      </c>
      <c r="H129" s="558">
        <v>1200283.0</v>
      </c>
      <c r="I129" s="466"/>
      <c r="J129" s="470"/>
      <c r="K129" s="445"/>
      <c r="L129" s="445"/>
      <c r="M129" s="437"/>
      <c r="N129" s="437"/>
    </row>
    <row r="130" ht="15.0" hidden="1" customHeight="1">
      <c r="A130" s="465" t="s">
        <v>580</v>
      </c>
      <c r="B130" s="465" t="s">
        <v>576</v>
      </c>
      <c r="C130" s="465" t="s">
        <v>902</v>
      </c>
      <c r="D130" s="104" t="s">
        <v>903</v>
      </c>
      <c r="E130" s="471" t="s">
        <v>904</v>
      </c>
      <c r="F130" s="480">
        <v>45300.0</v>
      </c>
      <c r="G130" s="484">
        <v>100.0</v>
      </c>
      <c r="H130" s="471">
        <v>1199609.0</v>
      </c>
      <c r="I130" s="548"/>
      <c r="J130" s="486" t="s">
        <v>905</v>
      </c>
      <c r="K130" s="513"/>
      <c r="L130" s="436"/>
      <c r="M130" s="437"/>
      <c r="N130" s="437"/>
    </row>
    <row r="131" ht="15.0" hidden="1" customHeight="1">
      <c r="A131" s="463" t="s">
        <v>580</v>
      </c>
      <c r="B131" s="463" t="s">
        <v>576</v>
      </c>
      <c r="C131" s="463" t="s">
        <v>902</v>
      </c>
      <c r="D131" s="119" t="s">
        <v>906</v>
      </c>
      <c r="E131" s="473">
        <v>45267.0</v>
      </c>
      <c r="F131" s="473">
        <v>45328.0</v>
      </c>
      <c r="G131" s="474">
        <v>79.99</v>
      </c>
      <c r="H131" s="482">
        <v>1199651.0</v>
      </c>
      <c r="I131" s="546"/>
      <c r="J131" s="470" t="s">
        <v>905</v>
      </c>
      <c r="K131" s="531"/>
      <c r="L131" s="445"/>
      <c r="M131" s="437"/>
      <c r="N131" s="437"/>
    </row>
    <row r="132" ht="15.0" hidden="1" customHeight="1">
      <c r="A132" s="465" t="s">
        <v>580</v>
      </c>
      <c r="B132" s="465" t="s">
        <v>907</v>
      </c>
      <c r="C132" s="465" t="s">
        <v>908</v>
      </c>
      <c r="D132" s="104" t="s">
        <v>909</v>
      </c>
      <c r="E132" s="540">
        <v>45271.0</v>
      </c>
      <c r="F132" s="480">
        <v>45277.0</v>
      </c>
      <c r="G132" s="484">
        <v>50.0</v>
      </c>
      <c r="H132" s="471">
        <v>1199620.0</v>
      </c>
      <c r="I132" s="548"/>
      <c r="J132" s="486" t="s">
        <v>910</v>
      </c>
      <c r="K132" s="513"/>
      <c r="L132" s="436"/>
      <c r="M132" s="437"/>
      <c r="N132" s="437"/>
    </row>
    <row r="133" ht="15.0" hidden="1" customHeight="1">
      <c r="A133" s="463" t="s">
        <v>580</v>
      </c>
      <c r="B133" s="463" t="s">
        <v>576</v>
      </c>
      <c r="C133" s="463" t="s">
        <v>902</v>
      </c>
      <c r="D133" s="470" t="s">
        <v>911</v>
      </c>
      <c r="E133" s="525">
        <v>45271.0</v>
      </c>
      <c r="F133" s="525">
        <v>45277.0</v>
      </c>
      <c r="G133" s="474">
        <v>50.0</v>
      </c>
      <c r="H133" s="482">
        <v>1199729.0</v>
      </c>
      <c r="I133" s="466"/>
      <c r="J133" s="470" t="s">
        <v>912</v>
      </c>
      <c r="K133" s="445"/>
      <c r="L133" s="445"/>
      <c r="M133" s="437"/>
      <c r="N133" s="437"/>
    </row>
    <row r="134" ht="15.0" hidden="1" customHeight="1">
      <c r="A134" s="465" t="s">
        <v>580</v>
      </c>
      <c r="B134" s="465" t="s">
        <v>627</v>
      </c>
      <c r="C134" s="465" t="s">
        <v>913</v>
      </c>
      <c r="D134" s="486" t="s">
        <v>914</v>
      </c>
      <c r="E134" s="540">
        <v>45271.0</v>
      </c>
      <c r="F134" s="540">
        <v>45277.0</v>
      </c>
      <c r="G134" s="484">
        <v>200.0</v>
      </c>
      <c r="H134" s="471">
        <v>1199853.0</v>
      </c>
      <c r="I134" s="468"/>
      <c r="J134" s="486">
        <v>1196004.0</v>
      </c>
      <c r="K134" s="436"/>
      <c r="L134" s="436"/>
      <c r="M134" s="437"/>
      <c r="N134" s="437"/>
    </row>
    <row r="135" ht="15.0" hidden="1" customHeight="1">
      <c r="A135" s="463" t="s">
        <v>580</v>
      </c>
      <c r="B135" s="463" t="s">
        <v>907</v>
      </c>
      <c r="C135" s="463" t="s">
        <v>915</v>
      </c>
      <c r="D135" s="470" t="s">
        <v>916</v>
      </c>
      <c r="E135" s="566">
        <v>45301.0</v>
      </c>
      <c r="F135" s="566">
        <v>45307.0</v>
      </c>
      <c r="G135" s="474">
        <v>50.0</v>
      </c>
      <c r="H135" s="482">
        <v>1199826.0</v>
      </c>
      <c r="I135" s="466"/>
      <c r="J135" s="470" t="s">
        <v>917</v>
      </c>
      <c r="K135" s="445"/>
      <c r="L135" s="445"/>
      <c r="M135" s="437"/>
      <c r="N135" s="437"/>
    </row>
    <row r="136" ht="15.0" hidden="1" customHeight="1">
      <c r="A136" s="465" t="s">
        <v>580</v>
      </c>
      <c r="B136" s="465" t="s">
        <v>581</v>
      </c>
      <c r="C136" s="465" t="s">
        <v>918</v>
      </c>
      <c r="D136" s="486" t="s">
        <v>919</v>
      </c>
      <c r="E136" s="567">
        <v>45301.0</v>
      </c>
      <c r="F136" s="567">
        <v>45307.0</v>
      </c>
      <c r="G136" s="484">
        <v>30.0</v>
      </c>
      <c r="H136" s="494">
        <v>1199827.0</v>
      </c>
      <c r="I136" s="468"/>
      <c r="J136" s="486"/>
      <c r="K136" s="436"/>
      <c r="L136" s="436"/>
      <c r="M136" s="437"/>
      <c r="N136" s="437"/>
    </row>
    <row r="137" ht="15.0" hidden="1" customHeight="1">
      <c r="A137" s="463" t="s">
        <v>580</v>
      </c>
      <c r="B137" s="463" t="s">
        <v>576</v>
      </c>
      <c r="C137" s="463" t="s">
        <v>920</v>
      </c>
      <c r="D137" s="470" t="s">
        <v>921</v>
      </c>
      <c r="E137" s="566">
        <v>45301.0</v>
      </c>
      <c r="F137" s="566">
        <v>45314.0</v>
      </c>
      <c r="G137" s="474">
        <v>169.0</v>
      </c>
      <c r="H137" s="482">
        <v>1200102.0</v>
      </c>
      <c r="I137" s="466"/>
      <c r="J137" s="470"/>
      <c r="K137" s="445"/>
      <c r="L137" s="445"/>
      <c r="M137" s="437"/>
      <c r="N137" s="437"/>
    </row>
    <row r="138" ht="15.0" hidden="1" customHeight="1">
      <c r="A138" s="465" t="s">
        <v>670</v>
      </c>
      <c r="B138" s="465" t="s">
        <v>576</v>
      </c>
      <c r="C138" s="465" t="s">
        <v>922</v>
      </c>
      <c r="D138" s="486" t="s">
        <v>923</v>
      </c>
      <c r="E138" s="567">
        <v>45294.0</v>
      </c>
      <c r="F138" s="480">
        <v>45322.0</v>
      </c>
      <c r="G138" s="484">
        <v>100.0</v>
      </c>
      <c r="H138" s="471">
        <v>1196917.0</v>
      </c>
      <c r="I138" s="468"/>
      <c r="J138" s="486" t="s">
        <v>924</v>
      </c>
      <c r="K138" s="436"/>
      <c r="L138" s="568" t="s">
        <v>925</v>
      </c>
      <c r="M138" s="569"/>
      <c r="N138" s="569"/>
    </row>
    <row r="139" ht="15.0" hidden="1" customHeight="1">
      <c r="A139" s="463" t="s">
        <v>670</v>
      </c>
      <c r="B139" s="463" t="s">
        <v>576</v>
      </c>
      <c r="C139" s="463" t="s">
        <v>926</v>
      </c>
      <c r="D139" s="470" t="s">
        <v>927</v>
      </c>
      <c r="E139" s="566">
        <v>45309.0</v>
      </c>
      <c r="F139" s="473">
        <v>45322.0</v>
      </c>
      <c r="G139" s="474">
        <v>20.0</v>
      </c>
      <c r="H139" s="482">
        <v>1200674.0</v>
      </c>
      <c r="I139" s="501"/>
      <c r="J139" s="470" t="s">
        <v>928</v>
      </c>
      <c r="K139" s="570"/>
      <c r="L139" s="571" t="s">
        <v>925</v>
      </c>
      <c r="M139" s="569"/>
      <c r="N139" s="569"/>
    </row>
    <row r="140" ht="15.0" hidden="1" customHeight="1">
      <c r="A140" s="465" t="s">
        <v>670</v>
      </c>
      <c r="B140" s="465" t="s">
        <v>627</v>
      </c>
      <c r="C140" s="465" t="s">
        <v>929</v>
      </c>
      <c r="D140" s="486" t="s">
        <v>810</v>
      </c>
      <c r="E140" s="567">
        <v>45294.0</v>
      </c>
      <c r="F140" s="480">
        <v>45322.0</v>
      </c>
      <c r="G140" s="484">
        <v>59.94</v>
      </c>
      <c r="H140" s="471">
        <v>1200387.0</v>
      </c>
      <c r="I140" s="512" t="s">
        <v>930</v>
      </c>
      <c r="J140" s="486" t="s">
        <v>931</v>
      </c>
      <c r="K140" s="436"/>
      <c r="L140" s="436"/>
      <c r="M140" s="437"/>
      <c r="N140" s="437"/>
    </row>
    <row r="141" ht="15.0" hidden="1" customHeight="1">
      <c r="A141" s="463" t="s">
        <v>580</v>
      </c>
      <c r="B141" s="463" t="s">
        <v>576</v>
      </c>
      <c r="C141" s="463" t="s">
        <v>932</v>
      </c>
      <c r="D141" s="470" t="s">
        <v>923</v>
      </c>
      <c r="E141" s="566">
        <v>45315.0</v>
      </c>
      <c r="F141" s="566">
        <v>45328.0</v>
      </c>
      <c r="G141" s="474">
        <v>100.0</v>
      </c>
      <c r="H141" s="482">
        <v>1200103.0</v>
      </c>
      <c r="I141" s="477" t="s">
        <v>933</v>
      </c>
      <c r="J141" s="470" t="s">
        <v>934</v>
      </c>
      <c r="K141" s="460" t="s">
        <v>935</v>
      </c>
      <c r="L141" s="571" t="s">
        <v>925</v>
      </c>
      <c r="M141" s="569"/>
      <c r="N141" s="569"/>
    </row>
    <row r="142" ht="15.0" hidden="1" customHeight="1">
      <c r="A142" s="465" t="s">
        <v>580</v>
      </c>
      <c r="B142" s="465" t="s">
        <v>576</v>
      </c>
      <c r="C142" s="465" t="s">
        <v>936</v>
      </c>
      <c r="D142" s="486" t="s">
        <v>937</v>
      </c>
      <c r="E142" s="567">
        <v>45315.0</v>
      </c>
      <c r="F142" s="567">
        <v>45328.0</v>
      </c>
      <c r="G142" s="484">
        <v>150.0</v>
      </c>
      <c r="H142" s="471">
        <v>1200664.0</v>
      </c>
      <c r="I142" s="512" t="s">
        <v>938</v>
      </c>
      <c r="J142" s="486" t="s">
        <v>939</v>
      </c>
      <c r="K142" s="461" t="s">
        <v>935</v>
      </c>
      <c r="L142" s="568" t="s">
        <v>925</v>
      </c>
      <c r="M142" s="569"/>
      <c r="N142" s="569"/>
    </row>
    <row r="143" ht="15.0" hidden="1" customHeight="1">
      <c r="A143" s="463" t="s">
        <v>585</v>
      </c>
      <c r="B143" s="463" t="s">
        <v>576</v>
      </c>
      <c r="C143" s="463" t="s">
        <v>940</v>
      </c>
      <c r="D143" s="470" t="s">
        <v>941</v>
      </c>
      <c r="E143" s="566">
        <v>45301.0</v>
      </c>
      <c r="F143" s="566">
        <v>45306.0</v>
      </c>
      <c r="G143" s="474">
        <v>14.99</v>
      </c>
      <c r="H143" s="482">
        <v>1200595.0</v>
      </c>
      <c r="I143" s="466"/>
      <c r="J143" s="470" t="s">
        <v>942</v>
      </c>
      <c r="K143" s="445"/>
      <c r="L143" s="445"/>
      <c r="M143" s="437"/>
      <c r="N143" s="437"/>
    </row>
    <row r="144" ht="15.0" hidden="1" customHeight="1">
      <c r="A144" s="465" t="s">
        <v>670</v>
      </c>
      <c r="B144" s="465" t="s">
        <v>576</v>
      </c>
      <c r="C144" s="465" t="s">
        <v>943</v>
      </c>
      <c r="D144" s="486" t="s">
        <v>944</v>
      </c>
      <c r="E144" s="567">
        <v>45309.0</v>
      </c>
      <c r="F144" s="480">
        <v>45322.0</v>
      </c>
      <c r="G144" s="484">
        <v>50.0</v>
      </c>
      <c r="H144" s="471">
        <v>1196151.0</v>
      </c>
      <c r="I144" s="500"/>
      <c r="J144" s="486" t="s">
        <v>945</v>
      </c>
      <c r="K144" s="436"/>
      <c r="L144" s="568" t="s">
        <v>925</v>
      </c>
      <c r="M144" s="569"/>
      <c r="N144" s="569"/>
    </row>
    <row r="145" ht="15.0" hidden="1" customHeight="1">
      <c r="A145" s="463" t="s">
        <v>580</v>
      </c>
      <c r="B145" s="463" t="s">
        <v>581</v>
      </c>
      <c r="C145" s="463" t="s">
        <v>946</v>
      </c>
      <c r="D145" s="470" t="s">
        <v>947</v>
      </c>
      <c r="E145" s="566">
        <v>45303.0</v>
      </c>
      <c r="F145" s="566">
        <v>45305.0</v>
      </c>
      <c r="G145" s="474">
        <v>50.0</v>
      </c>
      <c r="H145" s="482">
        <v>1197406.0</v>
      </c>
      <c r="I145" s="466"/>
      <c r="J145" s="470" t="s">
        <v>948</v>
      </c>
      <c r="K145" s="445"/>
      <c r="L145" s="445"/>
      <c r="M145" s="437"/>
      <c r="N145" s="437"/>
    </row>
    <row r="146" ht="15.0" hidden="1" customHeight="1">
      <c r="A146" s="465" t="s">
        <v>670</v>
      </c>
      <c r="B146" s="465" t="s">
        <v>576</v>
      </c>
      <c r="C146" s="465" t="s">
        <v>949</v>
      </c>
      <c r="D146" s="572" t="s">
        <v>950</v>
      </c>
      <c r="E146" s="567">
        <v>45304.0</v>
      </c>
      <c r="F146" s="567">
        <v>45305.0</v>
      </c>
      <c r="G146" s="484">
        <v>30.0</v>
      </c>
      <c r="H146" s="471">
        <v>1200706.0</v>
      </c>
      <c r="I146" s="468"/>
      <c r="J146" s="486">
        <v>1163950.0</v>
      </c>
      <c r="K146" s="436"/>
      <c r="L146" s="436"/>
      <c r="M146" s="437"/>
      <c r="N146" s="437"/>
    </row>
    <row r="147" ht="15.0" hidden="1" customHeight="1">
      <c r="A147" s="463" t="s">
        <v>670</v>
      </c>
      <c r="B147" s="463" t="s">
        <v>576</v>
      </c>
      <c r="C147" s="463" t="s">
        <v>951</v>
      </c>
      <c r="D147" s="470" t="s">
        <v>952</v>
      </c>
      <c r="E147" s="566">
        <v>45305.0</v>
      </c>
      <c r="F147" s="566">
        <v>45306.0</v>
      </c>
      <c r="G147" s="474">
        <v>20.0</v>
      </c>
      <c r="H147" s="482">
        <v>1200707.0</v>
      </c>
      <c r="I147" s="466"/>
      <c r="J147" s="470">
        <v>1164001.0</v>
      </c>
      <c r="K147" s="445"/>
      <c r="L147" s="445"/>
      <c r="M147" s="437"/>
      <c r="N147" s="437"/>
    </row>
    <row r="148" ht="15.0" hidden="1" customHeight="1">
      <c r="A148" s="465" t="s">
        <v>670</v>
      </c>
      <c r="B148" s="465" t="s">
        <v>576</v>
      </c>
      <c r="C148" s="465" t="s">
        <v>953</v>
      </c>
      <c r="D148" s="572" t="s">
        <v>950</v>
      </c>
      <c r="E148" s="567">
        <v>45305.0</v>
      </c>
      <c r="F148" s="567">
        <v>45306.0</v>
      </c>
      <c r="G148" s="484">
        <v>30.0</v>
      </c>
      <c r="H148" s="471">
        <v>1200708.0</v>
      </c>
      <c r="I148" s="468"/>
      <c r="J148" s="486" t="s">
        <v>954</v>
      </c>
      <c r="K148" s="436"/>
      <c r="L148" s="436"/>
      <c r="M148" s="437"/>
      <c r="N148" s="437"/>
    </row>
    <row r="149" ht="15.0" hidden="1" customHeight="1">
      <c r="A149" s="463" t="s">
        <v>580</v>
      </c>
      <c r="B149" s="463" t="s">
        <v>576</v>
      </c>
      <c r="C149" s="463" t="s">
        <v>955</v>
      </c>
      <c r="D149" s="470" t="s">
        <v>956</v>
      </c>
      <c r="E149" s="473">
        <v>45308.0</v>
      </c>
      <c r="F149" s="566">
        <v>45321.0</v>
      </c>
      <c r="G149" s="474">
        <v>150.0</v>
      </c>
      <c r="H149" s="482">
        <v>1200702.0</v>
      </c>
      <c r="I149" s="475" t="s">
        <v>957</v>
      </c>
      <c r="J149" s="470" t="s">
        <v>958</v>
      </c>
      <c r="K149" s="445"/>
      <c r="L149" s="571" t="s">
        <v>925</v>
      </c>
      <c r="M149" s="569"/>
      <c r="N149" s="569"/>
    </row>
    <row r="150" ht="15.0" hidden="1" customHeight="1">
      <c r="A150" s="465" t="s">
        <v>580</v>
      </c>
      <c r="B150" s="465" t="s">
        <v>576</v>
      </c>
      <c r="C150" s="465" t="s">
        <v>959</v>
      </c>
      <c r="D150" s="486" t="s">
        <v>960</v>
      </c>
      <c r="E150" s="480">
        <v>45308.0</v>
      </c>
      <c r="F150" s="567">
        <v>45321.0</v>
      </c>
      <c r="G150" s="484">
        <v>100.0</v>
      </c>
      <c r="H150" s="471">
        <v>1200703.0</v>
      </c>
      <c r="I150" s="487" t="s">
        <v>961</v>
      </c>
      <c r="J150" s="486" t="s">
        <v>962</v>
      </c>
      <c r="K150" s="436"/>
      <c r="L150" s="568" t="s">
        <v>925</v>
      </c>
      <c r="M150" s="569"/>
      <c r="N150" s="569"/>
    </row>
    <row r="151" ht="15.0" hidden="1" customHeight="1">
      <c r="A151" s="463" t="s">
        <v>580</v>
      </c>
      <c r="B151" s="463" t="s">
        <v>576</v>
      </c>
      <c r="C151" s="463" t="s">
        <v>963</v>
      </c>
      <c r="D151" s="470" t="s">
        <v>964</v>
      </c>
      <c r="E151" s="473">
        <v>45316.0</v>
      </c>
      <c r="F151" s="566">
        <v>45321.0</v>
      </c>
      <c r="G151" s="474">
        <v>419.0</v>
      </c>
      <c r="H151" s="482">
        <v>1200711.0</v>
      </c>
      <c r="I151" s="466"/>
      <c r="J151" s="470" t="s">
        <v>965</v>
      </c>
      <c r="K151" s="445"/>
      <c r="L151" s="460"/>
      <c r="M151" s="462"/>
      <c r="N151" s="462"/>
    </row>
    <row r="152" ht="15.0" hidden="1" customHeight="1">
      <c r="A152" s="465" t="s">
        <v>580</v>
      </c>
      <c r="B152" s="465" t="s">
        <v>576</v>
      </c>
      <c r="C152" s="465" t="s">
        <v>966</v>
      </c>
      <c r="D152" s="486" t="s">
        <v>967</v>
      </c>
      <c r="E152" s="480">
        <v>45316.0</v>
      </c>
      <c r="F152" s="567">
        <v>45321.0</v>
      </c>
      <c r="G152" s="484">
        <v>469.0</v>
      </c>
      <c r="H152" s="471">
        <v>1200713.0</v>
      </c>
      <c r="I152" s="468"/>
      <c r="J152" s="486" t="s">
        <v>968</v>
      </c>
      <c r="K152" s="436"/>
      <c r="L152" s="436"/>
      <c r="M152" s="437"/>
      <c r="N152" s="437"/>
    </row>
    <row r="153" ht="27.0" customHeight="1">
      <c r="A153" s="573" t="s">
        <v>969</v>
      </c>
      <c r="B153" s="80"/>
      <c r="C153" s="80"/>
      <c r="D153" s="80"/>
      <c r="E153" s="80"/>
      <c r="F153" s="80"/>
      <c r="G153" s="80"/>
      <c r="H153" s="80"/>
      <c r="I153" s="80"/>
      <c r="J153" s="81"/>
      <c r="K153" s="574"/>
      <c r="L153" s="575"/>
      <c r="M153" s="576"/>
      <c r="N153" s="576"/>
    </row>
    <row r="154">
      <c r="A154" s="577" t="s">
        <v>368</v>
      </c>
      <c r="B154" s="56"/>
      <c r="C154" s="56"/>
      <c r="D154" s="56"/>
      <c r="E154" s="56"/>
      <c r="F154" s="56"/>
      <c r="G154" s="56"/>
      <c r="H154" s="56"/>
      <c r="I154" s="56"/>
      <c r="J154" s="57"/>
      <c r="K154" s="578"/>
      <c r="L154" s="436"/>
      <c r="M154" s="579"/>
      <c r="N154" s="579"/>
    </row>
    <row r="155">
      <c r="A155" s="580" t="s">
        <v>165</v>
      </c>
      <c r="B155" s="80"/>
      <c r="C155" s="80"/>
      <c r="D155" s="80"/>
      <c r="E155" s="80"/>
      <c r="F155" s="80"/>
      <c r="G155" s="80"/>
      <c r="H155" s="80"/>
      <c r="I155" s="80"/>
      <c r="J155" s="81"/>
      <c r="K155" s="492"/>
      <c r="L155" s="581"/>
      <c r="M155" s="582"/>
      <c r="N155" s="582"/>
    </row>
    <row r="156">
      <c r="A156" s="465" t="s">
        <v>165</v>
      </c>
      <c r="B156" s="465" t="s">
        <v>970</v>
      </c>
      <c r="C156" s="483" t="s">
        <v>971</v>
      </c>
      <c r="D156" s="544" t="s">
        <v>972</v>
      </c>
      <c r="E156" s="480">
        <v>45889.0</v>
      </c>
      <c r="F156" s="480">
        <v>45977.0</v>
      </c>
      <c r="G156" s="484">
        <v>100.0</v>
      </c>
      <c r="H156" s="471" t="s">
        <v>368</v>
      </c>
      <c r="I156" s="502" t="s">
        <v>973</v>
      </c>
      <c r="J156" s="483"/>
      <c r="K156" s="436"/>
      <c r="L156" s="568"/>
      <c r="M156" s="569"/>
      <c r="N156" s="569"/>
    </row>
    <row r="157">
      <c r="A157" s="463" t="s">
        <v>165</v>
      </c>
      <c r="B157" s="463" t="s">
        <v>974</v>
      </c>
      <c r="C157" s="472" t="s">
        <v>975</v>
      </c>
      <c r="D157" s="545" t="s">
        <v>976</v>
      </c>
      <c r="E157" s="473">
        <v>45894.0</v>
      </c>
      <c r="F157" s="473">
        <v>45935.0</v>
      </c>
      <c r="G157" s="474" t="s">
        <v>977</v>
      </c>
      <c r="H157" s="482" t="s">
        <v>368</v>
      </c>
      <c r="I157" s="583" t="s">
        <v>978</v>
      </c>
      <c r="J157" s="472"/>
      <c r="K157" s="445"/>
      <c r="L157" s="571"/>
      <c r="M157" s="569"/>
      <c r="N157" s="569"/>
    </row>
    <row r="158">
      <c r="A158" s="465" t="s">
        <v>165</v>
      </c>
      <c r="B158" s="465" t="s">
        <v>974</v>
      </c>
      <c r="C158" s="483" t="s">
        <v>975</v>
      </c>
      <c r="D158" s="544" t="s">
        <v>979</v>
      </c>
      <c r="E158" s="480">
        <v>45894.0</v>
      </c>
      <c r="F158" s="480">
        <v>45935.0</v>
      </c>
      <c r="G158" s="484">
        <v>50.0</v>
      </c>
      <c r="H158" s="471" t="s">
        <v>368</v>
      </c>
      <c r="I158" s="502" t="s">
        <v>980</v>
      </c>
      <c r="J158" s="483"/>
      <c r="K158" s="436"/>
      <c r="L158" s="568"/>
      <c r="M158" s="569"/>
      <c r="N158" s="569"/>
    </row>
    <row r="159">
      <c r="A159" s="463" t="s">
        <v>165</v>
      </c>
      <c r="B159" s="463" t="s">
        <v>974</v>
      </c>
      <c r="C159" s="472" t="s">
        <v>981</v>
      </c>
      <c r="D159" s="545" t="s">
        <v>982</v>
      </c>
      <c r="E159" s="473"/>
      <c r="F159" s="473">
        <v>45935.0</v>
      </c>
      <c r="G159" s="474" t="s">
        <v>983</v>
      </c>
      <c r="H159" s="482" t="s">
        <v>368</v>
      </c>
      <c r="I159" s="583" t="s">
        <v>984</v>
      </c>
      <c r="J159" s="472"/>
      <c r="K159" s="445"/>
      <c r="L159" s="571"/>
      <c r="M159" s="569"/>
      <c r="N159" s="569"/>
    </row>
    <row r="160">
      <c r="A160" s="465" t="s">
        <v>165</v>
      </c>
      <c r="B160" s="465" t="s">
        <v>974</v>
      </c>
      <c r="C160" s="483" t="s">
        <v>985</v>
      </c>
      <c r="D160" s="544" t="s">
        <v>986</v>
      </c>
      <c r="E160" s="480"/>
      <c r="F160" s="480">
        <v>45935.0</v>
      </c>
      <c r="G160" s="484" t="s">
        <v>987</v>
      </c>
      <c r="H160" s="471" t="s">
        <v>368</v>
      </c>
      <c r="I160" s="502" t="s">
        <v>984</v>
      </c>
      <c r="J160" s="483"/>
      <c r="K160" s="436"/>
      <c r="L160" s="568"/>
      <c r="M160" s="569"/>
      <c r="N160" s="569"/>
    </row>
    <row r="161">
      <c r="A161" s="463" t="s">
        <v>413</v>
      </c>
      <c r="B161" s="463" t="s">
        <v>988</v>
      </c>
      <c r="C161" s="472" t="s">
        <v>989</v>
      </c>
      <c r="D161" s="545" t="s">
        <v>990</v>
      </c>
      <c r="E161" s="473">
        <v>45915.0</v>
      </c>
      <c r="F161" s="473">
        <v>45977.0</v>
      </c>
      <c r="G161" s="474" t="s">
        <v>991</v>
      </c>
      <c r="H161" s="482" t="s">
        <v>368</v>
      </c>
      <c r="I161" s="583" t="s">
        <v>992</v>
      </c>
      <c r="J161" s="472"/>
      <c r="K161" s="445"/>
      <c r="L161" s="571"/>
      <c r="M161" s="569"/>
      <c r="N161" s="569"/>
    </row>
    <row r="162">
      <c r="A162" s="465" t="s">
        <v>413</v>
      </c>
      <c r="B162" s="465" t="s">
        <v>988</v>
      </c>
      <c r="C162" s="483" t="s">
        <v>993</v>
      </c>
      <c r="D162" s="544" t="s">
        <v>994</v>
      </c>
      <c r="E162" s="480">
        <v>45964.0</v>
      </c>
      <c r="F162" s="480">
        <v>46028.0</v>
      </c>
      <c r="G162" s="484" t="s">
        <v>995</v>
      </c>
      <c r="H162" s="471" t="s">
        <v>368</v>
      </c>
      <c r="I162" s="502" t="s">
        <v>23</v>
      </c>
      <c r="J162" s="483"/>
      <c r="K162" s="436"/>
      <c r="L162" s="568"/>
      <c r="M162" s="569"/>
      <c r="N162" s="569"/>
    </row>
    <row r="163">
      <c r="A163" s="580" t="s">
        <v>996</v>
      </c>
      <c r="B163" s="80"/>
      <c r="C163" s="80"/>
      <c r="D163" s="80"/>
      <c r="E163" s="80"/>
      <c r="F163" s="80"/>
      <c r="G163" s="80"/>
      <c r="H163" s="80"/>
      <c r="I163" s="80"/>
      <c r="J163" s="81"/>
      <c r="K163" s="445"/>
      <c r="L163" s="571"/>
      <c r="M163" s="569"/>
      <c r="N163" s="569"/>
    </row>
    <row r="164">
      <c r="A164" s="465" t="s">
        <v>645</v>
      </c>
      <c r="B164" s="465" t="s">
        <v>988</v>
      </c>
      <c r="C164" s="483" t="s">
        <v>997</v>
      </c>
      <c r="D164" s="544" t="s">
        <v>998</v>
      </c>
      <c r="E164" s="480">
        <v>45959.0</v>
      </c>
      <c r="F164" s="480">
        <v>46112.0</v>
      </c>
      <c r="G164" s="484" t="s">
        <v>999</v>
      </c>
      <c r="H164" s="471" t="s">
        <v>368</v>
      </c>
      <c r="I164" s="502" t="s">
        <v>1000</v>
      </c>
      <c r="J164" s="483"/>
      <c r="K164" s="436"/>
      <c r="L164" s="568"/>
      <c r="M164" s="569"/>
      <c r="N164" s="569"/>
    </row>
    <row r="165">
      <c r="A165" s="584" t="s">
        <v>1001</v>
      </c>
      <c r="B165" s="80"/>
      <c r="C165" s="80"/>
      <c r="D165" s="80"/>
      <c r="E165" s="80"/>
      <c r="F165" s="80"/>
      <c r="G165" s="80"/>
      <c r="H165" s="80"/>
      <c r="I165" s="80"/>
      <c r="J165" s="81"/>
      <c r="K165" s="585"/>
      <c r="L165" s="586"/>
      <c r="M165" s="587"/>
      <c r="N165" s="587"/>
    </row>
    <row r="166">
      <c r="A166" s="465" t="s">
        <v>1001</v>
      </c>
      <c r="B166" s="465" t="s">
        <v>1002</v>
      </c>
      <c r="C166" s="483" t="s">
        <v>1003</v>
      </c>
      <c r="D166" s="544" t="s">
        <v>1004</v>
      </c>
      <c r="E166" s="480">
        <v>45958.0</v>
      </c>
      <c r="F166" s="480">
        <v>45966.0</v>
      </c>
      <c r="G166" s="484" t="s">
        <v>1005</v>
      </c>
      <c r="H166" s="471" t="s">
        <v>368</v>
      </c>
      <c r="I166" s="502" t="s">
        <v>1006</v>
      </c>
      <c r="J166" s="483"/>
      <c r="K166" s="436"/>
      <c r="L166" s="568"/>
      <c r="M166" s="569"/>
      <c r="N166" s="569"/>
    </row>
    <row r="167">
      <c r="A167" s="588" t="s">
        <v>1007</v>
      </c>
      <c r="B167" s="80"/>
      <c r="C167" s="80"/>
      <c r="D167" s="80"/>
      <c r="E167" s="80"/>
      <c r="F167" s="80"/>
      <c r="G167" s="80"/>
      <c r="H167" s="80"/>
      <c r="I167" s="80"/>
      <c r="J167" s="81"/>
      <c r="K167" s="589"/>
      <c r="L167" s="445"/>
      <c r="M167" s="579"/>
      <c r="N167" s="579"/>
    </row>
    <row r="168" ht="15.0" hidden="1" customHeight="1">
      <c r="A168" s="465" t="s">
        <v>679</v>
      </c>
      <c r="B168" s="465" t="s">
        <v>576</v>
      </c>
      <c r="C168" s="483" t="s">
        <v>1008</v>
      </c>
      <c r="D168" s="486" t="s">
        <v>1009</v>
      </c>
      <c r="E168" s="480">
        <v>45330.0</v>
      </c>
      <c r="F168" s="567">
        <v>45381.0</v>
      </c>
      <c r="G168" s="484">
        <v>50.0</v>
      </c>
      <c r="H168" s="471">
        <v>1201596.0</v>
      </c>
      <c r="I168" s="487" t="s">
        <v>1010</v>
      </c>
      <c r="J168" s="486" t="s">
        <v>1011</v>
      </c>
      <c r="K168" s="436"/>
      <c r="L168" s="568" t="s">
        <v>925</v>
      </c>
      <c r="M168" s="569"/>
      <c r="N168" s="569"/>
    </row>
    <row r="169" ht="15.75" hidden="1" customHeight="1">
      <c r="A169" s="463" t="s">
        <v>679</v>
      </c>
      <c r="B169" s="463" t="s">
        <v>576</v>
      </c>
      <c r="C169" s="472" t="s">
        <v>1012</v>
      </c>
      <c r="D169" s="470" t="s">
        <v>1013</v>
      </c>
      <c r="E169" s="473">
        <v>45330.0</v>
      </c>
      <c r="F169" s="566">
        <v>45381.0</v>
      </c>
      <c r="G169" s="474">
        <v>90.0</v>
      </c>
      <c r="H169" s="482">
        <v>1201597.0</v>
      </c>
      <c r="I169" s="475" t="s">
        <v>1014</v>
      </c>
      <c r="J169" s="470" t="s">
        <v>1015</v>
      </c>
      <c r="K169" s="445"/>
      <c r="L169" s="571" t="s">
        <v>925</v>
      </c>
      <c r="M169" s="569"/>
      <c r="N169" s="569"/>
    </row>
    <row r="170" ht="15.0" hidden="1" customHeight="1">
      <c r="A170" s="465" t="s">
        <v>670</v>
      </c>
      <c r="B170" s="465" t="s">
        <v>576</v>
      </c>
      <c r="C170" s="483" t="s">
        <v>1016</v>
      </c>
      <c r="D170" s="486" t="s">
        <v>1009</v>
      </c>
      <c r="E170" s="480">
        <v>45352.0</v>
      </c>
      <c r="F170" s="567">
        <v>45382.0</v>
      </c>
      <c r="G170" s="484">
        <v>50.0</v>
      </c>
      <c r="H170" s="471">
        <v>1200674.0</v>
      </c>
      <c r="I170" s="487" t="s">
        <v>1017</v>
      </c>
      <c r="J170" s="486" t="s">
        <v>928</v>
      </c>
      <c r="K170" s="436"/>
      <c r="L170" s="568" t="s">
        <v>1018</v>
      </c>
      <c r="M170" s="569"/>
      <c r="N170" s="569"/>
    </row>
    <row r="171" ht="15.0" hidden="1" customHeight="1">
      <c r="A171" s="463" t="s">
        <v>670</v>
      </c>
      <c r="B171" s="463" t="s">
        <v>576</v>
      </c>
      <c r="C171" s="472" t="s">
        <v>1019</v>
      </c>
      <c r="D171" s="470" t="s">
        <v>1020</v>
      </c>
      <c r="E171" s="473">
        <v>45352.0</v>
      </c>
      <c r="F171" s="566">
        <v>45382.0</v>
      </c>
      <c r="G171" s="474">
        <v>30.0</v>
      </c>
      <c r="H171" s="482">
        <v>1201251.0</v>
      </c>
      <c r="I171" s="475" t="s">
        <v>1017</v>
      </c>
      <c r="J171" s="470" t="s">
        <v>1021</v>
      </c>
      <c r="K171" s="445"/>
      <c r="L171" s="571" t="s">
        <v>1018</v>
      </c>
      <c r="M171" s="569"/>
      <c r="N171" s="569"/>
    </row>
    <row r="172" ht="15.0" hidden="1" customHeight="1">
      <c r="A172" s="465" t="s">
        <v>666</v>
      </c>
      <c r="B172" s="465" t="s">
        <v>576</v>
      </c>
      <c r="C172" s="465" t="s">
        <v>1022</v>
      </c>
      <c r="D172" s="486" t="s">
        <v>1020</v>
      </c>
      <c r="E172" s="567">
        <v>45323.0</v>
      </c>
      <c r="F172" s="480">
        <v>45351.0</v>
      </c>
      <c r="G172" s="484">
        <v>30.0</v>
      </c>
      <c r="H172" s="471">
        <v>1201251.0</v>
      </c>
      <c r="I172" s="512" t="s">
        <v>1023</v>
      </c>
      <c r="J172" s="486" t="s">
        <v>1024</v>
      </c>
      <c r="K172" s="436"/>
      <c r="L172" s="568" t="s">
        <v>925</v>
      </c>
      <c r="M172" s="569"/>
      <c r="N172" s="569"/>
    </row>
    <row r="173" ht="15.0" hidden="1" customHeight="1">
      <c r="A173" s="463" t="s">
        <v>666</v>
      </c>
      <c r="B173" s="463" t="s">
        <v>576</v>
      </c>
      <c r="C173" s="463" t="s">
        <v>1025</v>
      </c>
      <c r="D173" s="470" t="s">
        <v>1009</v>
      </c>
      <c r="E173" s="566">
        <v>45323.0</v>
      </c>
      <c r="F173" s="473">
        <v>45351.0</v>
      </c>
      <c r="G173" s="474">
        <v>50.0</v>
      </c>
      <c r="H173" s="482">
        <v>1201254.0</v>
      </c>
      <c r="I173" s="477" t="s">
        <v>1023</v>
      </c>
      <c r="J173" s="470" t="s">
        <v>1026</v>
      </c>
      <c r="K173" s="445"/>
      <c r="L173" s="571" t="s">
        <v>925</v>
      </c>
      <c r="M173" s="569"/>
      <c r="N173" s="569"/>
    </row>
    <row r="174" ht="15.0" hidden="1" customHeight="1">
      <c r="A174" s="465" t="s">
        <v>666</v>
      </c>
      <c r="B174" s="465" t="s">
        <v>576</v>
      </c>
      <c r="C174" s="465" t="s">
        <v>1027</v>
      </c>
      <c r="D174" s="486" t="s">
        <v>1009</v>
      </c>
      <c r="E174" s="567">
        <v>45352.0</v>
      </c>
      <c r="F174" s="480">
        <v>45382.0</v>
      </c>
      <c r="G174" s="484">
        <v>50.0</v>
      </c>
      <c r="H174" s="471">
        <v>1196151.0</v>
      </c>
      <c r="I174" s="512" t="s">
        <v>1017</v>
      </c>
      <c r="J174" s="486" t="s">
        <v>1028</v>
      </c>
      <c r="K174" s="436"/>
      <c r="L174" s="568"/>
      <c r="M174" s="569"/>
      <c r="N174" s="569"/>
    </row>
    <row r="175" ht="15.0" hidden="1" customHeight="1">
      <c r="A175" s="463" t="s">
        <v>666</v>
      </c>
      <c r="B175" s="463" t="s">
        <v>576</v>
      </c>
      <c r="C175" s="463" t="s">
        <v>1029</v>
      </c>
      <c r="D175" s="470" t="s">
        <v>1030</v>
      </c>
      <c r="E175" s="566">
        <v>45352.0</v>
      </c>
      <c r="F175" s="473">
        <v>45382.0</v>
      </c>
      <c r="G175" s="474">
        <v>100.0</v>
      </c>
      <c r="H175" s="482">
        <v>1196917.0</v>
      </c>
      <c r="I175" s="477" t="s">
        <v>1031</v>
      </c>
      <c r="J175" s="470" t="s">
        <v>736</v>
      </c>
      <c r="K175" s="445"/>
      <c r="L175" s="571"/>
      <c r="M175" s="569"/>
      <c r="N175" s="569"/>
    </row>
    <row r="176" hidden="1">
      <c r="A176" s="465" t="s">
        <v>670</v>
      </c>
      <c r="B176" s="465" t="s">
        <v>576</v>
      </c>
      <c r="C176" s="483" t="s">
        <v>1032</v>
      </c>
      <c r="D176" s="544" t="s">
        <v>1033</v>
      </c>
      <c r="E176" s="480">
        <v>45370.0</v>
      </c>
      <c r="F176" s="480">
        <v>45382.0</v>
      </c>
      <c r="G176" s="484">
        <v>200.0</v>
      </c>
      <c r="H176" s="471">
        <v>1202319.0</v>
      </c>
      <c r="I176" s="590" t="s">
        <v>1034</v>
      </c>
      <c r="J176" s="591" t="s">
        <v>1035</v>
      </c>
      <c r="K176" s="436"/>
      <c r="L176" s="568" t="s">
        <v>1036</v>
      </c>
      <c r="M176" s="568"/>
      <c r="N176" s="568"/>
    </row>
    <row r="177" ht="21.75" hidden="1" customHeight="1">
      <c r="A177" s="463" t="s">
        <v>585</v>
      </c>
      <c r="B177" s="463" t="s">
        <v>576</v>
      </c>
      <c r="C177" s="472" t="s">
        <v>1037</v>
      </c>
      <c r="D177" s="470" t="s">
        <v>1038</v>
      </c>
      <c r="E177" s="473">
        <v>45349.0</v>
      </c>
      <c r="F177" s="566">
        <v>45382.0</v>
      </c>
      <c r="G177" s="474">
        <v>150.0</v>
      </c>
      <c r="H177" s="482">
        <v>1202110.0</v>
      </c>
      <c r="I177" s="475" t="s">
        <v>1039</v>
      </c>
      <c r="J177" s="470" t="s">
        <v>1040</v>
      </c>
      <c r="K177" s="445"/>
      <c r="L177" s="571" t="s">
        <v>1018</v>
      </c>
      <c r="M177" s="569"/>
      <c r="N177" s="569"/>
    </row>
    <row r="178" ht="21.75" hidden="1" customHeight="1">
      <c r="A178" s="465" t="s">
        <v>585</v>
      </c>
      <c r="B178" s="465" t="s">
        <v>576</v>
      </c>
      <c r="C178" s="483" t="s">
        <v>1041</v>
      </c>
      <c r="D178" s="486" t="s">
        <v>1038</v>
      </c>
      <c r="E178" s="480">
        <v>45349.0</v>
      </c>
      <c r="F178" s="567">
        <v>45382.0</v>
      </c>
      <c r="G178" s="484">
        <v>150.0</v>
      </c>
      <c r="H178" s="471">
        <v>1202105.0</v>
      </c>
      <c r="I178" s="487" t="s">
        <v>1039</v>
      </c>
      <c r="J178" s="486" t="s">
        <v>1042</v>
      </c>
      <c r="K178" s="436"/>
      <c r="L178" s="568" t="s">
        <v>1018</v>
      </c>
      <c r="M178" s="569"/>
      <c r="N178" s="569"/>
    </row>
    <row r="179" ht="15.0" hidden="1" customHeight="1">
      <c r="A179" s="463" t="s">
        <v>580</v>
      </c>
      <c r="B179" s="463" t="s">
        <v>576</v>
      </c>
      <c r="C179" s="463" t="s">
        <v>1043</v>
      </c>
      <c r="D179" s="470" t="s">
        <v>1030</v>
      </c>
      <c r="E179" s="566">
        <v>45329.0</v>
      </c>
      <c r="F179" s="473">
        <v>45382.0</v>
      </c>
      <c r="G179" s="474">
        <v>100.0</v>
      </c>
      <c r="H179" s="482">
        <v>1200283.0</v>
      </c>
      <c r="I179" s="477" t="s">
        <v>1044</v>
      </c>
      <c r="J179" s="470" t="s">
        <v>1045</v>
      </c>
      <c r="K179" s="445"/>
      <c r="L179" s="571" t="s">
        <v>925</v>
      </c>
      <c r="M179" s="569"/>
      <c r="N179" s="569"/>
    </row>
    <row r="180" ht="15.0" hidden="1" customHeight="1">
      <c r="A180" s="465" t="s">
        <v>1046</v>
      </c>
      <c r="B180" s="465" t="s">
        <v>576</v>
      </c>
      <c r="C180" s="465" t="s">
        <v>902</v>
      </c>
      <c r="D180" s="486" t="s">
        <v>1030</v>
      </c>
      <c r="E180" s="567">
        <v>45329.0</v>
      </c>
      <c r="F180" s="480">
        <v>45382.0</v>
      </c>
      <c r="G180" s="484">
        <v>100.0</v>
      </c>
      <c r="H180" s="471">
        <v>1201321.0</v>
      </c>
      <c r="I180" s="512" t="s">
        <v>1047</v>
      </c>
      <c r="J180" s="486" t="s">
        <v>905</v>
      </c>
      <c r="K180" s="436"/>
      <c r="L180" s="568" t="s">
        <v>925</v>
      </c>
      <c r="M180" s="569"/>
      <c r="N180" s="569"/>
    </row>
    <row r="181" ht="15.0" hidden="1" customHeight="1">
      <c r="A181" s="463" t="s">
        <v>580</v>
      </c>
      <c r="B181" s="463" t="s">
        <v>576</v>
      </c>
      <c r="C181" s="463" t="s">
        <v>955</v>
      </c>
      <c r="D181" s="470" t="s">
        <v>956</v>
      </c>
      <c r="E181" s="473">
        <v>45322.0</v>
      </c>
      <c r="F181" s="566">
        <v>45382.0</v>
      </c>
      <c r="G181" s="474">
        <v>150.0</v>
      </c>
      <c r="H181" s="482">
        <v>1200702.0</v>
      </c>
      <c r="I181" s="475" t="s">
        <v>1048</v>
      </c>
      <c r="J181" s="470" t="s">
        <v>958</v>
      </c>
      <c r="K181" s="445"/>
      <c r="L181" s="571" t="s">
        <v>925</v>
      </c>
      <c r="M181" s="569"/>
      <c r="N181" s="569"/>
    </row>
    <row r="182" ht="15.0" hidden="1" customHeight="1">
      <c r="A182" s="465" t="s">
        <v>580</v>
      </c>
      <c r="B182" s="465" t="s">
        <v>576</v>
      </c>
      <c r="C182" s="465" t="s">
        <v>959</v>
      </c>
      <c r="D182" s="486" t="s">
        <v>960</v>
      </c>
      <c r="E182" s="480">
        <v>45322.0</v>
      </c>
      <c r="F182" s="567">
        <v>45382.0</v>
      </c>
      <c r="G182" s="484">
        <v>100.0</v>
      </c>
      <c r="H182" s="471">
        <v>1200703.0</v>
      </c>
      <c r="I182" s="487" t="s">
        <v>1048</v>
      </c>
      <c r="J182" s="486" t="s">
        <v>962</v>
      </c>
      <c r="K182" s="436"/>
      <c r="L182" s="568" t="s">
        <v>925</v>
      </c>
      <c r="M182" s="569"/>
      <c r="N182" s="569"/>
    </row>
    <row r="183" ht="21.75" hidden="1" customHeight="1">
      <c r="A183" s="463" t="s">
        <v>580</v>
      </c>
      <c r="B183" s="463" t="s">
        <v>576</v>
      </c>
      <c r="C183" s="472" t="s">
        <v>1049</v>
      </c>
      <c r="D183" s="470" t="s">
        <v>1050</v>
      </c>
      <c r="E183" s="473">
        <v>45332.0</v>
      </c>
      <c r="F183" s="566">
        <v>45340.0</v>
      </c>
      <c r="G183" s="474">
        <v>20.0</v>
      </c>
      <c r="H183" s="482">
        <v>1201696.0</v>
      </c>
      <c r="I183" s="501"/>
      <c r="J183" s="470" t="s">
        <v>1051</v>
      </c>
      <c r="K183" s="445"/>
      <c r="L183" s="571" t="s">
        <v>1036</v>
      </c>
      <c r="M183" s="569"/>
      <c r="N183" s="569"/>
    </row>
    <row r="184" ht="15.0" hidden="1" customHeight="1">
      <c r="A184" s="465" t="s">
        <v>580</v>
      </c>
      <c r="B184" s="465" t="s">
        <v>627</v>
      </c>
      <c r="C184" s="483" t="s">
        <v>1052</v>
      </c>
      <c r="D184" s="486" t="s">
        <v>1030</v>
      </c>
      <c r="E184" s="480">
        <v>45332.0</v>
      </c>
      <c r="F184" s="567">
        <v>45350.0</v>
      </c>
      <c r="G184" s="484">
        <v>100.0</v>
      </c>
      <c r="H184" s="471">
        <v>1194889.0</v>
      </c>
      <c r="I184" s="500"/>
      <c r="J184" s="486" t="s">
        <v>1053</v>
      </c>
      <c r="K184" s="436"/>
      <c r="L184" s="568" t="s">
        <v>1018</v>
      </c>
      <c r="M184" s="569"/>
      <c r="N184" s="569"/>
    </row>
    <row r="185" ht="15.0" hidden="1" customHeight="1">
      <c r="A185" s="463" t="s">
        <v>580</v>
      </c>
      <c r="B185" s="463" t="s">
        <v>627</v>
      </c>
      <c r="C185" s="472" t="s">
        <v>1054</v>
      </c>
      <c r="D185" s="470" t="s">
        <v>1038</v>
      </c>
      <c r="E185" s="473">
        <v>45332.0</v>
      </c>
      <c r="F185" s="566">
        <v>45350.0</v>
      </c>
      <c r="G185" s="474">
        <v>150.0</v>
      </c>
      <c r="H185" s="482">
        <v>1198400.0</v>
      </c>
      <c r="I185" s="501"/>
      <c r="J185" s="470" t="s">
        <v>1055</v>
      </c>
      <c r="K185" s="445"/>
      <c r="L185" s="571" t="s">
        <v>1018</v>
      </c>
      <c r="M185" s="569"/>
      <c r="N185" s="569"/>
    </row>
    <row r="186" ht="15.0" hidden="1" customHeight="1">
      <c r="A186" s="465" t="s">
        <v>580</v>
      </c>
      <c r="B186" s="465" t="s">
        <v>627</v>
      </c>
      <c r="C186" s="483" t="s">
        <v>1056</v>
      </c>
      <c r="D186" s="486" t="s">
        <v>1057</v>
      </c>
      <c r="E186" s="480">
        <v>45332.0</v>
      </c>
      <c r="F186" s="567">
        <v>45350.0</v>
      </c>
      <c r="G186" s="484">
        <v>200.0</v>
      </c>
      <c r="H186" s="471">
        <v>1198431.0</v>
      </c>
      <c r="I186" s="500"/>
      <c r="J186" s="486" t="s">
        <v>1058</v>
      </c>
      <c r="K186" s="436"/>
      <c r="L186" s="568" t="s">
        <v>1018</v>
      </c>
      <c r="M186" s="569"/>
      <c r="N186" s="569"/>
    </row>
    <row r="187" ht="15.0" hidden="1" customHeight="1">
      <c r="A187" s="463" t="s">
        <v>670</v>
      </c>
      <c r="B187" s="463" t="s">
        <v>899</v>
      </c>
      <c r="C187" s="472" t="s">
        <v>1059</v>
      </c>
      <c r="D187" s="470" t="s">
        <v>1060</v>
      </c>
      <c r="E187" s="473" t="s">
        <v>1061</v>
      </c>
      <c r="F187" s="566">
        <v>45333.0</v>
      </c>
      <c r="G187" s="474">
        <v>15.0</v>
      </c>
      <c r="H187" s="482">
        <v>1201759.0</v>
      </c>
      <c r="I187" s="501"/>
      <c r="J187" s="470" t="s">
        <v>1062</v>
      </c>
      <c r="K187" s="445"/>
      <c r="L187" s="571" t="s">
        <v>1036</v>
      </c>
      <c r="M187" s="569"/>
      <c r="N187" s="569"/>
    </row>
    <row r="188" ht="15.0" hidden="1" customHeight="1">
      <c r="A188" s="465" t="s">
        <v>670</v>
      </c>
      <c r="B188" s="465" t="s">
        <v>899</v>
      </c>
      <c r="C188" s="483" t="s">
        <v>1063</v>
      </c>
      <c r="D188" s="486" t="s">
        <v>1064</v>
      </c>
      <c r="E188" s="480" t="s">
        <v>1061</v>
      </c>
      <c r="F188" s="567">
        <v>45333.0</v>
      </c>
      <c r="G188" s="484">
        <v>25.0</v>
      </c>
      <c r="H188" s="471">
        <v>1201760.0</v>
      </c>
      <c r="I188" s="500"/>
      <c r="J188" s="486" t="s">
        <v>1065</v>
      </c>
      <c r="K188" s="436"/>
      <c r="L188" s="568" t="s">
        <v>1036</v>
      </c>
      <c r="M188" s="569"/>
      <c r="N188" s="569"/>
    </row>
    <row r="189" ht="15.0" hidden="1" customHeight="1">
      <c r="A189" s="463" t="s">
        <v>580</v>
      </c>
      <c r="B189" s="463" t="s">
        <v>627</v>
      </c>
      <c r="C189" s="472" t="s">
        <v>1066</v>
      </c>
      <c r="D189" s="470" t="s">
        <v>1067</v>
      </c>
      <c r="E189" s="473">
        <v>45332.0</v>
      </c>
      <c r="F189" s="566">
        <v>45336.0</v>
      </c>
      <c r="G189" s="474">
        <v>99.99</v>
      </c>
      <c r="H189" s="482">
        <v>1201891.0</v>
      </c>
      <c r="I189" s="501"/>
      <c r="J189" s="470" t="s">
        <v>1068</v>
      </c>
      <c r="K189" s="445"/>
      <c r="L189" s="571" t="s">
        <v>1036</v>
      </c>
      <c r="M189" s="569"/>
      <c r="N189" s="569"/>
    </row>
    <row r="190" ht="15.0" hidden="1" customHeight="1">
      <c r="A190" s="465" t="s">
        <v>580</v>
      </c>
      <c r="B190" s="465" t="s">
        <v>627</v>
      </c>
      <c r="C190" s="483" t="s">
        <v>1069</v>
      </c>
      <c r="D190" s="486" t="s">
        <v>1070</v>
      </c>
      <c r="E190" s="480">
        <v>45332.0</v>
      </c>
      <c r="F190" s="567">
        <v>45336.0</v>
      </c>
      <c r="G190" s="484">
        <v>149.0</v>
      </c>
      <c r="H190" s="471">
        <v>1201892.0</v>
      </c>
      <c r="I190" s="500"/>
      <c r="J190" s="486" t="s">
        <v>1071</v>
      </c>
      <c r="K190" s="436"/>
      <c r="L190" s="568" t="s">
        <v>1036</v>
      </c>
      <c r="M190" s="569"/>
      <c r="N190" s="569"/>
    </row>
    <row r="191" ht="15.0" hidden="1" customHeight="1">
      <c r="A191" s="463" t="s">
        <v>580</v>
      </c>
      <c r="B191" s="463" t="s">
        <v>627</v>
      </c>
      <c r="C191" s="472" t="s">
        <v>1072</v>
      </c>
      <c r="D191" s="470" t="s">
        <v>1073</v>
      </c>
      <c r="E191" s="473">
        <v>45332.0</v>
      </c>
      <c r="F191" s="566">
        <v>45336.0</v>
      </c>
      <c r="G191" s="474">
        <v>179.0</v>
      </c>
      <c r="H191" s="482">
        <v>1201893.0</v>
      </c>
      <c r="I191" s="501"/>
      <c r="J191" s="470" t="s">
        <v>1058</v>
      </c>
      <c r="K191" s="445"/>
      <c r="L191" s="571" t="s">
        <v>1036</v>
      </c>
      <c r="M191" s="569"/>
      <c r="N191" s="569"/>
    </row>
    <row r="192" ht="15.0" hidden="1" customHeight="1">
      <c r="A192" s="465" t="s">
        <v>670</v>
      </c>
      <c r="B192" s="465" t="s">
        <v>576</v>
      </c>
      <c r="C192" s="483" t="s">
        <v>1074</v>
      </c>
      <c r="D192" s="486" t="s">
        <v>1075</v>
      </c>
      <c r="E192" s="480">
        <v>45334.0</v>
      </c>
      <c r="F192" s="567">
        <v>45338.0</v>
      </c>
      <c r="G192" s="484">
        <v>20.0</v>
      </c>
      <c r="H192" s="471">
        <v>1201898.0</v>
      </c>
      <c r="I192" s="500"/>
      <c r="J192" s="486" t="s">
        <v>1076</v>
      </c>
      <c r="K192" s="436"/>
      <c r="L192" s="568" t="s">
        <v>1036</v>
      </c>
      <c r="M192" s="569"/>
      <c r="N192" s="569"/>
    </row>
    <row r="193" ht="15.0" hidden="1" customHeight="1">
      <c r="A193" s="463" t="s">
        <v>670</v>
      </c>
      <c r="B193" s="463" t="s">
        <v>576</v>
      </c>
      <c r="C193" s="472" t="s">
        <v>1074</v>
      </c>
      <c r="D193" s="470" t="s">
        <v>1075</v>
      </c>
      <c r="E193" s="473">
        <v>45341.0</v>
      </c>
      <c r="F193" s="566">
        <v>45345.0</v>
      </c>
      <c r="G193" s="474">
        <v>20.0</v>
      </c>
      <c r="H193" s="482">
        <v>1201898.0</v>
      </c>
      <c r="I193" s="501"/>
      <c r="J193" s="470" t="s">
        <v>1077</v>
      </c>
      <c r="K193" s="445"/>
      <c r="L193" s="571" t="s">
        <v>1036</v>
      </c>
      <c r="M193" s="569"/>
      <c r="N193" s="569"/>
    </row>
    <row r="194" hidden="1">
      <c r="A194" s="592" t="s">
        <v>670</v>
      </c>
      <c r="B194" s="592" t="s">
        <v>576</v>
      </c>
      <c r="C194" s="593" t="s">
        <v>1078</v>
      </c>
      <c r="D194" s="594" t="s">
        <v>1079</v>
      </c>
      <c r="E194" s="595">
        <v>45348.0</v>
      </c>
      <c r="F194" s="595">
        <v>45382.0</v>
      </c>
      <c r="G194" s="596">
        <v>199.0</v>
      </c>
      <c r="H194" s="597">
        <v>1202755.0</v>
      </c>
      <c r="I194" s="598" t="s">
        <v>1080</v>
      </c>
      <c r="J194" s="594" t="s">
        <v>1081</v>
      </c>
      <c r="K194" s="461" t="s">
        <v>1082</v>
      </c>
      <c r="L194" s="599" t="s">
        <v>1036</v>
      </c>
      <c r="M194" s="600"/>
      <c r="N194" s="600"/>
    </row>
    <row r="195" ht="15.75" hidden="1" customHeight="1">
      <c r="A195" s="463" t="s">
        <v>580</v>
      </c>
      <c r="B195" s="463" t="s">
        <v>627</v>
      </c>
      <c r="C195" s="472" t="s">
        <v>1083</v>
      </c>
      <c r="D195" s="545" t="s">
        <v>1084</v>
      </c>
      <c r="E195" s="482" t="s">
        <v>1085</v>
      </c>
      <c r="F195" s="473">
        <v>45354.0</v>
      </c>
      <c r="G195" s="474" t="s">
        <v>1086</v>
      </c>
      <c r="H195" s="601" t="s">
        <v>1087</v>
      </c>
      <c r="I195" s="501"/>
      <c r="J195" s="602" t="s">
        <v>1088</v>
      </c>
      <c r="K195" s="445"/>
      <c r="L195" s="571" t="s">
        <v>1036</v>
      </c>
      <c r="M195" s="569"/>
      <c r="N195" s="569"/>
    </row>
    <row r="196" ht="15.75" hidden="1" customHeight="1">
      <c r="A196" s="465" t="s">
        <v>580</v>
      </c>
      <c r="B196" s="465" t="s">
        <v>576</v>
      </c>
      <c r="C196" s="591" t="s">
        <v>1089</v>
      </c>
      <c r="D196" s="544" t="s">
        <v>1084</v>
      </c>
      <c r="E196" s="471" t="s">
        <v>1090</v>
      </c>
      <c r="F196" s="480">
        <v>45354.0</v>
      </c>
      <c r="G196" s="603" t="s">
        <v>1091</v>
      </c>
      <c r="H196" s="604" t="s">
        <v>1092</v>
      </c>
      <c r="I196" s="500"/>
      <c r="J196" s="591" t="s">
        <v>1093</v>
      </c>
      <c r="K196" s="436"/>
      <c r="L196" s="568" t="s">
        <v>1036</v>
      </c>
      <c r="M196" s="569"/>
      <c r="N196" s="569"/>
    </row>
    <row r="197" ht="15.75" hidden="1" customHeight="1">
      <c r="A197" s="463" t="s">
        <v>580</v>
      </c>
      <c r="B197" s="463" t="s">
        <v>907</v>
      </c>
      <c r="C197" s="602" t="s">
        <v>1094</v>
      </c>
      <c r="D197" s="545" t="s">
        <v>1084</v>
      </c>
      <c r="E197" s="482" t="s">
        <v>1095</v>
      </c>
      <c r="F197" s="473">
        <v>45354.0</v>
      </c>
      <c r="G197" s="605" t="s">
        <v>1096</v>
      </c>
      <c r="H197" s="606" t="s">
        <v>1097</v>
      </c>
      <c r="I197" s="501"/>
      <c r="J197" s="602" t="s">
        <v>1098</v>
      </c>
      <c r="K197" s="445"/>
      <c r="L197" s="571" t="s">
        <v>1036</v>
      </c>
      <c r="M197" s="569"/>
      <c r="N197" s="569"/>
    </row>
    <row r="198" ht="15.75" hidden="1" customHeight="1">
      <c r="A198" s="465" t="s">
        <v>580</v>
      </c>
      <c r="B198" s="465" t="s">
        <v>627</v>
      </c>
      <c r="C198" s="483" t="s">
        <v>1099</v>
      </c>
      <c r="D198" s="544" t="s">
        <v>1084</v>
      </c>
      <c r="E198" s="471" t="s">
        <v>1100</v>
      </c>
      <c r="F198" s="480">
        <v>45361.0</v>
      </c>
      <c r="G198" s="484" t="s">
        <v>1101</v>
      </c>
      <c r="H198" s="607" t="s">
        <v>1102</v>
      </c>
      <c r="I198" s="590" t="s">
        <v>1103</v>
      </c>
      <c r="J198" s="591" t="s">
        <v>1104</v>
      </c>
      <c r="K198" s="608"/>
      <c r="L198" s="568" t="s">
        <v>1036</v>
      </c>
      <c r="M198" s="569"/>
      <c r="N198" s="569"/>
    </row>
    <row r="199" ht="15.75" hidden="1" customHeight="1">
      <c r="A199" s="463" t="s">
        <v>670</v>
      </c>
      <c r="B199" s="463" t="s">
        <v>576</v>
      </c>
      <c r="C199" s="472" t="s">
        <v>1105</v>
      </c>
      <c r="D199" s="545" t="s">
        <v>1106</v>
      </c>
      <c r="E199" s="482" t="s">
        <v>1107</v>
      </c>
      <c r="F199" s="473">
        <v>45361.0</v>
      </c>
      <c r="G199" s="474">
        <v>100.0</v>
      </c>
      <c r="H199" s="482">
        <v>1203482.0</v>
      </c>
      <c r="I199" s="501"/>
      <c r="J199" s="602" t="s">
        <v>924</v>
      </c>
      <c r="K199" s="445"/>
      <c r="L199" s="571" t="s">
        <v>1036</v>
      </c>
      <c r="M199" s="568"/>
      <c r="N199" s="568"/>
    </row>
    <row r="200" ht="15.75" hidden="1" customHeight="1">
      <c r="A200" s="465" t="s">
        <v>670</v>
      </c>
      <c r="B200" s="465" t="s">
        <v>576</v>
      </c>
      <c r="C200" s="483" t="s">
        <v>1108</v>
      </c>
      <c r="D200" s="544" t="s">
        <v>1109</v>
      </c>
      <c r="E200" s="471" t="s">
        <v>1110</v>
      </c>
      <c r="F200" s="480">
        <v>45361.0</v>
      </c>
      <c r="G200" s="484">
        <v>150.0</v>
      </c>
      <c r="H200" s="471">
        <v>1203483.0</v>
      </c>
      <c r="I200" s="500"/>
      <c r="J200" s="591" t="s">
        <v>1111</v>
      </c>
      <c r="K200" s="436"/>
      <c r="L200" s="568" t="s">
        <v>1036</v>
      </c>
      <c r="M200" s="568"/>
      <c r="N200" s="568"/>
    </row>
    <row r="201" hidden="1">
      <c r="A201" s="504" t="s">
        <v>670</v>
      </c>
      <c r="B201" s="504" t="s">
        <v>576</v>
      </c>
      <c r="C201" s="609" t="s">
        <v>1078</v>
      </c>
      <c r="D201" s="610" t="s">
        <v>1112</v>
      </c>
      <c r="E201" s="508" t="s">
        <v>1113</v>
      </c>
      <c r="F201" s="506">
        <v>45382.0</v>
      </c>
      <c r="G201" s="507" t="s">
        <v>1114</v>
      </c>
      <c r="H201" s="508">
        <v>1203467.0</v>
      </c>
      <c r="I201" s="611" t="s">
        <v>1115</v>
      </c>
      <c r="J201" s="612" t="s">
        <v>1081</v>
      </c>
      <c r="K201" s="613"/>
      <c r="L201" s="614" t="s">
        <v>1036</v>
      </c>
      <c r="M201" s="599"/>
      <c r="N201" s="599"/>
    </row>
    <row r="202" hidden="1">
      <c r="A202" s="592" t="s">
        <v>670</v>
      </c>
      <c r="B202" s="592" t="s">
        <v>576</v>
      </c>
      <c r="C202" s="593" t="s">
        <v>1078</v>
      </c>
      <c r="D202" s="615" t="s">
        <v>1109</v>
      </c>
      <c r="E202" s="595">
        <v>45362.0</v>
      </c>
      <c r="F202" s="595">
        <v>45382.0</v>
      </c>
      <c r="G202" s="596">
        <v>150.0</v>
      </c>
      <c r="H202" s="597">
        <v>1203483.0</v>
      </c>
      <c r="I202" s="616" t="s">
        <v>1115</v>
      </c>
      <c r="J202" s="617" t="s">
        <v>1116</v>
      </c>
      <c r="K202" s="618"/>
      <c r="L202" s="599" t="s">
        <v>1036</v>
      </c>
      <c r="M202" s="599"/>
      <c r="N202" s="599"/>
    </row>
    <row r="203" hidden="1">
      <c r="A203" s="463" t="s">
        <v>670</v>
      </c>
      <c r="B203" s="463" t="s">
        <v>576</v>
      </c>
      <c r="C203" s="472" t="s">
        <v>1032</v>
      </c>
      <c r="D203" s="545" t="s">
        <v>1117</v>
      </c>
      <c r="E203" s="473">
        <v>45363.0</v>
      </c>
      <c r="F203" s="473">
        <v>45369.0</v>
      </c>
      <c r="G203" s="474">
        <v>100.0</v>
      </c>
      <c r="H203" s="482">
        <v>1203499.0</v>
      </c>
      <c r="I203" s="619" t="s">
        <v>1118</v>
      </c>
      <c r="J203" s="602" t="s">
        <v>1035</v>
      </c>
      <c r="K203" s="445"/>
      <c r="L203" s="571" t="s">
        <v>1036</v>
      </c>
      <c r="M203" s="568"/>
      <c r="N203" s="568"/>
    </row>
    <row r="204" hidden="1">
      <c r="A204" s="465" t="s">
        <v>670</v>
      </c>
      <c r="B204" s="465" t="s">
        <v>576</v>
      </c>
      <c r="C204" s="483" t="s">
        <v>1032</v>
      </c>
      <c r="D204" s="544" t="s">
        <v>1119</v>
      </c>
      <c r="E204" s="480">
        <v>45363.0</v>
      </c>
      <c r="F204" s="480">
        <v>45369.0</v>
      </c>
      <c r="G204" s="484">
        <v>100.0</v>
      </c>
      <c r="H204" s="471">
        <v>1203500.0</v>
      </c>
      <c r="I204" s="590" t="s">
        <v>1118</v>
      </c>
      <c r="J204" s="591" t="s">
        <v>1035</v>
      </c>
      <c r="K204" s="436"/>
      <c r="L204" s="568" t="s">
        <v>1036</v>
      </c>
      <c r="M204" s="568"/>
      <c r="N204" s="568"/>
    </row>
    <row r="205" hidden="1">
      <c r="A205" s="463" t="s">
        <v>580</v>
      </c>
      <c r="B205" s="463" t="s">
        <v>1120</v>
      </c>
      <c r="C205" s="472" t="s">
        <v>1121</v>
      </c>
      <c r="D205" s="545" t="s">
        <v>960</v>
      </c>
      <c r="E205" s="473">
        <v>45383.0</v>
      </c>
      <c r="F205" s="473">
        <v>45389.0</v>
      </c>
      <c r="G205" s="474">
        <v>100.0</v>
      </c>
      <c r="H205" s="482">
        <v>1203575.0</v>
      </c>
      <c r="I205" s="619" t="s">
        <v>1122</v>
      </c>
      <c r="J205" s="472" t="s">
        <v>1123</v>
      </c>
      <c r="K205" s="445"/>
      <c r="L205" s="571"/>
      <c r="M205" s="568"/>
      <c r="N205" s="568"/>
    </row>
    <row r="206" hidden="1">
      <c r="A206" s="465" t="s">
        <v>580</v>
      </c>
      <c r="B206" s="465" t="s">
        <v>1120</v>
      </c>
      <c r="C206" s="483" t="s">
        <v>1124</v>
      </c>
      <c r="D206" s="544" t="s">
        <v>1038</v>
      </c>
      <c r="E206" s="480">
        <v>45383.0</v>
      </c>
      <c r="F206" s="480">
        <v>45389.0</v>
      </c>
      <c r="G206" s="484">
        <v>150.0</v>
      </c>
      <c r="H206" s="471">
        <v>1203576.0</v>
      </c>
      <c r="I206" s="590" t="s">
        <v>1122</v>
      </c>
      <c r="J206" s="591" t="s">
        <v>1125</v>
      </c>
      <c r="K206" s="436"/>
      <c r="L206" s="568"/>
      <c r="M206" s="568"/>
      <c r="N206" s="568"/>
    </row>
    <row r="207" hidden="1">
      <c r="A207" s="463" t="s">
        <v>580</v>
      </c>
      <c r="B207" s="463" t="s">
        <v>1120</v>
      </c>
      <c r="C207" s="472" t="s">
        <v>1126</v>
      </c>
      <c r="D207" s="545" t="s">
        <v>1057</v>
      </c>
      <c r="E207" s="473">
        <v>45383.0</v>
      </c>
      <c r="F207" s="473">
        <v>45389.0</v>
      </c>
      <c r="G207" s="474">
        <v>200.0</v>
      </c>
      <c r="H207" s="482">
        <v>1203577.0</v>
      </c>
      <c r="I207" s="619" t="s">
        <v>1122</v>
      </c>
      <c r="J207" s="602" t="s">
        <v>1127</v>
      </c>
      <c r="K207" s="445"/>
      <c r="L207" s="571"/>
      <c r="M207" s="568"/>
      <c r="N207" s="568"/>
    </row>
    <row r="208" hidden="1">
      <c r="A208" s="465" t="s">
        <v>580</v>
      </c>
      <c r="B208" s="465" t="s">
        <v>1120</v>
      </c>
      <c r="C208" s="483" t="s">
        <v>1054</v>
      </c>
      <c r="D208" s="544" t="s">
        <v>1128</v>
      </c>
      <c r="E208" s="480">
        <v>45383.0</v>
      </c>
      <c r="F208" s="480">
        <v>45389.0</v>
      </c>
      <c r="G208" s="484">
        <v>250.0</v>
      </c>
      <c r="H208" s="471">
        <v>1203578.0</v>
      </c>
      <c r="I208" s="590" t="s">
        <v>1122</v>
      </c>
      <c r="J208" s="591" t="s">
        <v>1129</v>
      </c>
      <c r="K208" s="436"/>
      <c r="L208" s="568"/>
      <c r="M208" s="568"/>
      <c r="N208" s="568"/>
    </row>
    <row r="209" hidden="1">
      <c r="A209" s="463" t="s">
        <v>580</v>
      </c>
      <c r="B209" s="463" t="s">
        <v>1120</v>
      </c>
      <c r="C209" s="472" t="s">
        <v>1056</v>
      </c>
      <c r="D209" s="545" t="s">
        <v>1130</v>
      </c>
      <c r="E209" s="473">
        <v>45383.0</v>
      </c>
      <c r="F209" s="473">
        <v>45389.0</v>
      </c>
      <c r="G209" s="474">
        <v>300.0</v>
      </c>
      <c r="H209" s="482">
        <v>1203579.0</v>
      </c>
      <c r="I209" s="619" t="s">
        <v>1122</v>
      </c>
      <c r="J209" s="602" t="s">
        <v>1131</v>
      </c>
      <c r="K209" s="445"/>
      <c r="L209" s="571"/>
      <c r="M209" s="568"/>
      <c r="N209" s="568"/>
    </row>
    <row r="210" hidden="1">
      <c r="A210" s="465" t="s">
        <v>1132</v>
      </c>
      <c r="B210" s="465" t="s">
        <v>576</v>
      </c>
      <c r="C210" s="483" t="s">
        <v>1133</v>
      </c>
      <c r="D210" s="544" t="s">
        <v>1009</v>
      </c>
      <c r="E210" s="480">
        <v>45382.0</v>
      </c>
      <c r="F210" s="480">
        <v>45472.0</v>
      </c>
      <c r="G210" s="484">
        <v>50.0</v>
      </c>
      <c r="H210" s="471">
        <v>1204582.0</v>
      </c>
      <c r="I210" s="590" t="s">
        <v>1134</v>
      </c>
      <c r="J210" s="591" t="s">
        <v>1008</v>
      </c>
      <c r="K210" s="436"/>
      <c r="L210" s="568"/>
      <c r="M210" s="568"/>
      <c r="N210" s="568"/>
    </row>
    <row r="211" ht="28.5" hidden="1" customHeight="1">
      <c r="A211" s="463" t="s">
        <v>580</v>
      </c>
      <c r="B211" s="463" t="s">
        <v>576</v>
      </c>
      <c r="C211" s="472" t="s">
        <v>959</v>
      </c>
      <c r="D211" s="545" t="s">
        <v>1038</v>
      </c>
      <c r="E211" s="473">
        <v>45383.0</v>
      </c>
      <c r="F211" s="473">
        <v>45389.0</v>
      </c>
      <c r="G211" s="474">
        <v>150.0</v>
      </c>
      <c r="H211" s="482">
        <v>1204613.0</v>
      </c>
      <c r="I211" s="463"/>
      <c r="J211" s="602" t="s">
        <v>1135</v>
      </c>
      <c r="K211" s="445"/>
      <c r="L211" s="571"/>
      <c r="M211" s="568"/>
      <c r="N211" s="568"/>
    </row>
    <row r="212" ht="30.0" hidden="1" customHeight="1">
      <c r="A212" s="465" t="s">
        <v>580</v>
      </c>
      <c r="B212" s="465" t="s">
        <v>576</v>
      </c>
      <c r="C212" s="483" t="s">
        <v>955</v>
      </c>
      <c r="D212" s="544" t="s">
        <v>1057</v>
      </c>
      <c r="E212" s="480">
        <v>45383.0</v>
      </c>
      <c r="F212" s="480">
        <v>45389.0</v>
      </c>
      <c r="G212" s="484">
        <v>200.0</v>
      </c>
      <c r="H212" s="471">
        <v>1204614.0</v>
      </c>
      <c r="I212" s="465"/>
      <c r="J212" s="591" t="s">
        <v>1136</v>
      </c>
      <c r="K212" s="436"/>
      <c r="L212" s="568"/>
      <c r="M212" s="568"/>
      <c r="N212" s="568"/>
    </row>
    <row r="213" hidden="1">
      <c r="A213" s="463" t="s">
        <v>580</v>
      </c>
      <c r="B213" s="463" t="s">
        <v>576</v>
      </c>
      <c r="C213" s="472" t="s">
        <v>900</v>
      </c>
      <c r="D213" s="545" t="s">
        <v>1038</v>
      </c>
      <c r="E213" s="473">
        <v>45383.0</v>
      </c>
      <c r="F213" s="473">
        <v>45389.0</v>
      </c>
      <c r="G213" s="474">
        <v>150.0</v>
      </c>
      <c r="H213" s="482">
        <v>1204615.0</v>
      </c>
      <c r="I213" s="463"/>
      <c r="J213" s="602"/>
      <c r="K213" s="445"/>
      <c r="L213" s="571"/>
      <c r="M213" s="568"/>
      <c r="N213" s="568"/>
    </row>
    <row r="214" hidden="1">
      <c r="A214" s="465" t="s">
        <v>580</v>
      </c>
      <c r="B214" s="465" t="s">
        <v>576</v>
      </c>
      <c r="C214" s="483" t="s">
        <v>902</v>
      </c>
      <c r="D214" s="544" t="s">
        <v>1038</v>
      </c>
      <c r="E214" s="480">
        <v>45383.0</v>
      </c>
      <c r="F214" s="480">
        <v>45389.0</v>
      </c>
      <c r="G214" s="484">
        <v>150.0</v>
      </c>
      <c r="H214" s="471">
        <v>1204616.0</v>
      </c>
      <c r="I214" s="465"/>
      <c r="J214" s="591"/>
      <c r="K214" s="436"/>
      <c r="L214" s="568"/>
      <c r="M214" s="568"/>
      <c r="N214" s="568"/>
    </row>
    <row r="215" hidden="1">
      <c r="A215" s="463" t="s">
        <v>670</v>
      </c>
      <c r="B215" s="463" t="s">
        <v>576</v>
      </c>
      <c r="C215" s="472" t="s">
        <v>1137</v>
      </c>
      <c r="D215" s="545" t="s">
        <v>1038</v>
      </c>
      <c r="E215" s="566">
        <v>45383.0</v>
      </c>
      <c r="F215" s="566">
        <v>45412.0</v>
      </c>
      <c r="G215" s="474">
        <v>150.0</v>
      </c>
      <c r="H215" s="482">
        <v>1202428.0</v>
      </c>
      <c r="I215" s="463" t="s">
        <v>1138</v>
      </c>
      <c r="J215" s="602" t="s">
        <v>1081</v>
      </c>
      <c r="K215" s="445"/>
      <c r="L215" s="571"/>
      <c r="M215" s="568"/>
      <c r="N215" s="568"/>
    </row>
    <row r="216" hidden="1">
      <c r="A216" s="465" t="s">
        <v>670</v>
      </c>
      <c r="B216" s="465" t="s">
        <v>576</v>
      </c>
      <c r="C216" s="483" t="s">
        <v>1139</v>
      </c>
      <c r="D216" s="544" t="s">
        <v>1057</v>
      </c>
      <c r="E216" s="567">
        <v>45383.0</v>
      </c>
      <c r="F216" s="567">
        <v>45412.0</v>
      </c>
      <c r="G216" s="484">
        <v>200.0</v>
      </c>
      <c r="H216" s="471">
        <v>1202319.0</v>
      </c>
      <c r="I216" s="465" t="s">
        <v>1138</v>
      </c>
      <c r="J216" s="591" t="s">
        <v>1140</v>
      </c>
      <c r="K216" s="436"/>
      <c r="L216" s="568"/>
      <c r="M216" s="568"/>
      <c r="N216" s="568"/>
    </row>
    <row r="217" hidden="1">
      <c r="A217" s="463" t="s">
        <v>670</v>
      </c>
      <c r="B217" s="463" t="s">
        <v>576</v>
      </c>
      <c r="C217" s="472" t="s">
        <v>1141</v>
      </c>
      <c r="D217" s="545" t="s">
        <v>1030</v>
      </c>
      <c r="E217" s="566">
        <v>45383.0</v>
      </c>
      <c r="F217" s="566">
        <v>45412.0</v>
      </c>
      <c r="G217" s="474">
        <v>100.0</v>
      </c>
      <c r="H217" s="482">
        <v>1201034.0</v>
      </c>
      <c r="I217" s="463" t="s">
        <v>1138</v>
      </c>
      <c r="J217" s="602" t="s">
        <v>1142</v>
      </c>
      <c r="K217" s="445"/>
      <c r="L217" s="571"/>
      <c r="M217" s="568"/>
      <c r="N217" s="568"/>
    </row>
    <row r="218" ht="24.75" hidden="1" customHeight="1">
      <c r="A218" s="465" t="s">
        <v>580</v>
      </c>
      <c r="B218" s="465" t="s">
        <v>576</v>
      </c>
      <c r="C218" s="483" t="s">
        <v>959</v>
      </c>
      <c r="D218" s="544" t="s">
        <v>1030</v>
      </c>
      <c r="E218" s="480">
        <v>45390.0</v>
      </c>
      <c r="F218" s="480">
        <v>45411.0</v>
      </c>
      <c r="G218" s="484">
        <v>100.0</v>
      </c>
      <c r="H218" s="471">
        <v>1204613.0</v>
      </c>
      <c r="I218" s="590" t="s">
        <v>1143</v>
      </c>
      <c r="J218" s="591" t="s">
        <v>1135</v>
      </c>
      <c r="K218" s="436"/>
      <c r="L218" s="568"/>
      <c r="M218" s="620"/>
      <c r="N218" s="620"/>
    </row>
    <row r="219" ht="30.75" hidden="1" customHeight="1">
      <c r="A219" s="463" t="s">
        <v>580</v>
      </c>
      <c r="B219" s="463" t="s">
        <v>576</v>
      </c>
      <c r="C219" s="472" t="s">
        <v>955</v>
      </c>
      <c r="D219" s="545" t="s">
        <v>1038</v>
      </c>
      <c r="E219" s="473">
        <v>45390.0</v>
      </c>
      <c r="F219" s="473">
        <v>45411.0</v>
      </c>
      <c r="G219" s="474">
        <v>150.0</v>
      </c>
      <c r="H219" s="482">
        <v>1204614.0</v>
      </c>
      <c r="I219" s="619" t="s">
        <v>1143</v>
      </c>
      <c r="J219" s="602" t="s">
        <v>1136</v>
      </c>
      <c r="K219" s="445"/>
      <c r="L219" s="571"/>
      <c r="M219" s="620"/>
      <c r="N219" s="620"/>
    </row>
    <row r="220" ht="30.75" hidden="1" customHeight="1">
      <c r="A220" s="465" t="s">
        <v>580</v>
      </c>
      <c r="B220" s="465" t="s">
        <v>576</v>
      </c>
      <c r="C220" s="483" t="s">
        <v>900</v>
      </c>
      <c r="D220" s="544" t="s">
        <v>1030</v>
      </c>
      <c r="E220" s="480">
        <v>45390.0</v>
      </c>
      <c r="F220" s="480">
        <v>45411.0</v>
      </c>
      <c r="G220" s="484">
        <v>100.0</v>
      </c>
      <c r="H220" s="471">
        <v>1204615.0</v>
      </c>
      <c r="I220" s="590" t="s">
        <v>1144</v>
      </c>
      <c r="J220" s="591"/>
      <c r="K220" s="436"/>
      <c r="L220" s="568"/>
      <c r="M220" s="568"/>
      <c r="N220" s="568"/>
    </row>
    <row r="221" ht="30.75" hidden="1" customHeight="1">
      <c r="A221" s="463" t="s">
        <v>580</v>
      </c>
      <c r="B221" s="463" t="s">
        <v>576</v>
      </c>
      <c r="C221" s="472" t="s">
        <v>902</v>
      </c>
      <c r="D221" s="545" t="s">
        <v>1030</v>
      </c>
      <c r="E221" s="473">
        <v>45390.0</v>
      </c>
      <c r="F221" s="473">
        <v>45398.0</v>
      </c>
      <c r="G221" s="474">
        <v>100.0</v>
      </c>
      <c r="H221" s="482">
        <v>1204616.0</v>
      </c>
      <c r="I221" s="619" t="s">
        <v>1145</v>
      </c>
      <c r="J221" s="602"/>
      <c r="K221" s="445"/>
      <c r="L221" s="571"/>
      <c r="M221" s="568"/>
      <c r="N221" s="568"/>
    </row>
    <row r="222" ht="30.75" hidden="1" customHeight="1">
      <c r="A222" s="465" t="s">
        <v>670</v>
      </c>
      <c r="B222" s="465" t="s">
        <v>576</v>
      </c>
      <c r="C222" s="483" t="s">
        <v>1146</v>
      </c>
      <c r="D222" s="544" t="s">
        <v>1147</v>
      </c>
      <c r="E222" s="480">
        <v>45387.0</v>
      </c>
      <c r="F222" s="480">
        <v>45412.0</v>
      </c>
      <c r="G222" s="484">
        <v>20.0</v>
      </c>
      <c r="H222" s="471">
        <v>1201254.0</v>
      </c>
      <c r="I222" s="590" t="s">
        <v>1148</v>
      </c>
      <c r="J222" s="591" t="s">
        <v>1149</v>
      </c>
      <c r="K222" s="436"/>
      <c r="L222" s="568"/>
      <c r="M222" s="568"/>
      <c r="N222" s="568"/>
    </row>
    <row r="223" ht="30.75" hidden="1" customHeight="1">
      <c r="A223" s="463" t="s">
        <v>670</v>
      </c>
      <c r="B223" s="463" t="s">
        <v>576</v>
      </c>
      <c r="C223" s="472" t="s">
        <v>1150</v>
      </c>
      <c r="D223" s="545" t="s">
        <v>1020</v>
      </c>
      <c r="E223" s="473">
        <v>45387.0</v>
      </c>
      <c r="F223" s="473">
        <v>45412.0</v>
      </c>
      <c r="G223" s="474">
        <v>30.0</v>
      </c>
      <c r="H223" s="482">
        <v>1201251.0</v>
      </c>
      <c r="I223" s="619" t="s">
        <v>1148</v>
      </c>
      <c r="J223" s="602" t="s">
        <v>1151</v>
      </c>
      <c r="K223" s="445"/>
      <c r="L223" s="571"/>
      <c r="M223" s="568"/>
      <c r="N223" s="568"/>
    </row>
    <row r="224" ht="30.0" hidden="1" customHeight="1">
      <c r="A224" s="592" t="s">
        <v>607</v>
      </c>
      <c r="B224" s="592" t="s">
        <v>627</v>
      </c>
      <c r="C224" s="592" t="s">
        <v>1152</v>
      </c>
      <c r="D224" s="594" t="s">
        <v>1009</v>
      </c>
      <c r="E224" s="621">
        <v>45387.0</v>
      </c>
      <c r="F224" s="621">
        <v>45412.0</v>
      </c>
      <c r="G224" s="596">
        <v>50.0</v>
      </c>
      <c r="H224" s="597">
        <v>1205006.0</v>
      </c>
      <c r="I224" s="622" t="s">
        <v>1153</v>
      </c>
      <c r="J224" s="594">
        <v>1204170.0</v>
      </c>
      <c r="K224" s="623"/>
      <c r="L224" s="618"/>
      <c r="M224" s="624"/>
      <c r="N224" s="624"/>
    </row>
    <row r="225" ht="30.0" hidden="1" customHeight="1">
      <c r="A225" s="463" t="s">
        <v>670</v>
      </c>
      <c r="B225" s="463" t="s">
        <v>1120</v>
      </c>
      <c r="C225" s="463" t="s">
        <v>1154</v>
      </c>
      <c r="D225" s="470" t="s">
        <v>1038</v>
      </c>
      <c r="E225" s="566">
        <v>45390.0</v>
      </c>
      <c r="F225" s="566">
        <v>45412.0</v>
      </c>
      <c r="G225" s="474">
        <v>150.0</v>
      </c>
      <c r="H225" s="482">
        <v>1205074.0</v>
      </c>
      <c r="I225" s="546" t="s">
        <v>1155</v>
      </c>
      <c r="J225" s="470" t="s">
        <v>1156</v>
      </c>
      <c r="K225" s="531"/>
      <c r="L225" s="445"/>
      <c r="M225" s="437"/>
      <c r="N225" s="437"/>
    </row>
    <row r="226" ht="30.0" hidden="1" customHeight="1">
      <c r="A226" s="465" t="s">
        <v>679</v>
      </c>
      <c r="B226" s="465" t="s">
        <v>576</v>
      </c>
      <c r="C226" s="465" t="s">
        <v>1157</v>
      </c>
      <c r="D226" s="486" t="s">
        <v>1038</v>
      </c>
      <c r="E226" s="567">
        <v>45405.0</v>
      </c>
      <c r="F226" s="567">
        <v>45410.0</v>
      </c>
      <c r="G226" s="484">
        <v>150.0</v>
      </c>
      <c r="H226" s="471">
        <v>1204583.0</v>
      </c>
      <c r="I226" s="548" t="s">
        <v>1158</v>
      </c>
      <c r="J226" s="486" t="s">
        <v>1159</v>
      </c>
      <c r="K226" s="513"/>
      <c r="L226" s="436"/>
      <c r="M226" s="437"/>
      <c r="N226" s="437"/>
    </row>
    <row r="227" ht="30.0" hidden="1" customHeight="1">
      <c r="A227" s="463" t="s">
        <v>679</v>
      </c>
      <c r="B227" s="463" t="s">
        <v>576</v>
      </c>
      <c r="C227" s="463" t="s">
        <v>1160</v>
      </c>
      <c r="D227" s="470" t="s">
        <v>1030</v>
      </c>
      <c r="E227" s="566">
        <v>45405.0</v>
      </c>
      <c r="F227" s="566">
        <v>45410.0</v>
      </c>
      <c r="G227" s="474">
        <v>100.0</v>
      </c>
      <c r="H227" s="482">
        <v>1204582.0</v>
      </c>
      <c r="I227" s="546" t="s">
        <v>1158</v>
      </c>
      <c r="J227" s="470" t="s">
        <v>1161</v>
      </c>
      <c r="K227" s="531"/>
      <c r="L227" s="445"/>
      <c r="M227" s="437"/>
      <c r="N227" s="437"/>
    </row>
    <row r="228" ht="30.0" hidden="1" customHeight="1">
      <c r="A228" s="465" t="s">
        <v>679</v>
      </c>
      <c r="B228" s="465" t="s">
        <v>1120</v>
      </c>
      <c r="C228" s="465" t="s">
        <v>1162</v>
      </c>
      <c r="D228" s="486" t="s">
        <v>1163</v>
      </c>
      <c r="E228" s="567">
        <v>45401.0</v>
      </c>
      <c r="F228" s="567">
        <v>45419.0</v>
      </c>
      <c r="G228" s="484">
        <v>80.0</v>
      </c>
      <c r="H228" s="471">
        <v>1205723.0</v>
      </c>
      <c r="I228" s="548" t="s">
        <v>1164</v>
      </c>
      <c r="J228" s="486" t="s">
        <v>1165</v>
      </c>
      <c r="K228" s="513"/>
      <c r="L228" s="436"/>
      <c r="M228" s="437"/>
      <c r="N228" s="437"/>
    </row>
    <row r="229" ht="30.0" hidden="1" customHeight="1">
      <c r="A229" s="463" t="s">
        <v>1166</v>
      </c>
      <c r="B229" s="463" t="s">
        <v>576</v>
      </c>
      <c r="C229" s="463" t="s">
        <v>1167</v>
      </c>
      <c r="D229" s="470" t="s">
        <v>1030</v>
      </c>
      <c r="E229" s="566">
        <v>45398.0</v>
      </c>
      <c r="F229" s="566">
        <v>45417.0</v>
      </c>
      <c r="G229" s="474">
        <v>100.0</v>
      </c>
      <c r="H229" s="482">
        <v>1205858.0</v>
      </c>
      <c r="I229" s="546" t="s">
        <v>1168</v>
      </c>
      <c r="J229" s="470" t="s">
        <v>1169</v>
      </c>
      <c r="K229" s="531"/>
      <c r="L229" s="445"/>
      <c r="M229" s="437"/>
      <c r="N229" s="437"/>
    </row>
    <row r="230" ht="30.0" hidden="1" customHeight="1">
      <c r="A230" s="465" t="s">
        <v>580</v>
      </c>
      <c r="B230" s="465" t="s">
        <v>576</v>
      </c>
      <c r="C230" s="483" t="s">
        <v>1170</v>
      </c>
      <c r="D230" s="544" t="s">
        <v>956</v>
      </c>
      <c r="E230" s="567">
        <v>45412.0</v>
      </c>
      <c r="F230" s="567">
        <v>45419.0</v>
      </c>
      <c r="G230" s="484">
        <v>150.0</v>
      </c>
      <c r="H230" s="471">
        <v>1206143.0</v>
      </c>
      <c r="I230" s="548" t="s">
        <v>1171</v>
      </c>
      <c r="J230" s="486" t="s">
        <v>1172</v>
      </c>
      <c r="K230" s="513"/>
      <c r="L230" s="436"/>
      <c r="M230" s="436"/>
      <c r="N230" s="436"/>
    </row>
    <row r="231" ht="15.75" hidden="1" customHeight="1">
      <c r="A231" s="463" t="s">
        <v>580</v>
      </c>
      <c r="B231" s="463" t="s">
        <v>576</v>
      </c>
      <c r="C231" s="472" t="s">
        <v>955</v>
      </c>
      <c r="D231" s="545" t="s">
        <v>1057</v>
      </c>
      <c r="E231" s="566">
        <v>45439.0</v>
      </c>
      <c r="F231" s="566">
        <v>45468.0</v>
      </c>
      <c r="G231" s="474">
        <v>200.0</v>
      </c>
      <c r="H231" s="482">
        <v>1200702.0</v>
      </c>
      <c r="I231" s="625" t="s">
        <v>1173</v>
      </c>
      <c r="J231" s="470" t="s">
        <v>1174</v>
      </c>
      <c r="K231" s="531"/>
      <c r="L231" s="445"/>
      <c r="M231" s="437"/>
      <c r="N231" s="437"/>
    </row>
    <row r="232" ht="15.75" hidden="1" customHeight="1">
      <c r="A232" s="465" t="s">
        <v>585</v>
      </c>
      <c r="B232" s="465" t="s">
        <v>576</v>
      </c>
      <c r="C232" s="465" t="s">
        <v>1175</v>
      </c>
      <c r="D232" s="486" t="s">
        <v>1038</v>
      </c>
      <c r="E232" s="567">
        <v>45419.0</v>
      </c>
      <c r="F232" s="567">
        <v>45446.0</v>
      </c>
      <c r="G232" s="484">
        <v>150.0</v>
      </c>
      <c r="H232" s="471">
        <v>1205755.0</v>
      </c>
      <c r="I232" s="548" t="s">
        <v>1176</v>
      </c>
      <c r="J232" s="486" t="s">
        <v>1177</v>
      </c>
      <c r="K232" s="513"/>
      <c r="L232" s="436"/>
      <c r="M232" s="437"/>
      <c r="N232" s="437"/>
    </row>
    <row r="233" ht="15.75" hidden="1" customHeight="1">
      <c r="A233" s="463" t="s">
        <v>670</v>
      </c>
      <c r="B233" s="463" t="s">
        <v>1120</v>
      </c>
      <c r="C233" s="472" t="s">
        <v>1178</v>
      </c>
      <c r="D233" s="545" t="s">
        <v>1030</v>
      </c>
      <c r="E233" s="566">
        <v>45413.0</v>
      </c>
      <c r="F233" s="566">
        <v>45442.0</v>
      </c>
      <c r="G233" s="474">
        <v>100.0</v>
      </c>
      <c r="H233" s="482">
        <v>1206466.0</v>
      </c>
      <c r="I233" s="546" t="s">
        <v>1179</v>
      </c>
      <c r="J233" s="470">
        <v>1205053.0</v>
      </c>
      <c r="K233" s="531"/>
      <c r="L233" s="445"/>
      <c r="M233" s="437"/>
      <c r="N233" s="437"/>
    </row>
    <row r="234" ht="15.75" hidden="1" customHeight="1">
      <c r="A234" s="465" t="s">
        <v>670</v>
      </c>
      <c r="B234" s="465" t="s">
        <v>576</v>
      </c>
      <c r="C234" s="483" t="s">
        <v>1180</v>
      </c>
      <c r="D234" s="544" t="s">
        <v>1020</v>
      </c>
      <c r="E234" s="567">
        <v>45413.0</v>
      </c>
      <c r="F234" s="567">
        <v>45443.0</v>
      </c>
      <c r="G234" s="484">
        <v>30.0</v>
      </c>
      <c r="H234" s="471">
        <v>1201033.0</v>
      </c>
      <c r="I234" s="548" t="s">
        <v>1181</v>
      </c>
      <c r="J234" s="486" t="s">
        <v>1182</v>
      </c>
      <c r="K234" s="513"/>
      <c r="L234" s="436"/>
      <c r="M234" s="437"/>
      <c r="N234" s="437"/>
    </row>
    <row r="235" ht="15.75" hidden="1" customHeight="1">
      <c r="A235" s="463" t="s">
        <v>670</v>
      </c>
      <c r="B235" s="463" t="s">
        <v>576</v>
      </c>
      <c r="C235" s="472" t="s">
        <v>1183</v>
      </c>
      <c r="D235" s="545" t="s">
        <v>1147</v>
      </c>
      <c r="E235" s="566">
        <v>45413.0</v>
      </c>
      <c r="F235" s="566">
        <v>45443.0</v>
      </c>
      <c r="G235" s="474">
        <v>20.0</v>
      </c>
      <c r="H235" s="482">
        <v>1200674.0</v>
      </c>
      <c r="I235" s="546" t="s">
        <v>1184</v>
      </c>
      <c r="J235" s="470" t="s">
        <v>1026</v>
      </c>
      <c r="K235" s="531"/>
      <c r="L235" s="445"/>
      <c r="M235" s="437"/>
      <c r="N235" s="437"/>
    </row>
    <row r="236" ht="15.75" hidden="1" customHeight="1">
      <c r="A236" s="465" t="s">
        <v>670</v>
      </c>
      <c r="B236" s="465" t="s">
        <v>576</v>
      </c>
      <c r="C236" s="483" t="s">
        <v>1185</v>
      </c>
      <c r="D236" s="544" t="s">
        <v>1030</v>
      </c>
      <c r="E236" s="567">
        <v>45413.0</v>
      </c>
      <c r="F236" s="567">
        <v>45443.0</v>
      </c>
      <c r="G236" s="484">
        <v>100.0</v>
      </c>
      <c r="H236" s="471">
        <v>1196917.0</v>
      </c>
      <c r="I236" s="487" t="s">
        <v>1186</v>
      </c>
      <c r="J236" s="486" t="s">
        <v>1187</v>
      </c>
      <c r="K236" s="513"/>
      <c r="L236" s="436"/>
      <c r="M236" s="437"/>
      <c r="N236" s="437"/>
    </row>
    <row r="237" ht="15.75" hidden="1" customHeight="1">
      <c r="A237" s="463" t="s">
        <v>670</v>
      </c>
      <c r="B237" s="463" t="s">
        <v>576</v>
      </c>
      <c r="C237" s="472">
        <v>14.0</v>
      </c>
      <c r="D237" s="545" t="s">
        <v>1038</v>
      </c>
      <c r="E237" s="566">
        <v>45413.0</v>
      </c>
      <c r="F237" s="566">
        <v>45443.0</v>
      </c>
      <c r="G237" s="474">
        <v>150.0</v>
      </c>
      <c r="H237" s="482">
        <v>1206476.0</v>
      </c>
      <c r="I237" s="546" t="s">
        <v>1188</v>
      </c>
      <c r="J237" s="470" t="s">
        <v>1189</v>
      </c>
      <c r="K237" s="531"/>
      <c r="L237" s="445"/>
      <c r="M237" s="437"/>
      <c r="N237" s="437"/>
    </row>
    <row r="238" ht="15.75" hidden="1" customHeight="1">
      <c r="A238" s="465" t="s">
        <v>670</v>
      </c>
      <c r="B238" s="465" t="s">
        <v>576</v>
      </c>
      <c r="C238" s="483" t="s">
        <v>1190</v>
      </c>
      <c r="D238" s="544" t="s">
        <v>1057</v>
      </c>
      <c r="E238" s="567">
        <v>45413.0</v>
      </c>
      <c r="F238" s="567">
        <v>45443.0</v>
      </c>
      <c r="G238" s="484">
        <v>200.0</v>
      </c>
      <c r="H238" s="471">
        <v>1206477.0</v>
      </c>
      <c r="I238" s="548" t="s">
        <v>1179</v>
      </c>
      <c r="J238" s="486" t="s">
        <v>1191</v>
      </c>
      <c r="K238" s="513"/>
      <c r="L238" s="436"/>
      <c r="M238" s="437"/>
      <c r="N238" s="437"/>
    </row>
    <row r="239" ht="15.75" hidden="1" customHeight="1">
      <c r="A239" s="463" t="s">
        <v>670</v>
      </c>
      <c r="B239" s="463" t="s">
        <v>576</v>
      </c>
      <c r="C239" s="472" t="s">
        <v>1192</v>
      </c>
      <c r="D239" s="545" t="s">
        <v>1193</v>
      </c>
      <c r="E239" s="566">
        <v>45436.0</v>
      </c>
      <c r="F239" s="566">
        <v>45443.0</v>
      </c>
      <c r="G239" s="474">
        <v>350.0</v>
      </c>
      <c r="H239" s="482">
        <v>1207534.0</v>
      </c>
      <c r="I239" s="546" t="s">
        <v>1194</v>
      </c>
      <c r="J239" s="470" t="s">
        <v>1195</v>
      </c>
      <c r="K239" s="531"/>
      <c r="L239" s="445"/>
      <c r="M239" s="437"/>
      <c r="N239" s="437"/>
    </row>
    <row r="240" ht="15.75" hidden="1" customHeight="1">
      <c r="A240" s="465" t="s">
        <v>670</v>
      </c>
      <c r="B240" s="465" t="s">
        <v>576</v>
      </c>
      <c r="C240" s="483" t="s">
        <v>1192</v>
      </c>
      <c r="D240" s="544" t="s">
        <v>1130</v>
      </c>
      <c r="E240" s="567">
        <v>45444.0</v>
      </c>
      <c r="F240" s="567">
        <v>45468.0</v>
      </c>
      <c r="G240" s="484">
        <v>300.0</v>
      </c>
      <c r="H240" s="471">
        <v>1207534.0</v>
      </c>
      <c r="I240" s="548" t="s">
        <v>1196</v>
      </c>
      <c r="J240" s="486" t="s">
        <v>1197</v>
      </c>
      <c r="K240" s="513"/>
      <c r="L240" s="436"/>
      <c r="M240" s="437"/>
      <c r="N240" s="437"/>
    </row>
    <row r="241" ht="15.75" hidden="1" customHeight="1">
      <c r="A241" s="463" t="s">
        <v>679</v>
      </c>
      <c r="B241" s="463" t="s">
        <v>1198</v>
      </c>
      <c r="C241" s="472" t="s">
        <v>1199</v>
      </c>
      <c r="D241" s="545" t="s">
        <v>1030</v>
      </c>
      <c r="E241" s="566">
        <v>45423.0</v>
      </c>
      <c r="F241" s="566">
        <v>45461.0</v>
      </c>
      <c r="G241" s="474">
        <v>100.0</v>
      </c>
      <c r="H241" s="482">
        <v>1206886.0</v>
      </c>
      <c r="I241" s="546" t="s">
        <v>1200</v>
      </c>
      <c r="J241" s="470" t="s">
        <v>1201</v>
      </c>
      <c r="K241" s="531"/>
      <c r="L241" s="445"/>
      <c r="M241" s="437"/>
      <c r="N241" s="437"/>
    </row>
    <row r="242" ht="15.75" hidden="1" customHeight="1">
      <c r="A242" s="465" t="s">
        <v>580</v>
      </c>
      <c r="B242" s="465" t="s">
        <v>1202</v>
      </c>
      <c r="C242" s="483" t="s">
        <v>1203</v>
      </c>
      <c r="D242" s="544" t="s">
        <v>1204</v>
      </c>
      <c r="E242" s="567">
        <v>45426.0</v>
      </c>
      <c r="F242" s="567">
        <v>45438.0</v>
      </c>
      <c r="G242" s="484">
        <v>70.0</v>
      </c>
      <c r="H242" s="471">
        <v>1206889.0</v>
      </c>
      <c r="I242" s="548"/>
      <c r="J242" s="486" t="s">
        <v>1205</v>
      </c>
      <c r="K242" s="513"/>
      <c r="L242" s="436"/>
      <c r="M242" s="437"/>
      <c r="N242" s="437"/>
    </row>
    <row r="243" ht="15.75" hidden="1" customHeight="1">
      <c r="A243" s="463" t="s">
        <v>580</v>
      </c>
      <c r="B243" s="463" t="s">
        <v>1202</v>
      </c>
      <c r="C243" s="472" t="s">
        <v>1206</v>
      </c>
      <c r="D243" s="626" t="s">
        <v>1030</v>
      </c>
      <c r="E243" s="566">
        <v>45439.0</v>
      </c>
      <c r="F243" s="566">
        <v>45468.0</v>
      </c>
      <c r="G243" s="474">
        <v>100.0</v>
      </c>
      <c r="H243" s="482">
        <v>1207449.0</v>
      </c>
      <c r="I243" s="625" t="s">
        <v>1207</v>
      </c>
      <c r="J243" s="470" t="s">
        <v>1208</v>
      </c>
      <c r="K243" s="531"/>
      <c r="L243" s="445"/>
      <c r="M243" s="437"/>
      <c r="N243" s="437"/>
    </row>
    <row r="244" ht="15.75" hidden="1" customHeight="1">
      <c r="A244" s="465" t="s">
        <v>580</v>
      </c>
      <c r="B244" s="465" t="s">
        <v>1202</v>
      </c>
      <c r="C244" s="483" t="s">
        <v>1209</v>
      </c>
      <c r="D244" s="627" t="s">
        <v>1038</v>
      </c>
      <c r="E244" s="567">
        <v>45439.0</v>
      </c>
      <c r="F244" s="567">
        <v>45468.0</v>
      </c>
      <c r="G244" s="484">
        <v>150.0</v>
      </c>
      <c r="H244" s="471">
        <v>1207450.0</v>
      </c>
      <c r="I244" s="628" t="s">
        <v>1207</v>
      </c>
      <c r="J244" s="486" t="s">
        <v>1210</v>
      </c>
      <c r="K244" s="513"/>
      <c r="L244" s="436"/>
      <c r="M244" s="437"/>
      <c r="N244" s="437"/>
    </row>
    <row r="245" ht="15.75" hidden="1" customHeight="1">
      <c r="A245" s="463" t="s">
        <v>580</v>
      </c>
      <c r="B245" s="463" t="s">
        <v>1202</v>
      </c>
      <c r="C245" s="472" t="s">
        <v>1211</v>
      </c>
      <c r="D245" s="626" t="s">
        <v>1057</v>
      </c>
      <c r="E245" s="566">
        <v>45439.0</v>
      </c>
      <c r="F245" s="566">
        <v>45468.0</v>
      </c>
      <c r="G245" s="474">
        <v>200.0</v>
      </c>
      <c r="H245" s="482">
        <v>1207601.0</v>
      </c>
      <c r="I245" s="625" t="s">
        <v>1207</v>
      </c>
      <c r="J245" s="470" t="s">
        <v>1212</v>
      </c>
      <c r="K245" s="531"/>
      <c r="L245" s="445"/>
      <c r="M245" s="437"/>
      <c r="N245" s="437"/>
    </row>
    <row r="246" ht="15.75" hidden="1" customHeight="1">
      <c r="A246" s="465" t="s">
        <v>1132</v>
      </c>
      <c r="B246" s="465" t="s">
        <v>576</v>
      </c>
      <c r="C246" s="483" t="s">
        <v>1213</v>
      </c>
      <c r="D246" s="544" t="s">
        <v>1214</v>
      </c>
      <c r="E246" s="567">
        <v>45439.0</v>
      </c>
      <c r="F246" s="567">
        <v>45445.0</v>
      </c>
      <c r="G246" s="484">
        <v>130.0</v>
      </c>
      <c r="H246" s="471">
        <v>1207410.0</v>
      </c>
      <c r="I246" s="487" t="s">
        <v>161</v>
      </c>
      <c r="J246" s="486" t="s">
        <v>1215</v>
      </c>
      <c r="K246" s="513"/>
      <c r="L246" s="436"/>
      <c r="M246" s="437"/>
      <c r="N246" s="437"/>
    </row>
    <row r="247" ht="15.75" hidden="1" customHeight="1">
      <c r="A247" s="463" t="s">
        <v>1166</v>
      </c>
      <c r="B247" s="463" t="s">
        <v>576</v>
      </c>
      <c r="C247" s="472" t="s">
        <v>1216</v>
      </c>
      <c r="D247" s="545" t="s">
        <v>1030</v>
      </c>
      <c r="E247" s="566">
        <v>45435.0</v>
      </c>
      <c r="F247" s="566">
        <v>45468.0</v>
      </c>
      <c r="G247" s="474">
        <v>100.0</v>
      </c>
      <c r="H247" s="482">
        <v>1205858.0</v>
      </c>
      <c r="I247" s="475" t="s">
        <v>1217</v>
      </c>
      <c r="J247" s="470" t="s">
        <v>1218</v>
      </c>
      <c r="K247" s="531"/>
      <c r="L247" s="445"/>
      <c r="M247" s="437"/>
      <c r="N247" s="437"/>
    </row>
    <row r="248" ht="16.5" hidden="1" customHeight="1">
      <c r="A248" s="465" t="s">
        <v>670</v>
      </c>
      <c r="B248" s="465" t="s">
        <v>576</v>
      </c>
      <c r="C248" s="483" t="s">
        <v>1146</v>
      </c>
      <c r="D248" s="544" t="s">
        <v>1147</v>
      </c>
      <c r="E248" s="567">
        <v>45444.0</v>
      </c>
      <c r="F248" s="567">
        <v>45473.0</v>
      </c>
      <c r="G248" s="484">
        <v>20.0</v>
      </c>
      <c r="H248" s="471">
        <v>1201254.0</v>
      </c>
      <c r="I248" s="487" t="s">
        <v>1219</v>
      </c>
      <c r="J248" s="486" t="s">
        <v>928</v>
      </c>
      <c r="K248" s="513"/>
      <c r="L248" s="436"/>
      <c r="M248" s="437"/>
      <c r="N248" s="437"/>
    </row>
    <row r="249" ht="15.75" hidden="1" customHeight="1">
      <c r="A249" s="463" t="s">
        <v>670</v>
      </c>
      <c r="B249" s="463" t="s">
        <v>576</v>
      </c>
      <c r="C249" s="472" t="s">
        <v>1220</v>
      </c>
      <c r="D249" s="545" t="s">
        <v>1020</v>
      </c>
      <c r="E249" s="566">
        <v>45444.0</v>
      </c>
      <c r="F249" s="566">
        <v>45473.0</v>
      </c>
      <c r="G249" s="474">
        <v>30.0</v>
      </c>
      <c r="H249" s="482">
        <v>1201251.0</v>
      </c>
      <c r="I249" s="475" t="s">
        <v>1219</v>
      </c>
      <c r="J249" s="470" t="s">
        <v>1221</v>
      </c>
      <c r="K249" s="531"/>
      <c r="L249" s="445"/>
      <c r="M249" s="437"/>
      <c r="N249" s="437"/>
    </row>
    <row r="250" ht="15.75" hidden="1" customHeight="1">
      <c r="A250" s="465" t="s">
        <v>670</v>
      </c>
      <c r="B250" s="465" t="s">
        <v>576</v>
      </c>
      <c r="C250" s="483" t="s">
        <v>1141</v>
      </c>
      <c r="D250" s="544" t="s">
        <v>1030</v>
      </c>
      <c r="E250" s="567">
        <v>45444.0</v>
      </c>
      <c r="F250" s="567">
        <v>45473.0</v>
      </c>
      <c r="G250" s="484">
        <v>100.0</v>
      </c>
      <c r="H250" s="471">
        <v>1196917.0</v>
      </c>
      <c r="I250" s="487" t="s">
        <v>1219</v>
      </c>
      <c r="J250" s="486" t="s">
        <v>1222</v>
      </c>
      <c r="K250" s="513"/>
      <c r="L250" s="436"/>
      <c r="M250" s="437"/>
      <c r="N250" s="437"/>
    </row>
    <row r="251" ht="15.75" hidden="1" customHeight="1">
      <c r="A251" s="463" t="s">
        <v>670</v>
      </c>
      <c r="B251" s="463" t="s">
        <v>576</v>
      </c>
      <c r="C251" s="472" t="s">
        <v>1078</v>
      </c>
      <c r="D251" s="545" t="s">
        <v>1038</v>
      </c>
      <c r="E251" s="566">
        <v>45444.0</v>
      </c>
      <c r="F251" s="566">
        <v>45473.0</v>
      </c>
      <c r="G251" s="474">
        <v>150.0</v>
      </c>
      <c r="H251" s="482">
        <v>1206476.0</v>
      </c>
      <c r="I251" s="475" t="s">
        <v>1219</v>
      </c>
      <c r="J251" s="470" t="s">
        <v>1081</v>
      </c>
      <c r="K251" s="531"/>
      <c r="L251" s="445"/>
      <c r="M251" s="437"/>
      <c r="N251" s="437"/>
    </row>
    <row r="252" ht="15.75" hidden="1" customHeight="1">
      <c r="A252" s="465" t="s">
        <v>670</v>
      </c>
      <c r="B252" s="465" t="s">
        <v>576</v>
      </c>
      <c r="C252" s="483" t="s">
        <v>1223</v>
      </c>
      <c r="D252" s="544" t="s">
        <v>1057</v>
      </c>
      <c r="E252" s="567">
        <v>45444.0</v>
      </c>
      <c r="F252" s="567">
        <v>45473.0</v>
      </c>
      <c r="G252" s="484">
        <v>200.0</v>
      </c>
      <c r="H252" s="471">
        <v>1206477.0</v>
      </c>
      <c r="I252" s="487" t="s">
        <v>1219</v>
      </c>
      <c r="J252" s="486" t="s">
        <v>1224</v>
      </c>
      <c r="K252" s="513"/>
      <c r="L252" s="436"/>
      <c r="M252" s="437"/>
      <c r="N252" s="437"/>
    </row>
    <row r="253" ht="15.75" hidden="1" customHeight="1">
      <c r="A253" s="463" t="s">
        <v>670</v>
      </c>
      <c r="B253" s="463" t="s">
        <v>576</v>
      </c>
      <c r="C253" s="472" t="s">
        <v>730</v>
      </c>
      <c r="D253" s="545" t="s">
        <v>1130</v>
      </c>
      <c r="E253" s="566">
        <v>45444.0</v>
      </c>
      <c r="F253" s="566">
        <v>45468.0</v>
      </c>
      <c r="G253" s="474">
        <v>300.0</v>
      </c>
      <c r="H253" s="482">
        <v>1207534.0</v>
      </c>
      <c r="I253" s="475" t="s">
        <v>1219</v>
      </c>
      <c r="J253" s="470" t="s">
        <v>1225</v>
      </c>
      <c r="K253" s="531"/>
      <c r="L253" s="445"/>
      <c r="M253" s="437"/>
      <c r="N253" s="437"/>
    </row>
    <row r="254" ht="15.75" hidden="1" customHeight="1">
      <c r="A254" s="465" t="s">
        <v>670</v>
      </c>
      <c r="B254" s="465" t="s">
        <v>576</v>
      </c>
      <c r="C254" s="483" t="s">
        <v>730</v>
      </c>
      <c r="D254" s="544" t="s">
        <v>1030</v>
      </c>
      <c r="E254" s="567">
        <v>45469.0</v>
      </c>
      <c r="F254" s="567">
        <v>45473.0</v>
      </c>
      <c r="G254" s="484">
        <v>100.0</v>
      </c>
      <c r="H254" s="471">
        <v>1207534.0</v>
      </c>
      <c r="I254" s="487" t="s">
        <v>1219</v>
      </c>
      <c r="J254" s="486" t="s">
        <v>1225</v>
      </c>
      <c r="K254" s="513"/>
      <c r="L254" s="436"/>
      <c r="M254" s="437"/>
      <c r="N254" s="437"/>
    </row>
    <row r="255" hidden="1">
      <c r="A255" s="463" t="s">
        <v>165</v>
      </c>
      <c r="B255" s="463" t="s">
        <v>576</v>
      </c>
      <c r="C255" s="472" t="s">
        <v>1226</v>
      </c>
      <c r="D255" s="545" t="s">
        <v>1227</v>
      </c>
      <c r="E255" s="473">
        <v>45484.0</v>
      </c>
      <c r="F255" s="473">
        <v>45489.0</v>
      </c>
      <c r="G255" s="474">
        <v>350.0</v>
      </c>
      <c r="H255" s="482">
        <v>1210178.0</v>
      </c>
      <c r="I255" s="619" t="s">
        <v>1228</v>
      </c>
      <c r="J255" s="602" t="s">
        <v>1229</v>
      </c>
      <c r="K255" s="445"/>
      <c r="L255" s="571"/>
      <c r="M255" s="568"/>
      <c r="N255" s="568"/>
    </row>
    <row r="256" hidden="1">
      <c r="A256" s="465" t="s">
        <v>165</v>
      </c>
      <c r="B256" s="465" t="s">
        <v>576</v>
      </c>
      <c r="C256" s="483" t="s">
        <v>1230</v>
      </c>
      <c r="D256" s="544" t="s">
        <v>1231</v>
      </c>
      <c r="E256" s="480">
        <v>45484.0</v>
      </c>
      <c r="F256" s="480">
        <v>45489.0</v>
      </c>
      <c r="G256" s="484">
        <v>270.0</v>
      </c>
      <c r="H256" s="471">
        <v>1209897.0</v>
      </c>
      <c r="I256" s="590" t="s">
        <v>1228</v>
      </c>
      <c r="J256" s="591" t="s">
        <v>1232</v>
      </c>
      <c r="K256" s="436"/>
      <c r="L256" s="568"/>
      <c r="M256" s="568"/>
      <c r="N256" s="568"/>
    </row>
    <row r="257">
      <c r="A257" s="629" t="s">
        <v>158</v>
      </c>
      <c r="B257" s="80"/>
      <c r="C257" s="80"/>
      <c r="D257" s="80"/>
      <c r="E257" s="80"/>
      <c r="F257" s="80"/>
      <c r="G257" s="80"/>
      <c r="H257" s="80"/>
      <c r="I257" s="80"/>
      <c r="J257" s="81"/>
      <c r="K257" s="445"/>
      <c r="L257" s="571"/>
      <c r="M257" s="568"/>
      <c r="N257" s="568"/>
    </row>
    <row r="258" hidden="1">
      <c r="A258" s="465" t="s">
        <v>679</v>
      </c>
      <c r="B258" s="465" t="s">
        <v>1002</v>
      </c>
      <c r="C258" s="168" t="s">
        <v>1233</v>
      </c>
      <c r="D258" s="630" t="s">
        <v>1234</v>
      </c>
      <c r="E258" s="471" t="s">
        <v>1235</v>
      </c>
      <c r="F258" s="631">
        <v>45746.0</v>
      </c>
      <c r="G258" s="632">
        <v>50.0</v>
      </c>
      <c r="H258" s="471">
        <v>1215866.0</v>
      </c>
      <c r="I258" s="512" t="s">
        <v>1236</v>
      </c>
      <c r="J258" s="591" t="s">
        <v>1237</v>
      </c>
      <c r="K258" s="633"/>
      <c r="L258" s="582"/>
      <c r="M258" s="582"/>
      <c r="N258" s="582"/>
    </row>
    <row r="259" hidden="1">
      <c r="A259" s="463" t="s">
        <v>679</v>
      </c>
      <c r="B259" s="463" t="s">
        <v>1002</v>
      </c>
      <c r="C259" s="516" t="s">
        <v>1238</v>
      </c>
      <c r="D259" s="634" t="s">
        <v>1234</v>
      </c>
      <c r="E259" s="473">
        <v>45718.0</v>
      </c>
      <c r="F259" s="473">
        <v>45746.0</v>
      </c>
      <c r="G259" s="635">
        <v>50.0</v>
      </c>
      <c r="H259" s="482">
        <v>1215866.0</v>
      </c>
      <c r="I259" s="477" t="s">
        <v>1239</v>
      </c>
      <c r="J259" s="602" t="s">
        <v>1237</v>
      </c>
      <c r="K259" s="636"/>
      <c r="L259" s="581"/>
      <c r="M259" s="582"/>
      <c r="N259" s="582"/>
    </row>
    <row r="260" ht="89.25" hidden="1" customHeight="1">
      <c r="A260" s="465" t="s">
        <v>679</v>
      </c>
      <c r="B260" s="465" t="s">
        <v>1002</v>
      </c>
      <c r="C260" s="168" t="s">
        <v>1240</v>
      </c>
      <c r="D260" s="630" t="s">
        <v>1030</v>
      </c>
      <c r="E260" s="480">
        <v>45718.0</v>
      </c>
      <c r="F260" s="480">
        <v>45746.0</v>
      </c>
      <c r="G260" s="632">
        <v>100.0</v>
      </c>
      <c r="H260" s="471">
        <v>1216345.0</v>
      </c>
      <c r="I260" s="512" t="s">
        <v>1241</v>
      </c>
      <c r="J260" s="591" t="s">
        <v>1242</v>
      </c>
      <c r="K260" s="633"/>
      <c r="L260" s="582"/>
      <c r="M260" s="582"/>
      <c r="N260" s="582"/>
    </row>
    <row r="261" ht="89.25" hidden="1" customHeight="1">
      <c r="A261" s="463" t="s">
        <v>1132</v>
      </c>
      <c r="B261" s="463" t="s">
        <v>970</v>
      </c>
      <c r="C261" s="516" t="s">
        <v>1243</v>
      </c>
      <c r="D261" s="634" t="s">
        <v>1244</v>
      </c>
      <c r="E261" s="473">
        <v>45919.0</v>
      </c>
      <c r="F261" s="473">
        <v>45922.0</v>
      </c>
      <c r="G261" s="635">
        <v>30.0</v>
      </c>
      <c r="H261" s="482">
        <v>1229076.0</v>
      </c>
      <c r="I261" s="637" t="s">
        <v>1245</v>
      </c>
      <c r="J261" s="602" t="s">
        <v>1246</v>
      </c>
      <c r="K261" s="581"/>
      <c r="L261" s="581"/>
      <c r="M261" s="582"/>
      <c r="N261" s="582"/>
    </row>
    <row r="262" ht="95.25" hidden="1" customHeight="1">
      <c r="A262" s="465" t="s">
        <v>158</v>
      </c>
      <c r="B262" s="465" t="s">
        <v>1002</v>
      </c>
      <c r="C262" s="483" t="s">
        <v>1247</v>
      </c>
      <c r="D262" s="630" t="s">
        <v>1030</v>
      </c>
      <c r="E262" s="638">
        <v>45631.0</v>
      </c>
      <c r="F262" s="480">
        <v>45641.0</v>
      </c>
      <c r="G262" s="484" t="s">
        <v>1248</v>
      </c>
      <c r="H262" s="471">
        <v>1215866.0</v>
      </c>
      <c r="I262" s="590" t="s">
        <v>1249</v>
      </c>
      <c r="J262" s="591" t="s">
        <v>1250</v>
      </c>
      <c r="K262" s="436"/>
      <c r="L262" s="568"/>
      <c r="M262" s="568"/>
      <c r="N262" s="568"/>
    </row>
    <row r="263" ht="95.25" hidden="1" customHeight="1">
      <c r="A263" s="463" t="s">
        <v>158</v>
      </c>
      <c r="B263" s="463" t="s">
        <v>1002</v>
      </c>
      <c r="C263" s="472" t="s">
        <v>1251</v>
      </c>
      <c r="D263" s="634" t="s">
        <v>1204</v>
      </c>
      <c r="E263" s="639">
        <v>45631.0</v>
      </c>
      <c r="F263" s="473">
        <v>45641.0</v>
      </c>
      <c r="G263" s="474" t="s">
        <v>1248</v>
      </c>
      <c r="H263" s="482">
        <v>1216345.0</v>
      </c>
      <c r="I263" s="619" t="s">
        <v>1249</v>
      </c>
      <c r="J263" s="602" t="s">
        <v>1252</v>
      </c>
      <c r="K263" s="445"/>
      <c r="L263" s="571"/>
      <c r="M263" s="568"/>
      <c r="N263" s="568"/>
    </row>
    <row r="264" ht="95.25" hidden="1" customHeight="1">
      <c r="A264" s="465" t="s">
        <v>158</v>
      </c>
      <c r="B264" s="465" t="s">
        <v>1002</v>
      </c>
      <c r="C264" s="483" t="s">
        <v>1253</v>
      </c>
      <c r="D264" s="630" t="s">
        <v>1030</v>
      </c>
      <c r="E264" s="638">
        <v>45631.0</v>
      </c>
      <c r="F264" s="540">
        <v>45641.0</v>
      </c>
      <c r="G264" s="484">
        <v>100.0</v>
      </c>
      <c r="H264" s="471">
        <v>1216347.0</v>
      </c>
      <c r="I264" s="590" t="s">
        <v>1254</v>
      </c>
      <c r="J264" s="591" t="s">
        <v>1255</v>
      </c>
      <c r="K264" s="436"/>
      <c r="L264" s="568"/>
      <c r="M264" s="568"/>
      <c r="N264" s="568"/>
    </row>
    <row r="265" ht="95.25" hidden="1" customHeight="1">
      <c r="A265" s="463" t="s">
        <v>158</v>
      </c>
      <c r="B265" s="463" t="s">
        <v>1002</v>
      </c>
      <c r="C265" s="472" t="s">
        <v>1256</v>
      </c>
      <c r="D265" s="634" t="s">
        <v>1204</v>
      </c>
      <c r="E265" s="639">
        <v>45631.0</v>
      </c>
      <c r="F265" s="473">
        <v>45641.0</v>
      </c>
      <c r="G265" s="474">
        <v>70.0</v>
      </c>
      <c r="H265" s="482">
        <v>1216346.0</v>
      </c>
      <c r="I265" s="619" t="s">
        <v>1254</v>
      </c>
      <c r="J265" s="602" t="s">
        <v>1257</v>
      </c>
      <c r="K265" s="445"/>
      <c r="L265" s="571"/>
      <c r="M265" s="568"/>
      <c r="N265" s="568"/>
    </row>
    <row r="266" hidden="1">
      <c r="A266" s="465" t="s">
        <v>1132</v>
      </c>
      <c r="B266" s="465" t="s">
        <v>576</v>
      </c>
      <c r="C266" s="483" t="s">
        <v>1258</v>
      </c>
      <c r="D266" s="544" t="s">
        <v>1030</v>
      </c>
      <c r="E266" s="480">
        <v>45552.0</v>
      </c>
      <c r="F266" s="480">
        <v>45565.0</v>
      </c>
      <c r="G266" s="484">
        <v>100.0</v>
      </c>
      <c r="H266" s="471">
        <v>1204583.0</v>
      </c>
      <c r="I266" s="590" t="s">
        <v>1259</v>
      </c>
      <c r="J266" s="591" t="s">
        <v>1258</v>
      </c>
      <c r="K266" s="436"/>
      <c r="L266" s="568"/>
      <c r="M266" s="568"/>
      <c r="N266" s="568"/>
    </row>
    <row r="267" hidden="1">
      <c r="A267" s="463" t="s">
        <v>1132</v>
      </c>
      <c r="B267" s="463" t="s">
        <v>576</v>
      </c>
      <c r="C267" s="472" t="s">
        <v>1133</v>
      </c>
      <c r="D267" s="634" t="s">
        <v>1260</v>
      </c>
      <c r="E267" s="473">
        <v>45552.0</v>
      </c>
      <c r="F267" s="473">
        <v>45563.0</v>
      </c>
      <c r="G267" s="474">
        <v>50.0</v>
      </c>
      <c r="H267" s="482">
        <v>1204582.0</v>
      </c>
      <c r="I267" s="619" t="s">
        <v>1261</v>
      </c>
      <c r="J267" s="602" t="s">
        <v>1008</v>
      </c>
      <c r="K267" s="445"/>
      <c r="L267" s="571"/>
      <c r="M267" s="568"/>
      <c r="N267" s="568"/>
    </row>
    <row r="268" ht="27.0" hidden="1" customHeight="1">
      <c r="A268" s="465" t="s">
        <v>1132</v>
      </c>
      <c r="B268" s="465" t="s">
        <v>576</v>
      </c>
      <c r="C268" s="483" t="s">
        <v>1262</v>
      </c>
      <c r="D268" s="544" t="s">
        <v>1263</v>
      </c>
      <c r="E268" s="480">
        <v>45562.0</v>
      </c>
      <c r="F268" s="480">
        <v>45565.0</v>
      </c>
      <c r="G268" s="484">
        <v>150.0</v>
      </c>
      <c r="H268" s="471" t="s">
        <v>1264</v>
      </c>
      <c r="I268" s="590" t="s">
        <v>1265</v>
      </c>
      <c r="J268" s="591" t="s">
        <v>1215</v>
      </c>
      <c r="K268" s="436"/>
      <c r="L268" s="568"/>
      <c r="M268" s="568"/>
      <c r="N268" s="568"/>
    </row>
    <row r="269" hidden="1">
      <c r="A269" s="463" t="s">
        <v>1132</v>
      </c>
      <c r="B269" s="463" t="s">
        <v>576</v>
      </c>
      <c r="C269" s="472" t="s">
        <v>1266</v>
      </c>
      <c r="D269" s="545" t="s">
        <v>1267</v>
      </c>
      <c r="E269" s="473">
        <v>45548.0</v>
      </c>
      <c r="F269" s="473">
        <v>45548.0</v>
      </c>
      <c r="G269" s="474">
        <v>100.0</v>
      </c>
      <c r="H269" s="482">
        <v>1212843.0</v>
      </c>
      <c r="I269" s="463" t="s">
        <v>1268</v>
      </c>
      <c r="J269" s="602"/>
      <c r="K269" s="445"/>
      <c r="L269" s="571"/>
      <c r="M269" s="568"/>
      <c r="N269" s="568"/>
    </row>
    <row r="270" ht="31.5" hidden="1" customHeight="1">
      <c r="A270" s="465" t="s">
        <v>679</v>
      </c>
      <c r="B270" s="465" t="s">
        <v>576</v>
      </c>
      <c r="C270" s="483" t="s">
        <v>1269</v>
      </c>
      <c r="D270" s="630" t="s">
        <v>1030</v>
      </c>
      <c r="E270" s="480">
        <v>45562.0</v>
      </c>
      <c r="F270" s="480">
        <v>45565.0</v>
      </c>
      <c r="G270" s="484">
        <v>100.0</v>
      </c>
      <c r="H270" s="471">
        <v>1213611.0</v>
      </c>
      <c r="I270" s="590" t="s">
        <v>1270</v>
      </c>
      <c r="J270" s="483" t="s">
        <v>1271</v>
      </c>
      <c r="K270" s="436"/>
      <c r="L270" s="568"/>
      <c r="M270" s="568"/>
      <c r="N270" s="568"/>
    </row>
    <row r="271" ht="31.5" hidden="1" customHeight="1">
      <c r="A271" s="463" t="s">
        <v>679</v>
      </c>
      <c r="B271" s="463" t="s">
        <v>576</v>
      </c>
      <c r="C271" s="472" t="s">
        <v>1272</v>
      </c>
      <c r="D271" s="545" t="s">
        <v>1038</v>
      </c>
      <c r="E271" s="473">
        <v>45566.0</v>
      </c>
      <c r="F271" s="473">
        <v>45567.0</v>
      </c>
      <c r="G271" s="474">
        <v>150.0</v>
      </c>
      <c r="H271" s="482">
        <v>1213611.0</v>
      </c>
      <c r="I271" s="463"/>
      <c r="J271" s="472" t="s">
        <v>1273</v>
      </c>
      <c r="K271" s="445"/>
      <c r="L271" s="571"/>
      <c r="M271" s="568"/>
      <c r="N271" s="568"/>
    </row>
    <row r="272" ht="31.5" hidden="1" customHeight="1">
      <c r="A272" s="640" t="s">
        <v>679</v>
      </c>
      <c r="B272" s="640" t="s">
        <v>576</v>
      </c>
      <c r="C272" s="640" t="s">
        <v>1274</v>
      </c>
      <c r="D272" s="641" t="s">
        <v>1275</v>
      </c>
      <c r="E272" s="595">
        <v>45566.0</v>
      </c>
      <c r="F272" s="595">
        <v>45571.0</v>
      </c>
      <c r="G272" s="642">
        <v>50.0</v>
      </c>
      <c r="H272" s="597"/>
      <c r="I272" s="488" t="s">
        <v>1276</v>
      </c>
      <c r="J272" s="483" t="s">
        <v>1277</v>
      </c>
      <c r="K272" s="436"/>
      <c r="L272" s="568"/>
      <c r="M272" s="568"/>
      <c r="N272" s="568"/>
    </row>
    <row r="273" ht="31.5" hidden="1" customHeight="1">
      <c r="A273" s="643" t="s">
        <v>679</v>
      </c>
      <c r="B273" s="643" t="s">
        <v>576</v>
      </c>
      <c r="C273" s="643" t="s">
        <v>1278</v>
      </c>
      <c r="D273" s="644" t="s">
        <v>1279</v>
      </c>
      <c r="E273" s="506">
        <v>45566.0</v>
      </c>
      <c r="F273" s="506">
        <v>45571.0</v>
      </c>
      <c r="G273" s="645">
        <v>100.0</v>
      </c>
      <c r="H273" s="508"/>
      <c r="I273" s="646" t="s">
        <v>1276</v>
      </c>
      <c r="J273" s="472" t="s">
        <v>1280</v>
      </c>
      <c r="K273" s="445"/>
      <c r="L273" s="571"/>
      <c r="M273" s="568"/>
      <c r="N273" s="568"/>
    </row>
    <row r="274" ht="31.5" hidden="1" customHeight="1">
      <c r="A274" s="465" t="s">
        <v>679</v>
      </c>
      <c r="B274" s="465" t="s">
        <v>1281</v>
      </c>
      <c r="C274" s="483" t="s">
        <v>1282</v>
      </c>
      <c r="D274" s="544" t="s">
        <v>937</v>
      </c>
      <c r="E274" s="480">
        <v>45576.0</v>
      </c>
      <c r="F274" s="480">
        <v>45613.0</v>
      </c>
      <c r="G274" s="484">
        <v>150.0</v>
      </c>
      <c r="H274" s="471">
        <v>1206886.0</v>
      </c>
      <c r="I274" s="502" t="s">
        <v>1283</v>
      </c>
      <c r="J274" s="483" t="s">
        <v>1284</v>
      </c>
      <c r="K274" s="436"/>
      <c r="L274" s="568"/>
      <c r="M274" s="568"/>
      <c r="N274" s="568"/>
    </row>
    <row r="275" ht="31.5" hidden="1" customHeight="1">
      <c r="A275" s="463" t="s">
        <v>679</v>
      </c>
      <c r="B275" s="463" t="s">
        <v>1285</v>
      </c>
      <c r="C275" s="472" t="s">
        <v>1272</v>
      </c>
      <c r="D275" s="545" t="s">
        <v>1030</v>
      </c>
      <c r="E275" s="482" t="s">
        <v>1286</v>
      </c>
      <c r="F275" s="473">
        <v>45624.0</v>
      </c>
      <c r="G275" s="474">
        <v>100.0</v>
      </c>
      <c r="H275" s="482">
        <v>1215865.0</v>
      </c>
      <c r="I275" s="583" t="s">
        <v>1287</v>
      </c>
      <c r="J275" s="472" t="s">
        <v>1288</v>
      </c>
      <c r="K275" s="445"/>
      <c r="L275" s="571"/>
      <c r="M275" s="568"/>
      <c r="N275" s="568"/>
    </row>
    <row r="276" ht="31.5" hidden="1" customHeight="1">
      <c r="A276" s="465" t="s">
        <v>679</v>
      </c>
      <c r="B276" s="465" t="s">
        <v>1285</v>
      </c>
      <c r="C276" s="483" t="s">
        <v>1238</v>
      </c>
      <c r="D276" s="544" t="s">
        <v>1009</v>
      </c>
      <c r="E276" s="540">
        <v>45614.0</v>
      </c>
      <c r="F276" s="480">
        <v>45628.0</v>
      </c>
      <c r="G276" s="484">
        <v>50.0</v>
      </c>
      <c r="H276" s="471">
        <v>1215782.0</v>
      </c>
      <c r="I276" s="502" t="s">
        <v>1289</v>
      </c>
      <c r="J276" s="483" t="s">
        <v>1290</v>
      </c>
      <c r="K276" s="436"/>
      <c r="L276" s="568"/>
      <c r="M276" s="568"/>
      <c r="N276" s="568"/>
    </row>
    <row r="277" ht="102.75" hidden="1" customHeight="1">
      <c r="A277" s="463" t="s">
        <v>679</v>
      </c>
      <c r="B277" s="463" t="s">
        <v>1285</v>
      </c>
      <c r="C277" s="472" t="s">
        <v>1291</v>
      </c>
      <c r="D277" s="545" t="s">
        <v>1292</v>
      </c>
      <c r="E277" s="525">
        <v>45614.0</v>
      </c>
      <c r="F277" s="473">
        <v>45628.0</v>
      </c>
      <c r="G277" s="474">
        <v>50.0</v>
      </c>
      <c r="H277" s="482" t="s">
        <v>1293</v>
      </c>
      <c r="I277" s="583" t="s">
        <v>1294</v>
      </c>
      <c r="J277" s="472" t="s">
        <v>1295</v>
      </c>
      <c r="K277" s="445"/>
      <c r="L277" s="571"/>
      <c r="M277" s="568"/>
      <c r="N277" s="568"/>
    </row>
    <row r="278" ht="31.5" hidden="1" customHeight="1">
      <c r="A278" s="465" t="s">
        <v>679</v>
      </c>
      <c r="B278" s="465" t="s">
        <v>1285</v>
      </c>
      <c r="C278" s="483" t="s">
        <v>1296</v>
      </c>
      <c r="D278" s="544" t="s">
        <v>1297</v>
      </c>
      <c r="E278" s="540">
        <v>45625.0</v>
      </c>
      <c r="F278" s="480">
        <v>45627.0</v>
      </c>
      <c r="G278" s="484">
        <v>150.0</v>
      </c>
      <c r="H278" s="471">
        <v>1215866.0</v>
      </c>
      <c r="I278" s="502" t="s">
        <v>1298</v>
      </c>
      <c r="J278" s="483" t="s">
        <v>1299</v>
      </c>
      <c r="K278" s="436"/>
      <c r="L278" s="568"/>
      <c r="M278" s="568"/>
      <c r="N278" s="568"/>
    </row>
    <row r="279" ht="31.5" hidden="1" customHeight="1">
      <c r="A279" s="463" t="s">
        <v>679</v>
      </c>
      <c r="B279" s="463" t="s">
        <v>576</v>
      </c>
      <c r="C279" s="472" t="s">
        <v>1300</v>
      </c>
      <c r="D279" s="545" t="s">
        <v>1030</v>
      </c>
      <c r="E279" s="473">
        <v>45568.0</v>
      </c>
      <c r="F279" s="473">
        <v>45568.0</v>
      </c>
      <c r="G279" s="474">
        <v>100.0</v>
      </c>
      <c r="H279" s="482">
        <v>1212843.0</v>
      </c>
      <c r="I279" s="463"/>
      <c r="J279" s="472" t="s">
        <v>1301</v>
      </c>
      <c r="K279" s="445"/>
      <c r="L279" s="571"/>
      <c r="M279" s="568"/>
      <c r="N279" s="568"/>
    </row>
    <row r="280" ht="31.5" hidden="1" customHeight="1">
      <c r="A280" s="640" t="s">
        <v>679</v>
      </c>
      <c r="B280" s="640" t="s">
        <v>576</v>
      </c>
      <c r="C280" s="640" t="s">
        <v>1302</v>
      </c>
      <c r="D280" s="647" t="s">
        <v>1030</v>
      </c>
      <c r="E280" s="595">
        <v>45568.0</v>
      </c>
      <c r="F280" s="595">
        <v>45571.0</v>
      </c>
      <c r="G280" s="642">
        <v>100.0</v>
      </c>
      <c r="H280" s="597"/>
      <c r="I280" s="488" t="s">
        <v>1276</v>
      </c>
      <c r="J280" s="648"/>
      <c r="K280" s="436"/>
      <c r="L280" s="568"/>
      <c r="M280" s="568"/>
      <c r="N280" s="568"/>
    </row>
    <row r="281" hidden="1">
      <c r="A281" s="463" t="s">
        <v>1132</v>
      </c>
      <c r="B281" s="463" t="s">
        <v>576</v>
      </c>
      <c r="C281" s="472" t="s">
        <v>1303</v>
      </c>
      <c r="D281" s="545" t="s">
        <v>1260</v>
      </c>
      <c r="E281" s="473">
        <v>45541.0</v>
      </c>
      <c r="F281" s="473">
        <v>45544.0</v>
      </c>
      <c r="G281" s="474">
        <v>50.0</v>
      </c>
      <c r="H281" s="482">
        <v>1212747.0</v>
      </c>
      <c r="I281" s="649"/>
      <c r="J281" s="472" t="s">
        <v>1304</v>
      </c>
      <c r="K281" s="445"/>
      <c r="L281" s="571"/>
      <c r="M281" s="568"/>
      <c r="N281" s="568"/>
    </row>
    <row r="282" ht="40.5" hidden="1" customHeight="1">
      <c r="A282" s="465" t="s">
        <v>679</v>
      </c>
      <c r="B282" s="465" t="s">
        <v>576</v>
      </c>
      <c r="C282" s="483" t="s">
        <v>1305</v>
      </c>
      <c r="D282" s="544" t="s">
        <v>1306</v>
      </c>
      <c r="E282" s="480">
        <v>45499.0</v>
      </c>
      <c r="F282" s="480">
        <v>45508.0</v>
      </c>
      <c r="G282" s="484">
        <v>150.0</v>
      </c>
      <c r="H282" s="471" t="s">
        <v>1307</v>
      </c>
      <c r="I282" s="590" t="s">
        <v>1308</v>
      </c>
      <c r="J282" s="591" t="s">
        <v>1309</v>
      </c>
      <c r="K282" s="436"/>
      <c r="L282" s="568"/>
      <c r="M282" s="568"/>
      <c r="N282" s="568"/>
    </row>
    <row r="283" ht="31.5" hidden="1" customHeight="1">
      <c r="A283" s="463" t="s">
        <v>679</v>
      </c>
      <c r="B283" s="463" t="s">
        <v>576</v>
      </c>
      <c r="C283" s="472" t="s">
        <v>1310</v>
      </c>
      <c r="D283" s="626" t="s">
        <v>1038</v>
      </c>
      <c r="E283" s="473">
        <v>45568.0</v>
      </c>
      <c r="F283" s="473">
        <v>45568.0</v>
      </c>
      <c r="G283" s="474">
        <v>150.0</v>
      </c>
      <c r="H283" s="482">
        <v>1213611.0</v>
      </c>
      <c r="I283" s="619" t="s">
        <v>1311</v>
      </c>
      <c r="J283" s="472" t="s">
        <v>1312</v>
      </c>
      <c r="K283" s="445"/>
      <c r="L283" s="571"/>
      <c r="M283" s="568"/>
      <c r="N283" s="568"/>
    </row>
    <row r="284" ht="104.25" customHeight="1">
      <c r="A284" s="465" t="s">
        <v>158</v>
      </c>
      <c r="B284" s="465" t="s">
        <v>970</v>
      </c>
      <c r="C284" s="168" t="s">
        <v>1313</v>
      </c>
      <c r="D284" s="630" t="s">
        <v>1314</v>
      </c>
      <c r="E284" s="480">
        <v>45993.0</v>
      </c>
      <c r="F284" s="480">
        <v>46019.0</v>
      </c>
      <c r="G284" s="484">
        <v>50.0</v>
      </c>
      <c r="H284" s="604">
        <v>1230789.0</v>
      </c>
      <c r="I284" s="591" t="s">
        <v>1315</v>
      </c>
      <c r="J284" s="591" t="s">
        <v>1246</v>
      </c>
      <c r="K284" s="608"/>
      <c r="L284" s="582"/>
      <c r="M284" s="582"/>
      <c r="N284" s="582"/>
    </row>
    <row r="285" ht="104.25" customHeight="1">
      <c r="A285" s="465" t="s">
        <v>158</v>
      </c>
      <c r="B285" s="465" t="s">
        <v>1316</v>
      </c>
      <c r="C285" s="168" t="s">
        <v>1317</v>
      </c>
      <c r="D285" s="630" t="s">
        <v>1318</v>
      </c>
      <c r="E285" s="480">
        <v>45952.0</v>
      </c>
      <c r="F285" s="480">
        <v>45963.0</v>
      </c>
      <c r="G285" s="484">
        <v>100.0</v>
      </c>
      <c r="H285" s="604">
        <v>1231551.0</v>
      </c>
      <c r="I285" s="512" t="s">
        <v>1319</v>
      </c>
      <c r="J285" s="591" t="s">
        <v>1320</v>
      </c>
      <c r="K285" s="608"/>
      <c r="L285" s="582"/>
      <c r="M285" s="582"/>
      <c r="N285" s="582"/>
    </row>
    <row r="286">
      <c r="A286" s="650" t="s">
        <v>165</v>
      </c>
      <c r="B286" s="56"/>
      <c r="C286" s="56"/>
      <c r="D286" s="56"/>
      <c r="E286" s="56"/>
      <c r="F286" s="56"/>
      <c r="G286" s="56"/>
      <c r="H286" s="56"/>
      <c r="I286" s="56"/>
      <c r="J286" s="57"/>
      <c r="K286" s="436"/>
      <c r="L286" s="568"/>
      <c r="M286" s="568"/>
      <c r="N286" s="568"/>
    </row>
    <row r="287" ht="15.75" hidden="1" customHeight="1">
      <c r="A287" s="463" t="s">
        <v>580</v>
      </c>
      <c r="B287" s="463" t="s">
        <v>576</v>
      </c>
      <c r="C287" s="472" t="s">
        <v>1230</v>
      </c>
      <c r="D287" s="545" t="s">
        <v>1057</v>
      </c>
      <c r="E287" s="473">
        <v>45547.0</v>
      </c>
      <c r="F287" s="473">
        <v>45565.0</v>
      </c>
      <c r="G287" s="474">
        <v>200.0</v>
      </c>
      <c r="H287" s="482">
        <v>1209897.0</v>
      </c>
      <c r="I287" s="463"/>
      <c r="J287" s="602"/>
      <c r="K287" s="445"/>
      <c r="L287" s="571"/>
      <c r="M287" s="568"/>
      <c r="N287" s="568"/>
    </row>
    <row r="288" ht="15.75" hidden="1" customHeight="1">
      <c r="A288" s="465" t="s">
        <v>580</v>
      </c>
      <c r="B288" s="465" t="s">
        <v>576</v>
      </c>
      <c r="C288" s="483" t="s">
        <v>1321</v>
      </c>
      <c r="D288" s="544" t="s">
        <v>1130</v>
      </c>
      <c r="E288" s="480">
        <v>45547.0</v>
      </c>
      <c r="F288" s="480">
        <v>45565.0</v>
      </c>
      <c r="G288" s="484">
        <v>300.0</v>
      </c>
      <c r="H288" s="471">
        <v>1210178.0</v>
      </c>
      <c r="I288" s="465"/>
      <c r="J288" s="591"/>
      <c r="K288" s="436"/>
      <c r="L288" s="568"/>
      <c r="M288" s="568"/>
      <c r="N288" s="568"/>
    </row>
    <row r="289" ht="15.75" hidden="1" customHeight="1">
      <c r="A289" s="463" t="s">
        <v>580</v>
      </c>
      <c r="B289" s="463" t="s">
        <v>576</v>
      </c>
      <c r="C289" s="472" t="s">
        <v>1322</v>
      </c>
      <c r="D289" s="545" t="s">
        <v>1038</v>
      </c>
      <c r="E289" s="473">
        <v>45490.0</v>
      </c>
      <c r="F289" s="473">
        <v>45535.0</v>
      </c>
      <c r="G289" s="474">
        <v>150.0</v>
      </c>
      <c r="H289" s="482">
        <v>1209897.0</v>
      </c>
      <c r="I289" s="619" t="s">
        <v>1323</v>
      </c>
      <c r="J289" s="602" t="s">
        <v>1324</v>
      </c>
      <c r="K289" s="445"/>
      <c r="L289" s="571"/>
      <c r="M289" s="568"/>
      <c r="N289" s="568"/>
    </row>
    <row r="290" ht="15.75" hidden="1" customHeight="1">
      <c r="A290" s="465" t="s">
        <v>580</v>
      </c>
      <c r="B290" s="465" t="s">
        <v>1120</v>
      </c>
      <c r="C290" s="483" t="s">
        <v>1325</v>
      </c>
      <c r="D290" s="544" t="s">
        <v>1009</v>
      </c>
      <c r="E290" s="480">
        <v>45496.0</v>
      </c>
      <c r="F290" s="480">
        <v>45526.0</v>
      </c>
      <c r="G290" s="484">
        <v>50.0</v>
      </c>
      <c r="H290" s="471">
        <v>1210217.0</v>
      </c>
      <c r="I290" s="465"/>
      <c r="J290" s="591" t="s">
        <v>1326</v>
      </c>
      <c r="K290" s="436"/>
      <c r="L290" s="568"/>
      <c r="M290" s="568"/>
      <c r="N290" s="568"/>
    </row>
    <row r="291" ht="15.75" hidden="1" customHeight="1">
      <c r="A291" s="463" t="s">
        <v>580</v>
      </c>
      <c r="B291" s="463" t="s">
        <v>1120</v>
      </c>
      <c r="C291" s="472" t="s">
        <v>1327</v>
      </c>
      <c r="D291" s="545" t="s">
        <v>1163</v>
      </c>
      <c r="E291" s="473">
        <v>45496.0</v>
      </c>
      <c r="F291" s="473">
        <v>45526.0</v>
      </c>
      <c r="G291" s="474">
        <v>80.0</v>
      </c>
      <c r="H291" s="482">
        <v>1210218.0</v>
      </c>
      <c r="I291" s="463"/>
      <c r="J291" s="602" t="s">
        <v>1328</v>
      </c>
      <c r="K291" s="445"/>
      <c r="L291" s="571"/>
      <c r="M291" s="568"/>
      <c r="N291" s="568"/>
    </row>
    <row r="292" ht="15.75" hidden="1" customHeight="1">
      <c r="A292" s="465" t="s">
        <v>580</v>
      </c>
      <c r="B292" s="465" t="s">
        <v>1120</v>
      </c>
      <c r="C292" s="483" t="s">
        <v>1206</v>
      </c>
      <c r="D292" s="544" t="s">
        <v>1030</v>
      </c>
      <c r="E292" s="480">
        <v>45496.0</v>
      </c>
      <c r="F292" s="480">
        <v>45526.0</v>
      </c>
      <c r="G292" s="484">
        <v>100.0</v>
      </c>
      <c r="H292" s="471">
        <v>1210219.0</v>
      </c>
      <c r="I292" s="465"/>
      <c r="J292" s="591" t="s">
        <v>1329</v>
      </c>
      <c r="K292" s="436"/>
      <c r="L292" s="568"/>
      <c r="M292" s="568"/>
      <c r="N292" s="568"/>
    </row>
    <row r="293" ht="15.75" hidden="1" customHeight="1">
      <c r="A293" s="463" t="s">
        <v>580</v>
      </c>
      <c r="B293" s="463" t="s">
        <v>1120</v>
      </c>
      <c r="C293" s="472" t="s">
        <v>1209</v>
      </c>
      <c r="D293" s="545" t="s">
        <v>1038</v>
      </c>
      <c r="E293" s="473">
        <v>45496.0</v>
      </c>
      <c r="F293" s="473">
        <v>45526.0</v>
      </c>
      <c r="G293" s="474">
        <v>150.0</v>
      </c>
      <c r="H293" s="482">
        <v>1210281.0</v>
      </c>
      <c r="I293" s="463"/>
      <c r="J293" s="602" t="s">
        <v>1330</v>
      </c>
      <c r="K293" s="445"/>
      <c r="L293" s="571"/>
      <c r="M293" s="568"/>
      <c r="N293" s="568"/>
    </row>
    <row r="294" ht="15.75" hidden="1" customHeight="1">
      <c r="A294" s="465" t="s">
        <v>580</v>
      </c>
      <c r="B294" s="465" t="s">
        <v>1120</v>
      </c>
      <c r="C294" s="483" t="s">
        <v>1331</v>
      </c>
      <c r="D294" s="544" t="s">
        <v>1057</v>
      </c>
      <c r="E294" s="480">
        <v>45496.0</v>
      </c>
      <c r="F294" s="480">
        <v>45526.0</v>
      </c>
      <c r="G294" s="484">
        <v>200.0</v>
      </c>
      <c r="H294" s="471">
        <v>1210282.0</v>
      </c>
      <c r="I294" s="465"/>
      <c r="J294" s="591" t="s">
        <v>1212</v>
      </c>
      <c r="K294" s="436"/>
      <c r="L294" s="568"/>
      <c r="M294" s="568"/>
      <c r="N294" s="568"/>
    </row>
    <row r="295" ht="15.75" hidden="1" customHeight="1">
      <c r="A295" s="463" t="s">
        <v>580</v>
      </c>
      <c r="B295" s="463" t="s">
        <v>576</v>
      </c>
      <c r="C295" s="472" t="s">
        <v>1332</v>
      </c>
      <c r="D295" s="545" t="s">
        <v>1038</v>
      </c>
      <c r="E295" s="473">
        <v>45497.0</v>
      </c>
      <c r="F295" s="473">
        <v>45516.0</v>
      </c>
      <c r="G295" s="474">
        <v>150.0</v>
      </c>
      <c r="H295" s="482">
        <v>1210605.0</v>
      </c>
      <c r="I295" s="619" t="s">
        <v>1333</v>
      </c>
      <c r="J295" s="602" t="s">
        <v>1334</v>
      </c>
      <c r="K295" s="445"/>
      <c r="L295" s="571"/>
      <c r="M295" s="568"/>
      <c r="N295" s="568"/>
    </row>
    <row r="296" ht="15.75" hidden="1" customHeight="1">
      <c r="A296" s="465" t="s">
        <v>580</v>
      </c>
      <c r="B296" s="465" t="s">
        <v>576</v>
      </c>
      <c r="C296" s="483" t="s">
        <v>1335</v>
      </c>
      <c r="D296" s="544" t="s">
        <v>1030</v>
      </c>
      <c r="E296" s="480">
        <v>45497.0</v>
      </c>
      <c r="F296" s="480">
        <v>45519.0</v>
      </c>
      <c r="G296" s="484">
        <v>100.0</v>
      </c>
      <c r="H296" s="471">
        <v>1200703.0</v>
      </c>
      <c r="I296" s="590" t="s">
        <v>1336</v>
      </c>
      <c r="J296" s="591" t="s">
        <v>1337</v>
      </c>
      <c r="K296" s="436"/>
      <c r="L296" s="568"/>
      <c r="M296" s="568"/>
      <c r="N296" s="568"/>
    </row>
    <row r="297" ht="15.75" hidden="1" customHeight="1">
      <c r="A297" s="463" t="s">
        <v>580</v>
      </c>
      <c r="B297" s="463" t="s">
        <v>576</v>
      </c>
      <c r="C297" s="472" t="s">
        <v>902</v>
      </c>
      <c r="D297" s="545" t="s">
        <v>1057</v>
      </c>
      <c r="E297" s="473">
        <v>45497.0</v>
      </c>
      <c r="F297" s="473">
        <v>45516.0</v>
      </c>
      <c r="G297" s="474">
        <v>200.0</v>
      </c>
      <c r="H297" s="482">
        <v>1201321.0</v>
      </c>
      <c r="I297" s="619" t="s">
        <v>1338</v>
      </c>
      <c r="J297" s="602" t="s">
        <v>1339</v>
      </c>
      <c r="K297" s="445"/>
      <c r="L297" s="571"/>
      <c r="M297" s="568"/>
      <c r="N297" s="568"/>
    </row>
    <row r="298" hidden="1">
      <c r="A298" s="465" t="s">
        <v>580</v>
      </c>
      <c r="B298" s="465" t="s">
        <v>1120</v>
      </c>
      <c r="C298" s="483" t="s">
        <v>1340</v>
      </c>
      <c r="D298" s="544" t="s">
        <v>1030</v>
      </c>
      <c r="E298" s="480">
        <v>45561.0</v>
      </c>
      <c r="F298" s="480">
        <v>45596.0</v>
      </c>
      <c r="G298" s="484">
        <v>100.0</v>
      </c>
      <c r="H298" s="471">
        <v>1213157.0</v>
      </c>
      <c r="I298" s="590" t="s">
        <v>1341</v>
      </c>
      <c r="J298" s="591" t="s">
        <v>1342</v>
      </c>
      <c r="K298" s="436"/>
      <c r="L298" s="568"/>
      <c r="M298" s="568"/>
      <c r="N298" s="568"/>
    </row>
    <row r="299" hidden="1">
      <c r="A299" s="463" t="s">
        <v>580</v>
      </c>
      <c r="B299" s="463" t="s">
        <v>1120</v>
      </c>
      <c r="C299" s="472" t="s">
        <v>1343</v>
      </c>
      <c r="D299" s="545" t="s">
        <v>1344</v>
      </c>
      <c r="E299" s="473">
        <v>45561.0</v>
      </c>
      <c r="F299" s="473">
        <v>45596.0</v>
      </c>
      <c r="G299" s="474">
        <v>150.0</v>
      </c>
      <c r="H299" s="482">
        <v>1213158.0</v>
      </c>
      <c r="I299" s="619" t="s">
        <v>1341</v>
      </c>
      <c r="J299" s="602" t="s">
        <v>1345</v>
      </c>
      <c r="K299" s="445"/>
      <c r="L299" s="571"/>
      <c r="M299" s="568"/>
      <c r="N299" s="568"/>
    </row>
    <row r="300" hidden="1">
      <c r="A300" s="465" t="s">
        <v>580</v>
      </c>
      <c r="B300" s="465" t="s">
        <v>576</v>
      </c>
      <c r="C300" s="483" t="s">
        <v>1346</v>
      </c>
      <c r="D300" s="544" t="s">
        <v>1030</v>
      </c>
      <c r="E300" s="480">
        <v>45561.0</v>
      </c>
      <c r="F300" s="480">
        <v>45596.0</v>
      </c>
      <c r="G300" s="484">
        <v>100.0</v>
      </c>
      <c r="H300" s="471">
        <v>1213310.0</v>
      </c>
      <c r="I300" s="590" t="s">
        <v>1347</v>
      </c>
      <c r="J300" s="591"/>
      <c r="K300" s="436"/>
      <c r="L300" s="568"/>
      <c r="M300" s="568"/>
      <c r="N300" s="568"/>
    </row>
    <row r="301" ht="15.75" hidden="1" customHeight="1">
      <c r="A301" s="463" t="s">
        <v>580</v>
      </c>
      <c r="B301" s="463" t="s">
        <v>1120</v>
      </c>
      <c r="C301" s="472" t="s">
        <v>1348</v>
      </c>
      <c r="D301" s="545" t="s">
        <v>1030</v>
      </c>
      <c r="E301" s="473">
        <v>45566.0</v>
      </c>
      <c r="F301" s="473">
        <v>45596.0</v>
      </c>
      <c r="G301" s="474">
        <v>100.0</v>
      </c>
      <c r="H301" s="482">
        <v>1212745.0</v>
      </c>
      <c r="I301" s="619" t="s">
        <v>1349</v>
      </c>
      <c r="J301" s="602" t="s">
        <v>1350</v>
      </c>
      <c r="K301" s="445"/>
      <c r="L301" s="571"/>
      <c r="M301" s="568"/>
      <c r="N301" s="568"/>
    </row>
    <row r="302" hidden="1">
      <c r="A302" s="430" t="s">
        <v>1351</v>
      </c>
      <c r="B302" s="430" t="s">
        <v>1120</v>
      </c>
      <c r="C302" s="450" t="s">
        <v>1352</v>
      </c>
      <c r="D302" s="651" t="s">
        <v>1038</v>
      </c>
      <c r="E302" s="652">
        <v>45593.0</v>
      </c>
      <c r="F302" s="432">
        <v>45617.0</v>
      </c>
      <c r="G302" s="433">
        <v>150.0</v>
      </c>
      <c r="H302" s="434">
        <v>1215023.0</v>
      </c>
      <c r="I302" s="590" t="s">
        <v>1353</v>
      </c>
      <c r="J302" s="591" t="s">
        <v>1354</v>
      </c>
      <c r="K302" s="436"/>
      <c r="L302" s="568"/>
      <c r="M302" s="568"/>
      <c r="N302" s="568"/>
    </row>
    <row r="303" hidden="1">
      <c r="A303" s="438" t="s">
        <v>1351</v>
      </c>
      <c r="B303" s="438" t="s">
        <v>1120</v>
      </c>
      <c r="C303" s="472" t="s">
        <v>1355</v>
      </c>
      <c r="D303" s="634" t="s">
        <v>1009</v>
      </c>
      <c r="E303" s="639">
        <v>45597.0</v>
      </c>
      <c r="F303" s="473">
        <v>45617.0</v>
      </c>
      <c r="G303" s="474">
        <v>50.0</v>
      </c>
      <c r="H303" s="482">
        <v>1215028.0</v>
      </c>
      <c r="I303" s="619" t="s">
        <v>1356</v>
      </c>
      <c r="J303" s="602">
        <v>1205020.0</v>
      </c>
      <c r="K303" s="445"/>
      <c r="L303" s="571"/>
      <c r="M303" s="568"/>
      <c r="N303" s="568"/>
    </row>
    <row r="304" hidden="1">
      <c r="A304" s="430" t="s">
        <v>1351</v>
      </c>
      <c r="B304" s="430" t="s">
        <v>1120</v>
      </c>
      <c r="C304" s="483" t="s">
        <v>1357</v>
      </c>
      <c r="D304" s="630" t="s">
        <v>1057</v>
      </c>
      <c r="E304" s="638">
        <v>45614.0</v>
      </c>
      <c r="F304" s="480">
        <v>45628.0</v>
      </c>
      <c r="G304" s="484">
        <v>200.0</v>
      </c>
      <c r="H304" s="471">
        <v>1215027.0</v>
      </c>
      <c r="I304" s="590" t="s">
        <v>1358</v>
      </c>
      <c r="J304" s="591" t="s">
        <v>1359</v>
      </c>
      <c r="K304" s="436"/>
      <c r="L304" s="568"/>
      <c r="M304" s="568"/>
      <c r="N304" s="568"/>
    </row>
    <row r="305" hidden="1">
      <c r="A305" s="463" t="s">
        <v>580</v>
      </c>
      <c r="B305" s="463" t="s">
        <v>576</v>
      </c>
      <c r="C305" s="472" t="s">
        <v>1346</v>
      </c>
      <c r="D305" s="634" t="s">
        <v>956</v>
      </c>
      <c r="E305" s="639">
        <v>45629.0</v>
      </c>
      <c r="F305" s="473">
        <v>45652.0</v>
      </c>
      <c r="G305" s="474">
        <v>150.0</v>
      </c>
      <c r="H305" s="482">
        <v>1213310.0</v>
      </c>
      <c r="I305" s="583" t="s">
        <v>1360</v>
      </c>
      <c r="J305" s="602" t="s">
        <v>1361</v>
      </c>
      <c r="K305" s="445"/>
      <c r="L305" s="571"/>
      <c r="M305" s="568"/>
      <c r="N305" s="568"/>
    </row>
    <row r="306" hidden="1">
      <c r="A306" s="465" t="s">
        <v>1351</v>
      </c>
      <c r="B306" s="465" t="s">
        <v>576</v>
      </c>
      <c r="C306" s="168" t="s">
        <v>1362</v>
      </c>
      <c r="D306" s="630" t="s">
        <v>1363</v>
      </c>
      <c r="E306" s="471" t="s">
        <v>1364</v>
      </c>
      <c r="F306" s="480">
        <v>45694.0</v>
      </c>
      <c r="G306" s="632">
        <v>100.0</v>
      </c>
      <c r="H306" s="604">
        <v>1217300.0</v>
      </c>
      <c r="I306" s="512" t="s">
        <v>1365</v>
      </c>
      <c r="J306" s="591" t="s">
        <v>1366</v>
      </c>
      <c r="K306" s="436"/>
      <c r="L306" s="568"/>
      <c r="M306" s="568"/>
      <c r="N306" s="568"/>
    </row>
    <row r="307" hidden="1">
      <c r="A307" s="463" t="s">
        <v>1351</v>
      </c>
      <c r="B307" s="463" t="s">
        <v>576</v>
      </c>
      <c r="C307" s="516" t="s">
        <v>1367</v>
      </c>
      <c r="D307" s="634" t="s">
        <v>1368</v>
      </c>
      <c r="E307" s="482" t="s">
        <v>1369</v>
      </c>
      <c r="F307" s="473">
        <v>45694.0</v>
      </c>
      <c r="G307" s="635" t="s">
        <v>1370</v>
      </c>
      <c r="H307" s="606" t="s">
        <v>1371</v>
      </c>
      <c r="I307" s="477" t="s">
        <v>1372</v>
      </c>
      <c r="J307" s="602" t="s">
        <v>1373</v>
      </c>
      <c r="K307" s="445"/>
      <c r="L307" s="571"/>
      <c r="M307" s="568"/>
      <c r="N307" s="568"/>
    </row>
    <row r="308" ht="166.5" hidden="1" customHeight="1">
      <c r="A308" s="465" t="s">
        <v>1351</v>
      </c>
      <c r="B308" s="465" t="s">
        <v>576</v>
      </c>
      <c r="C308" s="168" t="s">
        <v>1374</v>
      </c>
      <c r="D308" s="630" t="s">
        <v>1375</v>
      </c>
      <c r="E308" s="471" t="s">
        <v>1376</v>
      </c>
      <c r="F308" s="480">
        <v>45694.0</v>
      </c>
      <c r="G308" s="632" t="s">
        <v>1377</v>
      </c>
      <c r="H308" s="604" t="s">
        <v>1378</v>
      </c>
      <c r="I308" s="512" t="s">
        <v>1372</v>
      </c>
      <c r="J308" s="591" t="s">
        <v>1379</v>
      </c>
      <c r="K308" s="436"/>
      <c r="L308" s="568"/>
      <c r="M308" s="568"/>
      <c r="N308" s="568"/>
    </row>
    <row r="309" ht="92.25" hidden="1" customHeight="1">
      <c r="A309" s="463" t="s">
        <v>1351</v>
      </c>
      <c r="B309" s="463" t="s">
        <v>576</v>
      </c>
      <c r="C309" s="653" t="s">
        <v>1380</v>
      </c>
      <c r="D309" s="654" t="s">
        <v>1381</v>
      </c>
      <c r="E309" s="473">
        <v>45695.0</v>
      </c>
      <c r="F309" s="473">
        <v>45702.0</v>
      </c>
      <c r="G309" s="635">
        <v>100.0</v>
      </c>
      <c r="H309" s="606">
        <v>1217300.0</v>
      </c>
      <c r="I309" s="477" t="s">
        <v>1382</v>
      </c>
      <c r="J309" s="602" t="s">
        <v>1373</v>
      </c>
      <c r="K309" s="445"/>
      <c r="L309" s="571"/>
      <c r="M309" s="568"/>
      <c r="N309" s="568"/>
    </row>
    <row r="310" ht="92.25" hidden="1" customHeight="1">
      <c r="A310" s="465" t="s">
        <v>1351</v>
      </c>
      <c r="B310" s="465" t="s">
        <v>576</v>
      </c>
      <c r="C310" s="655" t="s">
        <v>1374</v>
      </c>
      <c r="D310" s="656" t="s">
        <v>1383</v>
      </c>
      <c r="E310" s="480">
        <v>45695.0</v>
      </c>
      <c r="F310" s="480">
        <v>45702.0</v>
      </c>
      <c r="G310" s="632">
        <v>150.0</v>
      </c>
      <c r="H310" s="604">
        <v>1217331.0</v>
      </c>
      <c r="I310" s="512" t="s">
        <v>1382</v>
      </c>
      <c r="J310" s="591" t="s">
        <v>1379</v>
      </c>
      <c r="K310" s="436"/>
      <c r="L310" s="568"/>
      <c r="M310" s="568"/>
      <c r="N310" s="568"/>
    </row>
    <row r="311" ht="92.25" hidden="1" customHeight="1">
      <c r="A311" s="463" t="s">
        <v>1351</v>
      </c>
      <c r="B311" s="463" t="s">
        <v>576</v>
      </c>
      <c r="C311" s="653" t="s">
        <v>1384</v>
      </c>
      <c r="D311" s="654" t="s">
        <v>1385</v>
      </c>
      <c r="E311" s="473">
        <v>45703.0</v>
      </c>
      <c r="F311" s="473">
        <v>45705.0</v>
      </c>
      <c r="G311" s="635">
        <v>200.0</v>
      </c>
      <c r="H311" s="606">
        <v>1217300.0</v>
      </c>
      <c r="I311" s="477" t="s">
        <v>1386</v>
      </c>
      <c r="J311" s="602" t="s">
        <v>1373</v>
      </c>
      <c r="K311" s="445"/>
      <c r="L311" s="571"/>
      <c r="M311" s="568"/>
      <c r="N311" s="568"/>
    </row>
    <row r="312" ht="92.25" hidden="1" customHeight="1">
      <c r="A312" s="465" t="s">
        <v>1351</v>
      </c>
      <c r="B312" s="465" t="s">
        <v>576</v>
      </c>
      <c r="C312" s="655" t="s">
        <v>1387</v>
      </c>
      <c r="D312" s="656" t="s">
        <v>1388</v>
      </c>
      <c r="E312" s="480">
        <v>45703.0</v>
      </c>
      <c r="F312" s="480">
        <v>45705.0</v>
      </c>
      <c r="G312" s="632">
        <v>250.0</v>
      </c>
      <c r="H312" s="604">
        <v>1217331.0</v>
      </c>
      <c r="I312" s="512" t="s">
        <v>1389</v>
      </c>
      <c r="J312" s="591" t="s">
        <v>1379</v>
      </c>
      <c r="K312" s="436"/>
      <c r="L312" s="568"/>
      <c r="M312" s="568"/>
      <c r="N312" s="568"/>
    </row>
    <row r="313" ht="92.25" hidden="1" customHeight="1">
      <c r="A313" s="463" t="s">
        <v>1351</v>
      </c>
      <c r="B313" s="463" t="s">
        <v>576</v>
      </c>
      <c r="C313" s="653" t="s">
        <v>1390</v>
      </c>
      <c r="D313" s="654" t="s">
        <v>1391</v>
      </c>
      <c r="E313" s="473">
        <v>45706.0</v>
      </c>
      <c r="F313" s="473">
        <v>45718.0</v>
      </c>
      <c r="G313" s="635">
        <v>150.0</v>
      </c>
      <c r="H313" s="606">
        <v>1217300.0</v>
      </c>
      <c r="I313" s="477" t="s">
        <v>1392</v>
      </c>
      <c r="J313" s="602" t="s">
        <v>1373</v>
      </c>
      <c r="K313" s="445"/>
      <c r="L313" s="571"/>
      <c r="M313" s="568"/>
      <c r="N313" s="568"/>
    </row>
    <row r="314" ht="92.25" hidden="1" customHeight="1">
      <c r="A314" s="465" t="s">
        <v>1351</v>
      </c>
      <c r="B314" s="465" t="s">
        <v>576</v>
      </c>
      <c r="C314" s="655" t="s">
        <v>1393</v>
      </c>
      <c r="D314" s="656" t="s">
        <v>1394</v>
      </c>
      <c r="E314" s="480">
        <v>45706.0</v>
      </c>
      <c r="F314" s="480">
        <v>45718.0</v>
      </c>
      <c r="G314" s="632">
        <v>200.0</v>
      </c>
      <c r="H314" s="604">
        <v>1217331.0</v>
      </c>
      <c r="I314" s="512" t="s">
        <v>1395</v>
      </c>
      <c r="J314" s="591" t="s">
        <v>1396</v>
      </c>
      <c r="K314" s="436"/>
      <c r="L314" s="568"/>
      <c r="M314" s="568"/>
      <c r="N314" s="568"/>
    </row>
    <row r="315" ht="145.5" hidden="1" customHeight="1">
      <c r="A315" s="438" t="s">
        <v>1351</v>
      </c>
      <c r="B315" s="438" t="s">
        <v>576</v>
      </c>
      <c r="C315" s="657" t="s">
        <v>1367</v>
      </c>
      <c r="D315" s="634" t="s">
        <v>1397</v>
      </c>
      <c r="E315" s="473">
        <v>45695.0</v>
      </c>
      <c r="F315" s="473">
        <v>45718.0</v>
      </c>
      <c r="G315" s="474" t="s">
        <v>1398</v>
      </c>
      <c r="H315" s="658" t="s">
        <v>1371</v>
      </c>
      <c r="I315" s="477" t="s">
        <v>1382</v>
      </c>
      <c r="J315" s="659" t="s">
        <v>1373</v>
      </c>
      <c r="K315" s="492"/>
      <c r="L315" s="581"/>
      <c r="M315" s="582"/>
      <c r="N315" s="582"/>
    </row>
    <row r="316" ht="145.5" hidden="1" customHeight="1">
      <c r="A316" s="430" t="s">
        <v>1351</v>
      </c>
      <c r="B316" s="430" t="s">
        <v>576</v>
      </c>
      <c r="C316" s="660" t="s">
        <v>1374</v>
      </c>
      <c r="D316" s="630" t="s">
        <v>1399</v>
      </c>
      <c r="E316" s="480">
        <v>45695.0</v>
      </c>
      <c r="F316" s="480">
        <v>45718.0</v>
      </c>
      <c r="G316" s="484" t="s">
        <v>1400</v>
      </c>
      <c r="H316" s="604" t="s">
        <v>1401</v>
      </c>
      <c r="I316" s="512" t="s">
        <v>1382</v>
      </c>
      <c r="J316" s="661" t="s">
        <v>1379</v>
      </c>
      <c r="K316" s="608"/>
      <c r="L316" s="582"/>
      <c r="M316" s="582"/>
      <c r="N316" s="582"/>
    </row>
    <row r="317" ht="104.25" hidden="1" customHeight="1">
      <c r="A317" s="662" t="s">
        <v>1351</v>
      </c>
      <c r="B317" s="662" t="s">
        <v>576</v>
      </c>
      <c r="C317" s="663" t="s">
        <v>1402</v>
      </c>
      <c r="D317" s="664" t="s">
        <v>1030</v>
      </c>
      <c r="E317" s="665">
        <v>45863.0</v>
      </c>
      <c r="F317" s="665">
        <v>45900.0</v>
      </c>
      <c r="G317" s="666">
        <v>100.0</v>
      </c>
      <c r="H317" s="667">
        <v>1225281.0</v>
      </c>
      <c r="I317" s="668" t="s">
        <v>1403</v>
      </c>
      <c r="J317" s="669" t="s">
        <v>1404</v>
      </c>
      <c r="K317" s="670"/>
      <c r="L317" s="671"/>
      <c r="M317" s="671"/>
      <c r="N317" s="671"/>
    </row>
    <row r="318" ht="104.25" hidden="1" customHeight="1">
      <c r="A318" s="465" t="s">
        <v>1351</v>
      </c>
      <c r="B318" s="465" t="s">
        <v>576</v>
      </c>
      <c r="C318" s="168" t="s">
        <v>1405</v>
      </c>
      <c r="D318" s="630" t="s">
        <v>1038</v>
      </c>
      <c r="E318" s="480">
        <v>45881.0</v>
      </c>
      <c r="F318" s="480">
        <v>45903.0</v>
      </c>
      <c r="G318" s="484">
        <v>150.0</v>
      </c>
      <c r="H318" s="604">
        <v>1222068.0</v>
      </c>
      <c r="I318" s="591"/>
      <c r="J318" s="591" t="s">
        <v>1406</v>
      </c>
      <c r="K318" s="608"/>
      <c r="L318" s="582"/>
      <c r="M318" s="582"/>
      <c r="N318" s="582"/>
    </row>
    <row r="319" ht="104.25" customHeight="1">
      <c r="A319" s="465" t="s">
        <v>1351</v>
      </c>
      <c r="B319" s="465" t="s">
        <v>1120</v>
      </c>
      <c r="C319" s="168" t="s">
        <v>1407</v>
      </c>
      <c r="D319" s="630" t="s">
        <v>1147</v>
      </c>
      <c r="E319" s="480">
        <v>45925.0</v>
      </c>
      <c r="F319" s="480">
        <v>45963.0</v>
      </c>
      <c r="G319" s="484">
        <v>20.0</v>
      </c>
      <c r="H319" s="604">
        <v>1230083.0</v>
      </c>
      <c r="I319" s="512" t="s">
        <v>1408</v>
      </c>
      <c r="J319" s="591" t="s">
        <v>1409</v>
      </c>
      <c r="K319" s="608"/>
      <c r="L319" s="582"/>
      <c r="M319" s="582"/>
      <c r="N319" s="582"/>
    </row>
    <row r="320" ht="104.25" customHeight="1">
      <c r="A320" s="465" t="s">
        <v>580</v>
      </c>
      <c r="B320" s="465" t="s">
        <v>576</v>
      </c>
      <c r="C320" s="168" t="s">
        <v>1410</v>
      </c>
      <c r="D320" s="630" t="s">
        <v>1411</v>
      </c>
      <c r="E320" s="480">
        <v>45931.0</v>
      </c>
      <c r="F320" s="480">
        <v>45977.0</v>
      </c>
      <c r="G320" s="484">
        <v>300.0</v>
      </c>
      <c r="H320" s="604">
        <v>1225266.0</v>
      </c>
      <c r="I320" s="512" t="s">
        <v>1412</v>
      </c>
      <c r="J320" s="591" t="s">
        <v>1413</v>
      </c>
      <c r="K320" s="608"/>
      <c r="L320" s="582"/>
      <c r="M320" s="582"/>
      <c r="N320" s="582"/>
    </row>
    <row r="321" ht="104.25" customHeight="1">
      <c r="A321" s="465" t="s">
        <v>580</v>
      </c>
      <c r="B321" s="465" t="s">
        <v>576</v>
      </c>
      <c r="C321" s="168" t="s">
        <v>1414</v>
      </c>
      <c r="D321" s="630" t="s">
        <v>1030</v>
      </c>
      <c r="E321" s="480">
        <v>45931.0</v>
      </c>
      <c r="F321" s="480">
        <v>45977.0</v>
      </c>
      <c r="G321" s="484">
        <v>100.0</v>
      </c>
      <c r="H321" s="604">
        <v>1225267.0</v>
      </c>
      <c r="I321" s="591" t="s">
        <v>1138</v>
      </c>
      <c r="J321" s="591" t="s">
        <v>1415</v>
      </c>
      <c r="K321" s="608"/>
      <c r="L321" s="582"/>
      <c r="M321" s="582"/>
      <c r="N321" s="582"/>
    </row>
    <row r="322" ht="104.25" customHeight="1">
      <c r="A322" s="465" t="s">
        <v>580</v>
      </c>
      <c r="B322" s="465" t="s">
        <v>576</v>
      </c>
      <c r="C322" s="168" t="s">
        <v>1416</v>
      </c>
      <c r="D322" s="630" t="s">
        <v>1030</v>
      </c>
      <c r="E322" s="480">
        <v>45943.0</v>
      </c>
      <c r="F322" s="480">
        <v>45977.0</v>
      </c>
      <c r="G322" s="484">
        <v>100.0</v>
      </c>
      <c r="H322" s="604">
        <v>1229908.0</v>
      </c>
      <c r="I322" s="591" t="s">
        <v>1417</v>
      </c>
      <c r="J322" s="591" t="s">
        <v>1418</v>
      </c>
      <c r="K322" s="608"/>
      <c r="L322" s="582"/>
      <c r="M322" s="582"/>
      <c r="N322" s="582"/>
    </row>
    <row r="323" ht="104.25" customHeight="1">
      <c r="A323" s="465" t="s">
        <v>1351</v>
      </c>
      <c r="B323" s="465" t="s">
        <v>1120</v>
      </c>
      <c r="C323" s="168" t="s">
        <v>1419</v>
      </c>
      <c r="D323" s="630" t="s">
        <v>1057</v>
      </c>
      <c r="E323" s="480">
        <v>45936.0</v>
      </c>
      <c r="F323" s="672">
        <v>45977.0</v>
      </c>
      <c r="G323" s="484">
        <v>200.0</v>
      </c>
      <c r="H323" s="604">
        <v>1220545.0</v>
      </c>
      <c r="I323" s="591" t="s">
        <v>1417</v>
      </c>
      <c r="J323" s="591" t="s">
        <v>1420</v>
      </c>
      <c r="K323" s="608"/>
      <c r="L323" s="582"/>
      <c r="M323" s="582"/>
      <c r="N323" s="582"/>
    </row>
    <row r="324" ht="104.25" customHeight="1">
      <c r="A324" s="465" t="s">
        <v>1351</v>
      </c>
      <c r="B324" s="465" t="s">
        <v>1120</v>
      </c>
      <c r="C324" s="168" t="s">
        <v>1421</v>
      </c>
      <c r="D324" s="630" t="s">
        <v>1030</v>
      </c>
      <c r="E324" s="480">
        <v>45936.0</v>
      </c>
      <c r="F324" s="672">
        <v>45977.0</v>
      </c>
      <c r="G324" s="484">
        <v>100.0</v>
      </c>
      <c r="H324" s="604">
        <v>1230783.0</v>
      </c>
      <c r="I324" s="591" t="s">
        <v>1417</v>
      </c>
      <c r="J324" s="591" t="s">
        <v>1422</v>
      </c>
      <c r="K324" s="608"/>
      <c r="L324" s="582"/>
      <c r="M324" s="582"/>
      <c r="N324" s="582"/>
    </row>
    <row r="325" ht="104.25" customHeight="1">
      <c r="A325" s="465" t="s">
        <v>1351</v>
      </c>
      <c r="B325" s="465" t="s">
        <v>1120</v>
      </c>
      <c r="C325" s="168" t="s">
        <v>1423</v>
      </c>
      <c r="D325" s="630" t="s">
        <v>1030</v>
      </c>
      <c r="E325" s="480">
        <v>45936.0</v>
      </c>
      <c r="F325" s="672">
        <v>45977.0</v>
      </c>
      <c r="G325" s="484">
        <v>100.0</v>
      </c>
      <c r="H325" s="604">
        <v>1230088.0</v>
      </c>
      <c r="I325" s="591" t="s">
        <v>1417</v>
      </c>
      <c r="J325" s="591" t="s">
        <v>1424</v>
      </c>
      <c r="K325" s="608"/>
      <c r="L325" s="582"/>
      <c r="M325" s="582"/>
      <c r="N325" s="582"/>
    </row>
    <row r="326" ht="104.25" customHeight="1">
      <c r="A326" s="465" t="s">
        <v>1351</v>
      </c>
      <c r="B326" s="465" t="s">
        <v>1120</v>
      </c>
      <c r="C326" s="168" t="s">
        <v>1425</v>
      </c>
      <c r="D326" s="630" t="s">
        <v>1057</v>
      </c>
      <c r="E326" s="480">
        <v>45936.0</v>
      </c>
      <c r="F326" s="672">
        <v>45977.0</v>
      </c>
      <c r="G326" s="484">
        <v>200.0</v>
      </c>
      <c r="H326" s="604">
        <v>1230089.0</v>
      </c>
      <c r="I326" s="512" t="s">
        <v>1426</v>
      </c>
      <c r="J326" s="591" t="s">
        <v>1424</v>
      </c>
      <c r="K326" s="608"/>
      <c r="L326" s="582"/>
      <c r="M326" s="582"/>
      <c r="N326" s="582"/>
    </row>
    <row r="327" ht="104.25" customHeight="1">
      <c r="A327" s="465" t="s">
        <v>580</v>
      </c>
      <c r="B327" s="465" t="s">
        <v>576</v>
      </c>
      <c r="C327" s="168" t="s">
        <v>1427</v>
      </c>
      <c r="D327" s="630" t="s">
        <v>1030</v>
      </c>
      <c r="E327" s="480">
        <v>45936.0</v>
      </c>
      <c r="F327" s="672">
        <v>45977.0</v>
      </c>
      <c r="G327" s="484">
        <v>100.0</v>
      </c>
      <c r="H327" s="604">
        <v>1217300.0</v>
      </c>
      <c r="I327" s="591" t="s">
        <v>1417</v>
      </c>
      <c r="J327" s="591" t="s">
        <v>1428</v>
      </c>
      <c r="K327" s="608"/>
      <c r="L327" s="582"/>
      <c r="M327" s="582"/>
      <c r="N327" s="582"/>
    </row>
    <row r="328" ht="104.25" customHeight="1">
      <c r="A328" s="465" t="s">
        <v>1351</v>
      </c>
      <c r="B328" s="465" t="s">
        <v>1120</v>
      </c>
      <c r="C328" s="168" t="s">
        <v>1429</v>
      </c>
      <c r="D328" s="630" t="s">
        <v>1030</v>
      </c>
      <c r="E328" s="480">
        <v>45950.0</v>
      </c>
      <c r="F328" s="672">
        <v>45977.0</v>
      </c>
      <c r="G328" s="484">
        <v>100.0</v>
      </c>
      <c r="H328" s="604">
        <v>1230784.0</v>
      </c>
      <c r="I328" s="591" t="s">
        <v>1417</v>
      </c>
      <c r="J328" s="591" t="s">
        <v>1430</v>
      </c>
      <c r="K328" s="608"/>
      <c r="L328" s="582"/>
      <c r="M328" s="582"/>
      <c r="N328" s="582"/>
    </row>
    <row r="329" ht="104.25" customHeight="1">
      <c r="A329" s="465" t="s">
        <v>580</v>
      </c>
      <c r="B329" s="465" t="s">
        <v>576</v>
      </c>
      <c r="C329" s="168" t="s">
        <v>1431</v>
      </c>
      <c r="D329" s="630" t="s">
        <v>1030</v>
      </c>
      <c r="E329" s="480">
        <v>45957.0</v>
      </c>
      <c r="F329" s="672">
        <v>45970.0</v>
      </c>
      <c r="G329" s="484">
        <v>100.0</v>
      </c>
      <c r="H329" s="604">
        <v>1219934.0</v>
      </c>
      <c r="I329" s="591" t="s">
        <v>1417</v>
      </c>
      <c r="J329" s="591" t="s">
        <v>1432</v>
      </c>
      <c r="K329" s="608"/>
      <c r="L329" s="582"/>
      <c r="M329" s="582"/>
      <c r="N329" s="582"/>
    </row>
    <row r="330" ht="104.25" customHeight="1">
      <c r="A330" s="465" t="s">
        <v>165</v>
      </c>
      <c r="B330" s="465" t="s">
        <v>576</v>
      </c>
      <c r="C330" s="168" t="s">
        <v>1433</v>
      </c>
      <c r="D330" s="630" t="s">
        <v>1030</v>
      </c>
      <c r="E330" s="480">
        <v>45993.0</v>
      </c>
      <c r="F330" s="672">
        <v>46019.0</v>
      </c>
      <c r="G330" s="484">
        <v>100.0</v>
      </c>
      <c r="H330" s="604">
        <v>1225281.0</v>
      </c>
      <c r="I330" s="591"/>
      <c r="J330" s="591" t="s">
        <v>1434</v>
      </c>
      <c r="K330" s="608"/>
      <c r="L330" s="582"/>
      <c r="M330" s="582"/>
      <c r="N330" s="582"/>
    </row>
    <row r="331" ht="104.25" customHeight="1">
      <c r="A331" s="465" t="s">
        <v>165</v>
      </c>
      <c r="B331" s="465" t="s">
        <v>576</v>
      </c>
      <c r="C331" s="168" t="s">
        <v>1435</v>
      </c>
      <c r="D331" s="630" t="s">
        <v>1030</v>
      </c>
      <c r="E331" s="480">
        <v>45993.0</v>
      </c>
      <c r="F331" s="672">
        <v>46019.0</v>
      </c>
      <c r="G331" s="484">
        <v>100.0</v>
      </c>
      <c r="H331" s="604">
        <v>1217331.0</v>
      </c>
      <c r="I331" s="591"/>
      <c r="J331" s="591" t="s">
        <v>1436</v>
      </c>
      <c r="K331" s="608"/>
      <c r="L331" s="582"/>
      <c r="M331" s="582"/>
      <c r="N331" s="582"/>
    </row>
    <row r="332">
      <c r="A332" s="650" t="s">
        <v>1437</v>
      </c>
      <c r="B332" s="56"/>
      <c r="C332" s="56"/>
      <c r="D332" s="56"/>
      <c r="E332" s="56"/>
      <c r="F332" s="56"/>
      <c r="G332" s="56"/>
      <c r="H332" s="56"/>
      <c r="I332" s="56"/>
      <c r="J332" s="57"/>
      <c r="K332" s="436"/>
      <c r="L332" s="568"/>
      <c r="M332" s="568"/>
      <c r="N332" s="568"/>
    </row>
    <row r="333" ht="104.25" customHeight="1">
      <c r="A333" s="465" t="s">
        <v>1438</v>
      </c>
      <c r="B333" s="465" t="s">
        <v>576</v>
      </c>
      <c r="C333" s="168" t="s">
        <v>1439</v>
      </c>
      <c r="D333" s="673" t="s">
        <v>1030</v>
      </c>
      <c r="E333" s="674">
        <v>45961.0</v>
      </c>
      <c r="F333" s="480">
        <v>45992.0</v>
      </c>
      <c r="G333" s="484">
        <v>100.0</v>
      </c>
      <c r="H333" s="604">
        <v>1229807.0</v>
      </c>
      <c r="I333" s="591"/>
      <c r="J333" s="591" t="s">
        <v>1440</v>
      </c>
      <c r="K333" s="608"/>
      <c r="L333" s="582"/>
      <c r="M333" s="582"/>
      <c r="N333" s="582"/>
    </row>
    <row r="334" ht="104.25" customHeight="1">
      <c r="A334" s="465" t="s">
        <v>1438</v>
      </c>
      <c r="B334" s="465" t="s">
        <v>576</v>
      </c>
      <c r="C334" s="168" t="s">
        <v>1441</v>
      </c>
      <c r="D334" s="673" t="s">
        <v>1030</v>
      </c>
      <c r="E334" s="674">
        <v>45975.0</v>
      </c>
      <c r="F334" s="480">
        <v>46022.0</v>
      </c>
      <c r="G334" s="484">
        <v>100.0</v>
      </c>
      <c r="H334" s="604">
        <v>1227462.0</v>
      </c>
      <c r="I334" s="591"/>
      <c r="J334" s="591" t="s">
        <v>1442</v>
      </c>
      <c r="K334" s="608"/>
      <c r="L334" s="582"/>
      <c r="M334" s="582"/>
      <c r="N334" s="582"/>
    </row>
    <row r="335" ht="104.25" customHeight="1">
      <c r="A335" s="465" t="s">
        <v>1438</v>
      </c>
      <c r="B335" s="465" t="s">
        <v>576</v>
      </c>
      <c r="C335" s="168" t="s">
        <v>1443</v>
      </c>
      <c r="D335" s="673" t="s">
        <v>1038</v>
      </c>
      <c r="E335" s="674">
        <v>45975.0</v>
      </c>
      <c r="F335" s="480">
        <v>46022.0</v>
      </c>
      <c r="G335" s="484">
        <v>150.0</v>
      </c>
      <c r="H335" s="604">
        <v>1227461.0</v>
      </c>
      <c r="I335" s="591"/>
      <c r="J335" s="591" t="s">
        <v>1444</v>
      </c>
      <c r="K335" s="608"/>
      <c r="L335" s="582"/>
      <c r="M335" s="582"/>
      <c r="N335" s="582"/>
    </row>
    <row r="336">
      <c r="A336" s="650" t="s">
        <v>1445</v>
      </c>
      <c r="B336" s="56"/>
      <c r="C336" s="56"/>
      <c r="D336" s="56"/>
      <c r="E336" s="56"/>
      <c r="F336" s="56"/>
      <c r="G336" s="56"/>
      <c r="H336" s="56"/>
      <c r="I336" s="56"/>
      <c r="J336" s="57"/>
      <c r="K336" s="436"/>
      <c r="L336" s="568"/>
      <c r="M336" s="568"/>
      <c r="N336" s="568"/>
    </row>
    <row r="337">
      <c r="A337" s="463" t="s">
        <v>1445</v>
      </c>
      <c r="B337" s="463" t="s">
        <v>1002</v>
      </c>
      <c r="C337" s="516" t="s">
        <v>1446</v>
      </c>
      <c r="D337" s="562" t="s">
        <v>1447</v>
      </c>
      <c r="E337" s="473">
        <v>45931.0</v>
      </c>
      <c r="F337" s="473">
        <v>45947.0</v>
      </c>
      <c r="G337" s="474">
        <v>100.0</v>
      </c>
      <c r="H337" s="606">
        <v>1225401.0</v>
      </c>
      <c r="I337" s="477" t="s">
        <v>1448</v>
      </c>
      <c r="J337" s="602" t="s">
        <v>1449</v>
      </c>
      <c r="K337" s="492"/>
      <c r="L337" s="581"/>
      <c r="M337" s="582"/>
      <c r="N337" s="582"/>
    </row>
    <row r="338">
      <c r="A338" s="465" t="s">
        <v>1445</v>
      </c>
      <c r="B338" s="465" t="s">
        <v>1002</v>
      </c>
      <c r="C338" s="168" t="s">
        <v>1446</v>
      </c>
      <c r="D338" s="559" t="s">
        <v>1447</v>
      </c>
      <c r="E338" s="480">
        <v>45975.0</v>
      </c>
      <c r="F338" s="480">
        <v>46022.0</v>
      </c>
      <c r="G338" s="484">
        <v>100.0</v>
      </c>
      <c r="H338" s="604">
        <v>1225401.0</v>
      </c>
      <c r="I338" s="591"/>
      <c r="J338" s="591" t="s">
        <v>1449</v>
      </c>
      <c r="K338" s="608"/>
      <c r="L338" s="582"/>
      <c r="M338" s="582"/>
      <c r="N338" s="582"/>
    </row>
    <row r="339">
      <c r="A339" s="463" t="s">
        <v>1445</v>
      </c>
      <c r="B339" s="463" t="s">
        <v>1002</v>
      </c>
      <c r="C339" s="516" t="s">
        <v>1450</v>
      </c>
      <c r="D339" s="562" t="s">
        <v>1009</v>
      </c>
      <c r="E339" s="473">
        <v>45942.0</v>
      </c>
      <c r="F339" s="473">
        <v>45957.0</v>
      </c>
      <c r="G339" s="474">
        <v>50.0</v>
      </c>
      <c r="H339" s="606">
        <v>1230396.0</v>
      </c>
      <c r="I339" s="591"/>
      <c r="J339" s="602" t="s">
        <v>1451</v>
      </c>
      <c r="K339" s="492"/>
      <c r="L339" s="581"/>
      <c r="M339" s="582"/>
      <c r="N339" s="582"/>
    </row>
    <row r="340" ht="104.25" hidden="1" customHeight="1">
      <c r="A340" s="465" t="s">
        <v>1166</v>
      </c>
      <c r="B340" s="465" t="s">
        <v>576</v>
      </c>
      <c r="C340" s="168" t="s">
        <v>1452</v>
      </c>
      <c r="D340" s="630" t="s">
        <v>1453</v>
      </c>
      <c r="E340" s="480">
        <v>45777.0</v>
      </c>
      <c r="F340" s="480">
        <v>45784.0</v>
      </c>
      <c r="G340" s="484">
        <v>200.0</v>
      </c>
      <c r="H340" s="604">
        <v>1221374.0</v>
      </c>
      <c r="I340" s="591" t="s">
        <v>1179</v>
      </c>
      <c r="J340" s="591" t="s">
        <v>1454</v>
      </c>
      <c r="K340" s="608"/>
      <c r="L340" s="582"/>
      <c r="M340" s="582"/>
      <c r="N340" s="582"/>
    </row>
    <row r="341" ht="15.75" hidden="1" customHeight="1">
      <c r="A341" s="463" t="s">
        <v>607</v>
      </c>
      <c r="B341" s="463" t="s">
        <v>576</v>
      </c>
      <c r="C341" s="472" t="s">
        <v>1455</v>
      </c>
      <c r="D341" s="545" t="s">
        <v>1030</v>
      </c>
      <c r="E341" s="473">
        <v>45488.0</v>
      </c>
      <c r="F341" s="473">
        <v>45508.0</v>
      </c>
      <c r="G341" s="474">
        <v>100.0</v>
      </c>
      <c r="H341" s="482">
        <v>1210176.0</v>
      </c>
      <c r="I341" s="463"/>
      <c r="J341" s="602" t="s">
        <v>1456</v>
      </c>
      <c r="K341" s="445"/>
      <c r="L341" s="571"/>
      <c r="M341" s="568"/>
      <c r="N341" s="568"/>
    </row>
    <row r="342" ht="15.75" hidden="1" customHeight="1">
      <c r="A342" s="465" t="s">
        <v>607</v>
      </c>
      <c r="B342" s="465" t="s">
        <v>576</v>
      </c>
      <c r="C342" s="483" t="s">
        <v>1457</v>
      </c>
      <c r="D342" s="544" t="s">
        <v>1057</v>
      </c>
      <c r="E342" s="480">
        <v>45488.0</v>
      </c>
      <c r="F342" s="480">
        <v>45502.0</v>
      </c>
      <c r="G342" s="484">
        <v>200.0</v>
      </c>
      <c r="H342" s="471">
        <v>1210177.0</v>
      </c>
      <c r="I342" s="465"/>
      <c r="J342" s="591">
        <v>1200290.0</v>
      </c>
      <c r="K342" s="436"/>
      <c r="L342" s="568"/>
      <c r="M342" s="568"/>
      <c r="N342" s="568"/>
    </row>
    <row r="343" ht="15.75" hidden="1" customHeight="1">
      <c r="A343" s="463" t="s">
        <v>1166</v>
      </c>
      <c r="B343" s="463" t="s">
        <v>576</v>
      </c>
      <c r="C343" s="472" t="s">
        <v>1458</v>
      </c>
      <c r="D343" s="545" t="s">
        <v>1030</v>
      </c>
      <c r="E343" s="473">
        <v>45525.0</v>
      </c>
      <c r="F343" s="473">
        <v>45543.0</v>
      </c>
      <c r="G343" s="474">
        <v>100.0</v>
      </c>
      <c r="H343" s="482">
        <v>1205858.0</v>
      </c>
      <c r="I343" s="463"/>
      <c r="J343" s="602" t="s">
        <v>1459</v>
      </c>
      <c r="K343" s="445"/>
      <c r="L343" s="571"/>
      <c r="M343" s="568"/>
      <c r="N343" s="568"/>
    </row>
    <row r="344" hidden="1">
      <c r="A344" s="465" t="s">
        <v>1166</v>
      </c>
      <c r="B344" s="465" t="s">
        <v>576</v>
      </c>
      <c r="C344" s="483" t="s">
        <v>1460</v>
      </c>
      <c r="D344" s="544" t="s">
        <v>1204</v>
      </c>
      <c r="E344" s="480">
        <v>45688.0</v>
      </c>
      <c r="F344" s="480">
        <v>45702.0</v>
      </c>
      <c r="G344" s="632">
        <v>70.0</v>
      </c>
      <c r="H344" s="471">
        <v>1218172.0</v>
      </c>
      <c r="I344" s="465"/>
      <c r="J344" s="591" t="s">
        <v>1461</v>
      </c>
      <c r="K344" s="436"/>
      <c r="L344" s="568"/>
      <c r="M344" s="568"/>
      <c r="N344" s="568"/>
    </row>
    <row r="345" hidden="1">
      <c r="A345" s="463" t="s">
        <v>1166</v>
      </c>
      <c r="B345" s="463" t="s">
        <v>576</v>
      </c>
      <c r="C345" s="472" t="s">
        <v>1462</v>
      </c>
      <c r="D345" s="545" t="s">
        <v>1057</v>
      </c>
      <c r="E345" s="473">
        <v>45688.0</v>
      </c>
      <c r="F345" s="473">
        <v>45702.0</v>
      </c>
      <c r="G345" s="635">
        <v>200.0</v>
      </c>
      <c r="H345" s="482">
        <v>1218174.0</v>
      </c>
      <c r="I345" s="463"/>
      <c r="J345" s="602" t="s">
        <v>1461</v>
      </c>
      <c r="K345" s="445"/>
      <c r="L345" s="571"/>
      <c r="M345" s="568"/>
      <c r="N345" s="568"/>
    </row>
    <row r="346" hidden="1">
      <c r="A346" s="465" t="s">
        <v>1166</v>
      </c>
      <c r="B346" s="465" t="s">
        <v>576</v>
      </c>
      <c r="C346" s="483" t="s">
        <v>1463</v>
      </c>
      <c r="D346" s="544" t="s">
        <v>1009</v>
      </c>
      <c r="E346" s="480">
        <v>45688.0</v>
      </c>
      <c r="F346" s="480">
        <v>45702.0</v>
      </c>
      <c r="G346" s="632">
        <v>50.0</v>
      </c>
      <c r="H346" s="471">
        <v>1218173.0</v>
      </c>
      <c r="I346" s="465"/>
      <c r="J346" s="591" t="s">
        <v>1461</v>
      </c>
      <c r="K346" s="436"/>
      <c r="L346" s="568"/>
      <c r="M346" s="568"/>
      <c r="N346" s="568"/>
    </row>
    <row r="347">
      <c r="A347" s="650" t="s">
        <v>404</v>
      </c>
      <c r="B347" s="80"/>
      <c r="C347" s="80"/>
      <c r="D347" s="80"/>
      <c r="E347" s="80"/>
      <c r="F347" s="80"/>
      <c r="G347" s="80"/>
      <c r="H347" s="80"/>
      <c r="I347" s="80"/>
      <c r="J347" s="81"/>
      <c r="K347" s="445"/>
      <c r="L347" s="571"/>
      <c r="M347" s="568"/>
      <c r="N347" s="568"/>
    </row>
    <row r="348" hidden="1">
      <c r="A348" s="590" t="s">
        <v>1464</v>
      </c>
      <c r="B348" s="465" t="s">
        <v>576</v>
      </c>
      <c r="C348" s="483" t="s">
        <v>1465</v>
      </c>
      <c r="D348" s="544" t="s">
        <v>1020</v>
      </c>
      <c r="E348" s="480">
        <v>45474.0</v>
      </c>
      <c r="F348" s="480">
        <v>45504.0</v>
      </c>
      <c r="G348" s="484">
        <v>30.0</v>
      </c>
      <c r="H348" s="471">
        <v>1201254.0</v>
      </c>
      <c r="I348" s="465" t="s">
        <v>1179</v>
      </c>
      <c r="J348" s="591" t="s">
        <v>1149</v>
      </c>
      <c r="K348" s="436"/>
      <c r="L348" s="568"/>
      <c r="M348" s="568"/>
      <c r="N348" s="568"/>
    </row>
    <row r="349" ht="60.75" hidden="1" customHeight="1">
      <c r="A349" s="619" t="s">
        <v>1466</v>
      </c>
      <c r="B349" s="463" t="s">
        <v>576</v>
      </c>
      <c r="C349" s="472" t="s">
        <v>1467</v>
      </c>
      <c r="D349" s="545" t="s">
        <v>1009</v>
      </c>
      <c r="E349" s="473">
        <v>45474.0</v>
      </c>
      <c r="F349" s="473">
        <v>45487.0</v>
      </c>
      <c r="G349" s="474">
        <v>50.0</v>
      </c>
      <c r="H349" s="482">
        <v>1201033.0</v>
      </c>
      <c r="I349" s="619" t="s">
        <v>1468</v>
      </c>
      <c r="J349" s="602" t="s">
        <v>1469</v>
      </c>
      <c r="K349" s="445"/>
      <c r="L349" s="571"/>
      <c r="M349" s="568"/>
      <c r="N349" s="568"/>
    </row>
    <row r="350" ht="46.5" hidden="1" customHeight="1">
      <c r="A350" s="465" t="s">
        <v>670</v>
      </c>
      <c r="B350" s="465" t="s">
        <v>576</v>
      </c>
      <c r="C350" s="483" t="s">
        <v>1470</v>
      </c>
      <c r="D350" s="544" t="s">
        <v>1020</v>
      </c>
      <c r="E350" s="480">
        <v>45474.0</v>
      </c>
      <c r="F350" s="480">
        <v>45488.0</v>
      </c>
      <c r="G350" s="484">
        <v>30.0</v>
      </c>
      <c r="H350" s="471">
        <v>1201251.0</v>
      </c>
      <c r="I350" s="590" t="s">
        <v>1471</v>
      </c>
      <c r="J350" s="591" t="s">
        <v>1472</v>
      </c>
      <c r="K350" s="436"/>
      <c r="L350" s="568"/>
      <c r="M350" s="568"/>
      <c r="N350" s="568"/>
    </row>
    <row r="351" ht="66.75" hidden="1" customHeight="1">
      <c r="A351" s="463" t="s">
        <v>670</v>
      </c>
      <c r="B351" s="463" t="s">
        <v>576</v>
      </c>
      <c r="C351" s="472" t="s">
        <v>1470</v>
      </c>
      <c r="D351" s="545" t="s">
        <v>1009</v>
      </c>
      <c r="E351" s="473">
        <v>45488.0</v>
      </c>
      <c r="F351" s="473">
        <v>45516.0</v>
      </c>
      <c r="G351" s="474">
        <v>50.0</v>
      </c>
      <c r="H351" s="482">
        <v>1201251.0</v>
      </c>
      <c r="I351" s="619" t="s">
        <v>1473</v>
      </c>
      <c r="J351" s="602" t="s">
        <v>1472</v>
      </c>
      <c r="K351" s="445"/>
      <c r="L351" s="571"/>
      <c r="M351" s="568"/>
      <c r="N351" s="568"/>
    </row>
    <row r="352" ht="39.75" hidden="1" customHeight="1">
      <c r="A352" s="465" t="s">
        <v>670</v>
      </c>
      <c r="B352" s="465" t="s">
        <v>576</v>
      </c>
      <c r="C352" s="483" t="s">
        <v>1467</v>
      </c>
      <c r="D352" s="544" t="s">
        <v>1020</v>
      </c>
      <c r="E352" s="480">
        <v>45488.0</v>
      </c>
      <c r="F352" s="480">
        <v>45504.0</v>
      </c>
      <c r="G352" s="484">
        <v>30.0</v>
      </c>
      <c r="H352" s="471">
        <v>1201033.0</v>
      </c>
      <c r="I352" s="590" t="s">
        <v>1471</v>
      </c>
      <c r="J352" s="591" t="s">
        <v>1469</v>
      </c>
      <c r="K352" s="436"/>
      <c r="L352" s="568"/>
      <c r="M352" s="568"/>
      <c r="N352" s="568"/>
    </row>
    <row r="353" hidden="1">
      <c r="A353" s="463" t="s">
        <v>670</v>
      </c>
      <c r="B353" s="463" t="s">
        <v>576</v>
      </c>
      <c r="C353" s="472" t="s">
        <v>1141</v>
      </c>
      <c r="D353" s="545" t="s">
        <v>1030</v>
      </c>
      <c r="E353" s="473">
        <v>45474.0</v>
      </c>
      <c r="F353" s="473">
        <v>45504.0</v>
      </c>
      <c r="G353" s="474">
        <v>100.0</v>
      </c>
      <c r="H353" s="482">
        <v>1196917.0</v>
      </c>
      <c r="I353" s="619" t="s">
        <v>1474</v>
      </c>
      <c r="J353" s="602" t="s">
        <v>1475</v>
      </c>
      <c r="K353" s="445"/>
      <c r="L353" s="571"/>
      <c r="M353" s="568"/>
      <c r="N353" s="568"/>
    </row>
    <row r="354" hidden="1">
      <c r="A354" s="465" t="s">
        <v>670</v>
      </c>
      <c r="B354" s="465" t="s">
        <v>576</v>
      </c>
      <c r="C354" s="483" t="s">
        <v>1476</v>
      </c>
      <c r="D354" s="544" t="s">
        <v>1030</v>
      </c>
      <c r="E354" s="480">
        <v>45474.0</v>
      </c>
      <c r="F354" s="480">
        <v>45504.0</v>
      </c>
      <c r="G354" s="484">
        <v>100.0</v>
      </c>
      <c r="H354" s="471">
        <v>1207534.0</v>
      </c>
      <c r="I354" s="590" t="s">
        <v>1474</v>
      </c>
      <c r="J354" s="591" t="s">
        <v>729</v>
      </c>
      <c r="K354" s="436"/>
      <c r="L354" s="568"/>
      <c r="M354" s="568"/>
      <c r="N354" s="568"/>
    </row>
    <row r="355" hidden="1">
      <c r="A355" s="463" t="s">
        <v>670</v>
      </c>
      <c r="B355" s="463" t="s">
        <v>576</v>
      </c>
      <c r="C355" s="472" t="s">
        <v>1078</v>
      </c>
      <c r="D355" s="545" t="s">
        <v>1038</v>
      </c>
      <c r="E355" s="473">
        <v>45474.0</v>
      </c>
      <c r="F355" s="473">
        <v>45503.0</v>
      </c>
      <c r="G355" s="474">
        <v>150.0</v>
      </c>
      <c r="H355" s="482">
        <v>1206476.0</v>
      </c>
      <c r="I355" s="619" t="s">
        <v>1477</v>
      </c>
      <c r="J355" s="602" t="s">
        <v>1116</v>
      </c>
      <c r="K355" s="445"/>
      <c r="L355" s="571"/>
      <c r="M355" s="568"/>
      <c r="N355" s="568"/>
    </row>
    <row r="356" hidden="1">
      <c r="A356" s="465" t="s">
        <v>670</v>
      </c>
      <c r="B356" s="465" t="s">
        <v>576</v>
      </c>
      <c r="C356" s="483" t="s">
        <v>1223</v>
      </c>
      <c r="D356" s="544" t="s">
        <v>1057</v>
      </c>
      <c r="E356" s="480">
        <v>45474.0</v>
      </c>
      <c r="F356" s="480">
        <v>45504.0</v>
      </c>
      <c r="G356" s="484">
        <v>200.0</v>
      </c>
      <c r="H356" s="471">
        <v>1206477.0</v>
      </c>
      <c r="I356" s="590" t="s">
        <v>1478</v>
      </c>
      <c r="J356" s="591" t="s">
        <v>1140</v>
      </c>
      <c r="K356" s="436"/>
      <c r="L356" s="568"/>
      <c r="M356" s="568"/>
      <c r="N356" s="568"/>
    </row>
    <row r="357" hidden="1">
      <c r="A357" s="463" t="s">
        <v>670</v>
      </c>
      <c r="B357" s="463" t="s">
        <v>1120</v>
      </c>
      <c r="C357" s="472" t="s">
        <v>1479</v>
      </c>
      <c r="D357" s="545" t="s">
        <v>1030</v>
      </c>
      <c r="E357" s="473">
        <v>45474.0</v>
      </c>
      <c r="F357" s="473">
        <v>45504.0</v>
      </c>
      <c r="G357" s="474">
        <v>100.0</v>
      </c>
      <c r="H357" s="482">
        <v>1206466.0</v>
      </c>
      <c r="I357" s="463" t="s">
        <v>1179</v>
      </c>
      <c r="J357" s="602">
        <v>1205053.0</v>
      </c>
      <c r="K357" s="445"/>
      <c r="L357" s="571"/>
      <c r="M357" s="568"/>
      <c r="N357" s="568"/>
    </row>
    <row r="358" hidden="1">
      <c r="A358" s="465" t="s">
        <v>670</v>
      </c>
      <c r="B358" s="465" t="s">
        <v>576</v>
      </c>
      <c r="C358" s="483" t="s">
        <v>1078</v>
      </c>
      <c r="D358" s="544" t="s">
        <v>1038</v>
      </c>
      <c r="E358" s="480">
        <v>45506.0</v>
      </c>
      <c r="F358" s="480">
        <v>45519.0</v>
      </c>
      <c r="G358" s="484">
        <v>150.0</v>
      </c>
      <c r="H358" s="471">
        <v>1206476.0</v>
      </c>
      <c r="I358" s="465"/>
      <c r="J358" s="591" t="s">
        <v>1081</v>
      </c>
      <c r="K358" s="436"/>
      <c r="L358" s="568"/>
      <c r="M358" s="568"/>
      <c r="N358" s="568"/>
    </row>
    <row r="359" hidden="1">
      <c r="A359" s="463" t="s">
        <v>670</v>
      </c>
      <c r="B359" s="463" t="s">
        <v>576</v>
      </c>
      <c r="C359" s="472" t="s">
        <v>1141</v>
      </c>
      <c r="D359" s="545" t="s">
        <v>1030</v>
      </c>
      <c r="E359" s="473">
        <v>45506.0</v>
      </c>
      <c r="F359" s="473">
        <v>45519.0</v>
      </c>
      <c r="G359" s="474">
        <v>100.0</v>
      </c>
      <c r="H359" s="482">
        <v>1196917.0</v>
      </c>
      <c r="I359" s="463"/>
      <c r="J359" s="602" t="s">
        <v>1480</v>
      </c>
      <c r="K359" s="445"/>
      <c r="L359" s="571"/>
      <c r="M359" s="568"/>
      <c r="N359" s="568"/>
    </row>
    <row r="360" hidden="1">
      <c r="A360" s="465" t="s">
        <v>404</v>
      </c>
      <c r="B360" s="465" t="s">
        <v>1002</v>
      </c>
      <c r="C360" s="465" t="s">
        <v>1481</v>
      </c>
      <c r="D360" s="486" t="s">
        <v>1482</v>
      </c>
      <c r="E360" s="675">
        <v>45561.0</v>
      </c>
      <c r="F360" s="675">
        <v>45596.0</v>
      </c>
      <c r="G360" s="561">
        <v>150.0</v>
      </c>
      <c r="H360" s="557">
        <v>1212681.0</v>
      </c>
      <c r="I360" s="676" t="s">
        <v>1483</v>
      </c>
      <c r="J360" s="168" t="s">
        <v>1484</v>
      </c>
      <c r="K360" s="513"/>
      <c r="L360" s="436"/>
      <c r="M360" s="437"/>
      <c r="N360" s="437"/>
    </row>
    <row r="361" hidden="1">
      <c r="A361" s="463" t="s">
        <v>404</v>
      </c>
      <c r="B361" s="463" t="s">
        <v>1002</v>
      </c>
      <c r="C361" s="463" t="s">
        <v>1485</v>
      </c>
      <c r="D361" s="470" t="s">
        <v>1486</v>
      </c>
      <c r="E361" s="677">
        <v>45561.0</v>
      </c>
      <c r="F361" s="677">
        <v>45596.0</v>
      </c>
      <c r="G361" s="564">
        <v>100.0</v>
      </c>
      <c r="H361" s="558">
        <v>1212686.0</v>
      </c>
      <c r="I361" s="678" t="s">
        <v>1483</v>
      </c>
      <c r="J361" s="516" t="s">
        <v>1487</v>
      </c>
      <c r="K361" s="531"/>
      <c r="L361" s="445"/>
      <c r="M361" s="437"/>
      <c r="N361" s="437"/>
    </row>
    <row r="362" hidden="1">
      <c r="A362" s="465" t="s">
        <v>404</v>
      </c>
      <c r="B362" s="465" t="s">
        <v>1002</v>
      </c>
      <c r="C362" s="465" t="s">
        <v>1488</v>
      </c>
      <c r="D362" s="486" t="s">
        <v>1057</v>
      </c>
      <c r="E362" s="675">
        <v>45561.0</v>
      </c>
      <c r="F362" s="675">
        <v>45596.0</v>
      </c>
      <c r="G362" s="561">
        <v>200.0</v>
      </c>
      <c r="H362" s="557">
        <v>1212685.0</v>
      </c>
      <c r="I362" s="676" t="s">
        <v>1483</v>
      </c>
      <c r="J362" s="168">
        <v>1212684.0</v>
      </c>
      <c r="K362" s="513"/>
      <c r="L362" s="436"/>
      <c r="M362" s="437"/>
      <c r="N362" s="437"/>
    </row>
    <row r="363" hidden="1">
      <c r="A363" s="463" t="s">
        <v>404</v>
      </c>
      <c r="B363" s="463" t="s">
        <v>974</v>
      </c>
      <c r="C363" s="463" t="s">
        <v>1489</v>
      </c>
      <c r="D363" s="470" t="s">
        <v>1490</v>
      </c>
      <c r="E363" s="679">
        <v>45581.0</v>
      </c>
      <c r="F363" s="679">
        <v>45595.0</v>
      </c>
      <c r="G363" s="564">
        <v>150.0</v>
      </c>
      <c r="H363" s="558">
        <v>1205074.0</v>
      </c>
      <c r="I363" s="619" t="s">
        <v>1491</v>
      </c>
      <c r="J363" s="516">
        <v>1204937.0</v>
      </c>
      <c r="K363" s="531"/>
      <c r="L363" s="445"/>
      <c r="M363" s="437"/>
      <c r="N363" s="437"/>
    </row>
    <row r="364" hidden="1">
      <c r="A364" s="465" t="s">
        <v>404</v>
      </c>
      <c r="B364" s="465" t="s">
        <v>974</v>
      </c>
      <c r="C364" s="465" t="s">
        <v>1492</v>
      </c>
      <c r="D364" s="486" t="s">
        <v>1260</v>
      </c>
      <c r="E364" s="675">
        <v>45586.0</v>
      </c>
      <c r="F364" s="680">
        <v>45595.0</v>
      </c>
      <c r="G364" s="561">
        <v>50.0</v>
      </c>
      <c r="H364" s="557">
        <v>1212731.0</v>
      </c>
      <c r="I364" s="590" t="s">
        <v>1493</v>
      </c>
      <c r="J364" s="168" t="s">
        <v>1494</v>
      </c>
      <c r="K364" s="513"/>
      <c r="L364" s="436"/>
      <c r="M364" s="437"/>
      <c r="N364" s="437"/>
    </row>
    <row r="365" ht="55.5" customHeight="1">
      <c r="A365" s="463" t="s">
        <v>670</v>
      </c>
      <c r="B365" s="463" t="s">
        <v>576</v>
      </c>
      <c r="C365" s="463" t="s">
        <v>1495</v>
      </c>
      <c r="D365" s="470" t="s">
        <v>1030</v>
      </c>
      <c r="E365" s="677">
        <v>45931.0</v>
      </c>
      <c r="F365" s="677">
        <v>45960.0</v>
      </c>
      <c r="G365" s="635">
        <v>100.0</v>
      </c>
      <c r="H365" s="558">
        <v>1228865.0</v>
      </c>
      <c r="I365" s="678" t="s">
        <v>1496</v>
      </c>
      <c r="J365" s="516" t="s">
        <v>1497</v>
      </c>
      <c r="K365" s="492"/>
      <c r="L365" s="492"/>
      <c r="M365" s="493"/>
      <c r="N365" s="493"/>
    </row>
    <row r="366" ht="55.5" customHeight="1">
      <c r="A366" s="465" t="s">
        <v>670</v>
      </c>
      <c r="B366" s="465" t="s">
        <v>576</v>
      </c>
      <c r="C366" s="465" t="s">
        <v>1498</v>
      </c>
      <c r="D366" s="486" t="s">
        <v>1030</v>
      </c>
      <c r="E366" s="675">
        <v>45962.0</v>
      </c>
      <c r="F366" s="675">
        <v>45991.0</v>
      </c>
      <c r="G366" s="632">
        <v>100.0</v>
      </c>
      <c r="H366" s="557">
        <v>1228865.0</v>
      </c>
      <c r="I366" s="168"/>
      <c r="J366" s="168" t="s">
        <v>1499</v>
      </c>
      <c r="K366" s="608"/>
      <c r="L366" s="608"/>
      <c r="M366" s="493"/>
      <c r="N366" s="493"/>
    </row>
    <row r="367" ht="55.5" hidden="1" customHeight="1">
      <c r="A367" s="438" t="s">
        <v>404</v>
      </c>
      <c r="B367" s="438" t="s">
        <v>1002</v>
      </c>
      <c r="C367" s="438" t="s">
        <v>1500</v>
      </c>
      <c r="D367" s="681" t="s">
        <v>1501</v>
      </c>
      <c r="E367" s="682">
        <v>45734.0</v>
      </c>
      <c r="F367" s="683">
        <v>45734.0</v>
      </c>
      <c r="G367" s="635">
        <v>400.0</v>
      </c>
      <c r="H367" s="684">
        <v>1219024.0</v>
      </c>
      <c r="I367" s="678" t="s">
        <v>1502</v>
      </c>
      <c r="J367" s="657" t="s">
        <v>1503</v>
      </c>
      <c r="K367" s="492"/>
      <c r="L367" s="492"/>
      <c r="M367" s="493"/>
      <c r="N367" s="493"/>
    </row>
    <row r="368" ht="55.5" hidden="1" customHeight="1">
      <c r="A368" s="430" t="s">
        <v>404</v>
      </c>
      <c r="B368" s="430" t="s">
        <v>1002</v>
      </c>
      <c r="C368" s="430" t="s">
        <v>1504</v>
      </c>
      <c r="D368" s="685" t="s">
        <v>1130</v>
      </c>
      <c r="E368" s="686">
        <v>45734.0</v>
      </c>
      <c r="F368" s="687">
        <v>45734.0</v>
      </c>
      <c r="G368" s="632">
        <v>300.0</v>
      </c>
      <c r="H368" s="688">
        <v>1212681.0</v>
      </c>
      <c r="I368" s="676" t="s">
        <v>1505</v>
      </c>
      <c r="J368" s="660" t="s">
        <v>1484</v>
      </c>
      <c r="K368" s="608"/>
      <c r="L368" s="608"/>
      <c r="M368" s="493"/>
      <c r="N368" s="493"/>
    </row>
    <row r="369" ht="87.0" hidden="1" customHeight="1">
      <c r="A369" s="463" t="s">
        <v>1438</v>
      </c>
      <c r="B369" s="463" t="s">
        <v>576</v>
      </c>
      <c r="C369" s="463" t="s">
        <v>1506</v>
      </c>
      <c r="D369" s="463" t="s">
        <v>1030</v>
      </c>
      <c r="E369" s="689">
        <v>45777.0</v>
      </c>
      <c r="F369" s="690">
        <v>45784.0</v>
      </c>
      <c r="G369" s="635">
        <v>100.0</v>
      </c>
      <c r="H369" s="463">
        <v>1222221.0</v>
      </c>
      <c r="I369" s="463" t="s">
        <v>1179</v>
      </c>
      <c r="J369" s="463" t="s">
        <v>1507</v>
      </c>
      <c r="K369" s="445"/>
      <c r="L369" s="691"/>
      <c r="M369" s="692"/>
      <c r="N369" s="692"/>
    </row>
    <row r="370" ht="81.0" hidden="1" customHeight="1">
      <c r="A370" s="168" t="s">
        <v>1437</v>
      </c>
      <c r="B370" s="168" t="s">
        <v>576</v>
      </c>
      <c r="C370" s="168" t="s">
        <v>1508</v>
      </c>
      <c r="D370" s="168" t="s">
        <v>1030</v>
      </c>
      <c r="E370" s="693">
        <v>45665.0</v>
      </c>
      <c r="F370" s="694">
        <v>45692.0</v>
      </c>
      <c r="G370" s="561">
        <v>100.0</v>
      </c>
      <c r="H370" s="688">
        <v>1214450.0</v>
      </c>
      <c r="I370" s="676" t="s">
        <v>1509</v>
      </c>
      <c r="J370" s="168">
        <v>1209813.0</v>
      </c>
      <c r="K370" s="608"/>
      <c r="L370" s="582"/>
      <c r="M370" s="695"/>
      <c r="N370" s="695"/>
    </row>
    <row r="371" ht="15.75" hidden="1" customHeight="1">
      <c r="A371" s="463" t="s">
        <v>1438</v>
      </c>
      <c r="B371" s="463" t="s">
        <v>1510</v>
      </c>
      <c r="C371" s="472" t="s">
        <v>1511</v>
      </c>
      <c r="D371" s="545" t="s">
        <v>1009</v>
      </c>
      <c r="E371" s="473">
        <v>45555.0</v>
      </c>
      <c r="F371" s="473">
        <v>45565.0</v>
      </c>
      <c r="G371" s="474">
        <v>50.0</v>
      </c>
      <c r="H371" s="482">
        <v>1213448.0</v>
      </c>
      <c r="I371" s="619" t="s">
        <v>1512</v>
      </c>
      <c r="J371" s="602">
        <v>1209814.0</v>
      </c>
      <c r="K371" s="445"/>
      <c r="L371" s="571"/>
      <c r="M371" s="568"/>
      <c r="N371" s="568"/>
    </row>
    <row r="372" ht="15.75" hidden="1" customHeight="1">
      <c r="A372" s="465" t="s">
        <v>1438</v>
      </c>
      <c r="B372" s="465" t="s">
        <v>1510</v>
      </c>
      <c r="C372" s="483" t="s">
        <v>1513</v>
      </c>
      <c r="D372" s="544" t="s">
        <v>1514</v>
      </c>
      <c r="E372" s="480">
        <v>45566.0</v>
      </c>
      <c r="F372" s="480">
        <v>45596.0</v>
      </c>
      <c r="G372" s="484">
        <v>80.0</v>
      </c>
      <c r="H372" s="471">
        <v>1213420.0</v>
      </c>
      <c r="I372" s="590" t="s">
        <v>1515</v>
      </c>
      <c r="J372" s="591">
        <v>1209815.0</v>
      </c>
      <c r="K372" s="436"/>
      <c r="L372" s="568"/>
      <c r="M372" s="568"/>
      <c r="N372" s="568"/>
    </row>
    <row r="373" ht="26.25" hidden="1" customHeight="1">
      <c r="A373" s="463" t="s">
        <v>1438</v>
      </c>
      <c r="B373" s="463" t="s">
        <v>576</v>
      </c>
      <c r="C373" s="472" t="s">
        <v>1516</v>
      </c>
      <c r="D373" s="545" t="s">
        <v>1204</v>
      </c>
      <c r="E373" s="473">
        <v>45582.0</v>
      </c>
      <c r="F373" s="473">
        <v>45592.0</v>
      </c>
      <c r="G373" s="474">
        <v>70.0</v>
      </c>
      <c r="H373" s="482">
        <v>1214449.0</v>
      </c>
      <c r="I373" s="619" t="s">
        <v>1517</v>
      </c>
      <c r="J373" s="602" t="s">
        <v>1518</v>
      </c>
      <c r="K373" s="445"/>
      <c r="L373" s="571"/>
      <c r="M373" s="568"/>
      <c r="N373" s="568"/>
    </row>
    <row r="374" ht="26.25" hidden="1" customHeight="1">
      <c r="A374" s="465" t="s">
        <v>1438</v>
      </c>
      <c r="B374" s="465" t="s">
        <v>576</v>
      </c>
      <c r="C374" s="483" t="s">
        <v>1519</v>
      </c>
      <c r="D374" s="544" t="s">
        <v>1193</v>
      </c>
      <c r="E374" s="480">
        <v>45582.0</v>
      </c>
      <c r="F374" s="480">
        <v>45592.0</v>
      </c>
      <c r="G374" s="484">
        <v>350.0</v>
      </c>
      <c r="H374" s="471">
        <v>1214450.0</v>
      </c>
      <c r="I374" s="590" t="s">
        <v>1520</v>
      </c>
      <c r="J374" s="591" t="s">
        <v>1521</v>
      </c>
      <c r="K374" s="436"/>
      <c r="L374" s="568"/>
      <c r="M374" s="568"/>
      <c r="N374" s="568"/>
    </row>
    <row r="375" hidden="1">
      <c r="A375" s="463" t="s">
        <v>1522</v>
      </c>
      <c r="B375" s="463" t="s">
        <v>576</v>
      </c>
      <c r="C375" s="463" t="s">
        <v>1523</v>
      </c>
      <c r="D375" s="463" t="s">
        <v>1009</v>
      </c>
      <c r="E375" s="696">
        <v>45776.0</v>
      </c>
      <c r="F375" s="690">
        <v>45782.0</v>
      </c>
      <c r="G375" s="697">
        <v>50.0</v>
      </c>
      <c r="H375" s="463" t="s">
        <v>1524</v>
      </c>
      <c r="I375" s="463" t="s">
        <v>1179</v>
      </c>
      <c r="J375" s="463" t="s">
        <v>1524</v>
      </c>
      <c r="K375" s="445"/>
      <c r="L375" s="691"/>
      <c r="M375" s="692"/>
      <c r="N375" s="692"/>
    </row>
    <row r="376" ht="78.75" hidden="1" customHeight="1">
      <c r="A376" s="168" t="s">
        <v>607</v>
      </c>
      <c r="B376" s="168" t="s">
        <v>576</v>
      </c>
      <c r="C376" s="168" t="s">
        <v>1525</v>
      </c>
      <c r="D376" s="168" t="s">
        <v>1030</v>
      </c>
      <c r="E376" s="698">
        <v>45687.0</v>
      </c>
      <c r="F376" s="698">
        <v>45722.0</v>
      </c>
      <c r="G376" s="632">
        <v>100.0</v>
      </c>
      <c r="H376" s="557">
        <v>1217970.0</v>
      </c>
      <c r="I376" s="699" t="s">
        <v>1526</v>
      </c>
      <c r="J376" s="168">
        <v>1220527.0</v>
      </c>
      <c r="K376" s="436"/>
      <c r="L376" s="700"/>
      <c r="M376" s="700"/>
      <c r="N376" s="700"/>
    </row>
    <row r="377" ht="78.75" hidden="1" customHeight="1">
      <c r="A377" s="516" t="s">
        <v>607</v>
      </c>
      <c r="B377" s="516" t="s">
        <v>576</v>
      </c>
      <c r="C377" s="516" t="s">
        <v>1527</v>
      </c>
      <c r="D377" s="516" t="s">
        <v>1193</v>
      </c>
      <c r="E377" s="701">
        <v>45693.0</v>
      </c>
      <c r="F377" s="701">
        <v>45722.0</v>
      </c>
      <c r="G377" s="635">
        <v>350.0</v>
      </c>
      <c r="H377" s="558">
        <v>1218013.0</v>
      </c>
      <c r="I377" s="678" t="s">
        <v>1528</v>
      </c>
      <c r="J377" s="516" t="s">
        <v>1529</v>
      </c>
      <c r="K377" s="445"/>
      <c r="L377" s="702"/>
      <c r="M377" s="700"/>
      <c r="N377" s="700"/>
    </row>
    <row r="378" ht="78.75" hidden="1" customHeight="1">
      <c r="A378" s="168" t="s">
        <v>607</v>
      </c>
      <c r="B378" s="168" t="s">
        <v>576</v>
      </c>
      <c r="C378" s="168" t="s">
        <v>1530</v>
      </c>
      <c r="D378" s="168" t="s">
        <v>1531</v>
      </c>
      <c r="E378" s="698">
        <v>45693.0</v>
      </c>
      <c r="F378" s="698">
        <v>45718.0</v>
      </c>
      <c r="G378" s="632">
        <v>170.0</v>
      </c>
      <c r="H378" s="557">
        <v>1218018.0</v>
      </c>
      <c r="I378" s="703" t="s">
        <v>1532</v>
      </c>
      <c r="J378" s="168" t="s">
        <v>1533</v>
      </c>
      <c r="K378" s="436"/>
      <c r="L378" s="700"/>
      <c r="M378" s="700"/>
      <c r="N378" s="700"/>
    </row>
    <row r="379" ht="78.75" hidden="1" customHeight="1">
      <c r="A379" s="516" t="s">
        <v>607</v>
      </c>
      <c r="B379" s="516" t="s">
        <v>576</v>
      </c>
      <c r="C379" s="516" t="s">
        <v>1534</v>
      </c>
      <c r="D379" s="516" t="s">
        <v>1057</v>
      </c>
      <c r="E379" s="701">
        <v>45693.0</v>
      </c>
      <c r="F379" s="704">
        <v>45717.0</v>
      </c>
      <c r="G379" s="635">
        <v>200.0</v>
      </c>
      <c r="H379" s="558">
        <v>1218020.0</v>
      </c>
      <c r="I379" s="678" t="s">
        <v>1535</v>
      </c>
      <c r="J379" s="516" t="s">
        <v>1536</v>
      </c>
      <c r="K379" s="445"/>
      <c r="L379" s="702"/>
      <c r="M379" s="700"/>
      <c r="N379" s="700"/>
    </row>
    <row r="380" ht="20.25" customHeight="1">
      <c r="A380" s="650" t="s">
        <v>1522</v>
      </c>
      <c r="B380" s="56"/>
      <c r="C380" s="56"/>
      <c r="D380" s="56"/>
      <c r="E380" s="56"/>
      <c r="F380" s="56"/>
      <c r="G380" s="56"/>
      <c r="H380" s="56"/>
      <c r="I380" s="56"/>
      <c r="J380" s="57"/>
      <c r="K380" s="608"/>
      <c r="L380" s="582"/>
      <c r="M380" s="582"/>
      <c r="N380" s="582"/>
    </row>
    <row r="381" ht="55.5" customHeight="1">
      <c r="A381" s="463" t="s">
        <v>607</v>
      </c>
      <c r="B381" s="463" t="s">
        <v>576</v>
      </c>
      <c r="C381" s="463" t="s">
        <v>1537</v>
      </c>
      <c r="D381" s="470" t="s">
        <v>1030</v>
      </c>
      <c r="E381" s="677">
        <v>45931.0</v>
      </c>
      <c r="F381" s="677">
        <v>45960.0</v>
      </c>
      <c r="G381" s="635">
        <v>100.0</v>
      </c>
      <c r="H381" s="558">
        <v>1230508.0</v>
      </c>
      <c r="I381" s="516"/>
      <c r="J381" s="516" t="s">
        <v>1538</v>
      </c>
      <c r="K381" s="492"/>
      <c r="L381" s="492"/>
      <c r="M381" s="493"/>
      <c r="N381" s="493"/>
    </row>
    <row r="382">
      <c r="A382" s="650" t="s">
        <v>1539</v>
      </c>
      <c r="B382" s="56"/>
      <c r="C382" s="56"/>
      <c r="D382" s="56"/>
      <c r="E382" s="56"/>
      <c r="F382" s="56"/>
      <c r="G382" s="56"/>
      <c r="H382" s="56"/>
      <c r="I382" s="56"/>
      <c r="J382" s="57"/>
      <c r="K382" s="608"/>
      <c r="L382" s="582"/>
      <c r="M382" s="582"/>
      <c r="N382" s="582"/>
    </row>
    <row r="383" ht="55.5" customHeight="1">
      <c r="A383" s="463" t="s">
        <v>1539</v>
      </c>
      <c r="B383" s="463" t="s">
        <v>576</v>
      </c>
      <c r="C383" s="463" t="s">
        <v>1540</v>
      </c>
      <c r="D383" s="705" t="s">
        <v>1057</v>
      </c>
      <c r="E383" s="677">
        <v>45931.0</v>
      </c>
      <c r="F383" s="677">
        <v>45951.0</v>
      </c>
      <c r="G383" s="635">
        <v>200.0</v>
      </c>
      <c r="H383" s="558">
        <v>1220353.0</v>
      </c>
      <c r="I383" s="516"/>
      <c r="J383" s="516" t="s">
        <v>1541</v>
      </c>
      <c r="K383" s="492"/>
      <c r="L383" s="492"/>
      <c r="M383" s="493"/>
      <c r="N383" s="493"/>
    </row>
    <row r="384" ht="55.5" customHeight="1">
      <c r="A384" s="465" t="s">
        <v>1539</v>
      </c>
      <c r="B384" s="465" t="s">
        <v>576</v>
      </c>
      <c r="C384" s="465" t="s">
        <v>1542</v>
      </c>
      <c r="D384" s="572" t="s">
        <v>1009</v>
      </c>
      <c r="E384" s="675">
        <v>45946.0</v>
      </c>
      <c r="F384" s="675">
        <v>45974.0</v>
      </c>
      <c r="G384" s="632">
        <v>50.0</v>
      </c>
      <c r="H384" s="557">
        <v>1231203.0</v>
      </c>
      <c r="I384" s="168"/>
      <c r="J384" s="168" t="s">
        <v>1543</v>
      </c>
      <c r="K384" s="608"/>
      <c r="L384" s="608"/>
      <c r="M384" s="493"/>
      <c r="N384" s="493"/>
    </row>
    <row r="385" ht="55.5" customHeight="1">
      <c r="A385" s="463" t="s">
        <v>1539</v>
      </c>
      <c r="B385" s="463" t="s">
        <v>576</v>
      </c>
      <c r="C385" s="463" t="s">
        <v>1544</v>
      </c>
      <c r="D385" s="705" t="s">
        <v>1009</v>
      </c>
      <c r="E385" s="677">
        <v>45946.0</v>
      </c>
      <c r="F385" s="677">
        <v>45991.0</v>
      </c>
      <c r="G385" s="635">
        <v>50.0</v>
      </c>
      <c r="H385" s="558">
        <v>1231224.0</v>
      </c>
      <c r="I385" s="516"/>
      <c r="J385" s="516" t="s">
        <v>1545</v>
      </c>
      <c r="K385" s="492"/>
      <c r="L385" s="492"/>
      <c r="M385" s="493"/>
      <c r="N385" s="493"/>
    </row>
    <row r="386" ht="55.5" customHeight="1">
      <c r="A386" s="465" t="s">
        <v>1001</v>
      </c>
      <c r="B386" s="465" t="s">
        <v>1546</v>
      </c>
      <c r="C386" s="465" t="s">
        <v>1547</v>
      </c>
      <c r="D386" s="572" t="s">
        <v>1030</v>
      </c>
      <c r="E386" s="675">
        <v>45961.0</v>
      </c>
      <c r="F386" s="675">
        <v>45974.0</v>
      </c>
      <c r="G386" s="632">
        <v>100.0</v>
      </c>
      <c r="H386" s="557">
        <v>1231221.0</v>
      </c>
      <c r="I386" s="168"/>
      <c r="J386" s="168" t="s">
        <v>1548</v>
      </c>
      <c r="K386" s="608"/>
      <c r="L386" s="608"/>
      <c r="M386" s="493"/>
      <c r="N386" s="493"/>
    </row>
    <row r="387" ht="55.5" customHeight="1">
      <c r="A387" s="463" t="s">
        <v>1001</v>
      </c>
      <c r="B387" s="463" t="s">
        <v>576</v>
      </c>
      <c r="C387" s="463" t="s">
        <v>1549</v>
      </c>
      <c r="D387" s="705" t="s">
        <v>1038</v>
      </c>
      <c r="E387" s="677">
        <v>45967.0</v>
      </c>
      <c r="F387" s="677">
        <v>45991.0</v>
      </c>
      <c r="G387" s="635">
        <v>150.0</v>
      </c>
      <c r="H387" s="558">
        <v>1231738.0</v>
      </c>
      <c r="I387" s="516"/>
      <c r="J387" s="516" t="s">
        <v>1550</v>
      </c>
      <c r="K387" s="492"/>
      <c r="L387" s="492"/>
      <c r="M387" s="493"/>
      <c r="N387" s="493"/>
    </row>
    <row r="388" ht="55.5" customHeight="1">
      <c r="A388" s="465" t="s">
        <v>1001</v>
      </c>
      <c r="B388" s="465" t="s">
        <v>576</v>
      </c>
      <c r="C388" s="465" t="s">
        <v>1551</v>
      </c>
      <c r="D388" s="572" t="s">
        <v>1030</v>
      </c>
      <c r="E388" s="675">
        <v>45967.0</v>
      </c>
      <c r="F388" s="675">
        <v>45991.0</v>
      </c>
      <c r="G388" s="632">
        <v>100.0</v>
      </c>
      <c r="H388" s="557">
        <v>1231739.0</v>
      </c>
      <c r="I388" s="168"/>
      <c r="J388" s="168" t="s">
        <v>1552</v>
      </c>
      <c r="K388" s="608"/>
      <c r="L388" s="608"/>
      <c r="M388" s="493"/>
      <c r="N388" s="493"/>
    </row>
    <row r="389" ht="55.5" customHeight="1">
      <c r="A389" s="463" t="s">
        <v>1001</v>
      </c>
      <c r="B389" s="463" t="s">
        <v>576</v>
      </c>
      <c r="C389" s="463" t="s">
        <v>1553</v>
      </c>
      <c r="D389" s="705" t="s">
        <v>1009</v>
      </c>
      <c r="E389" s="677">
        <v>45998.0</v>
      </c>
      <c r="F389" s="677">
        <v>45663.0</v>
      </c>
      <c r="G389" s="635">
        <v>50.0</v>
      </c>
      <c r="H389" s="558">
        <v>1231223.0</v>
      </c>
      <c r="I389" s="516"/>
      <c r="J389" s="516" t="s">
        <v>1554</v>
      </c>
      <c r="K389" s="492"/>
      <c r="L389" s="492"/>
      <c r="M389" s="493"/>
      <c r="N389" s="493"/>
    </row>
    <row r="390" ht="55.5" customHeight="1">
      <c r="A390" s="465" t="s">
        <v>1001</v>
      </c>
      <c r="B390" s="465" t="s">
        <v>576</v>
      </c>
      <c r="C390" s="465" t="s">
        <v>1555</v>
      </c>
      <c r="D390" s="572" t="s">
        <v>1030</v>
      </c>
      <c r="E390" s="675">
        <v>45999.0</v>
      </c>
      <c r="F390" s="675">
        <v>45663.0</v>
      </c>
      <c r="G390" s="632">
        <v>100.0</v>
      </c>
      <c r="H390" s="557">
        <v>1231209.0</v>
      </c>
      <c r="I390" s="168"/>
      <c r="J390" s="168" t="s">
        <v>1556</v>
      </c>
      <c r="K390" s="608"/>
      <c r="L390" s="608"/>
      <c r="M390" s="493"/>
      <c r="N390" s="493"/>
    </row>
    <row r="391" hidden="1">
      <c r="A391" s="504" t="s">
        <v>1132</v>
      </c>
      <c r="B391" s="504" t="s">
        <v>576</v>
      </c>
      <c r="C391" s="609" t="s">
        <v>1557</v>
      </c>
      <c r="D391" s="610" t="s">
        <v>1558</v>
      </c>
      <c r="E391" s="506">
        <v>45469.0</v>
      </c>
      <c r="F391" s="706">
        <v>45473.0</v>
      </c>
      <c r="G391" s="507">
        <v>70.0</v>
      </c>
      <c r="H391" s="508" t="s">
        <v>1559</v>
      </c>
      <c r="I391" s="707" t="s">
        <v>1560</v>
      </c>
      <c r="J391" s="505">
        <v>1216797.0</v>
      </c>
      <c r="K391" s="708"/>
      <c r="L391" s="613"/>
      <c r="M391" s="624"/>
      <c r="N391" s="624"/>
    </row>
    <row r="392" hidden="1">
      <c r="A392" s="592" t="s">
        <v>679</v>
      </c>
      <c r="B392" s="592" t="s">
        <v>576</v>
      </c>
      <c r="C392" s="593" t="s">
        <v>1561</v>
      </c>
      <c r="D392" s="615" t="s">
        <v>1038</v>
      </c>
      <c r="E392" s="595">
        <v>45478.0</v>
      </c>
      <c r="F392" s="595">
        <v>45488.0</v>
      </c>
      <c r="G392" s="596">
        <v>150.0</v>
      </c>
      <c r="H392" s="597" t="s">
        <v>1562</v>
      </c>
      <c r="I392" s="616" t="s">
        <v>1563</v>
      </c>
      <c r="J392" s="617"/>
      <c r="K392" s="618"/>
      <c r="L392" s="599"/>
      <c r="M392" s="599"/>
      <c r="N392" s="599"/>
    </row>
    <row r="393" hidden="1">
      <c r="A393" s="463" t="s">
        <v>585</v>
      </c>
      <c r="B393" s="463" t="s">
        <v>576</v>
      </c>
      <c r="C393" s="472" t="s">
        <v>1564</v>
      </c>
      <c r="D393" s="545" t="s">
        <v>1565</v>
      </c>
      <c r="E393" s="473">
        <v>45499.0</v>
      </c>
      <c r="F393" s="473">
        <v>45501.0</v>
      </c>
      <c r="G393" s="474">
        <v>50.0</v>
      </c>
      <c r="H393" s="482">
        <v>1210629.0</v>
      </c>
      <c r="I393" s="619" t="s">
        <v>1566</v>
      </c>
      <c r="J393" s="602" t="s">
        <v>1177</v>
      </c>
      <c r="K393" s="445"/>
      <c r="L393" s="571"/>
      <c r="M393" s="568"/>
      <c r="N393" s="568"/>
    </row>
    <row r="394" hidden="1">
      <c r="A394" s="465" t="s">
        <v>1438</v>
      </c>
      <c r="B394" s="465" t="s">
        <v>576</v>
      </c>
      <c r="C394" s="483" t="s">
        <v>1567</v>
      </c>
      <c r="D394" s="544" t="s">
        <v>1038</v>
      </c>
      <c r="E394" s="480">
        <v>45517.0</v>
      </c>
      <c r="F394" s="480">
        <v>45540.0</v>
      </c>
      <c r="G394" s="484">
        <v>150.0</v>
      </c>
      <c r="H394" s="471">
        <v>1210285.0</v>
      </c>
      <c r="I394" s="465"/>
      <c r="J394" s="591" t="s">
        <v>1568</v>
      </c>
      <c r="K394" s="436"/>
      <c r="L394" s="568"/>
      <c r="M394" s="568"/>
      <c r="N394" s="568"/>
    </row>
    <row r="395" ht="197.25" hidden="1" customHeight="1">
      <c r="A395" s="463" t="s">
        <v>1438</v>
      </c>
      <c r="B395" s="463" t="s">
        <v>576</v>
      </c>
      <c r="C395" s="472" t="s">
        <v>1569</v>
      </c>
      <c r="D395" s="545" t="s">
        <v>1057</v>
      </c>
      <c r="E395" s="473">
        <v>45517.0</v>
      </c>
      <c r="F395" s="473">
        <v>45540.0</v>
      </c>
      <c r="G395" s="474">
        <v>200.0</v>
      </c>
      <c r="H395" s="534">
        <v>1210286.0</v>
      </c>
      <c r="I395" s="463"/>
      <c r="J395" s="602" t="s">
        <v>1570</v>
      </c>
      <c r="K395" s="445"/>
      <c r="L395" s="571"/>
      <c r="M395" s="568"/>
      <c r="N395" s="568"/>
    </row>
    <row r="396" hidden="1">
      <c r="A396" s="465" t="s">
        <v>1438</v>
      </c>
      <c r="B396" s="465" t="s">
        <v>576</v>
      </c>
      <c r="C396" s="483" t="s">
        <v>1571</v>
      </c>
      <c r="D396" s="544" t="s">
        <v>1130</v>
      </c>
      <c r="E396" s="480">
        <v>45517.0</v>
      </c>
      <c r="F396" s="480">
        <v>45540.0</v>
      </c>
      <c r="G396" s="484">
        <v>300.0</v>
      </c>
      <c r="H396" s="471">
        <v>1210287.0</v>
      </c>
      <c r="I396" s="465"/>
      <c r="J396" s="591" t="s">
        <v>1572</v>
      </c>
      <c r="K396" s="436"/>
      <c r="L396" s="568"/>
      <c r="M396" s="568"/>
      <c r="N396" s="568"/>
    </row>
    <row r="397" hidden="1">
      <c r="A397" s="463" t="s">
        <v>1438</v>
      </c>
      <c r="B397" s="463" t="s">
        <v>576</v>
      </c>
      <c r="C397" s="472" t="s">
        <v>1567</v>
      </c>
      <c r="D397" s="545" t="s">
        <v>1030</v>
      </c>
      <c r="E397" s="473">
        <v>45541.0</v>
      </c>
      <c r="F397" s="473">
        <v>45543.0</v>
      </c>
      <c r="G397" s="474">
        <v>100.0</v>
      </c>
      <c r="H397" s="482">
        <v>1210285.0</v>
      </c>
      <c r="I397" s="463"/>
      <c r="J397" s="602" t="s">
        <v>1568</v>
      </c>
      <c r="K397" s="445"/>
      <c r="L397" s="571"/>
      <c r="M397" s="568"/>
      <c r="N397" s="568"/>
    </row>
    <row r="398" ht="197.25" hidden="1" customHeight="1">
      <c r="A398" s="465" t="s">
        <v>1438</v>
      </c>
      <c r="B398" s="465" t="s">
        <v>576</v>
      </c>
      <c r="C398" s="483" t="s">
        <v>1569</v>
      </c>
      <c r="D398" s="544" t="s">
        <v>1038</v>
      </c>
      <c r="E398" s="480">
        <v>45541.0</v>
      </c>
      <c r="F398" s="480">
        <v>45543.0</v>
      </c>
      <c r="G398" s="484">
        <v>150.0</v>
      </c>
      <c r="H398" s="528">
        <v>1210286.0</v>
      </c>
      <c r="I398" s="465"/>
      <c r="J398" s="591" t="s">
        <v>1570</v>
      </c>
      <c r="K398" s="436"/>
      <c r="L398" s="568"/>
      <c r="M398" s="568"/>
      <c r="N398" s="568"/>
    </row>
    <row r="399" hidden="1">
      <c r="A399" s="463" t="s">
        <v>679</v>
      </c>
      <c r="B399" s="463" t="s">
        <v>576</v>
      </c>
      <c r="C399" s="472" t="s">
        <v>1213</v>
      </c>
      <c r="D399" s="545" t="s">
        <v>1573</v>
      </c>
      <c r="E399" s="566">
        <v>45457.0</v>
      </c>
      <c r="F399" s="566">
        <v>45460.0</v>
      </c>
      <c r="G399" s="474">
        <v>150.0</v>
      </c>
      <c r="H399" s="482" t="s">
        <v>1574</v>
      </c>
      <c r="I399" s="546" t="s">
        <v>1575</v>
      </c>
      <c r="J399" s="470" t="s">
        <v>1576</v>
      </c>
      <c r="K399" s="531"/>
      <c r="L399" s="445"/>
      <c r="M399" s="437"/>
      <c r="N399" s="437"/>
    </row>
    <row r="400">
      <c r="A400" s="709" t="s">
        <v>1577</v>
      </c>
      <c r="B400" s="56"/>
      <c r="C400" s="56"/>
      <c r="D400" s="56"/>
      <c r="E400" s="56"/>
      <c r="F400" s="56"/>
      <c r="G400" s="56"/>
      <c r="H400" s="56"/>
      <c r="I400" s="56"/>
      <c r="J400" s="57"/>
      <c r="K400" s="513"/>
      <c r="L400" s="436"/>
      <c r="M400" s="579"/>
      <c r="N400" s="579"/>
    </row>
    <row r="401">
      <c r="A401" s="650" t="s">
        <v>158</v>
      </c>
      <c r="B401" s="80"/>
      <c r="C401" s="80"/>
      <c r="D401" s="80"/>
      <c r="E401" s="80"/>
      <c r="F401" s="80"/>
      <c r="G401" s="80"/>
      <c r="H401" s="80"/>
      <c r="I401" s="80"/>
      <c r="J401" s="81"/>
      <c r="K401" s="531"/>
      <c r="L401" s="445"/>
      <c r="M401" s="579"/>
      <c r="N401" s="579"/>
    </row>
    <row r="402">
      <c r="A402" s="465" t="s">
        <v>158</v>
      </c>
      <c r="B402" s="465" t="s">
        <v>1002</v>
      </c>
      <c r="C402" s="465" t="s">
        <v>1578</v>
      </c>
      <c r="D402" s="465" t="s">
        <v>1579</v>
      </c>
      <c r="E402" s="710">
        <v>45912.0</v>
      </c>
      <c r="F402" s="711">
        <v>45935.0</v>
      </c>
      <c r="G402" s="632"/>
      <c r="H402" s="712">
        <v>1227457.0</v>
      </c>
      <c r="I402" s="465"/>
      <c r="J402" s="465"/>
      <c r="K402" s="608"/>
      <c r="L402" s="582"/>
      <c r="M402" s="582"/>
      <c r="N402" s="582"/>
    </row>
    <row r="403">
      <c r="A403" s="463" t="s">
        <v>158</v>
      </c>
      <c r="B403" s="463" t="s">
        <v>970</v>
      </c>
      <c r="C403" s="463" t="s">
        <v>1580</v>
      </c>
      <c r="D403" s="463" t="s">
        <v>1579</v>
      </c>
      <c r="E403" s="689">
        <v>45912.0</v>
      </c>
      <c r="F403" s="713">
        <v>45935.0</v>
      </c>
      <c r="G403" s="635"/>
      <c r="H403" s="714">
        <v>1227456.0</v>
      </c>
      <c r="I403" s="463"/>
      <c r="J403" s="463"/>
      <c r="K403" s="492"/>
      <c r="L403" s="581"/>
      <c r="M403" s="582"/>
      <c r="N403" s="582"/>
    </row>
    <row r="404">
      <c r="A404" s="465" t="s">
        <v>158</v>
      </c>
      <c r="B404" s="465" t="s">
        <v>627</v>
      </c>
      <c r="C404" s="465" t="s">
        <v>1581</v>
      </c>
      <c r="D404" s="502" t="s">
        <v>1582</v>
      </c>
      <c r="E404" s="710"/>
      <c r="F404" s="711">
        <v>45956.0</v>
      </c>
      <c r="G404" s="632"/>
      <c r="H404" s="712">
        <v>1230781.0</v>
      </c>
      <c r="I404" s="502" t="s">
        <v>1583</v>
      </c>
      <c r="J404" s="465"/>
      <c r="K404" s="608"/>
      <c r="L404" s="582"/>
      <c r="M404" s="582"/>
      <c r="N404" s="582"/>
    </row>
    <row r="405" ht="15.0" hidden="1" customHeight="1">
      <c r="A405" s="463" t="s">
        <v>580</v>
      </c>
      <c r="B405" s="463" t="s">
        <v>576</v>
      </c>
      <c r="C405" s="463" t="s">
        <v>1584</v>
      </c>
      <c r="D405" s="715" t="s">
        <v>1585</v>
      </c>
      <c r="E405" s="473">
        <v>45323.0</v>
      </c>
      <c r="F405" s="566">
        <v>45383.0</v>
      </c>
      <c r="G405" s="474" t="s">
        <v>1586</v>
      </c>
      <c r="H405" s="482" t="s">
        <v>1587</v>
      </c>
      <c r="I405" s="466"/>
      <c r="J405" s="470"/>
      <c r="K405" s="445"/>
      <c r="L405" s="445"/>
      <c r="M405" s="437"/>
      <c r="N405" s="437"/>
    </row>
    <row r="406" ht="15.0" hidden="1" customHeight="1">
      <c r="A406" s="465" t="s">
        <v>670</v>
      </c>
      <c r="B406" s="465" t="s">
        <v>627</v>
      </c>
      <c r="C406" s="465" t="s">
        <v>1588</v>
      </c>
      <c r="D406" s="544" t="s">
        <v>1589</v>
      </c>
      <c r="E406" s="480">
        <v>45308.0</v>
      </c>
      <c r="F406" s="567">
        <v>45322.0</v>
      </c>
      <c r="G406" s="484">
        <v>59.94</v>
      </c>
      <c r="H406" s="471">
        <v>1200886.0</v>
      </c>
      <c r="I406" s="468"/>
      <c r="J406" s="483">
        <v>1197829.0</v>
      </c>
      <c r="K406" s="436"/>
      <c r="L406" s="436"/>
      <c r="M406" s="437"/>
      <c r="N406" s="437"/>
    </row>
    <row r="407" ht="21.75" hidden="1" customHeight="1">
      <c r="A407" s="463" t="s">
        <v>670</v>
      </c>
      <c r="B407" s="463" t="s">
        <v>576</v>
      </c>
      <c r="C407" s="463" t="s">
        <v>1590</v>
      </c>
      <c r="D407" s="545" t="s">
        <v>1591</v>
      </c>
      <c r="E407" s="473">
        <v>45309.0</v>
      </c>
      <c r="F407" s="566">
        <v>45351.0</v>
      </c>
      <c r="G407" s="474">
        <v>14.99</v>
      </c>
      <c r="H407" s="482">
        <v>1200890.0</v>
      </c>
      <c r="I407" s="501" t="s">
        <v>1592</v>
      </c>
      <c r="J407" s="472" t="s">
        <v>1593</v>
      </c>
      <c r="K407" s="445"/>
      <c r="L407" s="445"/>
      <c r="M407" s="437"/>
      <c r="N407" s="437"/>
    </row>
    <row r="408" ht="21.75" hidden="1" customHeight="1">
      <c r="A408" s="465" t="s">
        <v>580</v>
      </c>
      <c r="B408" s="465" t="s">
        <v>576</v>
      </c>
      <c r="C408" s="465" t="s">
        <v>1594</v>
      </c>
      <c r="D408" s="544" t="s">
        <v>1595</v>
      </c>
      <c r="E408" s="480">
        <v>45310.0</v>
      </c>
      <c r="F408" s="567">
        <v>45352.0</v>
      </c>
      <c r="G408" s="484">
        <v>100.0</v>
      </c>
      <c r="H408" s="471">
        <v>1200924.0</v>
      </c>
      <c r="I408" s="487" t="s">
        <v>1596</v>
      </c>
      <c r="J408" s="465" t="s">
        <v>603</v>
      </c>
      <c r="K408" s="436"/>
      <c r="L408" s="436"/>
      <c r="M408" s="437"/>
      <c r="N408" s="437"/>
    </row>
    <row r="409" ht="21.75" hidden="1" customHeight="1">
      <c r="A409" s="463" t="s">
        <v>580</v>
      </c>
      <c r="B409" s="463" t="s">
        <v>576</v>
      </c>
      <c r="C409" s="463" t="s">
        <v>1597</v>
      </c>
      <c r="D409" s="545" t="s">
        <v>1598</v>
      </c>
      <c r="E409" s="473">
        <v>45311.0</v>
      </c>
      <c r="F409" s="566">
        <v>45353.0</v>
      </c>
      <c r="G409" s="474">
        <v>150.0</v>
      </c>
      <c r="H409" s="482">
        <v>1200925.0</v>
      </c>
      <c r="I409" s="475" t="s">
        <v>1599</v>
      </c>
      <c r="J409" s="472" t="s">
        <v>1600</v>
      </c>
      <c r="K409" s="445"/>
      <c r="L409" s="445"/>
      <c r="M409" s="437"/>
      <c r="N409" s="437"/>
    </row>
    <row r="410" ht="15.0" hidden="1" customHeight="1">
      <c r="A410" s="465" t="s">
        <v>670</v>
      </c>
      <c r="B410" s="465" t="s">
        <v>576</v>
      </c>
      <c r="C410" s="465" t="s">
        <v>1601</v>
      </c>
      <c r="D410" s="544" t="s">
        <v>1602</v>
      </c>
      <c r="E410" s="480">
        <v>45311.0</v>
      </c>
      <c r="F410" s="480">
        <v>45312.0</v>
      </c>
      <c r="G410" s="484">
        <v>10.0</v>
      </c>
      <c r="H410" s="471">
        <v>1201001.0</v>
      </c>
      <c r="I410" s="500"/>
      <c r="J410" s="483" t="s">
        <v>1603</v>
      </c>
      <c r="K410" s="436"/>
      <c r="L410" s="436"/>
      <c r="M410" s="437"/>
      <c r="N410" s="437"/>
    </row>
    <row r="411" ht="15.0" hidden="1" customHeight="1">
      <c r="A411" s="463" t="s">
        <v>670</v>
      </c>
      <c r="B411" s="463" t="s">
        <v>576</v>
      </c>
      <c r="C411" s="463" t="s">
        <v>1604</v>
      </c>
      <c r="D411" s="545" t="s">
        <v>1605</v>
      </c>
      <c r="E411" s="473">
        <v>45311.0</v>
      </c>
      <c r="F411" s="473">
        <v>45312.0</v>
      </c>
      <c r="G411" s="474">
        <v>30.0</v>
      </c>
      <c r="H411" s="482">
        <v>1201003.0</v>
      </c>
      <c r="I411" s="501"/>
      <c r="J411" s="472" t="s">
        <v>1606</v>
      </c>
      <c r="K411" s="445"/>
      <c r="L411" s="445"/>
      <c r="M411" s="437"/>
      <c r="N411" s="437"/>
    </row>
    <row r="412" ht="15.0" hidden="1" customHeight="1">
      <c r="A412" s="465" t="s">
        <v>670</v>
      </c>
      <c r="B412" s="465" t="s">
        <v>576</v>
      </c>
      <c r="C412" s="465" t="s">
        <v>1604</v>
      </c>
      <c r="D412" s="544" t="s">
        <v>1605</v>
      </c>
      <c r="E412" s="480">
        <v>45311.0</v>
      </c>
      <c r="F412" s="480">
        <v>45312.0</v>
      </c>
      <c r="G412" s="484">
        <v>20.0</v>
      </c>
      <c r="H412" s="471">
        <v>1201004.0</v>
      </c>
      <c r="I412" s="500"/>
      <c r="J412" s="483" t="s">
        <v>1607</v>
      </c>
      <c r="K412" s="436"/>
      <c r="L412" s="436"/>
      <c r="M412" s="437"/>
      <c r="N412" s="437"/>
    </row>
    <row r="413" ht="15.0" hidden="1" customHeight="1">
      <c r="A413" s="463" t="s">
        <v>670</v>
      </c>
      <c r="B413" s="463" t="s">
        <v>627</v>
      </c>
      <c r="C413" s="463" t="s">
        <v>1608</v>
      </c>
      <c r="D413" s="470" t="s">
        <v>810</v>
      </c>
      <c r="E413" s="566">
        <v>45323.0</v>
      </c>
      <c r="F413" s="473">
        <v>45351.0</v>
      </c>
      <c r="G413" s="474">
        <v>59.94</v>
      </c>
      <c r="H413" s="482">
        <v>1200886.0</v>
      </c>
      <c r="I413" s="477" t="s">
        <v>1609</v>
      </c>
      <c r="J413" s="470" t="s">
        <v>1610</v>
      </c>
      <c r="K413" s="445"/>
      <c r="L413" s="445"/>
      <c r="M413" s="437"/>
      <c r="N413" s="437"/>
    </row>
    <row r="414" ht="15.0" hidden="1" customHeight="1">
      <c r="A414" s="592" t="s">
        <v>607</v>
      </c>
      <c r="B414" s="592" t="s">
        <v>576</v>
      </c>
      <c r="C414" s="593" t="s">
        <v>1611</v>
      </c>
      <c r="D414" s="594" t="s">
        <v>1612</v>
      </c>
      <c r="E414" s="595">
        <v>45338.0</v>
      </c>
      <c r="F414" s="621">
        <v>45357.0</v>
      </c>
      <c r="G414" s="596">
        <v>500.0</v>
      </c>
      <c r="H414" s="597">
        <v>1202331.0</v>
      </c>
      <c r="I414" s="716"/>
      <c r="J414" s="594">
        <v>1200290.0</v>
      </c>
      <c r="K414" s="461" t="s">
        <v>1613</v>
      </c>
      <c r="L414" s="568" t="s">
        <v>1036</v>
      </c>
      <c r="M414" s="569"/>
      <c r="N414" s="569"/>
    </row>
    <row r="415" ht="15.0" hidden="1" customHeight="1">
      <c r="A415" s="463" t="s">
        <v>580</v>
      </c>
      <c r="B415" s="463" t="s">
        <v>576</v>
      </c>
      <c r="C415" s="463" t="s">
        <v>1614</v>
      </c>
      <c r="D415" s="470" t="s">
        <v>1615</v>
      </c>
      <c r="E415" s="473">
        <v>45322.0</v>
      </c>
      <c r="F415" s="566">
        <v>45382.0</v>
      </c>
      <c r="G415" s="474">
        <v>100.0</v>
      </c>
      <c r="H415" s="482">
        <v>1200716.0</v>
      </c>
      <c r="I415" s="466"/>
      <c r="J415" s="470" t="s">
        <v>1616</v>
      </c>
      <c r="K415" s="445"/>
      <c r="L415" s="571" t="s">
        <v>1036</v>
      </c>
      <c r="M415" s="569"/>
      <c r="N415" s="569"/>
    </row>
    <row r="416" ht="15.0" hidden="1" customHeight="1">
      <c r="A416" s="465" t="s">
        <v>666</v>
      </c>
      <c r="B416" s="465" t="s">
        <v>576</v>
      </c>
      <c r="C416" s="465" t="s">
        <v>1617</v>
      </c>
      <c r="D416" s="486" t="s">
        <v>1020</v>
      </c>
      <c r="E416" s="567">
        <v>45323.0</v>
      </c>
      <c r="F416" s="480">
        <v>45351.0</v>
      </c>
      <c r="G416" s="484">
        <v>30.0</v>
      </c>
      <c r="H416" s="471">
        <v>1201033.0</v>
      </c>
      <c r="I416" s="512" t="s">
        <v>1023</v>
      </c>
      <c r="J416" s="486" t="s">
        <v>1618</v>
      </c>
      <c r="K416" s="436"/>
      <c r="L416" s="568" t="s">
        <v>925</v>
      </c>
      <c r="M416" s="569"/>
      <c r="N416" s="569"/>
    </row>
    <row r="417" ht="15.0" hidden="1" customHeight="1">
      <c r="A417" s="463" t="s">
        <v>666</v>
      </c>
      <c r="B417" s="463" t="s">
        <v>576</v>
      </c>
      <c r="C417" s="463" t="s">
        <v>1619</v>
      </c>
      <c r="D417" s="470" t="s">
        <v>1030</v>
      </c>
      <c r="E417" s="566">
        <v>45323.0</v>
      </c>
      <c r="F417" s="473">
        <v>45351.0</v>
      </c>
      <c r="G417" s="474">
        <v>100.0</v>
      </c>
      <c r="H417" s="558">
        <v>1196917.0</v>
      </c>
      <c r="I417" s="477" t="s">
        <v>1620</v>
      </c>
      <c r="J417" s="470" t="s">
        <v>1142</v>
      </c>
      <c r="K417" s="445"/>
      <c r="L417" s="571" t="s">
        <v>925</v>
      </c>
      <c r="M417" s="569"/>
      <c r="N417" s="569"/>
    </row>
    <row r="418" ht="15.0" hidden="1" customHeight="1">
      <c r="A418" s="465" t="s">
        <v>666</v>
      </c>
      <c r="B418" s="465" t="s">
        <v>576</v>
      </c>
      <c r="C418" s="465" t="s">
        <v>1621</v>
      </c>
      <c r="D418" s="486" t="s">
        <v>1030</v>
      </c>
      <c r="E418" s="567">
        <v>45323.0</v>
      </c>
      <c r="F418" s="480">
        <v>45351.0</v>
      </c>
      <c r="G418" s="484">
        <v>100.0</v>
      </c>
      <c r="H418" s="471">
        <v>1201034.0</v>
      </c>
      <c r="I418" s="512" t="s">
        <v>1620</v>
      </c>
      <c r="J418" s="486" t="s">
        <v>1622</v>
      </c>
      <c r="K418" s="436"/>
      <c r="L418" s="568" t="s">
        <v>925</v>
      </c>
      <c r="M418" s="569"/>
      <c r="N418" s="569"/>
    </row>
    <row r="419" ht="15.0" hidden="1" customHeight="1">
      <c r="A419" s="463" t="s">
        <v>1046</v>
      </c>
      <c r="B419" s="463" t="s">
        <v>576</v>
      </c>
      <c r="C419" s="463" t="s">
        <v>1623</v>
      </c>
      <c r="D419" s="470" t="s">
        <v>1057</v>
      </c>
      <c r="E419" s="566">
        <v>45345.0</v>
      </c>
      <c r="F419" s="473">
        <v>45354.0</v>
      </c>
      <c r="G419" s="474">
        <v>200.0</v>
      </c>
      <c r="H419" s="482">
        <v>1200664.0</v>
      </c>
      <c r="I419" s="477" t="s">
        <v>1624</v>
      </c>
      <c r="J419" s="470" t="s">
        <v>939</v>
      </c>
      <c r="K419" s="445"/>
      <c r="L419" s="571" t="s">
        <v>925</v>
      </c>
      <c r="M419" s="569"/>
      <c r="N419" s="569"/>
    </row>
    <row r="420" ht="15.0" hidden="1" customHeight="1">
      <c r="A420" s="465" t="s">
        <v>1046</v>
      </c>
      <c r="B420" s="465" t="s">
        <v>576</v>
      </c>
      <c r="C420" s="465" t="s">
        <v>1625</v>
      </c>
      <c r="D420" s="486" t="s">
        <v>1038</v>
      </c>
      <c r="E420" s="567">
        <v>45345.0</v>
      </c>
      <c r="F420" s="480">
        <v>45354.0</v>
      </c>
      <c r="G420" s="484">
        <v>150.0</v>
      </c>
      <c r="H420" s="471">
        <v>1200103.0</v>
      </c>
      <c r="I420" s="512" t="s">
        <v>1626</v>
      </c>
      <c r="J420" s="486" t="s">
        <v>798</v>
      </c>
      <c r="K420" s="436"/>
      <c r="L420" s="568" t="s">
        <v>925</v>
      </c>
      <c r="M420" s="569"/>
      <c r="N420" s="569"/>
    </row>
    <row r="421" ht="45.75" hidden="1" customHeight="1">
      <c r="A421" s="463" t="s">
        <v>580</v>
      </c>
      <c r="B421" s="463" t="s">
        <v>576</v>
      </c>
      <c r="C421" s="472" t="s">
        <v>1627</v>
      </c>
      <c r="D421" s="545" t="s">
        <v>1628</v>
      </c>
      <c r="E421" s="473">
        <v>45367.0</v>
      </c>
      <c r="F421" s="473">
        <v>45382.0</v>
      </c>
      <c r="G421" s="474">
        <v>29.99</v>
      </c>
      <c r="H421" s="482">
        <v>1200859.0</v>
      </c>
      <c r="I421" s="619" t="s">
        <v>1629</v>
      </c>
      <c r="J421" s="602" t="s">
        <v>1630</v>
      </c>
      <c r="K421" s="445"/>
      <c r="L421" s="571"/>
      <c r="M421" s="568"/>
      <c r="N421" s="568"/>
    </row>
    <row r="422" ht="40.5" hidden="1" customHeight="1">
      <c r="A422" s="465" t="s">
        <v>580</v>
      </c>
      <c r="B422" s="465" t="s">
        <v>576</v>
      </c>
      <c r="C422" s="483" t="s">
        <v>1627</v>
      </c>
      <c r="D422" s="544" t="s">
        <v>1631</v>
      </c>
      <c r="E422" s="480">
        <v>45367.0</v>
      </c>
      <c r="F422" s="480">
        <v>45382.0</v>
      </c>
      <c r="G422" s="484">
        <v>29.99</v>
      </c>
      <c r="H422" s="471">
        <v>1200953.0</v>
      </c>
      <c r="I422" s="502" t="s">
        <v>1629</v>
      </c>
      <c r="J422" s="591" t="s">
        <v>1632</v>
      </c>
      <c r="K422" s="436"/>
      <c r="L422" s="568"/>
      <c r="M422" s="568"/>
      <c r="N422" s="568"/>
    </row>
    <row r="423" hidden="1">
      <c r="A423" s="463" t="s">
        <v>670</v>
      </c>
      <c r="B423" s="463" t="s">
        <v>576</v>
      </c>
      <c r="C423" s="472" t="s">
        <v>1078</v>
      </c>
      <c r="D423" s="545" t="s">
        <v>1633</v>
      </c>
      <c r="E423" s="482" t="s">
        <v>1634</v>
      </c>
      <c r="F423" s="473">
        <v>45382.0</v>
      </c>
      <c r="G423" s="474">
        <v>399.0</v>
      </c>
      <c r="H423" s="482">
        <v>1203765.0</v>
      </c>
      <c r="I423" s="619" t="s">
        <v>1635</v>
      </c>
      <c r="J423" s="602" t="s">
        <v>1081</v>
      </c>
      <c r="K423" s="445"/>
      <c r="L423" s="571" t="s">
        <v>1036</v>
      </c>
      <c r="M423" s="568"/>
      <c r="N423" s="568"/>
    </row>
    <row r="424" ht="15.0" hidden="1" customHeight="1">
      <c r="A424" s="465" t="s">
        <v>670</v>
      </c>
      <c r="B424" s="465" t="s">
        <v>576</v>
      </c>
      <c r="C424" s="483" t="s">
        <v>1636</v>
      </c>
      <c r="D424" s="486" t="s">
        <v>1637</v>
      </c>
      <c r="E424" s="480">
        <v>45323.0</v>
      </c>
      <c r="F424" s="567">
        <v>45328.0</v>
      </c>
      <c r="G424" s="484">
        <v>45.0</v>
      </c>
      <c r="H424" s="471">
        <v>1201300.0</v>
      </c>
      <c r="I424" s="648"/>
      <c r="J424" s="486" t="s">
        <v>1638</v>
      </c>
      <c r="K424" s="436"/>
      <c r="L424" s="568" t="s">
        <v>1639</v>
      </c>
      <c r="M424" s="569"/>
      <c r="N424" s="569"/>
    </row>
    <row r="425" ht="15.0" hidden="1" customHeight="1">
      <c r="A425" s="463" t="s">
        <v>670</v>
      </c>
      <c r="B425" s="463" t="s">
        <v>576</v>
      </c>
      <c r="C425" s="472" t="s">
        <v>1640</v>
      </c>
      <c r="D425" s="470" t="s">
        <v>1641</v>
      </c>
      <c r="E425" s="473">
        <v>45323.0</v>
      </c>
      <c r="F425" s="566">
        <v>45328.0</v>
      </c>
      <c r="G425" s="474">
        <v>65.0</v>
      </c>
      <c r="H425" s="482">
        <v>1201331.0</v>
      </c>
      <c r="I425" s="501"/>
      <c r="J425" s="470" t="s">
        <v>1642</v>
      </c>
      <c r="K425" s="445"/>
      <c r="L425" s="571" t="s">
        <v>1639</v>
      </c>
      <c r="M425" s="569"/>
      <c r="N425" s="569"/>
    </row>
    <row r="426" ht="15.0" hidden="1" customHeight="1">
      <c r="A426" s="465" t="s">
        <v>670</v>
      </c>
      <c r="B426" s="465" t="s">
        <v>576</v>
      </c>
      <c r="C426" s="483" t="s">
        <v>1643</v>
      </c>
      <c r="D426" s="486" t="s">
        <v>1641</v>
      </c>
      <c r="E426" s="480">
        <v>45323.0</v>
      </c>
      <c r="F426" s="567">
        <v>45328.0</v>
      </c>
      <c r="G426" s="484">
        <v>65.0</v>
      </c>
      <c r="H426" s="471">
        <v>1201332.0</v>
      </c>
      <c r="I426" s="500"/>
      <c r="J426" s="486" t="s">
        <v>1644</v>
      </c>
      <c r="K426" s="436"/>
      <c r="L426" s="568" t="s">
        <v>1639</v>
      </c>
      <c r="M426" s="569"/>
      <c r="N426" s="569"/>
    </row>
    <row r="427" ht="15.0" hidden="1" customHeight="1">
      <c r="A427" s="463" t="s">
        <v>607</v>
      </c>
      <c r="B427" s="463" t="s">
        <v>576</v>
      </c>
      <c r="C427" s="472" t="s">
        <v>1611</v>
      </c>
      <c r="D427" s="470" t="s">
        <v>1645</v>
      </c>
      <c r="E427" s="473">
        <v>45317.0</v>
      </c>
      <c r="F427" s="566">
        <v>45347.0</v>
      </c>
      <c r="G427" s="474">
        <v>600.0</v>
      </c>
      <c r="H427" s="482">
        <v>1201500.0</v>
      </c>
      <c r="I427" s="475" t="s">
        <v>1646</v>
      </c>
      <c r="J427" s="470">
        <v>1200290.0</v>
      </c>
      <c r="K427" s="445"/>
      <c r="L427" s="571" t="s">
        <v>1036</v>
      </c>
      <c r="M427" s="569"/>
      <c r="N427" s="569"/>
    </row>
    <row r="428" ht="15.0" hidden="1" customHeight="1">
      <c r="A428" s="465" t="s">
        <v>580</v>
      </c>
      <c r="B428" s="465" t="s">
        <v>576</v>
      </c>
      <c r="C428" s="483" t="s">
        <v>1084</v>
      </c>
      <c r="D428" s="544" t="s">
        <v>1084</v>
      </c>
      <c r="E428" s="480">
        <v>45318.0</v>
      </c>
      <c r="F428" s="567">
        <v>45348.0</v>
      </c>
      <c r="G428" s="484" t="s">
        <v>1647</v>
      </c>
      <c r="H428" s="471" t="s">
        <v>1648</v>
      </c>
      <c r="I428" s="487" t="s">
        <v>1649</v>
      </c>
      <c r="J428" s="486"/>
      <c r="K428" s="461" t="s">
        <v>1650</v>
      </c>
      <c r="L428" s="568" t="s">
        <v>1651</v>
      </c>
      <c r="M428" s="569"/>
      <c r="N428" s="569"/>
    </row>
    <row r="429" ht="15.0" hidden="1" customHeight="1">
      <c r="A429" s="463" t="s">
        <v>580</v>
      </c>
      <c r="B429" s="463" t="s">
        <v>576</v>
      </c>
      <c r="C429" s="472" t="s">
        <v>1084</v>
      </c>
      <c r="D429" s="545" t="s">
        <v>1084</v>
      </c>
      <c r="E429" s="473">
        <v>45319.0</v>
      </c>
      <c r="F429" s="566">
        <v>45349.0</v>
      </c>
      <c r="G429" s="474" t="s">
        <v>1652</v>
      </c>
      <c r="H429" s="482" t="s">
        <v>1653</v>
      </c>
      <c r="I429" s="475" t="s">
        <v>1649</v>
      </c>
      <c r="J429" s="470"/>
      <c r="K429" s="460" t="s">
        <v>1654</v>
      </c>
      <c r="L429" s="571" t="s">
        <v>1651</v>
      </c>
      <c r="M429" s="569"/>
      <c r="N429" s="569"/>
    </row>
    <row r="430" ht="15.0" hidden="1" customHeight="1">
      <c r="A430" s="465" t="s">
        <v>580</v>
      </c>
      <c r="B430" s="465" t="s">
        <v>576</v>
      </c>
      <c r="C430" s="483" t="s">
        <v>1084</v>
      </c>
      <c r="D430" s="544" t="s">
        <v>1084</v>
      </c>
      <c r="E430" s="480">
        <v>45320.0</v>
      </c>
      <c r="F430" s="567">
        <v>45350.0</v>
      </c>
      <c r="G430" s="484" t="s">
        <v>1655</v>
      </c>
      <c r="H430" s="471" t="s">
        <v>1656</v>
      </c>
      <c r="I430" s="487" t="s">
        <v>1649</v>
      </c>
      <c r="J430" s="486"/>
      <c r="K430" s="461" t="s">
        <v>1657</v>
      </c>
      <c r="L430" s="568" t="s">
        <v>1651</v>
      </c>
      <c r="M430" s="569"/>
      <c r="N430" s="569"/>
    </row>
    <row r="431" ht="15.0" hidden="1" customHeight="1">
      <c r="A431" s="463" t="s">
        <v>670</v>
      </c>
      <c r="B431" s="463" t="s">
        <v>627</v>
      </c>
      <c r="C431" s="463" t="s">
        <v>1608</v>
      </c>
      <c r="D431" s="470" t="s">
        <v>810</v>
      </c>
      <c r="E431" s="566">
        <v>45352.0</v>
      </c>
      <c r="F431" s="473">
        <v>45382.0</v>
      </c>
      <c r="G431" s="474">
        <v>59.94</v>
      </c>
      <c r="H431" s="482">
        <v>1200387.0</v>
      </c>
      <c r="I431" s="602"/>
      <c r="J431" s="470" t="s">
        <v>1658</v>
      </c>
      <c r="K431" s="445"/>
      <c r="L431" s="445"/>
      <c r="M431" s="437"/>
      <c r="N431" s="437"/>
    </row>
    <row r="432" ht="15.0" hidden="1" customHeight="1">
      <c r="A432" s="465" t="s">
        <v>607</v>
      </c>
      <c r="B432" s="465" t="s">
        <v>576</v>
      </c>
      <c r="C432" s="483" t="s">
        <v>1659</v>
      </c>
      <c r="D432" s="486" t="s">
        <v>652</v>
      </c>
      <c r="E432" s="480">
        <v>45347.0</v>
      </c>
      <c r="F432" s="717"/>
      <c r="G432" s="484">
        <v>50.0</v>
      </c>
      <c r="H432" s="471">
        <v>1202562.0</v>
      </c>
      <c r="I432" s="487" t="s">
        <v>1660</v>
      </c>
      <c r="J432" s="486" t="s">
        <v>1661</v>
      </c>
      <c r="K432" s="436"/>
      <c r="L432" s="568" t="s">
        <v>1036</v>
      </c>
      <c r="M432" s="569"/>
      <c r="N432" s="569"/>
    </row>
    <row r="433" ht="291.0" hidden="1" customHeight="1">
      <c r="A433" s="463" t="s">
        <v>580</v>
      </c>
      <c r="B433" s="463" t="s">
        <v>576</v>
      </c>
      <c r="C433" s="463" t="s">
        <v>1662</v>
      </c>
      <c r="D433" s="119" t="s">
        <v>1663</v>
      </c>
      <c r="E433" s="473">
        <v>45444.0</v>
      </c>
      <c r="F433" s="473">
        <v>45445.0</v>
      </c>
      <c r="G433" s="474" t="s">
        <v>1664</v>
      </c>
      <c r="H433" s="601" t="s">
        <v>1665</v>
      </c>
      <c r="I433" s="543"/>
      <c r="J433" s="470" t="s">
        <v>1666</v>
      </c>
      <c r="K433" s="531"/>
      <c r="L433" s="445"/>
      <c r="M433" s="437"/>
      <c r="N433" s="437"/>
    </row>
    <row r="434" hidden="1">
      <c r="A434" s="465" t="s">
        <v>158</v>
      </c>
      <c r="B434" s="465" t="s">
        <v>1002</v>
      </c>
      <c r="C434" s="465" t="s">
        <v>1667</v>
      </c>
      <c r="D434" s="486" t="s">
        <v>1668</v>
      </c>
      <c r="E434" s="675">
        <v>45548.0</v>
      </c>
      <c r="F434" s="567">
        <v>45570.0</v>
      </c>
      <c r="G434" s="718">
        <v>-0.5</v>
      </c>
      <c r="H434" s="557" t="s">
        <v>1669</v>
      </c>
      <c r="I434" s="487" t="s">
        <v>1670</v>
      </c>
      <c r="J434" s="486"/>
      <c r="K434" s="513"/>
      <c r="L434" s="436"/>
      <c r="M434" s="437"/>
      <c r="N434" s="437"/>
    </row>
    <row r="435">
      <c r="A435" s="650" t="s">
        <v>1671</v>
      </c>
      <c r="B435" s="80"/>
      <c r="C435" s="80"/>
      <c r="D435" s="80"/>
      <c r="E435" s="80"/>
      <c r="F435" s="80"/>
      <c r="G435" s="80"/>
      <c r="H435" s="80"/>
      <c r="I435" s="80"/>
      <c r="J435" s="81"/>
      <c r="K435" s="445"/>
      <c r="L435" s="571"/>
      <c r="M435" s="568"/>
      <c r="N435" s="568"/>
    </row>
    <row r="436">
      <c r="A436" s="465" t="s">
        <v>1672</v>
      </c>
      <c r="B436" s="465" t="s">
        <v>576</v>
      </c>
      <c r="C436" s="465" t="s">
        <v>1673</v>
      </c>
      <c r="D436" s="104" t="s">
        <v>1674</v>
      </c>
      <c r="E436" s="719" t="s">
        <v>1675</v>
      </c>
      <c r="F436" s="57"/>
      <c r="G436" s="484">
        <v>-39.99</v>
      </c>
      <c r="H436" s="471">
        <v>1221924.0</v>
      </c>
      <c r="I436" s="717" t="s">
        <v>1248</v>
      </c>
      <c r="J436" s="486" t="s">
        <v>1676</v>
      </c>
      <c r="K436" s="513"/>
      <c r="L436" s="436"/>
      <c r="M436" s="437"/>
      <c r="N436" s="437"/>
    </row>
    <row r="437">
      <c r="A437" s="650" t="s">
        <v>1437</v>
      </c>
      <c r="B437" s="80"/>
      <c r="C437" s="80"/>
      <c r="D437" s="80"/>
      <c r="E437" s="80"/>
      <c r="F437" s="80"/>
      <c r="G437" s="80"/>
      <c r="H437" s="80"/>
      <c r="I437" s="80"/>
      <c r="J437" s="81"/>
      <c r="K437" s="445"/>
      <c r="L437" s="571"/>
      <c r="M437" s="568"/>
      <c r="N437" s="568"/>
    </row>
    <row r="438">
      <c r="A438" s="650" t="s">
        <v>580</v>
      </c>
      <c r="B438" s="56"/>
      <c r="C438" s="56"/>
      <c r="D438" s="56"/>
      <c r="E438" s="56"/>
      <c r="F438" s="56"/>
      <c r="G438" s="56"/>
      <c r="H438" s="56"/>
      <c r="I438" s="56"/>
      <c r="J438" s="57"/>
      <c r="K438" s="436"/>
      <c r="L438" s="568"/>
      <c r="M438" s="568"/>
      <c r="N438" s="568"/>
    </row>
    <row r="439" ht="15.75" hidden="1" customHeight="1">
      <c r="A439" s="504" t="s">
        <v>607</v>
      </c>
      <c r="B439" s="504" t="s">
        <v>576</v>
      </c>
      <c r="C439" s="504" t="s">
        <v>1677</v>
      </c>
      <c r="D439" s="720" t="s">
        <v>1678</v>
      </c>
      <c r="E439" s="706">
        <v>45383.0</v>
      </c>
      <c r="F439" s="706">
        <v>45386.0</v>
      </c>
      <c r="G439" s="507">
        <v>50.0</v>
      </c>
      <c r="H439" s="508">
        <v>1204361.0</v>
      </c>
      <c r="I439" s="721" t="s">
        <v>1679</v>
      </c>
      <c r="J439" s="505" t="s">
        <v>1680</v>
      </c>
      <c r="K439" s="722" t="s">
        <v>1681</v>
      </c>
      <c r="L439" s="445"/>
      <c r="M439" s="437"/>
      <c r="N439" s="437"/>
    </row>
    <row r="440" ht="15.75" hidden="1" customHeight="1">
      <c r="A440" s="592" t="s">
        <v>607</v>
      </c>
      <c r="B440" s="592" t="s">
        <v>576</v>
      </c>
      <c r="C440" s="592" t="s">
        <v>1659</v>
      </c>
      <c r="D440" s="723" t="s">
        <v>1682</v>
      </c>
      <c r="E440" s="621">
        <v>45383.0</v>
      </c>
      <c r="F440" s="621">
        <v>45410.0</v>
      </c>
      <c r="G440" s="596">
        <v>200.0</v>
      </c>
      <c r="H440" s="597">
        <v>1204362.0</v>
      </c>
      <c r="I440" s="724" t="s">
        <v>1681</v>
      </c>
      <c r="J440" s="594" t="s">
        <v>1456</v>
      </c>
      <c r="K440" s="725" t="s">
        <v>1681</v>
      </c>
      <c r="L440" s="618"/>
      <c r="M440" s="624"/>
      <c r="N440" s="624"/>
    </row>
    <row r="441" ht="15.75" hidden="1" customHeight="1">
      <c r="A441" s="504" t="s">
        <v>607</v>
      </c>
      <c r="B441" s="504" t="s">
        <v>576</v>
      </c>
      <c r="C441" s="504" t="s">
        <v>654</v>
      </c>
      <c r="D441" s="720" t="s">
        <v>1683</v>
      </c>
      <c r="E441" s="706">
        <v>45383.0</v>
      </c>
      <c r="F441" s="706">
        <v>45410.0</v>
      </c>
      <c r="G441" s="507">
        <v>150.0</v>
      </c>
      <c r="H441" s="508">
        <v>1204307.0</v>
      </c>
      <c r="I441" s="707" t="s">
        <v>1138</v>
      </c>
      <c r="J441" s="505" t="s">
        <v>1684</v>
      </c>
      <c r="K441" s="708"/>
      <c r="L441" s="613"/>
      <c r="M441" s="624"/>
      <c r="N441" s="624"/>
    </row>
    <row r="442" ht="15.75" hidden="1" customHeight="1">
      <c r="A442" s="592" t="s">
        <v>607</v>
      </c>
      <c r="B442" s="592" t="s">
        <v>576</v>
      </c>
      <c r="C442" s="592" t="s">
        <v>1685</v>
      </c>
      <c r="D442" s="723" t="s">
        <v>1682</v>
      </c>
      <c r="E442" s="621">
        <v>45420.0</v>
      </c>
      <c r="F442" s="621">
        <v>45468.0</v>
      </c>
      <c r="G442" s="596">
        <v>200.0</v>
      </c>
      <c r="H442" s="597">
        <v>1204362.0</v>
      </c>
      <c r="I442" s="724" t="s">
        <v>1686</v>
      </c>
      <c r="J442" s="594" t="s">
        <v>1456</v>
      </c>
      <c r="K442" s="726"/>
      <c r="L442" s="618"/>
      <c r="M442" s="624"/>
      <c r="N442" s="624"/>
    </row>
    <row r="443" ht="15.75" hidden="1" customHeight="1">
      <c r="A443" s="504" t="s">
        <v>1687</v>
      </c>
      <c r="B443" s="504" t="s">
        <v>907</v>
      </c>
      <c r="C443" s="504" t="s">
        <v>1688</v>
      </c>
      <c r="D443" s="720" t="s">
        <v>1689</v>
      </c>
      <c r="E443" s="706">
        <v>45377.0</v>
      </c>
      <c r="F443" s="706">
        <v>45424.0</v>
      </c>
      <c r="G443" s="507">
        <v>20.0</v>
      </c>
      <c r="H443" s="508">
        <v>1204503.0</v>
      </c>
      <c r="I443" s="721" t="s">
        <v>1686</v>
      </c>
      <c r="J443" s="505">
        <v>1200238.0</v>
      </c>
      <c r="K443" s="708"/>
      <c r="L443" s="613"/>
      <c r="M443" s="624"/>
      <c r="N443" s="624"/>
    </row>
    <row r="444" ht="15.75" hidden="1" customHeight="1">
      <c r="A444" s="465" t="s">
        <v>580</v>
      </c>
      <c r="B444" s="465" t="s">
        <v>576</v>
      </c>
      <c r="C444" s="465" t="s">
        <v>1690</v>
      </c>
      <c r="D444" s="486" t="s">
        <v>1691</v>
      </c>
      <c r="E444" s="471" t="s">
        <v>1692</v>
      </c>
      <c r="F444" s="480">
        <v>45386.0</v>
      </c>
      <c r="G444" s="484"/>
      <c r="H444" s="471">
        <v>1204585.0</v>
      </c>
      <c r="I444" s="548" t="s">
        <v>1693</v>
      </c>
      <c r="J444" s="486" t="s">
        <v>1694</v>
      </c>
      <c r="K444" s="513"/>
      <c r="L444" s="436"/>
      <c r="M444" s="437"/>
      <c r="N444" s="437"/>
    </row>
    <row r="445" ht="15.75" hidden="1" customHeight="1">
      <c r="A445" s="463" t="s">
        <v>580</v>
      </c>
      <c r="B445" s="463" t="s">
        <v>627</v>
      </c>
      <c r="C445" s="463" t="s">
        <v>1695</v>
      </c>
      <c r="D445" s="470" t="s">
        <v>1696</v>
      </c>
      <c r="E445" s="482" t="s">
        <v>1697</v>
      </c>
      <c r="F445" s="473">
        <v>45383.0</v>
      </c>
      <c r="G445" s="474" t="s">
        <v>1698</v>
      </c>
      <c r="H445" s="482" t="s">
        <v>1699</v>
      </c>
      <c r="I445" s="475" t="s">
        <v>1700</v>
      </c>
      <c r="J445" s="470"/>
      <c r="K445" s="531"/>
      <c r="L445" s="445"/>
      <c r="M445" s="437"/>
      <c r="N445" s="437"/>
    </row>
    <row r="446" ht="15.75" hidden="1" customHeight="1">
      <c r="A446" s="465" t="s">
        <v>580</v>
      </c>
      <c r="B446" s="465" t="s">
        <v>576</v>
      </c>
      <c r="C446" s="465" t="s">
        <v>1701</v>
      </c>
      <c r="D446" s="486" t="s">
        <v>1696</v>
      </c>
      <c r="E446" s="471" t="s">
        <v>1702</v>
      </c>
      <c r="F446" s="480">
        <v>45383.0</v>
      </c>
      <c r="G446" s="484" t="s">
        <v>1703</v>
      </c>
      <c r="H446" s="471" t="s">
        <v>1704</v>
      </c>
      <c r="I446" s="487" t="s">
        <v>1700</v>
      </c>
      <c r="J446" s="465" t="s">
        <v>1701</v>
      </c>
      <c r="K446" s="513"/>
      <c r="L446" s="436"/>
      <c r="M446" s="437"/>
      <c r="N446" s="437"/>
    </row>
    <row r="447" ht="15.75" hidden="1" customHeight="1">
      <c r="A447" s="463" t="s">
        <v>580</v>
      </c>
      <c r="B447" s="463" t="s">
        <v>907</v>
      </c>
      <c r="C447" s="463" t="s">
        <v>1705</v>
      </c>
      <c r="D447" s="470" t="s">
        <v>1696</v>
      </c>
      <c r="E447" s="482" t="s">
        <v>1706</v>
      </c>
      <c r="F447" s="473">
        <v>45383.0</v>
      </c>
      <c r="G447" s="474" t="s">
        <v>1707</v>
      </c>
      <c r="H447" s="482" t="s">
        <v>1708</v>
      </c>
      <c r="I447" s="475" t="s">
        <v>1700</v>
      </c>
      <c r="J447" s="463" t="s">
        <v>1705</v>
      </c>
      <c r="K447" s="531"/>
      <c r="L447" s="445"/>
      <c r="M447" s="437"/>
      <c r="N447" s="437"/>
    </row>
    <row r="448" ht="15.75" hidden="1" customHeight="1">
      <c r="A448" s="465" t="s">
        <v>1687</v>
      </c>
      <c r="B448" s="465" t="s">
        <v>907</v>
      </c>
      <c r="C448" s="465" t="s">
        <v>1709</v>
      </c>
      <c r="D448" s="104" t="s">
        <v>1710</v>
      </c>
      <c r="E448" s="567">
        <v>45383.0</v>
      </c>
      <c r="F448" s="567">
        <v>45424.0</v>
      </c>
      <c r="G448" s="484">
        <v>10.0</v>
      </c>
      <c r="H448" s="471">
        <v>1204764.0</v>
      </c>
      <c r="I448" s="548" t="s">
        <v>1138</v>
      </c>
      <c r="J448" s="486">
        <v>1179707.0</v>
      </c>
      <c r="K448" s="513"/>
      <c r="L448" s="436"/>
      <c r="M448" s="437"/>
      <c r="N448" s="437"/>
    </row>
    <row r="449" ht="15.75" hidden="1" customHeight="1">
      <c r="A449" s="463" t="s">
        <v>670</v>
      </c>
      <c r="B449" s="463" t="s">
        <v>627</v>
      </c>
      <c r="C449" s="463" t="s">
        <v>1711</v>
      </c>
      <c r="D449" s="470" t="s">
        <v>1712</v>
      </c>
      <c r="E449" s="566">
        <v>45383.0</v>
      </c>
      <c r="F449" s="566">
        <v>45413.0</v>
      </c>
      <c r="G449" s="474"/>
      <c r="H449" s="482">
        <v>1200387.0</v>
      </c>
      <c r="I449" s="546" t="s">
        <v>1713</v>
      </c>
      <c r="J449" s="470" t="s">
        <v>1714</v>
      </c>
      <c r="K449" s="531"/>
      <c r="L449" s="445"/>
      <c r="M449" s="437"/>
      <c r="N449" s="437"/>
    </row>
    <row r="450" ht="15.75" hidden="1" customHeight="1">
      <c r="A450" s="465" t="s">
        <v>670</v>
      </c>
      <c r="B450" s="465" t="s">
        <v>627</v>
      </c>
      <c r="C450" s="465" t="s">
        <v>1715</v>
      </c>
      <c r="D450" s="486" t="s">
        <v>1716</v>
      </c>
      <c r="E450" s="567">
        <v>45383.0</v>
      </c>
      <c r="F450" s="567">
        <v>45412.0</v>
      </c>
      <c r="G450" s="484"/>
      <c r="H450" s="471">
        <v>1200886.0</v>
      </c>
      <c r="I450" s="548" t="s">
        <v>1713</v>
      </c>
      <c r="J450" s="486">
        <v>1197829.0</v>
      </c>
      <c r="K450" s="513"/>
      <c r="L450" s="436"/>
      <c r="M450" s="437"/>
      <c r="N450" s="437"/>
    </row>
    <row r="451" ht="15.75" hidden="1" customHeight="1">
      <c r="A451" s="463" t="s">
        <v>580</v>
      </c>
      <c r="B451" s="463" t="s">
        <v>627</v>
      </c>
      <c r="C451" s="463" t="s">
        <v>628</v>
      </c>
      <c r="D451" s="470" t="s">
        <v>1717</v>
      </c>
      <c r="E451" s="566">
        <v>45387.0</v>
      </c>
      <c r="F451" s="566">
        <v>45412.0</v>
      </c>
      <c r="G451" s="474"/>
      <c r="H451" s="482">
        <v>1204963.0</v>
      </c>
      <c r="I451" s="546" t="s">
        <v>1718</v>
      </c>
      <c r="J451" s="470" t="s">
        <v>1719</v>
      </c>
      <c r="K451" s="531"/>
      <c r="L451" s="445"/>
      <c r="M451" s="437"/>
      <c r="N451" s="437"/>
    </row>
    <row r="452" ht="15.75" hidden="1" customHeight="1">
      <c r="A452" s="592" t="s">
        <v>576</v>
      </c>
      <c r="B452" s="592" t="s">
        <v>580</v>
      </c>
      <c r="C452" s="640" t="s">
        <v>1720</v>
      </c>
      <c r="D452" s="594" t="s">
        <v>1721</v>
      </c>
      <c r="E452" s="621">
        <v>45387.0</v>
      </c>
      <c r="F452" s="621">
        <v>45403.0</v>
      </c>
      <c r="G452" s="596"/>
      <c r="H452" s="597">
        <v>1203613.0</v>
      </c>
      <c r="I452" s="622"/>
      <c r="J452" s="594"/>
      <c r="K452" s="623"/>
      <c r="L452" s="618"/>
      <c r="M452" s="624"/>
      <c r="N452" s="624"/>
    </row>
    <row r="453" ht="15.75" hidden="1" customHeight="1">
      <c r="A453" s="463" t="s">
        <v>670</v>
      </c>
      <c r="B453" s="463" t="s">
        <v>1120</v>
      </c>
      <c r="C453" s="463" t="s">
        <v>1154</v>
      </c>
      <c r="D453" s="470" t="s">
        <v>1722</v>
      </c>
      <c r="E453" s="566">
        <v>45390.0</v>
      </c>
      <c r="F453" s="566">
        <v>45413.0</v>
      </c>
      <c r="G453" s="474"/>
      <c r="H453" s="558">
        <v>1198383.0</v>
      </c>
      <c r="I453" s="546" t="s">
        <v>1723</v>
      </c>
      <c r="J453" s="470" t="s">
        <v>1156</v>
      </c>
      <c r="K453" s="531"/>
      <c r="L453" s="445"/>
      <c r="M453" s="437"/>
      <c r="N453" s="437"/>
    </row>
    <row r="454" hidden="1">
      <c r="A454" s="465" t="s">
        <v>165</v>
      </c>
      <c r="B454" s="465" t="s">
        <v>576</v>
      </c>
      <c r="C454" s="465" t="s">
        <v>1724</v>
      </c>
      <c r="D454" s="486" t="s">
        <v>1725</v>
      </c>
      <c r="E454" s="567">
        <v>45390.0</v>
      </c>
      <c r="F454" s="567">
        <v>45565.0</v>
      </c>
      <c r="G454" s="484">
        <v>24.99</v>
      </c>
      <c r="H454" s="557">
        <v>1205033.0</v>
      </c>
      <c r="I454" s="548" t="s">
        <v>1138</v>
      </c>
      <c r="J454" s="486">
        <v>1189073.0</v>
      </c>
      <c r="K454" s="513"/>
      <c r="L454" s="436"/>
      <c r="M454" s="437"/>
      <c r="N454" s="437"/>
    </row>
    <row r="455" ht="15.75" hidden="1" customHeight="1">
      <c r="A455" s="463" t="s">
        <v>165</v>
      </c>
      <c r="B455" s="463" t="s">
        <v>576</v>
      </c>
      <c r="C455" s="463" t="s">
        <v>1724</v>
      </c>
      <c r="D455" s="470" t="s">
        <v>1726</v>
      </c>
      <c r="E455" s="566">
        <v>45390.0</v>
      </c>
      <c r="F455" s="566">
        <v>45565.0</v>
      </c>
      <c r="G455" s="474">
        <v>24.99</v>
      </c>
      <c r="H455" s="558">
        <v>1205034.0</v>
      </c>
      <c r="I455" s="546" t="s">
        <v>1138</v>
      </c>
      <c r="J455" s="470">
        <v>1204935.0</v>
      </c>
      <c r="K455" s="531"/>
      <c r="L455" s="445"/>
      <c r="M455" s="437"/>
      <c r="N455" s="437"/>
    </row>
    <row r="456" ht="15.75" hidden="1" customHeight="1">
      <c r="A456" s="465" t="s">
        <v>165</v>
      </c>
      <c r="B456" s="465" t="s">
        <v>576</v>
      </c>
      <c r="C456" s="465" t="s">
        <v>1727</v>
      </c>
      <c r="D456" s="486" t="s">
        <v>1728</v>
      </c>
      <c r="E456" s="567">
        <v>45390.0</v>
      </c>
      <c r="F456" s="567">
        <v>45565.0</v>
      </c>
      <c r="G456" s="484">
        <v>69.99</v>
      </c>
      <c r="H456" s="557">
        <v>1205035.0</v>
      </c>
      <c r="I456" s="548" t="s">
        <v>1138</v>
      </c>
      <c r="J456" s="486">
        <v>1204936.0</v>
      </c>
      <c r="K456" s="513"/>
      <c r="L456" s="436"/>
      <c r="M456" s="437"/>
      <c r="N456" s="437"/>
    </row>
    <row r="457" ht="22.5" hidden="1" customHeight="1">
      <c r="A457" s="463" t="s">
        <v>165</v>
      </c>
      <c r="B457" s="463" t="s">
        <v>1120</v>
      </c>
      <c r="C457" s="463" t="s">
        <v>1729</v>
      </c>
      <c r="D457" s="470" t="s">
        <v>1730</v>
      </c>
      <c r="E457" s="566">
        <v>45399.0</v>
      </c>
      <c r="F457" s="566">
        <v>45410.0</v>
      </c>
      <c r="G457" s="474">
        <v>99.99</v>
      </c>
      <c r="H457" s="558">
        <v>1201893.0</v>
      </c>
      <c r="I457" s="546" t="s">
        <v>1731</v>
      </c>
      <c r="J457" s="482">
        <v>1197211.0</v>
      </c>
      <c r="K457" s="531"/>
      <c r="L457" s="445"/>
      <c r="M457" s="437"/>
      <c r="N457" s="437"/>
    </row>
    <row r="458" ht="28.5" hidden="1" customHeight="1">
      <c r="A458" s="465" t="s">
        <v>585</v>
      </c>
      <c r="B458" s="465" t="s">
        <v>576</v>
      </c>
      <c r="C458" s="465" t="s">
        <v>1175</v>
      </c>
      <c r="D458" s="486" t="s">
        <v>1732</v>
      </c>
      <c r="E458" s="567">
        <v>45419.0</v>
      </c>
      <c r="F458" s="567">
        <v>45446.0</v>
      </c>
      <c r="G458" s="484">
        <v>14.99</v>
      </c>
      <c r="H458" s="557">
        <v>1205757.0</v>
      </c>
      <c r="I458" s="548" t="s">
        <v>1733</v>
      </c>
      <c r="J458" s="486" t="s">
        <v>1734</v>
      </c>
      <c r="K458" s="513"/>
      <c r="L458" s="436"/>
      <c r="M458" s="437"/>
      <c r="N458" s="437"/>
    </row>
    <row r="459" ht="46.5" hidden="1" customHeight="1">
      <c r="A459" s="463" t="s">
        <v>585</v>
      </c>
      <c r="B459" s="463" t="s">
        <v>576</v>
      </c>
      <c r="C459" s="463" t="s">
        <v>1041</v>
      </c>
      <c r="D459" s="470" t="s">
        <v>1735</v>
      </c>
      <c r="E459" s="566">
        <v>45413.0</v>
      </c>
      <c r="F459" s="566">
        <v>45413.0</v>
      </c>
      <c r="G459" s="474"/>
      <c r="H459" s="558">
        <v>1205910.0</v>
      </c>
      <c r="I459" s="546" t="s">
        <v>1736</v>
      </c>
      <c r="J459" s="470" t="s">
        <v>1737</v>
      </c>
      <c r="K459" s="531"/>
      <c r="L459" s="445"/>
      <c r="M459" s="437"/>
      <c r="N459" s="437"/>
    </row>
    <row r="460" ht="66.0" hidden="1" customHeight="1">
      <c r="A460" s="465" t="s">
        <v>580</v>
      </c>
      <c r="B460" s="465" t="s">
        <v>576</v>
      </c>
      <c r="C460" s="465" t="s">
        <v>1738</v>
      </c>
      <c r="D460" s="486" t="s">
        <v>1739</v>
      </c>
      <c r="E460" s="567">
        <v>45409.0</v>
      </c>
      <c r="F460" s="567">
        <v>45419.0</v>
      </c>
      <c r="G460" s="484">
        <v>169.99</v>
      </c>
      <c r="H460" s="557">
        <v>1205876.0</v>
      </c>
      <c r="I460" s="548" t="s">
        <v>1138</v>
      </c>
      <c r="J460" s="486" t="s">
        <v>1740</v>
      </c>
      <c r="K460" s="513"/>
      <c r="L460" s="436"/>
      <c r="M460" s="727"/>
      <c r="N460" s="727"/>
    </row>
    <row r="461" ht="46.5" hidden="1" customHeight="1">
      <c r="A461" s="463" t="s">
        <v>580</v>
      </c>
      <c r="B461" s="463" t="s">
        <v>576</v>
      </c>
      <c r="C461" s="463" t="s">
        <v>959</v>
      </c>
      <c r="D461" s="470" t="s">
        <v>1741</v>
      </c>
      <c r="E461" s="566">
        <v>45409.0</v>
      </c>
      <c r="F461" s="566">
        <v>45411.0</v>
      </c>
      <c r="G461" s="474">
        <v>50.0</v>
      </c>
      <c r="H461" s="558">
        <v>1206248.0</v>
      </c>
      <c r="I461" s="546" t="s">
        <v>1742</v>
      </c>
      <c r="J461" s="470" t="s">
        <v>1743</v>
      </c>
      <c r="K461" s="531"/>
      <c r="L461" s="445"/>
      <c r="M461" s="727"/>
      <c r="N461" s="727"/>
    </row>
    <row r="462" ht="46.5" hidden="1" customHeight="1">
      <c r="A462" s="465" t="s">
        <v>580</v>
      </c>
      <c r="B462" s="465" t="s">
        <v>576</v>
      </c>
      <c r="C462" s="465" t="s">
        <v>1744</v>
      </c>
      <c r="D462" s="486" t="s">
        <v>1745</v>
      </c>
      <c r="E462" s="567">
        <v>45409.0</v>
      </c>
      <c r="F462" s="567">
        <v>45411.0</v>
      </c>
      <c r="G462" s="484">
        <v>100.0</v>
      </c>
      <c r="H462" s="557">
        <v>1206249.0</v>
      </c>
      <c r="I462" s="548" t="s">
        <v>1742</v>
      </c>
      <c r="J462" s="486" t="s">
        <v>1746</v>
      </c>
      <c r="K462" s="513"/>
      <c r="L462" s="436"/>
      <c r="M462" s="727"/>
      <c r="N462" s="727"/>
    </row>
    <row r="463" ht="46.5" hidden="1" customHeight="1">
      <c r="A463" s="463" t="s">
        <v>670</v>
      </c>
      <c r="B463" s="463" t="s">
        <v>576</v>
      </c>
      <c r="C463" s="463" t="s">
        <v>1747</v>
      </c>
      <c r="D463" s="470" t="s">
        <v>1748</v>
      </c>
      <c r="E463" s="566">
        <v>45408.0</v>
      </c>
      <c r="F463" s="566">
        <v>45410.0</v>
      </c>
      <c r="G463" s="474"/>
      <c r="H463" s="558">
        <v>1206311.0</v>
      </c>
      <c r="I463" s="546" t="s">
        <v>1138</v>
      </c>
      <c r="J463" s="470" t="s">
        <v>1749</v>
      </c>
      <c r="K463" s="531"/>
      <c r="L463" s="445"/>
      <c r="M463" s="436"/>
      <c r="N463" s="436"/>
    </row>
    <row r="464" ht="46.5" hidden="1" customHeight="1">
      <c r="A464" s="465" t="s">
        <v>404</v>
      </c>
      <c r="B464" s="465" t="s">
        <v>974</v>
      </c>
      <c r="C464" s="465" t="s">
        <v>1750</v>
      </c>
      <c r="D464" s="486" t="s">
        <v>1751</v>
      </c>
      <c r="E464" s="567">
        <v>45412.0</v>
      </c>
      <c r="F464" s="567">
        <v>45419.0</v>
      </c>
      <c r="G464" s="484"/>
      <c r="H464" s="557">
        <v>1203765.0</v>
      </c>
      <c r="I464" s="548" t="s">
        <v>1179</v>
      </c>
      <c r="J464" s="486" t="s">
        <v>1752</v>
      </c>
      <c r="K464" s="513"/>
      <c r="L464" s="436"/>
      <c r="M464" s="437"/>
      <c r="N464" s="437"/>
    </row>
    <row r="465" ht="46.5" hidden="1" customHeight="1">
      <c r="A465" s="463" t="s">
        <v>580</v>
      </c>
      <c r="B465" s="463" t="s">
        <v>576</v>
      </c>
      <c r="C465" s="463" t="s">
        <v>1753</v>
      </c>
      <c r="D465" s="470" t="s">
        <v>1754</v>
      </c>
      <c r="E465" s="566">
        <v>45420.0</v>
      </c>
      <c r="F465" s="473">
        <v>45435.0</v>
      </c>
      <c r="G465" s="474">
        <v>469.0</v>
      </c>
      <c r="H465" s="558">
        <v>1206142.0</v>
      </c>
      <c r="I465" s="546" t="s">
        <v>1755</v>
      </c>
      <c r="J465" s="470" t="s">
        <v>1756</v>
      </c>
      <c r="K465" s="531"/>
      <c r="L465" s="445"/>
      <c r="M465" s="437"/>
      <c r="N465" s="437"/>
    </row>
    <row r="466" ht="30.75" hidden="1" customHeight="1">
      <c r="A466" s="465" t="s">
        <v>580</v>
      </c>
      <c r="B466" s="465" t="s">
        <v>576</v>
      </c>
      <c r="C466" s="465" t="s">
        <v>1757</v>
      </c>
      <c r="D466" s="486" t="s">
        <v>1758</v>
      </c>
      <c r="E466" s="567">
        <v>45425.0</v>
      </c>
      <c r="F466" s="480">
        <v>45468.0</v>
      </c>
      <c r="G466" s="484">
        <v>369.0</v>
      </c>
      <c r="H466" s="557">
        <v>1206045.0</v>
      </c>
      <c r="I466" s="548" t="s">
        <v>1759</v>
      </c>
      <c r="J466" s="486" t="s">
        <v>1760</v>
      </c>
      <c r="K466" s="513"/>
      <c r="L466" s="436"/>
      <c r="M466" s="437"/>
      <c r="N466" s="437"/>
    </row>
    <row r="467" ht="30.0" hidden="1" customHeight="1">
      <c r="A467" s="463" t="s">
        <v>580</v>
      </c>
      <c r="B467" s="463" t="s">
        <v>576</v>
      </c>
      <c r="C467" s="463" t="s">
        <v>936</v>
      </c>
      <c r="D467" s="470" t="s">
        <v>1761</v>
      </c>
      <c r="E467" s="566">
        <v>45425.0</v>
      </c>
      <c r="F467" s="473">
        <v>45468.0</v>
      </c>
      <c r="G467" s="474">
        <v>349.0</v>
      </c>
      <c r="H467" s="558">
        <v>1206046.0</v>
      </c>
      <c r="I467" s="546" t="s">
        <v>1762</v>
      </c>
      <c r="J467" s="470" t="s">
        <v>1763</v>
      </c>
      <c r="K467" s="531"/>
      <c r="L467" s="445"/>
      <c r="M467" s="437"/>
      <c r="N467" s="437"/>
    </row>
    <row r="468" ht="28.5" hidden="1" customHeight="1">
      <c r="A468" s="465" t="s">
        <v>580</v>
      </c>
      <c r="B468" s="465" t="s">
        <v>576</v>
      </c>
      <c r="C468" s="465" t="s">
        <v>1738</v>
      </c>
      <c r="D468" s="486" t="s">
        <v>1739</v>
      </c>
      <c r="E468" s="567">
        <v>45436.0</v>
      </c>
      <c r="F468" s="567">
        <v>45453.0</v>
      </c>
      <c r="G468" s="484">
        <v>199.0</v>
      </c>
      <c r="H468" s="557">
        <v>1205876.0</v>
      </c>
      <c r="I468" s="548" t="s">
        <v>1179</v>
      </c>
      <c r="J468" s="486" t="s">
        <v>1740</v>
      </c>
      <c r="K468" s="513"/>
      <c r="L468" s="436"/>
      <c r="M468" s="437"/>
      <c r="N468" s="437"/>
    </row>
    <row r="469" ht="78.0" hidden="1" customHeight="1">
      <c r="A469" s="463" t="s">
        <v>580</v>
      </c>
      <c r="B469" s="463" t="s">
        <v>1120</v>
      </c>
      <c r="C469" s="463" t="s">
        <v>1764</v>
      </c>
      <c r="D469" s="470" t="s">
        <v>1765</v>
      </c>
      <c r="E469" s="566">
        <v>45425.0</v>
      </c>
      <c r="F469" s="566">
        <v>45438.0</v>
      </c>
      <c r="G469" s="474">
        <v>209.0</v>
      </c>
      <c r="H469" s="558">
        <v>1206183.0</v>
      </c>
      <c r="I469" s="546" t="s">
        <v>1766</v>
      </c>
      <c r="J469" s="470" t="s">
        <v>1767</v>
      </c>
      <c r="K469" s="531"/>
      <c r="L469" s="445"/>
      <c r="M469" s="437"/>
      <c r="N469" s="437"/>
    </row>
    <row r="470" ht="99.0" hidden="1" customHeight="1">
      <c r="A470" s="465" t="s">
        <v>580</v>
      </c>
      <c r="B470" s="465" t="s">
        <v>1120</v>
      </c>
      <c r="C470" s="465" t="s">
        <v>1768</v>
      </c>
      <c r="D470" s="486" t="s">
        <v>1769</v>
      </c>
      <c r="E470" s="567">
        <v>45439.0</v>
      </c>
      <c r="F470" s="567">
        <v>45445.0</v>
      </c>
      <c r="G470" s="484"/>
      <c r="H470" s="557">
        <v>1207673.0</v>
      </c>
      <c r="I470" s="548" t="s">
        <v>1207</v>
      </c>
      <c r="J470" s="486" t="s">
        <v>1770</v>
      </c>
      <c r="K470" s="513"/>
      <c r="L470" s="436"/>
      <c r="M470" s="437"/>
      <c r="N470" s="437"/>
    </row>
    <row r="471" ht="99.0" hidden="1" customHeight="1">
      <c r="A471" s="463" t="s">
        <v>670</v>
      </c>
      <c r="B471" s="463" t="s">
        <v>576</v>
      </c>
      <c r="C471" s="463" t="s">
        <v>1771</v>
      </c>
      <c r="D471" s="470" t="s">
        <v>1772</v>
      </c>
      <c r="E471" s="566">
        <v>45419.0</v>
      </c>
      <c r="F471" s="566">
        <v>45435.0</v>
      </c>
      <c r="G471" s="474"/>
      <c r="H471" s="558">
        <v>1206311.0</v>
      </c>
      <c r="I471" s="546" t="s">
        <v>1179</v>
      </c>
      <c r="J471" s="470" t="s">
        <v>1773</v>
      </c>
      <c r="K471" s="531"/>
      <c r="L471" s="445"/>
      <c r="M471" s="437"/>
      <c r="N471" s="437"/>
    </row>
    <row r="472" hidden="1">
      <c r="A472" s="465" t="s">
        <v>670</v>
      </c>
      <c r="B472" s="465" t="s">
        <v>576</v>
      </c>
      <c r="C472" s="465" t="s">
        <v>730</v>
      </c>
      <c r="D472" s="486" t="s">
        <v>1774</v>
      </c>
      <c r="E472" s="567">
        <v>45436.0</v>
      </c>
      <c r="F472" s="567">
        <v>45468.0</v>
      </c>
      <c r="G472" s="484"/>
      <c r="H472" s="557">
        <v>1207535.0</v>
      </c>
      <c r="I472" s="548"/>
      <c r="J472" s="486" t="s">
        <v>1775</v>
      </c>
      <c r="K472" s="513"/>
      <c r="L472" s="436"/>
      <c r="M472" s="437"/>
      <c r="N472" s="437"/>
    </row>
    <row r="473" ht="15.75" hidden="1" customHeight="1">
      <c r="A473" s="463" t="s">
        <v>666</v>
      </c>
      <c r="B473" s="463" t="s">
        <v>1120</v>
      </c>
      <c r="C473" s="463" t="s">
        <v>1776</v>
      </c>
      <c r="D473" s="470" t="s">
        <v>1777</v>
      </c>
      <c r="E473" s="566">
        <v>45414.0</v>
      </c>
      <c r="F473" s="566">
        <v>45443.0</v>
      </c>
      <c r="G473" s="474"/>
      <c r="H473" s="558">
        <v>1198383.0</v>
      </c>
      <c r="I473" s="546"/>
      <c r="J473" s="470" t="s">
        <v>1778</v>
      </c>
      <c r="K473" s="531"/>
      <c r="L473" s="445"/>
      <c r="M473" s="437"/>
      <c r="N473" s="437"/>
    </row>
    <row r="474" ht="15.75" hidden="1" customHeight="1">
      <c r="A474" s="465" t="s">
        <v>165</v>
      </c>
      <c r="B474" s="465" t="s">
        <v>970</v>
      </c>
      <c r="C474" s="465" t="s">
        <v>1779</v>
      </c>
      <c r="D474" s="486" t="s">
        <v>1696</v>
      </c>
      <c r="E474" s="471" t="s">
        <v>1780</v>
      </c>
      <c r="F474" s="567">
        <v>45403.0</v>
      </c>
      <c r="G474" s="484" t="s">
        <v>1781</v>
      </c>
      <c r="H474" s="557" t="s">
        <v>1782</v>
      </c>
      <c r="I474" s="487" t="s">
        <v>143</v>
      </c>
      <c r="J474" s="486" t="s">
        <v>1783</v>
      </c>
      <c r="K474" s="513"/>
      <c r="L474" s="436"/>
      <c r="M474" s="437"/>
      <c r="N474" s="437"/>
    </row>
    <row r="475" ht="15.75" hidden="1" customHeight="1">
      <c r="A475" s="463" t="s">
        <v>165</v>
      </c>
      <c r="B475" s="463" t="s">
        <v>1002</v>
      </c>
      <c r="C475" s="463" t="s">
        <v>1784</v>
      </c>
      <c r="D475" s="470" t="s">
        <v>1696</v>
      </c>
      <c r="E475" s="482" t="s">
        <v>1785</v>
      </c>
      <c r="F475" s="566">
        <v>45403.0</v>
      </c>
      <c r="G475" s="474" t="s">
        <v>1786</v>
      </c>
      <c r="H475" s="601" t="s">
        <v>1787</v>
      </c>
      <c r="I475" s="475" t="s">
        <v>143</v>
      </c>
      <c r="J475" s="470" t="s">
        <v>1788</v>
      </c>
      <c r="K475" s="531"/>
      <c r="L475" s="445"/>
      <c r="M475" s="437"/>
      <c r="N475" s="437"/>
    </row>
    <row r="476" hidden="1">
      <c r="A476" s="465" t="s">
        <v>1789</v>
      </c>
      <c r="B476" s="465" t="s">
        <v>974</v>
      </c>
      <c r="C476" s="465" t="s">
        <v>1790</v>
      </c>
      <c r="D476" s="486" t="s">
        <v>1696</v>
      </c>
      <c r="E476" s="471" t="s">
        <v>1791</v>
      </c>
      <c r="F476" s="567">
        <v>45403.0</v>
      </c>
      <c r="G476" s="484" t="s">
        <v>1792</v>
      </c>
      <c r="H476" s="607" t="s">
        <v>1793</v>
      </c>
      <c r="I476" s="487" t="s">
        <v>143</v>
      </c>
      <c r="J476" s="486" t="s">
        <v>1794</v>
      </c>
      <c r="K476" s="513"/>
      <c r="L476" s="436"/>
      <c r="M476" s="437"/>
      <c r="N476" s="437"/>
    </row>
    <row r="477" ht="15.75" hidden="1" customHeight="1">
      <c r="A477" s="463" t="s">
        <v>165</v>
      </c>
      <c r="B477" s="463" t="s">
        <v>974</v>
      </c>
      <c r="C477" s="463" t="s">
        <v>1795</v>
      </c>
      <c r="D477" s="470" t="s">
        <v>1696</v>
      </c>
      <c r="E477" s="482" t="s">
        <v>1796</v>
      </c>
      <c r="F477" s="566">
        <v>45396.0</v>
      </c>
      <c r="G477" s="474" t="s">
        <v>1797</v>
      </c>
      <c r="H477" s="558" t="s">
        <v>1798</v>
      </c>
      <c r="I477" s="546" t="s">
        <v>1799</v>
      </c>
      <c r="J477" s="470"/>
      <c r="K477" s="531"/>
      <c r="L477" s="445"/>
      <c r="M477" s="437"/>
      <c r="N477" s="437"/>
    </row>
    <row r="478" ht="15.75" hidden="1" customHeight="1">
      <c r="A478" s="465" t="s">
        <v>607</v>
      </c>
      <c r="B478" s="465" t="s">
        <v>576</v>
      </c>
      <c r="C478" s="465" t="s">
        <v>1800</v>
      </c>
      <c r="D478" s="486" t="s">
        <v>1801</v>
      </c>
      <c r="E478" s="567">
        <v>45428.0</v>
      </c>
      <c r="F478" s="567">
        <v>45435.0</v>
      </c>
      <c r="G478" s="484"/>
      <c r="H478" s="557">
        <v>1206490.0</v>
      </c>
      <c r="I478" s="548"/>
      <c r="J478" s="486" t="s">
        <v>1802</v>
      </c>
      <c r="K478" s="513"/>
      <c r="L478" s="436"/>
      <c r="M478" s="437"/>
      <c r="N478" s="437"/>
    </row>
    <row r="479" ht="15.75" hidden="1" customHeight="1">
      <c r="A479" s="463" t="s">
        <v>1046</v>
      </c>
      <c r="B479" s="463" t="s">
        <v>576</v>
      </c>
      <c r="C479" s="516" t="s">
        <v>1803</v>
      </c>
      <c r="D479" s="470" t="s">
        <v>1804</v>
      </c>
      <c r="E479" s="566">
        <v>45429.0</v>
      </c>
      <c r="F479" s="566">
        <v>45417.0</v>
      </c>
      <c r="G479" s="474" t="s">
        <v>1805</v>
      </c>
      <c r="H479" s="558" t="s">
        <v>1806</v>
      </c>
      <c r="I479" s="546" t="s">
        <v>1807</v>
      </c>
      <c r="J479" s="470" t="s">
        <v>1808</v>
      </c>
      <c r="K479" s="531"/>
      <c r="L479" s="445"/>
      <c r="M479" s="437"/>
      <c r="N479" s="437"/>
    </row>
    <row r="480" ht="15.75" hidden="1" customHeight="1">
      <c r="A480" s="465" t="s">
        <v>1046</v>
      </c>
      <c r="B480" s="465" t="s">
        <v>576</v>
      </c>
      <c r="C480" s="168" t="s">
        <v>1795</v>
      </c>
      <c r="D480" s="486" t="s">
        <v>1804</v>
      </c>
      <c r="E480" s="567">
        <v>45430.0</v>
      </c>
      <c r="F480" s="567">
        <v>45417.0</v>
      </c>
      <c r="G480" s="484" t="s">
        <v>1809</v>
      </c>
      <c r="H480" s="607" t="s">
        <v>1810</v>
      </c>
      <c r="I480" s="548" t="s">
        <v>1807</v>
      </c>
      <c r="J480" s="486" t="s">
        <v>1811</v>
      </c>
      <c r="K480" s="513"/>
      <c r="L480" s="436"/>
      <c r="M480" s="437"/>
      <c r="N480" s="437"/>
    </row>
    <row r="481" ht="15.75" hidden="1" customHeight="1">
      <c r="A481" s="463" t="s">
        <v>1046</v>
      </c>
      <c r="B481" s="463" t="s">
        <v>576</v>
      </c>
      <c r="C481" s="516" t="s">
        <v>1812</v>
      </c>
      <c r="D481" s="470" t="s">
        <v>1804</v>
      </c>
      <c r="E481" s="566">
        <v>45431.0</v>
      </c>
      <c r="F481" s="566">
        <v>45417.0</v>
      </c>
      <c r="G481" s="474" t="s">
        <v>1813</v>
      </c>
      <c r="H481" s="558" t="s">
        <v>1814</v>
      </c>
      <c r="I481" s="546" t="s">
        <v>1807</v>
      </c>
      <c r="J481" s="470" t="s">
        <v>1815</v>
      </c>
      <c r="K481" s="531"/>
      <c r="L481" s="445"/>
      <c r="M481" s="437"/>
      <c r="N481" s="437"/>
    </row>
    <row r="482" ht="15.75" hidden="1" customHeight="1">
      <c r="A482" s="465" t="s">
        <v>1351</v>
      </c>
      <c r="B482" s="465" t="s">
        <v>576</v>
      </c>
      <c r="C482" s="465" t="s">
        <v>1816</v>
      </c>
      <c r="D482" s="486" t="s">
        <v>1817</v>
      </c>
      <c r="E482" s="567">
        <v>45420.0</v>
      </c>
      <c r="F482" s="567">
        <v>45427.0</v>
      </c>
      <c r="G482" s="484"/>
      <c r="H482" s="557">
        <v>1200102.0</v>
      </c>
      <c r="I482" s="548"/>
      <c r="J482" s="486"/>
      <c r="K482" s="513"/>
      <c r="L482" s="436"/>
      <c r="M482" s="437"/>
      <c r="N482" s="437"/>
    </row>
    <row r="483" ht="15.75" hidden="1" customHeight="1">
      <c r="A483" s="438" t="s">
        <v>1046</v>
      </c>
      <c r="B483" s="438" t="s">
        <v>576</v>
      </c>
      <c r="C483" s="657" t="s">
        <v>1803</v>
      </c>
      <c r="D483" s="448" t="s">
        <v>1804</v>
      </c>
      <c r="E483" s="482" t="s">
        <v>1818</v>
      </c>
      <c r="F483" s="482" t="s">
        <v>1819</v>
      </c>
      <c r="G483" s="474" t="s">
        <v>1820</v>
      </c>
      <c r="H483" s="558" t="s">
        <v>1097</v>
      </c>
      <c r="I483" s="537" t="s">
        <v>1821</v>
      </c>
      <c r="J483" s="470" t="s">
        <v>1822</v>
      </c>
      <c r="K483" s="492"/>
      <c r="L483" s="492"/>
      <c r="M483" s="493"/>
      <c r="N483" s="493"/>
    </row>
    <row r="484" ht="15.75" hidden="1" customHeight="1">
      <c r="A484" s="430" t="s">
        <v>1046</v>
      </c>
      <c r="B484" s="430" t="s">
        <v>576</v>
      </c>
      <c r="C484" s="660" t="s">
        <v>1795</v>
      </c>
      <c r="D484" s="447" t="s">
        <v>1804</v>
      </c>
      <c r="E484" s="728" t="s">
        <v>1823</v>
      </c>
      <c r="F484" s="728" t="s">
        <v>1824</v>
      </c>
      <c r="G484" s="484" t="s">
        <v>1797</v>
      </c>
      <c r="H484" s="557" t="s">
        <v>1825</v>
      </c>
      <c r="I484" s="495" t="s">
        <v>1821</v>
      </c>
      <c r="J484" s="486" t="s">
        <v>1826</v>
      </c>
      <c r="K484" s="608"/>
      <c r="L484" s="608"/>
      <c r="M484" s="493"/>
      <c r="N484" s="493"/>
    </row>
    <row r="485" ht="15.75" hidden="1" customHeight="1">
      <c r="A485" s="438" t="s">
        <v>1046</v>
      </c>
      <c r="B485" s="438" t="s">
        <v>576</v>
      </c>
      <c r="C485" s="657" t="s">
        <v>1827</v>
      </c>
      <c r="D485" s="448" t="s">
        <v>1804</v>
      </c>
      <c r="E485" s="566">
        <v>45429.0</v>
      </c>
      <c r="F485" s="566">
        <v>45433.0</v>
      </c>
      <c r="G485" s="474" t="s">
        <v>1828</v>
      </c>
      <c r="H485" s="558" t="s">
        <v>1829</v>
      </c>
      <c r="I485" s="729" t="s">
        <v>1821</v>
      </c>
      <c r="J485" s="470" t="s">
        <v>1830</v>
      </c>
      <c r="K485" s="492"/>
      <c r="L485" s="492"/>
      <c r="M485" s="493"/>
      <c r="N485" s="493"/>
    </row>
    <row r="486" hidden="1">
      <c r="A486" s="465" t="s">
        <v>580</v>
      </c>
      <c r="B486" s="465" t="s">
        <v>907</v>
      </c>
      <c r="C486" s="465" t="s">
        <v>1831</v>
      </c>
      <c r="D486" s="486" t="s">
        <v>1832</v>
      </c>
      <c r="E486" s="480">
        <v>45439.0</v>
      </c>
      <c r="F486" s="567">
        <v>45445.0</v>
      </c>
      <c r="G486" s="484">
        <v>30.0</v>
      </c>
      <c r="H486" s="557">
        <v>1207411.0</v>
      </c>
      <c r="I486" s="548"/>
      <c r="J486" s="486" t="s">
        <v>1833</v>
      </c>
      <c r="K486" s="513"/>
      <c r="L486" s="436"/>
      <c r="M486" s="437"/>
      <c r="N486" s="437"/>
    </row>
    <row r="487" hidden="1">
      <c r="A487" s="463" t="s">
        <v>666</v>
      </c>
      <c r="B487" s="463" t="s">
        <v>1120</v>
      </c>
      <c r="C487" s="463" t="s">
        <v>1834</v>
      </c>
      <c r="D487" s="470" t="s">
        <v>1835</v>
      </c>
      <c r="E487" s="473">
        <v>45433.0</v>
      </c>
      <c r="F487" s="566">
        <v>45443.0</v>
      </c>
      <c r="G487" s="474">
        <v>59.94</v>
      </c>
      <c r="H487" s="558">
        <v>1206486.0</v>
      </c>
      <c r="I487" s="546"/>
      <c r="J487" s="470" t="s">
        <v>1836</v>
      </c>
      <c r="K487" s="531"/>
      <c r="L487" s="445"/>
      <c r="M487" s="437"/>
      <c r="N487" s="437"/>
    </row>
    <row r="488">
      <c r="A488" s="465" t="s">
        <v>165</v>
      </c>
      <c r="B488" s="465" t="s">
        <v>1837</v>
      </c>
      <c r="C488" s="465" t="s">
        <v>1838</v>
      </c>
      <c r="D488" s="486" t="s">
        <v>1839</v>
      </c>
      <c r="E488" s="675">
        <v>45483.0</v>
      </c>
      <c r="F488" s="471" t="s">
        <v>1138</v>
      </c>
      <c r="G488" s="632">
        <v>10.0</v>
      </c>
      <c r="H488" s="557">
        <v>1210152.0</v>
      </c>
      <c r="I488" s="548" t="s">
        <v>1138</v>
      </c>
      <c r="J488" s="486" t="s">
        <v>1840</v>
      </c>
      <c r="K488" s="513"/>
      <c r="L488" s="436"/>
      <c r="M488" s="437"/>
      <c r="N488" s="437"/>
    </row>
    <row r="489" hidden="1">
      <c r="A489" s="463" t="s">
        <v>165</v>
      </c>
      <c r="B489" s="463" t="s">
        <v>907</v>
      </c>
      <c r="C489" s="463" t="s">
        <v>1841</v>
      </c>
      <c r="D489" s="470" t="s">
        <v>1842</v>
      </c>
      <c r="E489" s="677">
        <v>45483.0</v>
      </c>
      <c r="F489" s="566">
        <v>45535.0</v>
      </c>
      <c r="G489" s="635"/>
      <c r="H489" s="558">
        <v>1209827.0</v>
      </c>
      <c r="I489" s="546" t="s">
        <v>1843</v>
      </c>
      <c r="J489" s="470" t="s">
        <v>1844</v>
      </c>
      <c r="K489" s="531"/>
      <c r="L489" s="445"/>
      <c r="M489" s="437"/>
      <c r="N489" s="437"/>
    </row>
    <row r="490" hidden="1">
      <c r="A490" s="465" t="s">
        <v>165</v>
      </c>
      <c r="B490" s="465" t="s">
        <v>1198</v>
      </c>
      <c r="C490" s="471" t="s">
        <v>1845</v>
      </c>
      <c r="D490" s="486" t="s">
        <v>1846</v>
      </c>
      <c r="E490" s="480">
        <v>45460.0</v>
      </c>
      <c r="F490" s="480">
        <v>45504.0</v>
      </c>
      <c r="G490" s="632">
        <v>50.0</v>
      </c>
      <c r="H490" s="471">
        <v>1208780.0</v>
      </c>
      <c r="I490" s="487" t="s">
        <v>1847</v>
      </c>
      <c r="J490" s="486" t="s">
        <v>1848</v>
      </c>
      <c r="K490" s="513"/>
      <c r="L490" s="436"/>
      <c r="M490" s="437"/>
      <c r="N490" s="437"/>
    </row>
    <row r="491" hidden="1">
      <c r="A491" s="463" t="s">
        <v>580</v>
      </c>
      <c r="B491" s="463" t="s">
        <v>907</v>
      </c>
      <c r="C491" s="472" t="s">
        <v>1849</v>
      </c>
      <c r="D491" s="545" t="s">
        <v>1850</v>
      </c>
      <c r="E491" s="473">
        <v>45497.0</v>
      </c>
      <c r="F491" s="473">
        <v>45516.0</v>
      </c>
      <c r="G491" s="635">
        <v>80.0</v>
      </c>
      <c r="H491" s="606" t="s">
        <v>1851</v>
      </c>
      <c r="I491" s="619" t="s">
        <v>1852</v>
      </c>
      <c r="J491" s="602" t="s">
        <v>1851</v>
      </c>
      <c r="K491" s="445"/>
      <c r="L491" s="571"/>
      <c r="M491" s="568"/>
      <c r="N491" s="568"/>
    </row>
    <row r="492" hidden="1">
      <c r="A492" s="465" t="s">
        <v>580</v>
      </c>
      <c r="B492" s="465" t="s">
        <v>907</v>
      </c>
      <c r="C492" s="483" t="s">
        <v>1853</v>
      </c>
      <c r="D492" s="544" t="s">
        <v>1854</v>
      </c>
      <c r="E492" s="480">
        <v>45497.0</v>
      </c>
      <c r="F492" s="480">
        <v>45516.0</v>
      </c>
      <c r="G492" s="632">
        <v>30.0</v>
      </c>
      <c r="H492" s="730" t="s">
        <v>1855</v>
      </c>
      <c r="I492" s="590" t="s">
        <v>1856</v>
      </c>
      <c r="J492" s="591" t="s">
        <v>1857</v>
      </c>
      <c r="K492" s="436"/>
      <c r="L492" s="568"/>
      <c r="M492" s="568"/>
      <c r="N492" s="568"/>
    </row>
    <row r="493" ht="31.5" hidden="1" customHeight="1">
      <c r="A493" s="646" t="s">
        <v>165</v>
      </c>
      <c r="B493" s="646" t="s">
        <v>1002</v>
      </c>
      <c r="C493" s="646" t="s">
        <v>1858</v>
      </c>
      <c r="D493" s="715" t="s">
        <v>1859</v>
      </c>
      <c r="E493" s="677">
        <v>45497.0</v>
      </c>
      <c r="F493" s="566">
        <v>45515.0</v>
      </c>
      <c r="G493" s="635">
        <v>150.0</v>
      </c>
      <c r="H493" s="558">
        <v>1209893.0</v>
      </c>
      <c r="I493" s="731" t="s">
        <v>1138</v>
      </c>
      <c r="J493" s="715" t="s">
        <v>1232</v>
      </c>
      <c r="K493" s="732"/>
      <c r="L493" s="733"/>
      <c r="M493" s="734"/>
      <c r="N493" s="734"/>
    </row>
    <row r="494" ht="31.5" hidden="1" customHeight="1">
      <c r="A494" s="471" t="s">
        <v>165</v>
      </c>
      <c r="B494" s="471" t="s">
        <v>1002</v>
      </c>
      <c r="C494" s="471" t="s">
        <v>1860</v>
      </c>
      <c r="D494" s="104" t="s">
        <v>1861</v>
      </c>
      <c r="E494" s="675">
        <v>45497.0</v>
      </c>
      <c r="F494" s="567">
        <v>45551.0</v>
      </c>
      <c r="G494" s="632">
        <v>200.0</v>
      </c>
      <c r="H494" s="557">
        <v>1209894.0</v>
      </c>
      <c r="I494" s="717" t="s">
        <v>1138</v>
      </c>
      <c r="J494" s="104" t="s">
        <v>1229</v>
      </c>
      <c r="K494" s="735"/>
      <c r="L494" s="736"/>
      <c r="M494" s="737"/>
      <c r="N494" s="737"/>
    </row>
    <row r="495" ht="31.5" hidden="1" customHeight="1">
      <c r="A495" s="482" t="s">
        <v>165</v>
      </c>
      <c r="B495" s="482" t="s">
        <v>907</v>
      </c>
      <c r="C495" s="482" t="s">
        <v>1862</v>
      </c>
      <c r="D495" s="119" t="s">
        <v>1863</v>
      </c>
      <c r="E495" s="677">
        <v>45497.0</v>
      </c>
      <c r="F495" s="566">
        <v>45560.0</v>
      </c>
      <c r="G495" s="635">
        <v>100.0</v>
      </c>
      <c r="H495" s="558">
        <v>1209797.0</v>
      </c>
      <c r="I495" s="738" t="s">
        <v>1138</v>
      </c>
      <c r="J495" s="119" t="s">
        <v>1864</v>
      </c>
      <c r="K495" s="739"/>
      <c r="L495" s="740"/>
      <c r="M495" s="737"/>
      <c r="N495" s="737"/>
    </row>
    <row r="496" ht="31.5" hidden="1" customHeight="1">
      <c r="A496" s="465" t="s">
        <v>165</v>
      </c>
      <c r="B496" s="465" t="s">
        <v>907</v>
      </c>
      <c r="C496" s="465" t="s">
        <v>1865</v>
      </c>
      <c r="D496" s="486" t="s">
        <v>1678</v>
      </c>
      <c r="E496" s="675">
        <v>45497.0</v>
      </c>
      <c r="F496" s="567">
        <v>45560.0</v>
      </c>
      <c r="G496" s="632">
        <v>50.0</v>
      </c>
      <c r="H496" s="557">
        <v>1209798.0</v>
      </c>
      <c r="I496" s="548" t="s">
        <v>1138</v>
      </c>
      <c r="J496" s="486" t="s">
        <v>1866</v>
      </c>
      <c r="K496" s="513"/>
      <c r="L496" s="436"/>
      <c r="M496" s="437"/>
      <c r="N496" s="437"/>
    </row>
    <row r="497" ht="31.5" hidden="1" customHeight="1">
      <c r="A497" s="463" t="s">
        <v>580</v>
      </c>
      <c r="B497" s="463" t="s">
        <v>576</v>
      </c>
      <c r="C497" s="463" t="s">
        <v>1867</v>
      </c>
      <c r="D497" s="470" t="s">
        <v>1868</v>
      </c>
      <c r="E497" s="677">
        <v>45499.0</v>
      </c>
      <c r="F497" s="566">
        <v>45502.0</v>
      </c>
      <c r="G497" s="635" t="s">
        <v>1869</v>
      </c>
      <c r="H497" s="558" t="s">
        <v>1870</v>
      </c>
      <c r="I497" s="678" t="s">
        <v>1871</v>
      </c>
      <c r="J497" s="470"/>
      <c r="K497" s="531"/>
      <c r="L497" s="445"/>
      <c r="M497" s="437"/>
      <c r="N497" s="437"/>
    </row>
    <row r="498" ht="31.5" hidden="1" customHeight="1">
      <c r="A498" s="465" t="s">
        <v>580</v>
      </c>
      <c r="B498" s="465" t="s">
        <v>1120</v>
      </c>
      <c r="C498" s="465" t="s">
        <v>1872</v>
      </c>
      <c r="D498" s="486" t="s">
        <v>1868</v>
      </c>
      <c r="E498" s="675">
        <v>45499.0</v>
      </c>
      <c r="F498" s="675">
        <v>45502.0</v>
      </c>
      <c r="G498" s="632" t="s">
        <v>1873</v>
      </c>
      <c r="H498" s="741" t="s">
        <v>1874</v>
      </c>
      <c r="I498" s="676" t="s">
        <v>1871</v>
      </c>
      <c r="J498" s="486"/>
      <c r="K498" s="513"/>
      <c r="L498" s="436"/>
      <c r="M498" s="437"/>
      <c r="N498" s="437"/>
    </row>
    <row r="499" ht="31.5" hidden="1" customHeight="1">
      <c r="A499" s="463" t="s">
        <v>580</v>
      </c>
      <c r="B499" s="463" t="s">
        <v>576</v>
      </c>
      <c r="C499" s="472" t="s">
        <v>1875</v>
      </c>
      <c r="D499" s="545" t="s">
        <v>1876</v>
      </c>
      <c r="E499" s="473">
        <v>45499.0</v>
      </c>
      <c r="F499" s="473">
        <v>45565.0</v>
      </c>
      <c r="G499" s="635">
        <v>100.0</v>
      </c>
      <c r="H499" s="558">
        <v>1210801.0</v>
      </c>
      <c r="I499" s="619" t="s">
        <v>1877</v>
      </c>
      <c r="J499" s="602" t="s">
        <v>1878</v>
      </c>
      <c r="K499" s="445"/>
      <c r="L499" s="571"/>
      <c r="M499" s="568"/>
      <c r="N499" s="568"/>
    </row>
    <row r="500" ht="31.5" hidden="1" customHeight="1">
      <c r="A500" s="465" t="s">
        <v>580</v>
      </c>
      <c r="B500" s="465" t="s">
        <v>576</v>
      </c>
      <c r="C500" s="483" t="s">
        <v>1875</v>
      </c>
      <c r="D500" s="544" t="s">
        <v>1879</v>
      </c>
      <c r="E500" s="480">
        <v>45499.0</v>
      </c>
      <c r="F500" s="480">
        <v>45565.0</v>
      </c>
      <c r="G500" s="632">
        <v>40.0</v>
      </c>
      <c r="H500" s="557">
        <v>1210802.0</v>
      </c>
      <c r="I500" s="590" t="s">
        <v>1880</v>
      </c>
      <c r="J500" s="591" t="s">
        <v>1881</v>
      </c>
      <c r="K500" s="436"/>
      <c r="L500" s="568"/>
      <c r="M500" s="568"/>
      <c r="N500" s="568"/>
    </row>
    <row r="501" ht="31.5" hidden="1" customHeight="1">
      <c r="A501" s="463" t="s">
        <v>580</v>
      </c>
      <c r="B501" s="463" t="s">
        <v>907</v>
      </c>
      <c r="C501" s="472" t="s">
        <v>1853</v>
      </c>
      <c r="D501" s="545" t="s">
        <v>1882</v>
      </c>
      <c r="E501" s="473">
        <v>45517.0</v>
      </c>
      <c r="F501" s="473">
        <v>45565.0</v>
      </c>
      <c r="G501" s="635">
        <v>50.0</v>
      </c>
      <c r="H501" s="742" t="s">
        <v>1855</v>
      </c>
      <c r="I501" s="619" t="s">
        <v>1883</v>
      </c>
      <c r="J501" s="602" t="s">
        <v>1857</v>
      </c>
      <c r="K501" s="445"/>
      <c r="L501" s="571"/>
      <c r="M501" s="568"/>
      <c r="N501" s="568"/>
    </row>
    <row r="502" ht="31.5" hidden="1" customHeight="1">
      <c r="A502" s="465" t="s">
        <v>580</v>
      </c>
      <c r="B502" s="465" t="s">
        <v>907</v>
      </c>
      <c r="C502" s="483" t="s">
        <v>1884</v>
      </c>
      <c r="D502" s="544" t="s">
        <v>1885</v>
      </c>
      <c r="E502" s="480">
        <v>45517.0</v>
      </c>
      <c r="F502" s="480">
        <v>45565.0</v>
      </c>
      <c r="G502" s="632">
        <v>100.0</v>
      </c>
      <c r="H502" s="604" t="s">
        <v>1886</v>
      </c>
      <c r="I502" s="590" t="s">
        <v>1887</v>
      </c>
      <c r="J502" s="591" t="s">
        <v>1886</v>
      </c>
      <c r="K502" s="436"/>
      <c r="L502" s="568"/>
      <c r="M502" s="568"/>
      <c r="N502" s="568"/>
    </row>
    <row r="503" ht="31.5" hidden="1" customHeight="1">
      <c r="A503" s="463" t="s">
        <v>580</v>
      </c>
      <c r="B503" s="463" t="s">
        <v>576</v>
      </c>
      <c r="C503" s="472" t="s">
        <v>1888</v>
      </c>
      <c r="D503" s="545" t="s">
        <v>1889</v>
      </c>
      <c r="E503" s="473">
        <v>45516.0</v>
      </c>
      <c r="F503" s="482" t="s">
        <v>1890</v>
      </c>
      <c r="G503" s="635">
        <v>179.99</v>
      </c>
      <c r="H503" s="606">
        <v>1211356.0</v>
      </c>
      <c r="I503" s="619" t="s">
        <v>1891</v>
      </c>
      <c r="J503" s="602" t="s">
        <v>1892</v>
      </c>
      <c r="K503" s="445"/>
      <c r="L503" s="571"/>
      <c r="M503" s="568"/>
      <c r="N503" s="568"/>
    </row>
    <row r="504" ht="31.5" hidden="1" customHeight="1">
      <c r="A504" s="465" t="s">
        <v>580</v>
      </c>
      <c r="B504" s="465" t="s">
        <v>1120</v>
      </c>
      <c r="C504" s="483" t="s">
        <v>1893</v>
      </c>
      <c r="D504" s="544" t="s">
        <v>1894</v>
      </c>
      <c r="E504" s="480">
        <v>45566.0</v>
      </c>
      <c r="F504" s="680">
        <v>45596.0</v>
      </c>
      <c r="G504" s="632" t="s">
        <v>1138</v>
      </c>
      <c r="H504" s="604">
        <v>1211755.0</v>
      </c>
      <c r="I504" s="590" t="s">
        <v>1895</v>
      </c>
      <c r="J504" s="591">
        <v>1205020.0</v>
      </c>
      <c r="K504" s="436"/>
      <c r="L504" s="568"/>
      <c r="M504" s="568"/>
      <c r="N504" s="568"/>
    </row>
    <row r="505" ht="31.5" hidden="1" customHeight="1">
      <c r="A505" s="463" t="s">
        <v>580</v>
      </c>
      <c r="B505" s="463" t="s">
        <v>1120</v>
      </c>
      <c r="C505" s="472" t="s">
        <v>1896</v>
      </c>
      <c r="D505" s="545" t="s">
        <v>1897</v>
      </c>
      <c r="E505" s="473">
        <v>45566.0</v>
      </c>
      <c r="F505" s="679">
        <v>45593.0</v>
      </c>
      <c r="G505" s="635" t="s">
        <v>1138</v>
      </c>
      <c r="H505" s="606">
        <v>1211756.0</v>
      </c>
      <c r="I505" s="678" t="s">
        <v>1898</v>
      </c>
      <c r="J505" s="602">
        <v>1198778.0</v>
      </c>
      <c r="K505" s="445"/>
      <c r="L505" s="571"/>
      <c r="M505" s="568"/>
      <c r="N505" s="568"/>
    </row>
    <row r="506" ht="31.5" hidden="1" customHeight="1">
      <c r="A506" s="465" t="s">
        <v>580</v>
      </c>
      <c r="B506" s="465" t="s">
        <v>1120</v>
      </c>
      <c r="C506" s="483" t="s">
        <v>1899</v>
      </c>
      <c r="D506" s="544" t="s">
        <v>1900</v>
      </c>
      <c r="E506" s="480">
        <v>45547.0</v>
      </c>
      <c r="F506" s="680">
        <v>45564.0</v>
      </c>
      <c r="G506" s="632">
        <v>50.0</v>
      </c>
      <c r="H506" s="604" t="s">
        <v>1901</v>
      </c>
      <c r="I506" s="465" t="s">
        <v>1138</v>
      </c>
      <c r="J506" s="591">
        <v>1200632.0</v>
      </c>
      <c r="K506" s="436"/>
      <c r="L506" s="568"/>
      <c r="M506" s="568"/>
      <c r="N506" s="568"/>
    </row>
    <row r="507" hidden="1">
      <c r="A507" s="463" t="s">
        <v>580</v>
      </c>
      <c r="B507" s="463" t="s">
        <v>1120</v>
      </c>
      <c r="C507" s="472" t="s">
        <v>1902</v>
      </c>
      <c r="D507" s="545" t="s">
        <v>1696</v>
      </c>
      <c r="E507" s="473">
        <v>45559.0</v>
      </c>
      <c r="F507" s="679">
        <v>45565.0</v>
      </c>
      <c r="G507" s="635" t="s">
        <v>1903</v>
      </c>
      <c r="H507" s="606" t="s">
        <v>1904</v>
      </c>
      <c r="I507" s="583" t="s">
        <v>1905</v>
      </c>
      <c r="J507" s="602" t="s">
        <v>1906</v>
      </c>
      <c r="K507" s="445"/>
      <c r="L507" s="571"/>
      <c r="M507" s="568"/>
      <c r="N507" s="568"/>
    </row>
    <row r="508" hidden="1">
      <c r="A508" s="465" t="s">
        <v>580</v>
      </c>
      <c r="B508" s="465" t="s">
        <v>576</v>
      </c>
      <c r="C508" s="483" t="s">
        <v>1907</v>
      </c>
      <c r="D508" s="544" t="s">
        <v>1696</v>
      </c>
      <c r="E508" s="480">
        <v>45561.0</v>
      </c>
      <c r="F508" s="480">
        <v>45565.0</v>
      </c>
      <c r="G508" s="632" t="s">
        <v>1908</v>
      </c>
      <c r="H508" s="604" t="s">
        <v>1909</v>
      </c>
      <c r="I508" s="502" t="s">
        <v>1910</v>
      </c>
      <c r="J508" s="591" t="s">
        <v>1911</v>
      </c>
      <c r="K508" s="436"/>
      <c r="L508" s="568"/>
      <c r="M508" s="568"/>
      <c r="N508" s="568"/>
    </row>
    <row r="509" hidden="1">
      <c r="A509" s="463" t="s">
        <v>580</v>
      </c>
      <c r="B509" s="463" t="s">
        <v>1912</v>
      </c>
      <c r="C509" s="472" t="s">
        <v>1913</v>
      </c>
      <c r="D509" s="545" t="s">
        <v>1696</v>
      </c>
      <c r="E509" s="473">
        <v>45561.0</v>
      </c>
      <c r="F509" s="473">
        <v>45565.0</v>
      </c>
      <c r="G509" s="635" t="s">
        <v>1914</v>
      </c>
      <c r="H509" s="606" t="s">
        <v>1915</v>
      </c>
      <c r="I509" s="743"/>
      <c r="J509" s="602" t="s">
        <v>1916</v>
      </c>
      <c r="K509" s="445"/>
      <c r="L509" s="571"/>
      <c r="M509" s="568"/>
      <c r="N509" s="568"/>
    </row>
    <row r="510" hidden="1">
      <c r="A510" s="465" t="s">
        <v>580</v>
      </c>
      <c r="B510" s="465" t="s">
        <v>1917</v>
      </c>
      <c r="C510" s="483" t="s">
        <v>1346</v>
      </c>
      <c r="D510" s="630" t="s">
        <v>1918</v>
      </c>
      <c r="E510" s="480">
        <v>45566.0</v>
      </c>
      <c r="F510" s="480">
        <v>45596.0</v>
      </c>
      <c r="G510" s="632"/>
      <c r="H510" s="604">
        <v>1213383.0</v>
      </c>
      <c r="I510" s="502" t="s">
        <v>1919</v>
      </c>
      <c r="J510" s="591" t="s">
        <v>1920</v>
      </c>
      <c r="K510" s="436"/>
      <c r="L510" s="568"/>
      <c r="M510" s="744"/>
      <c r="N510" s="744"/>
    </row>
    <row r="511" ht="44.25" hidden="1" customHeight="1">
      <c r="A511" s="463" t="s">
        <v>580</v>
      </c>
      <c r="B511" s="463" t="s">
        <v>1917</v>
      </c>
      <c r="C511" s="472" t="s">
        <v>1921</v>
      </c>
      <c r="D511" s="545" t="s">
        <v>1922</v>
      </c>
      <c r="E511" s="473">
        <v>45566.0</v>
      </c>
      <c r="F511" s="473">
        <v>45596.0</v>
      </c>
      <c r="G511" s="635"/>
      <c r="H511" s="606">
        <v>1213390.0</v>
      </c>
      <c r="I511" s="583" t="s">
        <v>1923</v>
      </c>
      <c r="J511" s="602" t="s">
        <v>1924</v>
      </c>
      <c r="K511" s="445"/>
      <c r="L511" s="571"/>
      <c r="M511" s="744"/>
      <c r="N511" s="744"/>
    </row>
    <row r="512" ht="88.5" hidden="1" customHeight="1">
      <c r="A512" s="465" t="s">
        <v>1351</v>
      </c>
      <c r="B512" s="465" t="s">
        <v>907</v>
      </c>
      <c r="C512" s="655" t="s">
        <v>1925</v>
      </c>
      <c r="D512" s="630" t="s">
        <v>1926</v>
      </c>
      <c r="E512" s="480">
        <v>45665.0</v>
      </c>
      <c r="F512" s="480">
        <v>45687.0</v>
      </c>
      <c r="G512" s="632">
        <v>100.0</v>
      </c>
      <c r="H512" s="604">
        <v>1209867.0</v>
      </c>
      <c r="I512" s="512" t="s">
        <v>1927</v>
      </c>
      <c r="J512" s="591" t="s">
        <v>1928</v>
      </c>
      <c r="K512" s="436"/>
      <c r="L512" s="568"/>
      <c r="M512" s="568"/>
      <c r="N512" s="568"/>
    </row>
    <row r="513" ht="120.75" hidden="1" customHeight="1">
      <c r="A513" s="643" t="s">
        <v>580</v>
      </c>
      <c r="B513" s="643" t="s">
        <v>576</v>
      </c>
      <c r="C513" s="745" t="s">
        <v>1929</v>
      </c>
      <c r="D513" s="746" t="s">
        <v>1930</v>
      </c>
      <c r="E513" s="747">
        <v>45695.0</v>
      </c>
      <c r="F513" s="747">
        <v>45718.0</v>
      </c>
      <c r="G513" s="645" t="s">
        <v>1138</v>
      </c>
      <c r="H513" s="748" t="s">
        <v>1931</v>
      </c>
      <c r="I513" s="748" t="s">
        <v>1248</v>
      </c>
      <c r="J513" s="748" t="s">
        <v>1373</v>
      </c>
      <c r="K513" s="733"/>
      <c r="L513" s="499"/>
      <c r="M513" s="497"/>
      <c r="N513" s="497"/>
    </row>
    <row r="514" ht="111.0" hidden="1" customHeight="1">
      <c r="A514" s="640" t="s">
        <v>580</v>
      </c>
      <c r="B514" s="640" t="s">
        <v>576</v>
      </c>
      <c r="C514" s="749" t="s">
        <v>1932</v>
      </c>
      <c r="D514" s="750" t="s">
        <v>1933</v>
      </c>
      <c r="E514" s="751">
        <v>45695.0</v>
      </c>
      <c r="F514" s="751">
        <v>45718.0</v>
      </c>
      <c r="G514" s="642" t="s">
        <v>1138</v>
      </c>
      <c r="H514" s="752" t="s">
        <v>1934</v>
      </c>
      <c r="I514" s="752" t="s">
        <v>1248</v>
      </c>
      <c r="J514" s="752" t="s">
        <v>1935</v>
      </c>
      <c r="K514" s="753"/>
      <c r="L514" s="497"/>
      <c r="M514" s="497"/>
      <c r="N514" s="497"/>
    </row>
    <row r="515" hidden="1">
      <c r="A515" s="463" t="s">
        <v>580</v>
      </c>
      <c r="B515" s="463" t="s">
        <v>1120</v>
      </c>
      <c r="C515" s="653" t="s">
        <v>1936</v>
      </c>
      <c r="D515" s="754" t="s">
        <v>1678</v>
      </c>
      <c r="E515" s="473">
        <v>45698.0</v>
      </c>
      <c r="F515" s="473">
        <v>45711.0</v>
      </c>
      <c r="G515" s="635">
        <v>50.0</v>
      </c>
      <c r="H515" s="606">
        <v>1218412.0</v>
      </c>
      <c r="I515" s="516" t="s">
        <v>1138</v>
      </c>
      <c r="J515" s="602" t="s">
        <v>1937</v>
      </c>
      <c r="K515" s="755"/>
      <c r="L515" s="571"/>
      <c r="M515" s="568"/>
      <c r="N515" s="568"/>
    </row>
    <row r="516" hidden="1">
      <c r="A516" s="465" t="s">
        <v>580</v>
      </c>
      <c r="B516" s="465" t="s">
        <v>1120</v>
      </c>
      <c r="C516" s="655" t="s">
        <v>1938</v>
      </c>
      <c r="D516" s="756" t="s">
        <v>1863</v>
      </c>
      <c r="E516" s="480">
        <v>45698.0</v>
      </c>
      <c r="F516" s="480">
        <v>45711.0</v>
      </c>
      <c r="G516" s="632">
        <v>100.0</v>
      </c>
      <c r="H516" s="604">
        <v>1218411.0</v>
      </c>
      <c r="I516" s="591" t="s">
        <v>1138</v>
      </c>
      <c r="J516" s="591" t="s">
        <v>1939</v>
      </c>
      <c r="K516" s="436"/>
      <c r="L516" s="568"/>
      <c r="M516" s="568"/>
      <c r="N516" s="568"/>
    </row>
    <row r="517" ht="135.0" hidden="1" customHeight="1">
      <c r="A517" s="463" t="s">
        <v>580</v>
      </c>
      <c r="B517" s="463" t="s">
        <v>907</v>
      </c>
      <c r="C517" s="653" t="s">
        <v>1940</v>
      </c>
      <c r="D517" s="757" t="s">
        <v>1696</v>
      </c>
      <c r="E517" s="482" t="s">
        <v>1941</v>
      </c>
      <c r="F517" s="473">
        <v>45718.0</v>
      </c>
      <c r="G517" s="635" t="s">
        <v>1942</v>
      </c>
      <c r="H517" s="606" t="s">
        <v>1943</v>
      </c>
      <c r="I517" s="475" t="s">
        <v>1944</v>
      </c>
      <c r="J517" s="602" t="s">
        <v>1945</v>
      </c>
      <c r="K517" s="445"/>
      <c r="L517" s="571"/>
      <c r="M517" s="568"/>
      <c r="N517" s="568"/>
    </row>
    <row r="518" ht="376.5" hidden="1" customHeight="1">
      <c r="A518" s="465" t="s">
        <v>580</v>
      </c>
      <c r="B518" s="465" t="s">
        <v>576</v>
      </c>
      <c r="C518" s="655" t="s">
        <v>1946</v>
      </c>
      <c r="D518" s="758" t="s">
        <v>1696</v>
      </c>
      <c r="E518" s="471" t="s">
        <v>1941</v>
      </c>
      <c r="F518" s="480">
        <v>45718.0</v>
      </c>
      <c r="G518" s="632" t="s">
        <v>1947</v>
      </c>
      <c r="H518" s="604" t="s">
        <v>1948</v>
      </c>
      <c r="I518" s="512" t="s">
        <v>1949</v>
      </c>
      <c r="J518" s="591" t="s">
        <v>1950</v>
      </c>
      <c r="K518" s="436"/>
      <c r="L518" s="568"/>
      <c r="M518" s="568"/>
      <c r="N518" s="568"/>
    </row>
    <row r="519" ht="437.25" hidden="1" customHeight="1">
      <c r="A519" s="463" t="s">
        <v>580</v>
      </c>
      <c r="B519" s="463" t="s">
        <v>576</v>
      </c>
      <c r="C519" s="653" t="s">
        <v>1951</v>
      </c>
      <c r="D519" s="757" t="s">
        <v>1696</v>
      </c>
      <c r="E519" s="482" t="s">
        <v>1941</v>
      </c>
      <c r="F519" s="473">
        <v>45718.0</v>
      </c>
      <c r="G519" s="635" t="s">
        <v>1952</v>
      </c>
      <c r="H519" s="606" t="s">
        <v>1953</v>
      </c>
      <c r="I519" s="477" t="s">
        <v>1949</v>
      </c>
      <c r="J519" s="602" t="s">
        <v>1954</v>
      </c>
      <c r="K519" s="445"/>
      <c r="L519" s="571"/>
      <c r="M519" s="568"/>
      <c r="N519" s="568"/>
    </row>
    <row r="520" ht="47.25" hidden="1" customHeight="1">
      <c r="A520" s="465" t="s">
        <v>580</v>
      </c>
      <c r="B520" s="465" t="s">
        <v>907</v>
      </c>
      <c r="C520" s="655" t="s">
        <v>1849</v>
      </c>
      <c r="D520" s="656" t="s">
        <v>1955</v>
      </c>
      <c r="E520" s="480">
        <v>45680.0</v>
      </c>
      <c r="F520" s="480">
        <v>45694.0</v>
      </c>
      <c r="G520" s="759">
        <v>-0.3</v>
      </c>
      <c r="H520" s="604">
        <v>1217863.0</v>
      </c>
      <c r="I520" s="487" t="s">
        <v>1956</v>
      </c>
      <c r="J520" s="591" t="s">
        <v>1957</v>
      </c>
      <c r="K520" s="461"/>
      <c r="L520" s="568"/>
      <c r="M520" s="568"/>
      <c r="N520" s="568"/>
    </row>
    <row r="521" ht="35.25" hidden="1" customHeight="1">
      <c r="A521" s="463" t="s">
        <v>580</v>
      </c>
      <c r="B521" s="463" t="s">
        <v>907</v>
      </c>
      <c r="C521" s="653" t="s">
        <v>1958</v>
      </c>
      <c r="D521" s="654" t="s">
        <v>1959</v>
      </c>
      <c r="E521" s="473">
        <v>45680.0</v>
      </c>
      <c r="F521" s="473">
        <v>45694.0</v>
      </c>
      <c r="G521" s="760">
        <v>-0.3</v>
      </c>
      <c r="H521" s="606">
        <v>1217864.0</v>
      </c>
      <c r="I521" s="475" t="s">
        <v>1956</v>
      </c>
      <c r="J521" s="602" t="s">
        <v>1960</v>
      </c>
      <c r="K521" s="445"/>
      <c r="L521" s="571"/>
      <c r="M521" s="568"/>
      <c r="N521" s="568"/>
    </row>
    <row r="522" ht="38.25" hidden="1" customHeight="1">
      <c r="A522" s="465" t="s">
        <v>580</v>
      </c>
      <c r="B522" s="465" t="s">
        <v>907</v>
      </c>
      <c r="C522" s="655" t="s">
        <v>1961</v>
      </c>
      <c r="D522" s="656" t="s">
        <v>1962</v>
      </c>
      <c r="E522" s="480">
        <v>45680.0</v>
      </c>
      <c r="F522" s="480">
        <v>45694.0</v>
      </c>
      <c r="G522" s="759">
        <v>-0.3</v>
      </c>
      <c r="H522" s="604">
        <v>1217865.0</v>
      </c>
      <c r="I522" s="487" t="s">
        <v>1956</v>
      </c>
      <c r="J522" s="591" t="s">
        <v>1963</v>
      </c>
      <c r="K522" s="436"/>
      <c r="L522" s="568"/>
      <c r="M522" s="568"/>
      <c r="N522" s="568"/>
    </row>
    <row r="523" ht="33.0" hidden="1" customHeight="1">
      <c r="A523" s="463" t="s">
        <v>580</v>
      </c>
      <c r="B523" s="463" t="s">
        <v>907</v>
      </c>
      <c r="C523" s="653" t="s">
        <v>1964</v>
      </c>
      <c r="D523" s="654" t="s">
        <v>1965</v>
      </c>
      <c r="E523" s="473">
        <v>45680.0</v>
      </c>
      <c r="F523" s="473">
        <v>45694.0</v>
      </c>
      <c r="G523" s="760">
        <v>-0.3</v>
      </c>
      <c r="H523" s="606">
        <v>1217866.0</v>
      </c>
      <c r="I523" s="475" t="s">
        <v>1956</v>
      </c>
      <c r="J523" s="602">
        <v>1210519.0</v>
      </c>
      <c r="K523" s="445"/>
      <c r="L523" s="571"/>
      <c r="M523" s="568"/>
      <c r="N523" s="568"/>
    </row>
    <row r="524" ht="38.25" hidden="1" customHeight="1">
      <c r="A524" s="465" t="s">
        <v>580</v>
      </c>
      <c r="B524" s="465" t="s">
        <v>907</v>
      </c>
      <c r="C524" s="655" t="s">
        <v>1966</v>
      </c>
      <c r="D524" s="656" t="s">
        <v>1967</v>
      </c>
      <c r="E524" s="480">
        <v>45680.0</v>
      </c>
      <c r="F524" s="480">
        <v>45694.0</v>
      </c>
      <c r="G524" s="759">
        <v>-0.3</v>
      </c>
      <c r="H524" s="604">
        <v>1204743.0</v>
      </c>
      <c r="I524" s="487" t="s">
        <v>1968</v>
      </c>
      <c r="J524" s="591" t="s">
        <v>1969</v>
      </c>
      <c r="K524" s="436"/>
      <c r="L524" s="568"/>
      <c r="M524" s="568"/>
      <c r="N524" s="568"/>
    </row>
    <row r="525" ht="38.25" hidden="1" customHeight="1">
      <c r="A525" s="463" t="s">
        <v>580</v>
      </c>
      <c r="B525" s="463" t="s">
        <v>907</v>
      </c>
      <c r="C525" s="653" t="s">
        <v>1970</v>
      </c>
      <c r="D525" s="654" t="s">
        <v>1971</v>
      </c>
      <c r="E525" s="473">
        <v>45680.0</v>
      </c>
      <c r="F525" s="473">
        <v>45694.0</v>
      </c>
      <c r="G525" s="760">
        <v>-0.3</v>
      </c>
      <c r="H525" s="606">
        <v>1209909.0</v>
      </c>
      <c r="I525" s="475" t="s">
        <v>1968</v>
      </c>
      <c r="J525" s="602" t="s">
        <v>1972</v>
      </c>
      <c r="K525" s="445"/>
      <c r="L525" s="571"/>
      <c r="M525" s="568"/>
      <c r="N525" s="568"/>
    </row>
    <row r="526" ht="38.25" hidden="1" customHeight="1">
      <c r="A526" s="465" t="s">
        <v>580</v>
      </c>
      <c r="B526" s="465" t="s">
        <v>907</v>
      </c>
      <c r="C526" s="655" t="s">
        <v>1973</v>
      </c>
      <c r="D526" s="656" t="s">
        <v>1974</v>
      </c>
      <c r="E526" s="480">
        <v>45680.0</v>
      </c>
      <c r="F526" s="480">
        <v>45694.0</v>
      </c>
      <c r="G526" s="759">
        <v>-0.3</v>
      </c>
      <c r="H526" s="604">
        <v>1209910.0</v>
      </c>
      <c r="I526" s="487" t="s">
        <v>1968</v>
      </c>
      <c r="J526" s="591" t="s">
        <v>1975</v>
      </c>
      <c r="K526" s="436"/>
      <c r="L526" s="568"/>
      <c r="M526" s="568"/>
      <c r="N526" s="568"/>
    </row>
    <row r="527" hidden="1">
      <c r="A527" s="463" t="s">
        <v>580</v>
      </c>
      <c r="B527" s="463" t="s">
        <v>907</v>
      </c>
      <c r="C527" s="653" t="s">
        <v>1976</v>
      </c>
      <c r="D527" s="654" t="s">
        <v>1696</v>
      </c>
      <c r="E527" s="761" t="s">
        <v>1977</v>
      </c>
      <c r="F527" s="473">
        <v>45692.0</v>
      </c>
      <c r="G527" s="635" t="s">
        <v>1942</v>
      </c>
      <c r="H527" s="606" t="s">
        <v>1978</v>
      </c>
      <c r="I527" s="475" t="s">
        <v>1979</v>
      </c>
      <c r="J527" s="602" t="s">
        <v>1980</v>
      </c>
      <c r="K527" s="445"/>
      <c r="L527" s="571"/>
      <c r="M527" s="568"/>
      <c r="N527" s="568"/>
    </row>
    <row r="528" ht="444.0" hidden="1" customHeight="1">
      <c r="A528" s="465" t="s">
        <v>580</v>
      </c>
      <c r="B528" s="465" t="s">
        <v>1120</v>
      </c>
      <c r="C528" s="655" t="s">
        <v>1981</v>
      </c>
      <c r="D528" s="656" t="s">
        <v>1982</v>
      </c>
      <c r="E528" s="762" t="s">
        <v>1977</v>
      </c>
      <c r="F528" s="480">
        <v>45692.0</v>
      </c>
      <c r="G528" s="632" t="s">
        <v>1983</v>
      </c>
      <c r="H528" s="604" t="s">
        <v>1984</v>
      </c>
      <c r="I528" s="487" t="s">
        <v>1979</v>
      </c>
      <c r="J528" s="591" t="s">
        <v>1985</v>
      </c>
      <c r="K528" s="436"/>
      <c r="L528" s="568"/>
      <c r="M528" s="568"/>
      <c r="N528" s="568"/>
    </row>
    <row r="529" ht="482.25" hidden="1" customHeight="1">
      <c r="A529" s="463" t="s">
        <v>580</v>
      </c>
      <c r="B529" s="463" t="s">
        <v>576</v>
      </c>
      <c r="C529" s="653" t="s">
        <v>1986</v>
      </c>
      <c r="D529" s="654" t="s">
        <v>1982</v>
      </c>
      <c r="E529" s="763">
        <v>45688.0</v>
      </c>
      <c r="F529" s="473">
        <v>45692.0</v>
      </c>
      <c r="G529" s="635" t="s">
        <v>1987</v>
      </c>
      <c r="H529" s="606" t="s">
        <v>1988</v>
      </c>
      <c r="I529" s="475" t="s">
        <v>1979</v>
      </c>
      <c r="J529" s="602" t="s">
        <v>1989</v>
      </c>
      <c r="K529" s="445"/>
      <c r="L529" s="571"/>
      <c r="M529" s="568"/>
      <c r="N529" s="568"/>
    </row>
    <row r="530" ht="78.75" hidden="1" customHeight="1">
      <c r="A530" s="465" t="s">
        <v>580</v>
      </c>
      <c r="B530" s="430" t="s">
        <v>907</v>
      </c>
      <c r="C530" s="764" t="s">
        <v>1990</v>
      </c>
      <c r="D530" s="765" t="s">
        <v>1991</v>
      </c>
      <c r="E530" s="480">
        <v>45777.0</v>
      </c>
      <c r="F530" s="631">
        <v>45785.0</v>
      </c>
      <c r="G530" s="446">
        <v>100.0</v>
      </c>
      <c r="H530" s="604">
        <v>1219751.0</v>
      </c>
      <c r="I530" s="591" t="s">
        <v>1179</v>
      </c>
      <c r="J530" s="661" t="s">
        <v>1992</v>
      </c>
      <c r="K530" s="608"/>
      <c r="L530" s="582"/>
      <c r="M530" s="582"/>
      <c r="N530" s="582"/>
    </row>
    <row r="531" ht="78.75" hidden="1" customHeight="1">
      <c r="A531" s="463" t="s">
        <v>580</v>
      </c>
      <c r="B531" s="463" t="s">
        <v>576</v>
      </c>
      <c r="C531" s="653" t="s">
        <v>1993</v>
      </c>
      <c r="D531" s="654" t="s">
        <v>1994</v>
      </c>
      <c r="E531" s="473">
        <v>45777.0</v>
      </c>
      <c r="F531" s="473">
        <v>45784.0</v>
      </c>
      <c r="G531" s="766">
        <v>95.94</v>
      </c>
      <c r="H531" s="606">
        <v>1221328.0</v>
      </c>
      <c r="I531" s="602" t="s">
        <v>1179</v>
      </c>
      <c r="J531" s="602" t="s">
        <v>1935</v>
      </c>
      <c r="K531" s="492"/>
      <c r="L531" s="581"/>
      <c r="M531" s="582"/>
      <c r="N531" s="582"/>
    </row>
    <row r="532" ht="78.75" customHeight="1">
      <c r="A532" s="465" t="s">
        <v>165</v>
      </c>
      <c r="B532" s="465" t="s">
        <v>1120</v>
      </c>
      <c r="C532" s="767" t="s">
        <v>1407</v>
      </c>
      <c r="D532" s="559" t="s">
        <v>1995</v>
      </c>
      <c r="E532" s="674">
        <v>45925.0</v>
      </c>
      <c r="F532" s="480">
        <v>45963.0</v>
      </c>
      <c r="G532" s="632">
        <v>20.0</v>
      </c>
      <c r="H532" s="604">
        <v>1230084.0</v>
      </c>
      <c r="I532" s="512" t="s">
        <v>1408</v>
      </c>
      <c r="J532" s="591" t="s">
        <v>1409</v>
      </c>
      <c r="K532" s="345"/>
      <c r="L532" s="345"/>
      <c r="M532" s="345"/>
      <c r="N532" s="345"/>
    </row>
    <row r="533" ht="78.75" customHeight="1">
      <c r="A533" s="463" t="s">
        <v>165</v>
      </c>
      <c r="B533" s="463" t="s">
        <v>576</v>
      </c>
      <c r="C533" s="768" t="s">
        <v>1431</v>
      </c>
      <c r="D533" s="562" t="s">
        <v>1996</v>
      </c>
      <c r="E533" s="769">
        <v>45957.0</v>
      </c>
      <c r="F533" s="473">
        <v>45970.0</v>
      </c>
      <c r="G533" s="635">
        <v>100.0</v>
      </c>
      <c r="H533" s="606">
        <v>1221086.0</v>
      </c>
      <c r="I533" s="477" t="s">
        <v>1997</v>
      </c>
      <c r="J533" s="602" t="s">
        <v>1998</v>
      </c>
      <c r="K533" s="357"/>
      <c r="L533" s="357"/>
      <c r="M533" s="345"/>
      <c r="N533" s="345"/>
    </row>
    <row r="534" ht="78.75" customHeight="1">
      <c r="A534" s="465" t="s">
        <v>165</v>
      </c>
      <c r="B534" s="465" t="s">
        <v>970</v>
      </c>
      <c r="C534" s="770" t="s">
        <v>1999</v>
      </c>
      <c r="D534" s="771" t="s">
        <v>2000</v>
      </c>
      <c r="E534" s="772">
        <v>45961.0</v>
      </c>
      <c r="F534" s="480">
        <v>45970.0</v>
      </c>
      <c r="G534" s="632">
        <v>130.0</v>
      </c>
      <c r="H534" s="604">
        <v>1225865.0</v>
      </c>
      <c r="I534" s="512" t="s">
        <v>2001</v>
      </c>
      <c r="J534" s="591" t="s">
        <v>2002</v>
      </c>
      <c r="K534" s="582"/>
      <c r="L534" s="582"/>
      <c r="M534" s="582"/>
      <c r="N534" s="582"/>
    </row>
    <row r="535" ht="81.75" customHeight="1">
      <c r="A535" s="463" t="s">
        <v>165</v>
      </c>
      <c r="B535" s="463" t="s">
        <v>970</v>
      </c>
      <c r="C535" s="770" t="s">
        <v>2003</v>
      </c>
      <c r="D535" s="773" t="s">
        <v>2004</v>
      </c>
      <c r="E535" s="772">
        <v>45962.0</v>
      </c>
      <c r="F535" s="473">
        <v>45970.0</v>
      </c>
      <c r="G535" s="635">
        <v>50.0</v>
      </c>
      <c r="H535" s="606">
        <v>1225868.0</v>
      </c>
      <c r="I535" s="475" t="s">
        <v>2005</v>
      </c>
      <c r="J535" s="602" t="s">
        <v>2006</v>
      </c>
      <c r="K535" s="357"/>
      <c r="L535" s="357"/>
      <c r="M535" s="345"/>
      <c r="N535" s="345"/>
    </row>
    <row r="536" ht="78.75" customHeight="1">
      <c r="A536" s="465" t="s">
        <v>165</v>
      </c>
      <c r="B536" s="465" t="s">
        <v>970</v>
      </c>
      <c r="C536" s="770" t="s">
        <v>2007</v>
      </c>
      <c r="D536" s="771" t="s">
        <v>2008</v>
      </c>
      <c r="E536" s="772">
        <v>45961.0</v>
      </c>
      <c r="F536" s="480">
        <v>45970.0</v>
      </c>
      <c r="G536" s="632">
        <v>80.0</v>
      </c>
      <c r="H536" s="604">
        <v>1226324.0</v>
      </c>
      <c r="I536" s="774" t="s">
        <v>2009</v>
      </c>
      <c r="J536" s="591" t="s">
        <v>2010</v>
      </c>
      <c r="K536" s="345"/>
      <c r="L536" s="345"/>
      <c r="M536" s="345"/>
      <c r="N536" s="345"/>
    </row>
    <row r="537" ht="78.75" customHeight="1">
      <c r="A537" s="463" t="s">
        <v>165</v>
      </c>
      <c r="B537" s="463" t="s">
        <v>970</v>
      </c>
      <c r="C537" s="768" t="s">
        <v>2011</v>
      </c>
      <c r="D537" s="562" t="s">
        <v>2012</v>
      </c>
      <c r="E537" s="769">
        <v>45971.0</v>
      </c>
      <c r="F537" s="473">
        <v>45977.0</v>
      </c>
      <c r="G537" s="635">
        <v>100.0</v>
      </c>
      <c r="H537" s="606">
        <v>1225865.0</v>
      </c>
      <c r="I537" s="477" t="s">
        <v>2013</v>
      </c>
      <c r="J537" s="602" t="s">
        <v>2002</v>
      </c>
      <c r="K537" s="582"/>
      <c r="L537" s="582"/>
      <c r="M537" s="582"/>
      <c r="N537" s="582"/>
    </row>
    <row r="538" ht="78.75" customHeight="1">
      <c r="A538" s="465" t="s">
        <v>165</v>
      </c>
      <c r="B538" s="465" t="s">
        <v>970</v>
      </c>
      <c r="C538" s="767" t="s">
        <v>2014</v>
      </c>
      <c r="D538" s="559" t="s">
        <v>2015</v>
      </c>
      <c r="E538" s="674">
        <v>45971.0</v>
      </c>
      <c r="F538" s="480">
        <v>46022.0</v>
      </c>
      <c r="G538" s="632">
        <v>50.0</v>
      </c>
      <c r="H538" s="604">
        <v>1226324.0</v>
      </c>
      <c r="I538" s="512" t="s">
        <v>2016</v>
      </c>
      <c r="J538" s="591" t="s">
        <v>2010</v>
      </c>
      <c r="K538" s="345"/>
      <c r="L538" s="345"/>
      <c r="M538" s="345"/>
      <c r="N538" s="345"/>
    </row>
    <row r="539" ht="78.75" customHeight="1">
      <c r="A539" s="438" t="s">
        <v>165</v>
      </c>
      <c r="B539" s="438" t="s">
        <v>970</v>
      </c>
      <c r="C539" s="768" t="s">
        <v>2017</v>
      </c>
      <c r="D539" s="775" t="s">
        <v>2004</v>
      </c>
      <c r="E539" s="769">
        <v>45971.0</v>
      </c>
      <c r="F539" s="473">
        <v>45977.0</v>
      </c>
      <c r="G539" s="776">
        <v>50.0</v>
      </c>
      <c r="H539" s="606">
        <v>1225868.0</v>
      </c>
      <c r="I539" s="477" t="s">
        <v>2018</v>
      </c>
      <c r="J539" s="602" t="s">
        <v>2019</v>
      </c>
      <c r="K539" s="357"/>
      <c r="L539" s="357"/>
      <c r="M539" s="345"/>
      <c r="N539" s="345"/>
    </row>
    <row r="540" ht="78.75" customHeight="1">
      <c r="A540" s="662" t="s">
        <v>413</v>
      </c>
      <c r="B540" s="662" t="s">
        <v>970</v>
      </c>
      <c r="C540" s="777" t="s">
        <v>2020</v>
      </c>
      <c r="D540" s="778" t="s">
        <v>2021</v>
      </c>
      <c r="E540" s="779">
        <v>45953.0</v>
      </c>
      <c r="F540" s="665">
        <v>45970.0</v>
      </c>
      <c r="G540" s="780" t="s">
        <v>2022</v>
      </c>
      <c r="H540" s="667" t="s">
        <v>2023</v>
      </c>
      <c r="I540" s="668" t="s">
        <v>2024</v>
      </c>
      <c r="J540" s="669" t="s">
        <v>2025</v>
      </c>
      <c r="K540" s="781"/>
      <c r="L540" s="781"/>
      <c r="M540" s="781"/>
      <c r="N540" s="781"/>
    </row>
    <row r="541" ht="78.75" customHeight="1">
      <c r="A541" s="463" t="s">
        <v>413</v>
      </c>
      <c r="B541" s="463" t="s">
        <v>1002</v>
      </c>
      <c r="C541" s="768" t="s">
        <v>2026</v>
      </c>
      <c r="D541" s="562" t="s">
        <v>2027</v>
      </c>
      <c r="E541" s="782">
        <v>45961.0</v>
      </c>
      <c r="F541" s="473">
        <v>45974.0</v>
      </c>
      <c r="G541" s="635">
        <v>100.0</v>
      </c>
      <c r="H541" s="606">
        <v>1231863.0</v>
      </c>
      <c r="I541" s="774" t="s">
        <v>2028</v>
      </c>
      <c r="J541" s="602" t="s">
        <v>1428</v>
      </c>
      <c r="K541" s="357"/>
      <c r="L541" s="357"/>
      <c r="M541" s="345"/>
      <c r="N541" s="345"/>
    </row>
    <row r="542" ht="78.75" customHeight="1">
      <c r="A542" s="465" t="s">
        <v>165</v>
      </c>
      <c r="B542" s="465" t="s">
        <v>1002</v>
      </c>
      <c r="C542" s="767" t="s">
        <v>2029</v>
      </c>
      <c r="D542" s="559" t="s">
        <v>2030</v>
      </c>
      <c r="E542" s="672">
        <v>45978.0</v>
      </c>
      <c r="F542" s="480">
        <v>45981.0</v>
      </c>
      <c r="G542" s="632">
        <v>100.0</v>
      </c>
      <c r="H542" s="604">
        <v>1223302.0</v>
      </c>
      <c r="I542" s="512" t="s">
        <v>2031</v>
      </c>
      <c r="J542" s="591" t="s">
        <v>2032</v>
      </c>
      <c r="K542" s="345"/>
      <c r="L542" s="345"/>
      <c r="M542" s="345"/>
      <c r="N542" s="345"/>
    </row>
    <row r="543" ht="78.75" customHeight="1">
      <c r="A543" s="463" t="s">
        <v>165</v>
      </c>
      <c r="B543" s="463" t="s">
        <v>970</v>
      </c>
      <c r="C543" s="768" t="s">
        <v>2033</v>
      </c>
      <c r="D543" s="562" t="s">
        <v>2030</v>
      </c>
      <c r="E543" s="782">
        <v>45992.0</v>
      </c>
      <c r="F543" s="473">
        <v>46022.0</v>
      </c>
      <c r="G543" s="635">
        <v>100.0</v>
      </c>
      <c r="H543" s="606">
        <v>1231746.0</v>
      </c>
      <c r="I543" s="783" t="s">
        <v>2034</v>
      </c>
      <c r="J543" s="602" t="s">
        <v>2002</v>
      </c>
      <c r="K543" s="357"/>
      <c r="L543" s="357"/>
      <c r="M543" s="345"/>
      <c r="N543" s="345"/>
    </row>
    <row r="544" ht="78.75" customHeight="1">
      <c r="A544" s="465" t="s">
        <v>165</v>
      </c>
      <c r="B544" s="465" t="s">
        <v>970</v>
      </c>
      <c r="C544" s="767" t="s">
        <v>2035</v>
      </c>
      <c r="D544" s="559" t="s">
        <v>2036</v>
      </c>
      <c r="E544" s="672">
        <v>45992.0</v>
      </c>
      <c r="F544" s="480">
        <v>46022.0</v>
      </c>
      <c r="G544" s="632">
        <v>30.0</v>
      </c>
      <c r="H544" s="604">
        <v>1231736.0</v>
      </c>
      <c r="I544" s="774" t="s">
        <v>2037</v>
      </c>
      <c r="J544" s="591" t="s">
        <v>2019</v>
      </c>
      <c r="K544" s="345"/>
      <c r="L544" s="345"/>
      <c r="M544" s="345"/>
      <c r="N544" s="345"/>
    </row>
    <row r="545" ht="78.75" customHeight="1">
      <c r="A545" s="463" t="s">
        <v>165</v>
      </c>
      <c r="B545" s="463" t="s">
        <v>970</v>
      </c>
      <c r="C545" s="768" t="s">
        <v>2038</v>
      </c>
      <c r="D545" s="562" t="s">
        <v>2039</v>
      </c>
      <c r="E545" s="782">
        <v>45993.0</v>
      </c>
      <c r="F545" s="473">
        <v>46022.0</v>
      </c>
      <c r="G545" s="635">
        <v>30.0</v>
      </c>
      <c r="H545" s="606">
        <v>1231745.0</v>
      </c>
      <c r="I545" s="477" t="s">
        <v>2040</v>
      </c>
      <c r="J545" s="602" t="s">
        <v>2041</v>
      </c>
      <c r="K545" s="357"/>
      <c r="L545" s="357"/>
      <c r="M545" s="345"/>
      <c r="N545" s="345"/>
    </row>
    <row r="546" ht="78.75" customHeight="1">
      <c r="A546" s="465" t="s">
        <v>413</v>
      </c>
      <c r="B546" s="465" t="s">
        <v>2042</v>
      </c>
      <c r="C546" s="767" t="s">
        <v>2043</v>
      </c>
      <c r="D546" s="559" t="s">
        <v>2044</v>
      </c>
      <c r="E546" s="672">
        <v>45946.0</v>
      </c>
      <c r="F546" s="480">
        <v>45992.0</v>
      </c>
      <c r="G546" s="632" t="s">
        <v>2045</v>
      </c>
      <c r="H546" s="604">
        <v>1230441.0</v>
      </c>
      <c r="I546" s="591"/>
      <c r="J546" s="591">
        <v>1199109.0</v>
      </c>
      <c r="K546" s="345"/>
      <c r="L546" s="345"/>
      <c r="M546" s="345"/>
      <c r="N546" s="345"/>
    </row>
    <row r="547">
      <c r="A547" s="463" t="s">
        <v>165</v>
      </c>
      <c r="B547" s="463" t="s">
        <v>2046</v>
      </c>
      <c r="C547" s="768" t="s">
        <v>2047</v>
      </c>
      <c r="D547" s="562" t="s">
        <v>2048</v>
      </c>
      <c r="E547" s="782">
        <v>45968.0</v>
      </c>
      <c r="F547" s="473">
        <v>46022.0</v>
      </c>
      <c r="G547" s="562" t="s">
        <v>2049</v>
      </c>
      <c r="H547" s="606" t="s">
        <v>2050</v>
      </c>
      <c r="I547" s="602" t="s">
        <v>1179</v>
      </c>
      <c r="J547" s="602" t="s">
        <v>2051</v>
      </c>
      <c r="K547" s="357"/>
      <c r="L547" s="357"/>
      <c r="M547" s="345"/>
      <c r="N547" s="345"/>
    </row>
    <row r="548" ht="29.25" customHeight="1">
      <c r="A548" s="650" t="s">
        <v>380</v>
      </c>
      <c r="B548" s="56"/>
      <c r="C548" s="56"/>
      <c r="D548" s="56"/>
      <c r="E548" s="56"/>
      <c r="F548" s="56"/>
      <c r="G548" s="56"/>
      <c r="H548" s="56"/>
      <c r="I548" s="56"/>
      <c r="J548" s="57"/>
      <c r="K548" s="345"/>
      <c r="L548" s="345"/>
      <c r="M548" s="345"/>
      <c r="N548" s="345"/>
    </row>
    <row r="549" ht="29.25" customHeight="1">
      <c r="A549" s="650" t="s">
        <v>1522</v>
      </c>
      <c r="B549" s="80"/>
      <c r="C549" s="80"/>
      <c r="D549" s="80"/>
      <c r="E549" s="80"/>
      <c r="F549" s="80"/>
      <c r="G549" s="80"/>
      <c r="H549" s="80"/>
      <c r="I549" s="80"/>
      <c r="J549" s="81"/>
      <c r="K549" s="357"/>
      <c r="L549" s="357"/>
      <c r="M549" s="345"/>
      <c r="N549" s="345"/>
    </row>
    <row r="550">
      <c r="A550" s="465" t="s">
        <v>1522</v>
      </c>
      <c r="B550" s="465" t="s">
        <v>576</v>
      </c>
      <c r="C550" s="465" t="s">
        <v>2052</v>
      </c>
      <c r="D550" s="465" t="s">
        <v>2053</v>
      </c>
      <c r="E550" s="710">
        <v>45931.0</v>
      </c>
      <c r="F550" s="784">
        <v>45954.0</v>
      </c>
      <c r="G550" s="632">
        <v>80.0</v>
      </c>
      <c r="H550" s="465" t="s">
        <v>2054</v>
      </c>
      <c r="I550" s="465"/>
      <c r="J550" s="465" t="s">
        <v>2055</v>
      </c>
      <c r="K550" s="608"/>
      <c r="L550" s="582"/>
      <c r="M550" s="582"/>
      <c r="N550" s="582"/>
    </row>
    <row r="551" ht="174.0" customHeight="1">
      <c r="A551" s="482" t="s">
        <v>1522</v>
      </c>
      <c r="B551" s="482" t="s">
        <v>1002</v>
      </c>
      <c r="C551" s="558" t="s">
        <v>2056</v>
      </c>
      <c r="D551" s="558" t="s">
        <v>2057</v>
      </c>
      <c r="E551" s="769">
        <v>45952.0</v>
      </c>
      <c r="F551" s="473">
        <v>45977.0</v>
      </c>
      <c r="G551" s="785">
        <v>80.0</v>
      </c>
      <c r="H551" s="606">
        <v>1231101.0</v>
      </c>
      <c r="I551" s="516"/>
      <c r="J551" s="606" t="s">
        <v>2058</v>
      </c>
      <c r="K551" s="740"/>
      <c r="L551" s="786"/>
      <c r="M551" s="787"/>
      <c r="N551" s="787"/>
    </row>
    <row r="552" ht="43.5" customHeight="1">
      <c r="A552" s="471" t="s">
        <v>1522</v>
      </c>
      <c r="B552" s="471" t="s">
        <v>1002</v>
      </c>
      <c r="C552" s="557" t="s">
        <v>2059</v>
      </c>
      <c r="D552" s="557" t="s">
        <v>2060</v>
      </c>
      <c r="E552" s="674">
        <v>45961.0</v>
      </c>
      <c r="F552" s="480">
        <v>45992.0</v>
      </c>
      <c r="G552" s="788">
        <v>40.0</v>
      </c>
      <c r="H552" s="604">
        <v>1222486.0</v>
      </c>
      <c r="I552" s="676" t="s">
        <v>2061</v>
      </c>
      <c r="J552" s="604" t="s">
        <v>2062</v>
      </c>
      <c r="K552" s="736"/>
      <c r="L552" s="787"/>
      <c r="M552" s="787"/>
      <c r="N552" s="787"/>
    </row>
    <row r="553" ht="43.5" customHeight="1">
      <c r="A553" s="482" t="s">
        <v>1522</v>
      </c>
      <c r="B553" s="482" t="s">
        <v>1002</v>
      </c>
      <c r="C553" s="558" t="s">
        <v>2063</v>
      </c>
      <c r="D553" s="558" t="s">
        <v>1863</v>
      </c>
      <c r="E553" s="769">
        <v>45961.0</v>
      </c>
      <c r="F553" s="473">
        <v>45998.0</v>
      </c>
      <c r="G553" s="785">
        <v>100.0</v>
      </c>
      <c r="H553" s="606">
        <v>1231951.0</v>
      </c>
      <c r="I553" s="516"/>
      <c r="J553" s="606" t="s">
        <v>2064</v>
      </c>
      <c r="K553" s="740"/>
      <c r="L553" s="786"/>
      <c r="M553" s="787"/>
      <c r="N553" s="787"/>
    </row>
    <row r="554" ht="43.5" customHeight="1">
      <c r="A554" s="471" t="s">
        <v>1522</v>
      </c>
      <c r="B554" s="471" t="s">
        <v>1002</v>
      </c>
      <c r="C554" s="557" t="s">
        <v>2065</v>
      </c>
      <c r="D554" s="557" t="s">
        <v>1682</v>
      </c>
      <c r="E554" s="674">
        <v>45961.0</v>
      </c>
      <c r="F554" s="480">
        <v>45998.0</v>
      </c>
      <c r="G554" s="788">
        <v>100.0</v>
      </c>
      <c r="H554" s="789">
        <v>1231910.0</v>
      </c>
      <c r="I554" s="168"/>
      <c r="J554" s="604" t="s">
        <v>2066</v>
      </c>
      <c r="K554" s="736"/>
      <c r="L554" s="787"/>
      <c r="M554" s="787"/>
      <c r="N554" s="787"/>
    </row>
    <row r="555" ht="121.5" hidden="1" customHeight="1">
      <c r="A555" s="438" t="s">
        <v>1522</v>
      </c>
      <c r="B555" s="438" t="s">
        <v>576</v>
      </c>
      <c r="C555" s="790" t="s">
        <v>2067</v>
      </c>
      <c r="D555" s="791" t="s">
        <v>1030</v>
      </c>
      <c r="E555" s="792">
        <v>45881.0</v>
      </c>
      <c r="F555" s="793">
        <v>45923.0</v>
      </c>
      <c r="G555" s="776">
        <v>100.0</v>
      </c>
      <c r="H555" s="658">
        <v>1222816.0</v>
      </c>
      <c r="I555" s="659" t="s">
        <v>1268</v>
      </c>
      <c r="J555" s="448" t="s">
        <v>2068</v>
      </c>
      <c r="K555" s="445"/>
      <c r="L555" s="702"/>
      <c r="M555" s="700"/>
      <c r="N555" s="700"/>
    </row>
    <row r="556" ht="121.5" hidden="1" customHeight="1">
      <c r="A556" s="430" t="s">
        <v>585</v>
      </c>
      <c r="B556" s="430" t="s">
        <v>576</v>
      </c>
      <c r="C556" s="655" t="s">
        <v>1571</v>
      </c>
      <c r="D556" s="758" t="s">
        <v>2069</v>
      </c>
      <c r="E556" s="432">
        <v>45710.0</v>
      </c>
      <c r="F556" s="480">
        <v>45716.0</v>
      </c>
      <c r="G556" s="446" t="s">
        <v>1138</v>
      </c>
      <c r="H556" s="604">
        <v>1218916.0</v>
      </c>
      <c r="I556" s="168" t="s">
        <v>1179</v>
      </c>
      <c r="J556" s="486" t="s">
        <v>2070</v>
      </c>
      <c r="K556" s="608"/>
      <c r="L556" s="582"/>
      <c r="M556" s="582"/>
      <c r="N556" s="582"/>
    </row>
    <row r="557">
      <c r="A557" s="650" t="s">
        <v>2071</v>
      </c>
      <c r="B557" s="80"/>
      <c r="C557" s="80"/>
      <c r="D557" s="80"/>
      <c r="E557" s="80"/>
      <c r="F557" s="80"/>
      <c r="G557" s="80"/>
      <c r="H557" s="80"/>
      <c r="I557" s="80"/>
      <c r="J557" s="81"/>
      <c r="K557" s="445"/>
      <c r="L557" s="571"/>
      <c r="M557" s="568"/>
      <c r="N557" s="568"/>
    </row>
    <row r="558" ht="121.5" hidden="1" customHeight="1">
      <c r="A558" s="465" t="s">
        <v>670</v>
      </c>
      <c r="B558" s="465" t="s">
        <v>576</v>
      </c>
      <c r="C558" s="655" t="s">
        <v>2072</v>
      </c>
      <c r="D558" s="656" t="s">
        <v>2073</v>
      </c>
      <c r="E558" s="480">
        <v>45672.0</v>
      </c>
      <c r="F558" s="480">
        <v>45683.0</v>
      </c>
      <c r="G558" s="484">
        <v>50.0</v>
      </c>
      <c r="H558" s="604">
        <v>1217154.0</v>
      </c>
      <c r="I558" s="591" t="s">
        <v>1248</v>
      </c>
      <c r="J558" s="486" t="s">
        <v>2074</v>
      </c>
      <c r="K558" s="436"/>
      <c r="L558" s="568"/>
      <c r="M558" s="568"/>
      <c r="N558" s="568"/>
    </row>
    <row r="559" ht="121.5" hidden="1" customHeight="1">
      <c r="A559" s="463" t="s">
        <v>670</v>
      </c>
      <c r="B559" s="463" t="s">
        <v>576</v>
      </c>
      <c r="C559" s="653" t="s">
        <v>2075</v>
      </c>
      <c r="D559" s="654" t="s">
        <v>2073</v>
      </c>
      <c r="E559" s="473">
        <v>45672.0</v>
      </c>
      <c r="F559" s="473">
        <v>45683.0</v>
      </c>
      <c r="G559" s="474">
        <v>50.0</v>
      </c>
      <c r="H559" s="606">
        <v>1217155.0</v>
      </c>
      <c r="I559" s="602" t="s">
        <v>1138</v>
      </c>
      <c r="J559" s="470" t="s">
        <v>2076</v>
      </c>
      <c r="K559" s="445"/>
      <c r="L559" s="571"/>
      <c r="M559" s="568"/>
      <c r="N559" s="568"/>
    </row>
    <row r="560" ht="121.5" hidden="1" customHeight="1">
      <c r="A560" s="465" t="s">
        <v>670</v>
      </c>
      <c r="B560" s="465" t="s">
        <v>576</v>
      </c>
      <c r="C560" s="655" t="s">
        <v>2072</v>
      </c>
      <c r="D560" s="656" t="s">
        <v>2077</v>
      </c>
      <c r="E560" s="480">
        <v>45672.0</v>
      </c>
      <c r="F560" s="480">
        <v>45683.0</v>
      </c>
      <c r="G560" s="484">
        <v>30.0</v>
      </c>
      <c r="H560" s="604">
        <v>1217156.0</v>
      </c>
      <c r="I560" s="591" t="s">
        <v>1248</v>
      </c>
      <c r="J560" s="486" t="s">
        <v>2078</v>
      </c>
      <c r="K560" s="436"/>
      <c r="L560" s="568"/>
      <c r="M560" s="568"/>
      <c r="N560" s="568"/>
    </row>
    <row r="561" ht="121.5" hidden="1" customHeight="1">
      <c r="A561" s="463" t="s">
        <v>670</v>
      </c>
      <c r="B561" s="463" t="s">
        <v>576</v>
      </c>
      <c r="C561" s="653" t="s">
        <v>2079</v>
      </c>
      <c r="D561" s="654" t="s">
        <v>2080</v>
      </c>
      <c r="E561" s="473">
        <v>45672.0</v>
      </c>
      <c r="F561" s="473">
        <v>45718.0</v>
      </c>
      <c r="G561" s="474" t="s">
        <v>1248</v>
      </c>
      <c r="H561" s="606">
        <v>1217158.0</v>
      </c>
      <c r="I561" s="477" t="s">
        <v>2081</v>
      </c>
      <c r="J561" s="470" t="s">
        <v>2082</v>
      </c>
      <c r="K561" s="445"/>
      <c r="L561" s="571"/>
      <c r="M561" s="568"/>
      <c r="N561" s="568"/>
    </row>
    <row r="562" ht="121.5" hidden="1" customHeight="1">
      <c r="A562" s="465" t="s">
        <v>670</v>
      </c>
      <c r="B562" s="465" t="s">
        <v>576</v>
      </c>
      <c r="C562" s="655" t="s">
        <v>2083</v>
      </c>
      <c r="D562" s="656" t="s">
        <v>2084</v>
      </c>
      <c r="E562" s="480">
        <v>45672.0</v>
      </c>
      <c r="F562" s="480">
        <v>45716.0</v>
      </c>
      <c r="G562" s="484" t="s">
        <v>1138</v>
      </c>
      <c r="H562" s="604">
        <v>1217159.0</v>
      </c>
      <c r="I562" s="512" t="s">
        <v>2085</v>
      </c>
      <c r="J562" s="486" t="s">
        <v>2086</v>
      </c>
      <c r="K562" s="436"/>
      <c r="L562" s="568"/>
      <c r="M562" s="568"/>
      <c r="N562" s="568"/>
    </row>
    <row r="563" ht="121.5" hidden="1" customHeight="1">
      <c r="A563" s="463" t="s">
        <v>670</v>
      </c>
      <c r="B563" s="463" t="s">
        <v>576</v>
      </c>
      <c r="C563" s="653" t="s">
        <v>1504</v>
      </c>
      <c r="D563" s="654" t="s">
        <v>1722</v>
      </c>
      <c r="E563" s="473">
        <v>45682.0</v>
      </c>
      <c r="F563" s="473">
        <v>45718.0</v>
      </c>
      <c r="G563" s="474" t="s">
        <v>1138</v>
      </c>
      <c r="H563" s="606">
        <v>1213706.0</v>
      </c>
      <c r="I563" s="477" t="s">
        <v>2087</v>
      </c>
      <c r="J563" s="470" t="s">
        <v>2088</v>
      </c>
      <c r="K563" s="445"/>
      <c r="L563" s="571"/>
      <c r="M563" s="568"/>
      <c r="N563" s="568"/>
    </row>
    <row r="564" ht="121.5" hidden="1" customHeight="1">
      <c r="A564" s="465" t="s">
        <v>670</v>
      </c>
      <c r="B564" s="465" t="s">
        <v>576</v>
      </c>
      <c r="C564" s="655" t="s">
        <v>2089</v>
      </c>
      <c r="D564" s="656" t="s">
        <v>1722</v>
      </c>
      <c r="E564" s="480">
        <v>45682.0</v>
      </c>
      <c r="F564" s="480">
        <v>45718.0</v>
      </c>
      <c r="G564" s="484" t="s">
        <v>1138</v>
      </c>
      <c r="H564" s="604">
        <v>1217969.0</v>
      </c>
      <c r="I564" s="512" t="s">
        <v>2087</v>
      </c>
      <c r="J564" s="486" t="s">
        <v>2090</v>
      </c>
      <c r="K564" s="436"/>
      <c r="L564" s="568"/>
      <c r="M564" s="568"/>
      <c r="N564" s="568"/>
    </row>
    <row r="565" ht="121.5" hidden="1" customHeight="1">
      <c r="A565" s="463" t="s">
        <v>670</v>
      </c>
      <c r="B565" s="463" t="s">
        <v>576</v>
      </c>
      <c r="C565" s="653" t="s">
        <v>2091</v>
      </c>
      <c r="D565" s="757" t="s">
        <v>2092</v>
      </c>
      <c r="E565" s="473">
        <v>45712.0</v>
      </c>
      <c r="F565" s="763">
        <v>45716.0</v>
      </c>
      <c r="G565" s="635">
        <v>150.0</v>
      </c>
      <c r="H565" s="606">
        <v>1218545.0</v>
      </c>
      <c r="I565" s="477" t="s">
        <v>2093</v>
      </c>
      <c r="J565" s="470" t="s">
        <v>2094</v>
      </c>
      <c r="K565" s="445"/>
      <c r="L565" s="571"/>
      <c r="M565" s="568"/>
      <c r="N565" s="568"/>
    </row>
    <row r="566" ht="121.5" hidden="1" customHeight="1">
      <c r="A566" s="465" t="s">
        <v>670</v>
      </c>
      <c r="B566" s="465" t="s">
        <v>1120</v>
      </c>
      <c r="C566" s="655" t="s">
        <v>2095</v>
      </c>
      <c r="D566" s="756" t="s">
        <v>2039</v>
      </c>
      <c r="E566" s="631">
        <v>45779.0</v>
      </c>
      <c r="F566" s="631">
        <v>45784.0</v>
      </c>
      <c r="G566" s="794">
        <v>30.0</v>
      </c>
      <c r="H566" s="604">
        <v>1222278.0</v>
      </c>
      <c r="I566" s="512" t="s">
        <v>2096</v>
      </c>
      <c r="J566" s="486" t="s">
        <v>2097</v>
      </c>
      <c r="K566" s="436"/>
      <c r="L566" s="700"/>
      <c r="M566" s="700"/>
      <c r="N566" s="700"/>
    </row>
    <row r="567" ht="174.0" customHeight="1">
      <c r="A567" s="482" t="s">
        <v>404</v>
      </c>
      <c r="B567" s="482" t="s">
        <v>1002</v>
      </c>
      <c r="C567" s="558" t="s">
        <v>2098</v>
      </c>
      <c r="D567" s="558" t="s">
        <v>2099</v>
      </c>
      <c r="E567" s="769">
        <v>45924.0</v>
      </c>
      <c r="F567" s="473">
        <v>45961.0</v>
      </c>
      <c r="G567" s="795">
        <v>0.5</v>
      </c>
      <c r="H567" s="606">
        <v>1228871.0</v>
      </c>
      <c r="I567" s="678" t="s">
        <v>2100</v>
      </c>
      <c r="J567" s="606" t="s">
        <v>2101</v>
      </c>
      <c r="K567" s="740"/>
      <c r="L567" s="786"/>
      <c r="M567" s="787"/>
      <c r="N567" s="787"/>
    </row>
    <row r="568" ht="174.0" customHeight="1">
      <c r="A568" s="471" t="s">
        <v>404</v>
      </c>
      <c r="B568" s="471" t="s">
        <v>1002</v>
      </c>
      <c r="C568" s="557" t="s">
        <v>2102</v>
      </c>
      <c r="D568" s="557" t="s">
        <v>2103</v>
      </c>
      <c r="E568" s="674">
        <v>45948.0</v>
      </c>
      <c r="F568" s="480">
        <v>45964.0</v>
      </c>
      <c r="G568" s="788">
        <v>50.0</v>
      </c>
      <c r="H568" s="604">
        <v>1230664.0</v>
      </c>
      <c r="I568" s="676" t="s">
        <v>1496</v>
      </c>
      <c r="J568" s="604" t="s">
        <v>2104</v>
      </c>
      <c r="K568" s="736"/>
      <c r="L568" s="787"/>
      <c r="M568" s="787"/>
      <c r="N568" s="787"/>
    </row>
    <row r="569" ht="174.0" customHeight="1">
      <c r="A569" s="482" t="s">
        <v>404</v>
      </c>
      <c r="B569" s="482" t="s">
        <v>1002</v>
      </c>
      <c r="C569" s="558" t="s">
        <v>2105</v>
      </c>
      <c r="D569" s="558" t="s">
        <v>2030</v>
      </c>
      <c r="E569" s="769">
        <v>45948.0</v>
      </c>
      <c r="F569" s="473">
        <v>45964.0</v>
      </c>
      <c r="G569" s="785">
        <v>100.0</v>
      </c>
      <c r="H569" s="606">
        <v>1230665.0</v>
      </c>
      <c r="I569" s="678" t="s">
        <v>1496</v>
      </c>
      <c r="J569" s="606" t="s">
        <v>2106</v>
      </c>
      <c r="K569" s="740"/>
      <c r="L569" s="786"/>
      <c r="M569" s="787"/>
      <c r="N569" s="787"/>
    </row>
    <row r="570" ht="174.0" customHeight="1">
      <c r="A570" s="471" t="s">
        <v>404</v>
      </c>
      <c r="B570" s="471" t="s">
        <v>974</v>
      </c>
      <c r="C570" s="557" t="s">
        <v>2107</v>
      </c>
      <c r="D570" s="557" t="s">
        <v>2108</v>
      </c>
      <c r="E570" s="674">
        <v>45948.0</v>
      </c>
      <c r="F570" s="480">
        <v>45964.0</v>
      </c>
      <c r="G570" s="796">
        <v>0.5</v>
      </c>
      <c r="H570" s="604">
        <v>1231421.0</v>
      </c>
      <c r="I570" s="168" t="s">
        <v>1179</v>
      </c>
      <c r="J570" s="604" t="s">
        <v>2109</v>
      </c>
      <c r="K570" s="736"/>
      <c r="L570" s="787"/>
      <c r="M570" s="787"/>
      <c r="N570" s="787"/>
    </row>
    <row r="571" ht="174.0" customHeight="1">
      <c r="A571" s="482" t="s">
        <v>404</v>
      </c>
      <c r="B571" s="482" t="s">
        <v>1002</v>
      </c>
      <c r="C571" s="558" t="s">
        <v>2110</v>
      </c>
      <c r="D571" s="558" t="s">
        <v>2030</v>
      </c>
      <c r="E571" s="769">
        <v>45947.0</v>
      </c>
      <c r="F571" s="473">
        <v>45962.0</v>
      </c>
      <c r="G571" s="785">
        <v>100.0</v>
      </c>
      <c r="H571" s="606">
        <v>1231422.0</v>
      </c>
      <c r="I571" s="678" t="s">
        <v>2111</v>
      </c>
      <c r="J571" s="606">
        <v>1225901.0</v>
      </c>
      <c r="K571" s="740"/>
      <c r="L571" s="786"/>
      <c r="M571" s="787"/>
      <c r="N571" s="787"/>
    </row>
    <row r="572" ht="91.5" customHeight="1">
      <c r="A572" s="471" t="s">
        <v>404</v>
      </c>
      <c r="B572" s="471" t="s">
        <v>1002</v>
      </c>
      <c r="C572" s="557" t="s">
        <v>2112</v>
      </c>
      <c r="D572" s="557" t="s">
        <v>2030</v>
      </c>
      <c r="E572" s="674">
        <v>45948.0</v>
      </c>
      <c r="F572" s="480">
        <v>45962.0</v>
      </c>
      <c r="G572" s="788">
        <v>100.0</v>
      </c>
      <c r="H572" s="604">
        <v>1217154.0</v>
      </c>
      <c r="I572" s="676" t="s">
        <v>2113</v>
      </c>
      <c r="J572" s="604" t="s">
        <v>2114</v>
      </c>
      <c r="K572" s="736"/>
      <c r="L572" s="787"/>
      <c r="M572" s="787"/>
      <c r="N572" s="787"/>
    </row>
    <row r="573" ht="57.0" customHeight="1">
      <c r="A573" s="482" t="s">
        <v>404</v>
      </c>
      <c r="B573" s="482" t="s">
        <v>1002</v>
      </c>
      <c r="C573" s="558" t="s">
        <v>2115</v>
      </c>
      <c r="D573" s="558" t="s">
        <v>2039</v>
      </c>
      <c r="E573" s="769">
        <v>45948.0</v>
      </c>
      <c r="F573" s="473">
        <v>45962.0</v>
      </c>
      <c r="G573" s="785">
        <v>30.0</v>
      </c>
      <c r="H573" s="606">
        <v>1231492.0</v>
      </c>
      <c r="I573" s="678" t="s">
        <v>2116</v>
      </c>
      <c r="J573" s="606" t="s">
        <v>2117</v>
      </c>
      <c r="K573" s="740"/>
      <c r="L573" s="786"/>
      <c r="M573" s="787"/>
      <c r="N573" s="787"/>
    </row>
    <row r="574" ht="60.0" customHeight="1">
      <c r="A574" s="471" t="s">
        <v>404</v>
      </c>
      <c r="B574" s="471" t="s">
        <v>974</v>
      </c>
      <c r="C574" s="557" t="s">
        <v>2118</v>
      </c>
      <c r="D574" s="557" t="s">
        <v>2030</v>
      </c>
      <c r="E574" s="674">
        <v>45948.0</v>
      </c>
      <c r="F574" s="480">
        <v>45962.0</v>
      </c>
      <c r="G574" s="788">
        <v>100.0</v>
      </c>
      <c r="H574" s="604">
        <v>1219859.0</v>
      </c>
      <c r="I574" s="676" t="s">
        <v>2119</v>
      </c>
      <c r="J574" s="604" t="s">
        <v>2117</v>
      </c>
      <c r="K574" s="736"/>
      <c r="L574" s="787"/>
      <c r="M574" s="787"/>
      <c r="N574" s="787"/>
    </row>
    <row r="575" ht="60.0" customHeight="1">
      <c r="A575" s="482" t="s">
        <v>404</v>
      </c>
      <c r="B575" s="482" t="s">
        <v>1002</v>
      </c>
      <c r="C575" s="558" t="s">
        <v>2120</v>
      </c>
      <c r="D575" s="558" t="s">
        <v>2121</v>
      </c>
      <c r="E575" s="769">
        <v>45954.0</v>
      </c>
      <c r="F575" s="473">
        <v>45962.0</v>
      </c>
      <c r="G575" s="785" t="s">
        <v>2122</v>
      </c>
      <c r="H575" s="606">
        <v>1218544.0</v>
      </c>
      <c r="I575" s="549" t="s">
        <v>2123</v>
      </c>
      <c r="J575" s="606" t="s">
        <v>2124</v>
      </c>
      <c r="K575" s="740"/>
      <c r="L575" s="786"/>
      <c r="M575" s="787"/>
      <c r="N575" s="787"/>
    </row>
    <row r="576" ht="60.0" customHeight="1">
      <c r="A576" s="471" t="s">
        <v>404</v>
      </c>
      <c r="B576" s="471" t="s">
        <v>974</v>
      </c>
      <c r="C576" s="557" t="s">
        <v>2125</v>
      </c>
      <c r="D576" s="557" t="s">
        <v>2126</v>
      </c>
      <c r="E576" s="674">
        <v>45967.0</v>
      </c>
      <c r="F576" s="480">
        <v>45991.0</v>
      </c>
      <c r="G576" s="788" t="s">
        <v>1138</v>
      </c>
      <c r="H576" s="604">
        <v>1231811.0</v>
      </c>
      <c r="I576" s="168"/>
      <c r="J576" s="604" t="s">
        <v>2127</v>
      </c>
      <c r="K576" s="736"/>
      <c r="L576" s="787"/>
      <c r="M576" s="787"/>
      <c r="N576" s="787"/>
    </row>
    <row r="577" ht="174.0" hidden="1" customHeight="1">
      <c r="A577" s="482" t="s">
        <v>404</v>
      </c>
      <c r="B577" s="482" t="s">
        <v>974</v>
      </c>
      <c r="C577" s="797"/>
      <c r="D577" s="798" t="s">
        <v>2128</v>
      </c>
      <c r="E577" s="482" t="s">
        <v>2129</v>
      </c>
      <c r="F577" s="473">
        <v>45823.0</v>
      </c>
      <c r="G577" s="606" t="s">
        <v>2130</v>
      </c>
      <c r="H577" s="606" t="s">
        <v>2131</v>
      </c>
      <c r="I577" s="678" t="s">
        <v>2132</v>
      </c>
      <c r="J577" s="119" t="s">
        <v>2133</v>
      </c>
      <c r="K577" s="740"/>
      <c r="L577" s="786"/>
      <c r="M577" s="787"/>
      <c r="N577" s="787"/>
    </row>
    <row r="578" ht="280.5" hidden="1" customHeight="1">
      <c r="A578" s="471" t="s">
        <v>404</v>
      </c>
      <c r="B578" s="471" t="s">
        <v>1002</v>
      </c>
      <c r="C578" s="557" t="s">
        <v>2134</v>
      </c>
      <c r="D578" s="799" t="s">
        <v>2128</v>
      </c>
      <c r="E578" s="471" t="s">
        <v>2135</v>
      </c>
      <c r="F578" s="480">
        <v>45823.0</v>
      </c>
      <c r="G578" s="604" t="s">
        <v>2136</v>
      </c>
      <c r="H578" s="604" t="s">
        <v>2137</v>
      </c>
      <c r="I578" s="676" t="s">
        <v>2132</v>
      </c>
      <c r="J578" s="104" t="s">
        <v>2138</v>
      </c>
      <c r="K578" s="736"/>
      <c r="L578" s="787"/>
      <c r="M578" s="787"/>
      <c r="N578" s="787"/>
    </row>
    <row r="579" ht="159.0" hidden="1" customHeight="1">
      <c r="A579" s="463" t="s">
        <v>670</v>
      </c>
      <c r="B579" s="463" t="s">
        <v>1120</v>
      </c>
      <c r="C579" s="653" t="s">
        <v>2139</v>
      </c>
      <c r="D579" s="754" t="s">
        <v>2140</v>
      </c>
      <c r="E579" s="646" t="s">
        <v>2141</v>
      </c>
      <c r="F579" s="800">
        <v>45788.0</v>
      </c>
      <c r="G579" s="766" t="s">
        <v>2142</v>
      </c>
      <c r="H579" s="606" t="s">
        <v>2143</v>
      </c>
      <c r="I579" s="477" t="s">
        <v>2144</v>
      </c>
      <c r="J579" s="470">
        <v>1218606.0</v>
      </c>
      <c r="K579" s="445"/>
      <c r="L579" s="702"/>
      <c r="M579" s="700"/>
      <c r="N579" s="700"/>
    </row>
    <row r="580" ht="330.0" hidden="1" customHeight="1">
      <c r="A580" s="430" t="s">
        <v>670</v>
      </c>
      <c r="B580" s="465" t="s">
        <v>576</v>
      </c>
      <c r="C580" s="655" t="s">
        <v>2145</v>
      </c>
      <c r="D580" s="801" t="s">
        <v>2140</v>
      </c>
      <c r="E580" s="488" t="s">
        <v>2146</v>
      </c>
      <c r="F580" s="802">
        <v>45788.0</v>
      </c>
      <c r="G580" s="794" t="s">
        <v>1983</v>
      </c>
      <c r="H580" s="604" t="s">
        <v>2147</v>
      </c>
      <c r="I580" s="512" t="s">
        <v>2144</v>
      </c>
      <c r="J580" s="486">
        <v>1218654.0</v>
      </c>
      <c r="K580" s="436"/>
      <c r="L580" s="700"/>
      <c r="M580" s="700"/>
      <c r="N580" s="700"/>
    </row>
    <row r="581" ht="121.5" hidden="1" customHeight="1">
      <c r="A581" s="463" t="s">
        <v>670</v>
      </c>
      <c r="B581" s="463" t="s">
        <v>576</v>
      </c>
      <c r="C581" s="653" t="s">
        <v>2148</v>
      </c>
      <c r="D581" s="754" t="s">
        <v>2149</v>
      </c>
      <c r="E581" s="473">
        <v>45717.0</v>
      </c>
      <c r="F581" s="473">
        <v>45718.0</v>
      </c>
      <c r="G581" s="766">
        <v>230.0</v>
      </c>
      <c r="H581" s="606">
        <v>1219069.0</v>
      </c>
      <c r="I581" s="602" t="s">
        <v>1138</v>
      </c>
      <c r="J581" s="470" t="s">
        <v>2150</v>
      </c>
      <c r="K581" s="445"/>
      <c r="L581" s="571"/>
      <c r="M581" s="568"/>
      <c r="N581" s="568"/>
    </row>
    <row r="582">
      <c r="A582" s="650" t="s">
        <v>2151</v>
      </c>
      <c r="B582" s="56"/>
      <c r="C582" s="56"/>
      <c r="D582" s="56"/>
      <c r="E582" s="56"/>
      <c r="F582" s="56"/>
      <c r="G582" s="56"/>
      <c r="H582" s="56"/>
      <c r="I582" s="56"/>
      <c r="J582" s="57"/>
      <c r="K582" s="803"/>
      <c r="L582" s="692"/>
      <c r="M582" s="804"/>
      <c r="N582" s="804"/>
    </row>
    <row r="583">
      <c r="A583" s="634" t="s">
        <v>2152</v>
      </c>
      <c r="B583" s="482" t="s">
        <v>2153</v>
      </c>
      <c r="C583" s="558" t="s">
        <v>2154</v>
      </c>
      <c r="D583" s="634" t="s">
        <v>2155</v>
      </c>
      <c r="E583" s="805">
        <v>45962.0</v>
      </c>
      <c r="F583" s="806">
        <v>45991.0</v>
      </c>
      <c r="G583" s="785">
        <v>70.0</v>
      </c>
      <c r="H583" s="634">
        <v>1231936.0</v>
      </c>
      <c r="I583" s="678" t="s">
        <v>2156</v>
      </c>
      <c r="J583" s="516" t="s">
        <v>2157</v>
      </c>
      <c r="K583" s="807"/>
      <c r="L583" s="691"/>
      <c r="M583" s="804"/>
      <c r="N583" s="804"/>
    </row>
    <row r="584">
      <c r="A584" s="650" t="s">
        <v>1001</v>
      </c>
      <c r="B584" s="56"/>
      <c r="C584" s="56"/>
      <c r="D584" s="56"/>
      <c r="E584" s="56"/>
      <c r="F584" s="56"/>
      <c r="G584" s="56"/>
      <c r="H584" s="56"/>
      <c r="I584" s="56"/>
      <c r="J584" s="57"/>
      <c r="K584" s="803" t="s">
        <v>2158</v>
      </c>
      <c r="L584" s="692"/>
      <c r="M584" s="804"/>
      <c r="N584" s="804"/>
    </row>
    <row r="585">
      <c r="A585" s="634" t="s">
        <v>1001</v>
      </c>
      <c r="B585" s="482" t="s">
        <v>1002</v>
      </c>
      <c r="C585" s="558" t="s">
        <v>2159</v>
      </c>
      <c r="D585" s="634" t="s">
        <v>2160</v>
      </c>
      <c r="E585" s="805">
        <v>45841.0</v>
      </c>
      <c r="F585" s="808" t="s">
        <v>1138</v>
      </c>
      <c r="G585" s="785" t="s">
        <v>1248</v>
      </c>
      <c r="H585" s="634">
        <v>1225218.0</v>
      </c>
      <c r="I585" s="516" t="s">
        <v>1248</v>
      </c>
      <c r="J585" s="516" t="s">
        <v>2161</v>
      </c>
      <c r="K585" s="807"/>
      <c r="L585" s="691"/>
      <c r="M585" s="804"/>
      <c r="N585" s="804"/>
    </row>
    <row r="586">
      <c r="A586" s="630" t="s">
        <v>1001</v>
      </c>
      <c r="B586" s="471" t="s">
        <v>1002</v>
      </c>
      <c r="C586" s="557" t="s">
        <v>2162</v>
      </c>
      <c r="D586" s="630" t="s">
        <v>2163</v>
      </c>
      <c r="E586" s="809">
        <v>45933.0</v>
      </c>
      <c r="F586" s="480">
        <v>45961.0</v>
      </c>
      <c r="G586" s="788">
        <v>30.0</v>
      </c>
      <c r="H586" s="630">
        <v>1230828.0</v>
      </c>
      <c r="I586" s="676" t="s">
        <v>2164</v>
      </c>
      <c r="J586" s="168" t="s">
        <v>2165</v>
      </c>
      <c r="K586" s="810"/>
      <c r="L586" s="692"/>
      <c r="M586" s="804"/>
      <c r="N586" s="804"/>
    </row>
    <row r="587">
      <c r="A587" s="634" t="s">
        <v>1001</v>
      </c>
      <c r="B587" s="482" t="s">
        <v>1002</v>
      </c>
      <c r="C587" s="558" t="s">
        <v>2166</v>
      </c>
      <c r="D587" s="634" t="s">
        <v>2167</v>
      </c>
      <c r="E587" s="805">
        <v>45933.0</v>
      </c>
      <c r="F587" s="473">
        <v>45974.0</v>
      </c>
      <c r="G587" s="785">
        <v>20.0</v>
      </c>
      <c r="H587" s="634">
        <v>1230829.0</v>
      </c>
      <c r="I587" s="678" t="s">
        <v>2168</v>
      </c>
      <c r="J587" s="516" t="s">
        <v>2169</v>
      </c>
      <c r="K587" s="492"/>
      <c r="L587" s="581"/>
      <c r="M587" s="582"/>
      <c r="N587" s="582"/>
    </row>
    <row r="588">
      <c r="A588" s="630" t="s">
        <v>1001</v>
      </c>
      <c r="B588" s="471" t="s">
        <v>1002</v>
      </c>
      <c r="C588" s="557" t="s">
        <v>2162</v>
      </c>
      <c r="D588" s="630" t="s">
        <v>2170</v>
      </c>
      <c r="E588" s="809">
        <v>45962.0</v>
      </c>
      <c r="F588" s="480">
        <v>45992.0</v>
      </c>
      <c r="G588" s="788">
        <v>50.0</v>
      </c>
      <c r="H588" s="630">
        <v>1231225.0</v>
      </c>
      <c r="I588" s="676" t="s">
        <v>2171</v>
      </c>
      <c r="J588" s="168" t="s">
        <v>2161</v>
      </c>
      <c r="K588" s="608"/>
      <c r="L588" s="582"/>
      <c r="M588" s="582"/>
      <c r="N588" s="582"/>
    </row>
    <row r="589">
      <c r="A589" s="634" t="s">
        <v>1001</v>
      </c>
      <c r="B589" s="482" t="s">
        <v>1002</v>
      </c>
      <c r="C589" s="558" t="s">
        <v>2172</v>
      </c>
      <c r="D589" s="634" t="s">
        <v>2173</v>
      </c>
      <c r="E589" s="805">
        <v>45962.0</v>
      </c>
      <c r="F589" s="473">
        <v>45992.0</v>
      </c>
      <c r="G589" s="785">
        <v>200.0</v>
      </c>
      <c r="H589" s="634">
        <v>1231202.0</v>
      </c>
      <c r="I589" s="678" t="s">
        <v>2174</v>
      </c>
      <c r="J589" s="516" t="s">
        <v>1541</v>
      </c>
      <c r="K589" s="492"/>
      <c r="L589" s="581"/>
      <c r="M589" s="582"/>
      <c r="N589" s="582"/>
    </row>
    <row r="590">
      <c r="A590" s="630" t="s">
        <v>1001</v>
      </c>
      <c r="B590" s="471" t="s">
        <v>2175</v>
      </c>
      <c r="C590" s="557" t="s">
        <v>2176</v>
      </c>
      <c r="D590" s="630" t="s">
        <v>2177</v>
      </c>
      <c r="E590" s="809">
        <v>45962.0</v>
      </c>
      <c r="F590" s="480">
        <v>45992.0</v>
      </c>
      <c r="G590" s="788">
        <v>60.0</v>
      </c>
      <c r="H590" s="630">
        <v>1231210.0</v>
      </c>
      <c r="I590" s="703" t="s">
        <v>2178</v>
      </c>
      <c r="J590" s="168" t="s">
        <v>2179</v>
      </c>
      <c r="K590" s="608"/>
      <c r="L590" s="582"/>
      <c r="M590" s="582"/>
      <c r="N590" s="582"/>
    </row>
    <row r="591">
      <c r="A591" s="634" t="s">
        <v>1001</v>
      </c>
      <c r="B591" s="482" t="s">
        <v>1002</v>
      </c>
      <c r="C591" s="558" t="s">
        <v>1547</v>
      </c>
      <c r="D591" s="634" t="s">
        <v>2180</v>
      </c>
      <c r="E591" s="805">
        <v>45975.0</v>
      </c>
      <c r="F591" s="473">
        <v>45992.0</v>
      </c>
      <c r="G591" s="785">
        <v>100.0</v>
      </c>
      <c r="H591" s="634">
        <v>1231222.0</v>
      </c>
      <c r="I591" s="678" t="s">
        <v>2181</v>
      </c>
      <c r="J591" s="516" t="s">
        <v>2182</v>
      </c>
      <c r="K591" s="492"/>
      <c r="L591" s="581"/>
      <c r="M591" s="582"/>
      <c r="N591" s="582"/>
    </row>
    <row r="592" ht="33.75" customHeight="1">
      <c r="A592" s="630" t="s">
        <v>1001</v>
      </c>
      <c r="B592" s="471" t="s">
        <v>2183</v>
      </c>
      <c r="C592" s="557" t="s">
        <v>2184</v>
      </c>
      <c r="D592" s="630" t="s">
        <v>2185</v>
      </c>
      <c r="E592" s="809">
        <v>45992.0</v>
      </c>
      <c r="F592" s="480">
        <v>46022.0</v>
      </c>
      <c r="G592" s="788">
        <v>100.0</v>
      </c>
      <c r="H592" s="630">
        <v>1232357.0</v>
      </c>
      <c r="I592" s="676" t="s">
        <v>2186</v>
      </c>
      <c r="J592" s="168" t="s">
        <v>2187</v>
      </c>
      <c r="K592" s="608"/>
      <c r="L592" s="582"/>
      <c r="M592" s="582"/>
      <c r="N592" s="582"/>
    </row>
    <row r="593">
      <c r="A593" s="634" t="s">
        <v>1001</v>
      </c>
      <c r="B593" s="482" t="s">
        <v>1002</v>
      </c>
      <c r="C593" s="558" t="s">
        <v>2166</v>
      </c>
      <c r="D593" s="634" t="s">
        <v>2188</v>
      </c>
      <c r="E593" s="805">
        <v>45998.0</v>
      </c>
      <c r="F593" s="473">
        <v>46028.0</v>
      </c>
      <c r="G593" s="785">
        <v>30.0</v>
      </c>
      <c r="H593" s="634">
        <v>1231226.0</v>
      </c>
      <c r="I593" s="678" t="s">
        <v>2189</v>
      </c>
      <c r="J593" s="516" t="s">
        <v>2169</v>
      </c>
      <c r="K593" s="492"/>
      <c r="L593" s="581"/>
      <c r="M593" s="582"/>
      <c r="N593" s="582"/>
    </row>
    <row r="594">
      <c r="A594" s="650" t="s">
        <v>2190</v>
      </c>
      <c r="B594" s="56"/>
      <c r="C594" s="56"/>
      <c r="D594" s="56"/>
      <c r="E594" s="56"/>
      <c r="F594" s="56"/>
      <c r="G594" s="56"/>
      <c r="H594" s="56"/>
      <c r="I594" s="56"/>
      <c r="J594" s="57"/>
      <c r="K594" s="803"/>
      <c r="L594" s="692"/>
      <c r="M594" s="804"/>
      <c r="N594" s="804"/>
    </row>
    <row r="595" ht="32.25" customHeight="1">
      <c r="A595" s="634" t="s">
        <v>2191</v>
      </c>
      <c r="B595" s="634" t="s">
        <v>899</v>
      </c>
      <c r="C595" s="558" t="s">
        <v>2192</v>
      </c>
      <c r="D595" s="634" t="s">
        <v>2193</v>
      </c>
      <c r="E595" s="805">
        <v>45947.0</v>
      </c>
      <c r="F595" s="811">
        <v>45960.0</v>
      </c>
      <c r="G595" s="785">
        <v>50.0</v>
      </c>
      <c r="H595" s="634">
        <v>1231423.0</v>
      </c>
      <c r="I595" s="812" t="s">
        <v>2194</v>
      </c>
      <c r="J595" s="516">
        <v>1222342.0</v>
      </c>
      <c r="K595" s="358"/>
      <c r="L595" s="357"/>
      <c r="M595" s="813"/>
      <c r="N595" s="813"/>
    </row>
    <row r="596">
      <c r="A596" s="650" t="s">
        <v>2195</v>
      </c>
      <c r="B596" s="56"/>
      <c r="C596" s="56"/>
      <c r="D596" s="56"/>
      <c r="E596" s="56"/>
      <c r="F596" s="56"/>
      <c r="G596" s="56"/>
      <c r="H596" s="56"/>
      <c r="I596" s="56"/>
      <c r="J596" s="57"/>
      <c r="K596" s="803"/>
      <c r="L596" s="692"/>
      <c r="M596" s="804"/>
      <c r="N596" s="804"/>
    </row>
    <row r="597" ht="61.5" hidden="1" customHeight="1">
      <c r="A597" s="463" t="s">
        <v>666</v>
      </c>
      <c r="B597" s="463" t="s">
        <v>1120</v>
      </c>
      <c r="C597" s="463" t="s">
        <v>2196</v>
      </c>
      <c r="D597" s="470" t="s">
        <v>1835</v>
      </c>
      <c r="E597" s="473">
        <v>45474.0</v>
      </c>
      <c r="F597" s="566">
        <v>45504.0</v>
      </c>
      <c r="G597" s="474">
        <v>59.94</v>
      </c>
      <c r="H597" s="558">
        <v>1206486.0</v>
      </c>
      <c r="I597" s="546" t="s">
        <v>2197</v>
      </c>
      <c r="J597" s="470" t="s">
        <v>2198</v>
      </c>
      <c r="K597" s="531"/>
      <c r="L597" s="445"/>
      <c r="M597" s="437"/>
      <c r="N597" s="437"/>
    </row>
    <row r="598" hidden="1">
      <c r="A598" s="465" t="s">
        <v>670</v>
      </c>
      <c r="B598" s="465" t="s">
        <v>1120</v>
      </c>
      <c r="C598" s="465" t="s">
        <v>2199</v>
      </c>
      <c r="D598" s="486" t="s">
        <v>1722</v>
      </c>
      <c r="E598" s="480">
        <v>45474.0</v>
      </c>
      <c r="F598" s="567">
        <v>45504.0</v>
      </c>
      <c r="G598" s="484">
        <v>29.97</v>
      </c>
      <c r="H598" s="557">
        <v>1200387.0</v>
      </c>
      <c r="I598" s="548" t="s">
        <v>2200</v>
      </c>
      <c r="J598" s="486" t="s">
        <v>2201</v>
      </c>
      <c r="K598" s="513"/>
      <c r="L598" s="436"/>
      <c r="M598" s="437"/>
      <c r="N598" s="437"/>
    </row>
    <row r="599" ht="49.5" hidden="1" customHeight="1">
      <c r="A599" s="463" t="s">
        <v>580</v>
      </c>
      <c r="B599" s="463" t="s">
        <v>576</v>
      </c>
      <c r="C599" s="463" t="s">
        <v>2202</v>
      </c>
      <c r="D599" s="470" t="s">
        <v>2203</v>
      </c>
      <c r="E599" s="473">
        <v>45439.0</v>
      </c>
      <c r="F599" s="566">
        <v>45445.0</v>
      </c>
      <c r="G599" s="474">
        <v>100.0</v>
      </c>
      <c r="H599" s="558">
        <v>1207447.0</v>
      </c>
      <c r="I599" s="546" t="s">
        <v>2200</v>
      </c>
      <c r="J599" s="470" t="s">
        <v>2204</v>
      </c>
      <c r="K599" s="531"/>
      <c r="L599" s="445"/>
      <c r="M599" s="437"/>
      <c r="N599" s="437"/>
    </row>
    <row r="600" ht="38.25" hidden="1" customHeight="1">
      <c r="A600" s="465" t="s">
        <v>580</v>
      </c>
      <c r="B600" s="465" t="s">
        <v>576</v>
      </c>
      <c r="C600" s="465" t="s">
        <v>2205</v>
      </c>
      <c r="D600" s="486" t="s">
        <v>2206</v>
      </c>
      <c r="E600" s="480">
        <v>45439.0</v>
      </c>
      <c r="F600" s="567">
        <v>45445.0</v>
      </c>
      <c r="G600" s="484">
        <v>150.0</v>
      </c>
      <c r="H600" s="557">
        <v>1207448.0</v>
      </c>
      <c r="I600" s="548" t="s">
        <v>2200</v>
      </c>
      <c r="J600" s="486" t="s">
        <v>2207</v>
      </c>
      <c r="K600" s="513"/>
      <c r="L600" s="436"/>
      <c r="M600" s="437"/>
      <c r="N600" s="437"/>
    </row>
    <row r="601" hidden="1">
      <c r="A601" s="463" t="s">
        <v>670</v>
      </c>
      <c r="B601" s="463" t="s">
        <v>576</v>
      </c>
      <c r="C601" s="463" t="s">
        <v>1078</v>
      </c>
      <c r="D601" s="470" t="s">
        <v>2208</v>
      </c>
      <c r="E601" s="473">
        <v>45446.0</v>
      </c>
      <c r="F601" s="566">
        <v>45459.0</v>
      </c>
      <c r="G601" s="564" t="s">
        <v>1248</v>
      </c>
      <c r="H601" s="558">
        <v>1207923.0</v>
      </c>
      <c r="I601" s="546" t="s">
        <v>2200</v>
      </c>
      <c r="J601" s="470" t="s">
        <v>2209</v>
      </c>
      <c r="K601" s="531"/>
      <c r="L601" s="445"/>
      <c r="M601" s="437"/>
      <c r="N601" s="437"/>
    </row>
    <row r="602" ht="15.75" hidden="1" customHeight="1">
      <c r="A602" s="465" t="s">
        <v>1351</v>
      </c>
      <c r="B602" s="465" t="s">
        <v>1120</v>
      </c>
      <c r="C602" s="483" t="s">
        <v>2210</v>
      </c>
      <c r="D602" s="544" t="s">
        <v>1722</v>
      </c>
      <c r="E602" s="480">
        <v>45446.0</v>
      </c>
      <c r="F602" s="480">
        <v>45473.0</v>
      </c>
      <c r="G602" s="484">
        <v>39.97</v>
      </c>
      <c r="H602" s="471">
        <v>1207924.0</v>
      </c>
      <c r="I602" s="548" t="s">
        <v>2200</v>
      </c>
      <c r="J602" s="486" t="s">
        <v>2211</v>
      </c>
      <c r="K602" s="513"/>
      <c r="L602" s="436"/>
      <c r="M602" s="437"/>
      <c r="N602" s="437"/>
    </row>
    <row r="603" ht="15.75" hidden="1" customHeight="1">
      <c r="A603" s="463" t="s">
        <v>1351</v>
      </c>
      <c r="B603" s="463" t="s">
        <v>1120</v>
      </c>
      <c r="C603" s="472" t="s">
        <v>2210</v>
      </c>
      <c r="D603" s="545" t="s">
        <v>1722</v>
      </c>
      <c r="E603" s="473">
        <v>45480.0</v>
      </c>
      <c r="F603" s="473">
        <v>45496.0</v>
      </c>
      <c r="G603" s="474">
        <v>29.97</v>
      </c>
      <c r="H603" s="482">
        <v>1207924.0</v>
      </c>
      <c r="I603" s="546" t="s">
        <v>2200</v>
      </c>
      <c r="J603" s="470" t="s">
        <v>2212</v>
      </c>
      <c r="K603" s="531"/>
      <c r="L603" s="445"/>
      <c r="M603" s="437"/>
      <c r="N603" s="437"/>
    </row>
    <row r="604" ht="48.75" hidden="1" customHeight="1">
      <c r="A604" s="465" t="s">
        <v>580</v>
      </c>
      <c r="B604" s="465" t="s">
        <v>1120</v>
      </c>
      <c r="C604" s="465" t="s">
        <v>1768</v>
      </c>
      <c r="D604" s="486" t="s">
        <v>2213</v>
      </c>
      <c r="E604" s="567">
        <v>45446.0</v>
      </c>
      <c r="F604" s="567">
        <v>45459.0</v>
      </c>
      <c r="G604" s="484"/>
      <c r="H604" s="557">
        <v>1206183.0</v>
      </c>
      <c r="I604" s="548" t="s">
        <v>2200</v>
      </c>
      <c r="J604" s="486" t="s">
        <v>2214</v>
      </c>
      <c r="K604" s="513"/>
      <c r="L604" s="436"/>
      <c r="M604" s="437"/>
      <c r="N604" s="437"/>
    </row>
    <row r="605" ht="303.75" hidden="1" customHeight="1">
      <c r="A605" s="463" t="s">
        <v>580</v>
      </c>
      <c r="B605" s="463" t="s">
        <v>576</v>
      </c>
      <c r="C605" s="463" t="s">
        <v>2215</v>
      </c>
      <c r="D605" s="470" t="s">
        <v>1696</v>
      </c>
      <c r="E605" s="473">
        <v>45444.0</v>
      </c>
      <c r="F605" s="473">
        <v>45445.0</v>
      </c>
      <c r="G605" s="564" t="s">
        <v>2216</v>
      </c>
      <c r="H605" s="558" t="s">
        <v>2217</v>
      </c>
      <c r="I605" s="546" t="s">
        <v>2200</v>
      </c>
      <c r="J605" s="470" t="s">
        <v>2218</v>
      </c>
      <c r="K605" s="531"/>
      <c r="L605" s="445"/>
      <c r="M605" s="437"/>
      <c r="N605" s="437"/>
    </row>
    <row r="606" ht="69.0" hidden="1" customHeight="1">
      <c r="A606" s="465" t="s">
        <v>580</v>
      </c>
      <c r="B606" s="465" t="s">
        <v>1120</v>
      </c>
      <c r="C606" s="465" t="s">
        <v>2219</v>
      </c>
      <c r="D606" s="486" t="s">
        <v>1696</v>
      </c>
      <c r="E606" s="471" t="s">
        <v>2220</v>
      </c>
      <c r="F606" s="480">
        <v>45445.0</v>
      </c>
      <c r="G606" s="561" t="s">
        <v>2221</v>
      </c>
      <c r="H606" s="557" t="s">
        <v>2222</v>
      </c>
      <c r="I606" s="548" t="s">
        <v>2200</v>
      </c>
      <c r="J606" s="486" t="s">
        <v>2223</v>
      </c>
      <c r="K606" s="513"/>
      <c r="L606" s="436"/>
      <c r="M606" s="437"/>
      <c r="N606" s="437"/>
    </row>
    <row r="607" ht="63.0" hidden="1" customHeight="1">
      <c r="A607" s="463" t="s">
        <v>580</v>
      </c>
      <c r="B607" s="463" t="s">
        <v>2224</v>
      </c>
      <c r="C607" s="463" t="s">
        <v>2225</v>
      </c>
      <c r="D607" s="470" t="s">
        <v>1696</v>
      </c>
      <c r="E607" s="482" t="s">
        <v>2226</v>
      </c>
      <c r="F607" s="473">
        <v>45445.0</v>
      </c>
      <c r="G607" s="564" t="s">
        <v>1820</v>
      </c>
      <c r="H607" s="558" t="s">
        <v>2227</v>
      </c>
      <c r="I607" s="546" t="s">
        <v>2200</v>
      </c>
      <c r="J607" s="470" t="s">
        <v>2228</v>
      </c>
      <c r="K607" s="531"/>
      <c r="L607" s="445"/>
      <c r="M607" s="437"/>
      <c r="N607" s="437"/>
    </row>
    <row r="608" hidden="1">
      <c r="A608" s="465" t="s">
        <v>24</v>
      </c>
      <c r="B608" s="465" t="s">
        <v>1120</v>
      </c>
      <c r="C608" s="465" t="s">
        <v>2229</v>
      </c>
      <c r="D608" s="486" t="s">
        <v>1696</v>
      </c>
      <c r="E608" s="480">
        <v>45446.0</v>
      </c>
      <c r="F608" s="480">
        <v>45454.0</v>
      </c>
      <c r="G608" s="561" t="s">
        <v>2230</v>
      </c>
      <c r="H608" s="557" t="s">
        <v>2231</v>
      </c>
      <c r="I608" s="548" t="s">
        <v>2200</v>
      </c>
      <c r="J608" s="486" t="s">
        <v>2229</v>
      </c>
      <c r="K608" s="513"/>
      <c r="L608" s="436"/>
      <c r="M608" s="437"/>
      <c r="N608" s="437"/>
    </row>
    <row r="609" ht="298.5" hidden="1" customHeight="1">
      <c r="A609" s="463" t="s">
        <v>580</v>
      </c>
      <c r="B609" s="463" t="s">
        <v>576</v>
      </c>
      <c r="C609" s="463" t="s">
        <v>2232</v>
      </c>
      <c r="D609" s="470" t="s">
        <v>1804</v>
      </c>
      <c r="E609" s="482" t="s">
        <v>2233</v>
      </c>
      <c r="F609" s="482" t="s">
        <v>2234</v>
      </c>
      <c r="G609" s="564" t="s">
        <v>2235</v>
      </c>
      <c r="H609" s="558" t="s">
        <v>2236</v>
      </c>
      <c r="I609" s="546" t="s">
        <v>2200</v>
      </c>
      <c r="J609" s="558" t="s">
        <v>2237</v>
      </c>
      <c r="K609" s="531"/>
      <c r="L609" s="445"/>
      <c r="M609" s="437"/>
      <c r="N609" s="437"/>
    </row>
    <row r="610" hidden="1">
      <c r="A610" s="465" t="s">
        <v>580</v>
      </c>
      <c r="B610" s="465" t="s">
        <v>2238</v>
      </c>
      <c r="C610" s="465" t="s">
        <v>1779</v>
      </c>
      <c r="D610" s="486" t="s">
        <v>1804</v>
      </c>
      <c r="E610" s="471" t="s">
        <v>2239</v>
      </c>
      <c r="F610" s="471" t="s">
        <v>2240</v>
      </c>
      <c r="G610" s="561" t="s">
        <v>1820</v>
      </c>
      <c r="H610" s="557" t="s">
        <v>2241</v>
      </c>
      <c r="I610" s="548" t="s">
        <v>2200</v>
      </c>
      <c r="J610" s="557" t="s">
        <v>2242</v>
      </c>
      <c r="K610" s="513"/>
      <c r="L610" s="436"/>
      <c r="M610" s="437"/>
      <c r="N610" s="437"/>
    </row>
    <row r="611" ht="374.25" hidden="1" customHeight="1">
      <c r="A611" s="463" t="s">
        <v>580</v>
      </c>
      <c r="B611" s="463" t="s">
        <v>1198</v>
      </c>
      <c r="C611" s="463" t="s">
        <v>2243</v>
      </c>
      <c r="D611" s="470" t="s">
        <v>1804</v>
      </c>
      <c r="E611" s="482" t="s">
        <v>2244</v>
      </c>
      <c r="F611" s="482" t="s">
        <v>2245</v>
      </c>
      <c r="G611" s="564" t="s">
        <v>1797</v>
      </c>
      <c r="H611" s="558" t="s">
        <v>2246</v>
      </c>
      <c r="I611" s="546" t="s">
        <v>2200</v>
      </c>
      <c r="J611" s="558" t="s">
        <v>2247</v>
      </c>
      <c r="K611" s="531"/>
      <c r="L611" s="445"/>
      <c r="M611" s="437"/>
      <c r="N611" s="437"/>
    </row>
    <row r="612" hidden="1">
      <c r="A612" s="465" t="s">
        <v>1522</v>
      </c>
      <c r="B612" s="465" t="s">
        <v>576</v>
      </c>
      <c r="C612" s="465" t="s">
        <v>2248</v>
      </c>
      <c r="D612" s="486" t="s">
        <v>2249</v>
      </c>
      <c r="E612" s="675">
        <v>45455.0</v>
      </c>
      <c r="F612" s="567">
        <v>45468.0</v>
      </c>
      <c r="G612" s="484">
        <v>50.0</v>
      </c>
      <c r="H612" s="471">
        <v>1208677.0</v>
      </c>
      <c r="I612" s="548" t="s">
        <v>2200</v>
      </c>
      <c r="J612" s="486" t="s">
        <v>2250</v>
      </c>
      <c r="K612" s="513"/>
      <c r="L612" s="436"/>
      <c r="M612" s="437"/>
      <c r="N612" s="437"/>
    </row>
    <row r="613" hidden="1">
      <c r="A613" s="463" t="s">
        <v>1522</v>
      </c>
      <c r="B613" s="463" t="s">
        <v>576</v>
      </c>
      <c r="C613" s="463" t="s">
        <v>2251</v>
      </c>
      <c r="D613" s="470" t="s">
        <v>2249</v>
      </c>
      <c r="E613" s="677">
        <v>45455.0</v>
      </c>
      <c r="F613" s="566">
        <v>45468.0</v>
      </c>
      <c r="G613" s="474">
        <v>100.0</v>
      </c>
      <c r="H613" s="482">
        <v>1208678.0</v>
      </c>
      <c r="I613" s="546" t="s">
        <v>2200</v>
      </c>
      <c r="J613" s="470" t="s">
        <v>2252</v>
      </c>
      <c r="K613" s="531"/>
      <c r="L613" s="445"/>
      <c r="M613" s="437"/>
      <c r="N613" s="437"/>
    </row>
    <row r="614" ht="82.5" hidden="1" customHeight="1">
      <c r="A614" s="465" t="s">
        <v>165</v>
      </c>
      <c r="B614" s="465" t="s">
        <v>576</v>
      </c>
      <c r="C614" s="471" t="s">
        <v>1738</v>
      </c>
      <c r="D614" s="486" t="s">
        <v>1739</v>
      </c>
      <c r="E614" s="675">
        <v>45457.0</v>
      </c>
      <c r="F614" s="567">
        <v>45466.0</v>
      </c>
      <c r="G614" s="484"/>
      <c r="H614" s="471">
        <v>1205876.0</v>
      </c>
      <c r="I614" s="548" t="s">
        <v>2200</v>
      </c>
      <c r="J614" s="486" t="s">
        <v>2253</v>
      </c>
      <c r="K614" s="513"/>
      <c r="L614" s="436"/>
      <c r="M614" s="437"/>
      <c r="N614" s="437"/>
    </row>
    <row r="615" ht="15.75" hidden="1" customHeight="1">
      <c r="A615" s="463" t="s">
        <v>165</v>
      </c>
      <c r="B615" s="463" t="s">
        <v>907</v>
      </c>
      <c r="C615" s="463" t="s">
        <v>2254</v>
      </c>
      <c r="D615" s="470" t="s">
        <v>1863</v>
      </c>
      <c r="E615" s="566">
        <v>45457.0</v>
      </c>
      <c r="F615" s="566">
        <v>45468.0</v>
      </c>
      <c r="G615" s="474">
        <v>100.0</v>
      </c>
      <c r="H615" s="482">
        <v>1208713.0</v>
      </c>
      <c r="I615" s="546" t="s">
        <v>2200</v>
      </c>
      <c r="J615" s="470">
        <v>1200468.0</v>
      </c>
      <c r="K615" s="531"/>
      <c r="L615" s="445"/>
      <c r="M615" s="437"/>
      <c r="N615" s="437"/>
    </row>
    <row r="616" hidden="1">
      <c r="A616" s="465" t="s">
        <v>165</v>
      </c>
      <c r="B616" s="465" t="s">
        <v>907</v>
      </c>
      <c r="C616" s="465" t="s">
        <v>2255</v>
      </c>
      <c r="D616" s="486" t="s">
        <v>1678</v>
      </c>
      <c r="E616" s="567">
        <v>45469.0</v>
      </c>
      <c r="F616" s="567">
        <v>45478.0</v>
      </c>
      <c r="G616" s="484">
        <v>50.0</v>
      </c>
      <c r="H616" s="471">
        <v>1208723.0</v>
      </c>
      <c r="I616" s="548" t="s">
        <v>2200</v>
      </c>
      <c r="J616" s="486" t="s">
        <v>2256</v>
      </c>
      <c r="K616" s="513"/>
      <c r="L616" s="436"/>
      <c r="M616" s="437"/>
      <c r="N616" s="437"/>
    </row>
    <row r="617" hidden="1">
      <c r="A617" s="463" t="s">
        <v>165</v>
      </c>
      <c r="B617" s="463" t="s">
        <v>907</v>
      </c>
      <c r="C617" s="463" t="s">
        <v>2257</v>
      </c>
      <c r="D617" s="470" t="s">
        <v>1801</v>
      </c>
      <c r="E617" s="566">
        <v>45477.0</v>
      </c>
      <c r="F617" s="566">
        <v>45482.0</v>
      </c>
      <c r="G617" s="474">
        <v>30.0</v>
      </c>
      <c r="H617" s="558">
        <v>1209743.0</v>
      </c>
      <c r="I617" s="546" t="s">
        <v>2200</v>
      </c>
      <c r="J617" s="470" t="s">
        <v>2258</v>
      </c>
      <c r="K617" s="531"/>
      <c r="L617" s="445"/>
      <c r="M617" s="437"/>
      <c r="N617" s="437"/>
    </row>
    <row r="618" hidden="1">
      <c r="A618" s="465" t="s">
        <v>165</v>
      </c>
      <c r="B618" s="465" t="s">
        <v>907</v>
      </c>
      <c r="C618" s="465" t="s">
        <v>2259</v>
      </c>
      <c r="D618" s="486" t="s">
        <v>2260</v>
      </c>
      <c r="E618" s="567">
        <v>45477.0</v>
      </c>
      <c r="F618" s="567">
        <v>45482.0</v>
      </c>
      <c r="G618" s="484">
        <v>80.0</v>
      </c>
      <c r="H618" s="557">
        <v>1209744.0</v>
      </c>
      <c r="I618" s="548" t="s">
        <v>2200</v>
      </c>
      <c r="J618" s="486" t="s">
        <v>2261</v>
      </c>
      <c r="K618" s="513"/>
      <c r="L618" s="436"/>
      <c r="M618" s="437"/>
      <c r="N618" s="437"/>
    </row>
    <row r="619" ht="352.5" hidden="1" customHeight="1">
      <c r="A619" s="463" t="s">
        <v>165</v>
      </c>
      <c r="B619" s="463" t="s">
        <v>2262</v>
      </c>
      <c r="C619" s="463" t="s">
        <v>2243</v>
      </c>
      <c r="D619" s="470" t="s">
        <v>2263</v>
      </c>
      <c r="E619" s="482" t="s">
        <v>2264</v>
      </c>
      <c r="F619" s="482" t="s">
        <v>2265</v>
      </c>
      <c r="G619" s="564" t="s">
        <v>1983</v>
      </c>
      <c r="H619" s="558" t="s">
        <v>2266</v>
      </c>
      <c r="I619" s="546" t="s">
        <v>2200</v>
      </c>
      <c r="J619" s="470" t="s">
        <v>2247</v>
      </c>
      <c r="K619" s="531"/>
      <c r="L619" s="445"/>
      <c r="M619" s="437"/>
      <c r="N619" s="437"/>
    </row>
    <row r="620" ht="62.25" hidden="1" customHeight="1">
      <c r="A620" s="465" t="s">
        <v>165</v>
      </c>
      <c r="B620" s="465" t="s">
        <v>907</v>
      </c>
      <c r="C620" s="465" t="s">
        <v>2267</v>
      </c>
      <c r="D620" s="486" t="s">
        <v>2263</v>
      </c>
      <c r="E620" s="471" t="s">
        <v>2268</v>
      </c>
      <c r="F620" s="471" t="s">
        <v>2269</v>
      </c>
      <c r="G620" s="561" t="s">
        <v>1820</v>
      </c>
      <c r="H620" s="557" t="s">
        <v>1097</v>
      </c>
      <c r="I620" s="548" t="s">
        <v>2200</v>
      </c>
      <c r="J620" s="486" t="s">
        <v>2270</v>
      </c>
      <c r="K620" s="513"/>
      <c r="L620" s="436"/>
      <c r="M620" s="437"/>
      <c r="N620" s="437"/>
    </row>
    <row r="621" hidden="1">
      <c r="A621" s="463" t="s">
        <v>165</v>
      </c>
      <c r="B621" s="463" t="s">
        <v>2271</v>
      </c>
      <c r="C621" s="463" t="s">
        <v>2272</v>
      </c>
      <c r="D621" s="470" t="s">
        <v>2263</v>
      </c>
      <c r="E621" s="482" t="s">
        <v>2273</v>
      </c>
      <c r="F621" s="482" t="s">
        <v>2274</v>
      </c>
      <c r="G621" s="564" t="s">
        <v>2275</v>
      </c>
      <c r="H621" s="558" t="s">
        <v>2276</v>
      </c>
      <c r="I621" s="546" t="s">
        <v>2200</v>
      </c>
      <c r="J621" s="470"/>
      <c r="K621" s="531"/>
      <c r="L621" s="445"/>
      <c r="M621" s="437"/>
      <c r="N621" s="437"/>
    </row>
    <row r="622" hidden="1">
      <c r="A622" s="465" t="s">
        <v>165</v>
      </c>
      <c r="B622" s="465" t="s">
        <v>1198</v>
      </c>
      <c r="C622" s="465" t="s">
        <v>2277</v>
      </c>
      <c r="D622" s="486" t="s">
        <v>2263</v>
      </c>
      <c r="E622" s="471" t="s">
        <v>2278</v>
      </c>
      <c r="F622" s="471" t="s">
        <v>2279</v>
      </c>
      <c r="G622" s="561" t="s">
        <v>2280</v>
      </c>
      <c r="H622" s="557" t="s">
        <v>2281</v>
      </c>
      <c r="I622" s="548" t="s">
        <v>2200</v>
      </c>
      <c r="J622" s="486"/>
      <c r="K622" s="513"/>
      <c r="L622" s="436"/>
      <c r="M622" s="437"/>
      <c r="N622" s="437"/>
    </row>
    <row r="623" ht="54.0" hidden="1" customHeight="1">
      <c r="A623" s="504" t="s">
        <v>165</v>
      </c>
      <c r="B623" s="504" t="s">
        <v>907</v>
      </c>
      <c r="C623" s="504" t="s">
        <v>2257</v>
      </c>
      <c r="D623" s="505" t="s">
        <v>1689</v>
      </c>
      <c r="E623" s="706">
        <v>45469.0</v>
      </c>
      <c r="F623" s="706">
        <v>45478.0</v>
      </c>
      <c r="G623" s="507">
        <v>20.0</v>
      </c>
      <c r="H623" s="508" t="s">
        <v>2282</v>
      </c>
      <c r="I623" s="546" t="s">
        <v>2200</v>
      </c>
      <c r="J623" s="505" t="s">
        <v>2283</v>
      </c>
      <c r="K623" s="708"/>
      <c r="L623" s="613"/>
      <c r="M623" s="624"/>
      <c r="N623" s="624"/>
    </row>
    <row r="624" hidden="1">
      <c r="A624" s="465" t="s">
        <v>165</v>
      </c>
      <c r="B624" s="465" t="s">
        <v>1198</v>
      </c>
      <c r="C624" s="465" t="s">
        <v>2284</v>
      </c>
      <c r="D624" s="486" t="s">
        <v>2284</v>
      </c>
      <c r="E624" s="567">
        <v>45463.0</v>
      </c>
      <c r="F624" s="567">
        <v>45464.0</v>
      </c>
      <c r="G624" s="484" t="s">
        <v>2285</v>
      </c>
      <c r="H624" s="471" t="s">
        <v>2286</v>
      </c>
      <c r="I624" s="548" t="s">
        <v>2200</v>
      </c>
      <c r="J624" s="486" t="s">
        <v>2287</v>
      </c>
      <c r="K624" s="513"/>
      <c r="L624" s="436"/>
      <c r="M624" s="437"/>
      <c r="N624" s="437"/>
    </row>
    <row r="625" ht="337.5" hidden="1" customHeight="1">
      <c r="A625" s="463" t="s">
        <v>165</v>
      </c>
      <c r="B625" s="463" t="s">
        <v>1198</v>
      </c>
      <c r="C625" s="463" t="s">
        <v>2288</v>
      </c>
      <c r="D625" s="470" t="s">
        <v>1804</v>
      </c>
      <c r="E625" s="482" t="s">
        <v>2289</v>
      </c>
      <c r="F625" s="566">
        <v>45474.0</v>
      </c>
      <c r="G625" s="474" t="s">
        <v>1983</v>
      </c>
      <c r="H625" s="482" t="s">
        <v>2290</v>
      </c>
      <c r="I625" s="546" t="s">
        <v>2200</v>
      </c>
      <c r="J625" s="470" t="s">
        <v>2291</v>
      </c>
      <c r="K625" s="531"/>
      <c r="L625" s="445"/>
      <c r="M625" s="437"/>
      <c r="N625" s="437"/>
    </row>
    <row r="626" ht="361.5" hidden="1" customHeight="1">
      <c r="A626" s="465" t="s">
        <v>413</v>
      </c>
      <c r="B626" s="465" t="s">
        <v>576</v>
      </c>
      <c r="C626" s="465" t="s">
        <v>2292</v>
      </c>
      <c r="D626" s="486" t="s">
        <v>1804</v>
      </c>
      <c r="E626" s="567">
        <v>45469.0</v>
      </c>
      <c r="F626" s="567">
        <v>45474.0</v>
      </c>
      <c r="G626" s="561" t="s">
        <v>2293</v>
      </c>
      <c r="H626" s="557" t="s">
        <v>2294</v>
      </c>
      <c r="I626" s="548" t="s">
        <v>2200</v>
      </c>
      <c r="J626" s="486" t="s">
        <v>2295</v>
      </c>
      <c r="K626" s="513"/>
      <c r="L626" s="436"/>
      <c r="M626" s="437"/>
      <c r="N626" s="437"/>
    </row>
    <row r="627" hidden="1">
      <c r="A627" s="463" t="s">
        <v>1522</v>
      </c>
      <c r="B627" s="463" t="s">
        <v>576</v>
      </c>
      <c r="C627" s="463" t="s">
        <v>2296</v>
      </c>
      <c r="D627" s="470" t="s">
        <v>2297</v>
      </c>
      <c r="E627" s="473">
        <v>45470.0</v>
      </c>
      <c r="F627" s="473">
        <v>45496.0</v>
      </c>
      <c r="G627" s="564">
        <v>100.0</v>
      </c>
      <c r="H627" s="558">
        <v>1208678.0</v>
      </c>
      <c r="I627" s="546" t="s">
        <v>2200</v>
      </c>
      <c r="J627" s="470" t="s">
        <v>2252</v>
      </c>
      <c r="K627" s="531"/>
      <c r="L627" s="445"/>
      <c r="M627" s="437"/>
      <c r="N627" s="437"/>
    </row>
    <row r="628" hidden="1">
      <c r="A628" s="465" t="s">
        <v>404</v>
      </c>
      <c r="B628" s="465" t="s">
        <v>1120</v>
      </c>
      <c r="C628" s="465" t="s">
        <v>2298</v>
      </c>
      <c r="D628" s="486" t="s">
        <v>2299</v>
      </c>
      <c r="E628" s="675">
        <v>45474.0</v>
      </c>
      <c r="F628" s="675">
        <v>45504.0</v>
      </c>
      <c r="G628" s="561">
        <v>59.94</v>
      </c>
      <c r="H628" s="557">
        <v>1206486.0</v>
      </c>
      <c r="I628" s="548" t="s">
        <v>2200</v>
      </c>
      <c r="J628" s="486" t="s">
        <v>2300</v>
      </c>
      <c r="K628" s="513"/>
      <c r="L628" s="436"/>
      <c r="M628" s="437"/>
      <c r="N628" s="437"/>
    </row>
    <row r="629" hidden="1">
      <c r="A629" s="463" t="s">
        <v>404</v>
      </c>
      <c r="B629" s="463" t="s">
        <v>1120</v>
      </c>
      <c r="C629" s="463" t="s">
        <v>2301</v>
      </c>
      <c r="D629" s="470" t="s">
        <v>2302</v>
      </c>
      <c r="E629" s="677">
        <v>45474.0</v>
      </c>
      <c r="F629" s="677">
        <v>45504.0</v>
      </c>
      <c r="G629" s="564">
        <v>29.97</v>
      </c>
      <c r="H629" s="558">
        <v>1200387.0</v>
      </c>
      <c r="I629" s="546" t="s">
        <v>2200</v>
      </c>
      <c r="J629" s="470" t="s">
        <v>2303</v>
      </c>
      <c r="K629" s="531"/>
      <c r="L629" s="445"/>
      <c r="M629" s="437"/>
      <c r="N629" s="437"/>
    </row>
    <row r="630" hidden="1">
      <c r="A630" s="465" t="s">
        <v>165</v>
      </c>
      <c r="B630" s="465" t="s">
        <v>907</v>
      </c>
      <c r="C630" s="465" t="s">
        <v>2304</v>
      </c>
      <c r="D630" s="486" t="s">
        <v>1863</v>
      </c>
      <c r="E630" s="675">
        <v>45483.0</v>
      </c>
      <c r="F630" s="567">
        <v>45496.0</v>
      </c>
      <c r="G630" s="561">
        <v>100.0</v>
      </c>
      <c r="H630" s="557">
        <v>1209797.0</v>
      </c>
      <c r="I630" s="548"/>
      <c r="J630" s="486" t="s">
        <v>1864</v>
      </c>
      <c r="K630" s="513"/>
      <c r="L630" s="436"/>
      <c r="M630" s="437"/>
      <c r="N630" s="437"/>
    </row>
    <row r="631" hidden="1">
      <c r="A631" s="463" t="s">
        <v>165</v>
      </c>
      <c r="B631" s="463" t="s">
        <v>907</v>
      </c>
      <c r="C631" s="463" t="s">
        <v>2305</v>
      </c>
      <c r="D631" s="470" t="s">
        <v>1678</v>
      </c>
      <c r="E631" s="677">
        <v>45483.0</v>
      </c>
      <c r="F631" s="566">
        <v>45496.0</v>
      </c>
      <c r="G631" s="564">
        <v>50.0</v>
      </c>
      <c r="H631" s="558">
        <v>1209798.0</v>
      </c>
      <c r="I631" s="546"/>
      <c r="J631" s="470" t="s">
        <v>1866</v>
      </c>
      <c r="K631" s="531"/>
      <c r="L631" s="445"/>
      <c r="M631" s="437"/>
      <c r="N631" s="437"/>
    </row>
    <row r="632" hidden="1">
      <c r="A632" s="465" t="s">
        <v>165</v>
      </c>
      <c r="B632" s="465" t="s">
        <v>1002</v>
      </c>
      <c r="C632" s="465" t="s">
        <v>2306</v>
      </c>
      <c r="D632" s="486" t="s">
        <v>2307</v>
      </c>
      <c r="E632" s="675">
        <v>45483.0</v>
      </c>
      <c r="F632" s="567">
        <v>45487.0</v>
      </c>
      <c r="G632" s="561">
        <v>150.0</v>
      </c>
      <c r="H632" s="557">
        <v>1209893.0</v>
      </c>
      <c r="I632" s="548"/>
      <c r="J632" s="486" t="s">
        <v>2308</v>
      </c>
      <c r="K632" s="513"/>
      <c r="L632" s="436"/>
      <c r="M632" s="437"/>
      <c r="N632" s="437"/>
    </row>
    <row r="633" hidden="1">
      <c r="A633" s="463" t="s">
        <v>165</v>
      </c>
      <c r="B633" s="463" t="s">
        <v>1002</v>
      </c>
      <c r="C633" s="463" t="s">
        <v>2309</v>
      </c>
      <c r="D633" s="470" t="s">
        <v>2310</v>
      </c>
      <c r="E633" s="677">
        <v>45483.0</v>
      </c>
      <c r="F633" s="566">
        <v>45487.0</v>
      </c>
      <c r="G633" s="564">
        <v>200.0</v>
      </c>
      <c r="H633" s="558">
        <v>1209894.0</v>
      </c>
      <c r="I633" s="546"/>
      <c r="J633" s="470" t="s">
        <v>2311</v>
      </c>
      <c r="K633" s="531"/>
      <c r="L633" s="445"/>
      <c r="M633" s="437"/>
      <c r="N633" s="437"/>
    </row>
    <row r="634" hidden="1">
      <c r="A634" s="465" t="s">
        <v>165</v>
      </c>
      <c r="B634" s="465" t="s">
        <v>1002</v>
      </c>
      <c r="C634" s="465" t="s">
        <v>2306</v>
      </c>
      <c r="D634" s="486" t="s">
        <v>2312</v>
      </c>
      <c r="E634" s="675">
        <v>45487.0</v>
      </c>
      <c r="F634" s="567">
        <v>45496.0</v>
      </c>
      <c r="G634" s="561">
        <v>150.0</v>
      </c>
      <c r="H634" s="557">
        <v>1209893.0</v>
      </c>
      <c r="I634" s="548"/>
      <c r="J634" s="486" t="s">
        <v>2308</v>
      </c>
      <c r="K634" s="513"/>
      <c r="L634" s="436"/>
      <c r="M634" s="437"/>
      <c r="N634" s="437"/>
    </row>
    <row r="635" hidden="1">
      <c r="A635" s="463" t="s">
        <v>165</v>
      </c>
      <c r="B635" s="463" t="s">
        <v>1002</v>
      </c>
      <c r="C635" s="463" t="s">
        <v>2309</v>
      </c>
      <c r="D635" s="470" t="s">
        <v>2313</v>
      </c>
      <c r="E635" s="677">
        <v>45487.0</v>
      </c>
      <c r="F635" s="566">
        <v>45496.0</v>
      </c>
      <c r="G635" s="564">
        <v>200.0</v>
      </c>
      <c r="H635" s="558">
        <v>1209894.0</v>
      </c>
      <c r="I635" s="546"/>
      <c r="J635" s="470" t="s">
        <v>2311</v>
      </c>
      <c r="K635" s="531"/>
      <c r="L635" s="445"/>
      <c r="M635" s="437"/>
      <c r="N635" s="437"/>
    </row>
    <row r="636" hidden="1">
      <c r="A636" s="465" t="s">
        <v>165</v>
      </c>
      <c r="B636" s="465" t="s">
        <v>1002</v>
      </c>
      <c r="C636" s="465" t="s">
        <v>2306</v>
      </c>
      <c r="D636" s="486" t="s">
        <v>2314</v>
      </c>
      <c r="E636" s="675">
        <v>45492.0</v>
      </c>
      <c r="F636" s="567">
        <v>45495.0</v>
      </c>
      <c r="G636" s="561">
        <v>150.0</v>
      </c>
      <c r="H636" s="557">
        <v>1209893.0</v>
      </c>
      <c r="I636" s="548"/>
      <c r="J636" s="486" t="s">
        <v>2308</v>
      </c>
      <c r="K636" s="513"/>
      <c r="L636" s="436"/>
      <c r="M636" s="437"/>
      <c r="N636" s="437"/>
    </row>
    <row r="637" hidden="1">
      <c r="A637" s="463" t="s">
        <v>165</v>
      </c>
      <c r="B637" s="463" t="s">
        <v>1002</v>
      </c>
      <c r="C637" s="463" t="s">
        <v>2309</v>
      </c>
      <c r="D637" s="470" t="s">
        <v>2315</v>
      </c>
      <c r="E637" s="677">
        <v>45492.0</v>
      </c>
      <c r="F637" s="566">
        <v>45495.0</v>
      </c>
      <c r="G637" s="564">
        <v>200.0</v>
      </c>
      <c r="H637" s="558">
        <v>1209894.0</v>
      </c>
      <c r="I637" s="546"/>
      <c r="J637" s="470" t="s">
        <v>2311</v>
      </c>
      <c r="K637" s="531"/>
      <c r="L637" s="445"/>
      <c r="M637" s="437"/>
      <c r="N637" s="437"/>
    </row>
    <row r="638" hidden="1">
      <c r="A638" s="465" t="s">
        <v>165</v>
      </c>
      <c r="B638" s="465" t="s">
        <v>1002</v>
      </c>
      <c r="C638" s="465" t="s">
        <v>2306</v>
      </c>
      <c r="D638" s="486" t="s">
        <v>2316</v>
      </c>
      <c r="E638" s="675">
        <v>45492.0</v>
      </c>
      <c r="F638" s="567">
        <v>45496.0</v>
      </c>
      <c r="G638" s="561">
        <v>150.0</v>
      </c>
      <c r="H638" s="557">
        <v>1209893.0</v>
      </c>
      <c r="I638" s="548"/>
      <c r="J638" s="486" t="s">
        <v>2308</v>
      </c>
      <c r="K638" s="513"/>
      <c r="L638" s="436"/>
      <c r="M638" s="437"/>
      <c r="N638" s="437"/>
    </row>
    <row r="639" hidden="1">
      <c r="A639" s="463" t="s">
        <v>165</v>
      </c>
      <c r="B639" s="463" t="s">
        <v>1002</v>
      </c>
      <c r="C639" s="463" t="s">
        <v>2309</v>
      </c>
      <c r="D639" s="470" t="s">
        <v>2317</v>
      </c>
      <c r="E639" s="677">
        <v>45492.0</v>
      </c>
      <c r="F639" s="566">
        <v>45496.0</v>
      </c>
      <c r="G639" s="564">
        <v>200.0</v>
      </c>
      <c r="H639" s="558">
        <v>1209894.0</v>
      </c>
      <c r="I639" s="546"/>
      <c r="J639" s="470" t="s">
        <v>2311</v>
      </c>
      <c r="K639" s="531"/>
      <c r="L639" s="445"/>
      <c r="M639" s="437"/>
      <c r="N639" s="437"/>
    </row>
    <row r="640" hidden="1">
      <c r="A640" s="465" t="s">
        <v>165</v>
      </c>
      <c r="B640" s="465" t="s">
        <v>1002</v>
      </c>
      <c r="C640" s="465" t="s">
        <v>2318</v>
      </c>
      <c r="D640" s="486" t="s">
        <v>2319</v>
      </c>
      <c r="E640" s="675">
        <v>45492.0</v>
      </c>
      <c r="F640" s="567">
        <v>45496.0</v>
      </c>
      <c r="G640" s="561">
        <v>300.0</v>
      </c>
      <c r="H640" s="557">
        <v>1209893.0</v>
      </c>
      <c r="I640" s="548"/>
      <c r="J640" s="486" t="s">
        <v>2308</v>
      </c>
      <c r="K640" s="513"/>
      <c r="L640" s="436"/>
      <c r="M640" s="437"/>
      <c r="N640" s="437"/>
    </row>
    <row r="641" hidden="1">
      <c r="A641" s="463" t="s">
        <v>165</v>
      </c>
      <c r="B641" s="463" t="s">
        <v>1002</v>
      </c>
      <c r="C641" s="463" t="s">
        <v>2320</v>
      </c>
      <c r="D641" s="470" t="s">
        <v>2321</v>
      </c>
      <c r="E641" s="677">
        <v>45492.0</v>
      </c>
      <c r="F641" s="566">
        <v>45496.0</v>
      </c>
      <c r="G641" s="564">
        <v>400.0</v>
      </c>
      <c r="H641" s="558">
        <v>1209894.0</v>
      </c>
      <c r="I641" s="546"/>
      <c r="J641" s="470" t="s">
        <v>2308</v>
      </c>
      <c r="K641" s="531"/>
      <c r="L641" s="445"/>
      <c r="M641" s="437"/>
      <c r="N641" s="437"/>
    </row>
    <row r="642" hidden="1">
      <c r="A642" s="465" t="s">
        <v>404</v>
      </c>
      <c r="B642" s="465" t="s">
        <v>1002</v>
      </c>
      <c r="C642" s="465" t="s">
        <v>1078</v>
      </c>
      <c r="D642" s="486" t="s">
        <v>2322</v>
      </c>
      <c r="E642" s="675">
        <v>45497.0</v>
      </c>
      <c r="F642" s="675">
        <v>45519.0</v>
      </c>
      <c r="G642" s="561"/>
      <c r="H642" s="557" t="s">
        <v>2323</v>
      </c>
      <c r="I642" s="590" t="s">
        <v>1477</v>
      </c>
      <c r="J642" s="168" t="s">
        <v>2324</v>
      </c>
      <c r="K642" s="513"/>
      <c r="L642" s="436"/>
      <c r="M642" s="437"/>
      <c r="N642" s="437"/>
    </row>
    <row r="643" hidden="1">
      <c r="A643" s="463" t="s">
        <v>404</v>
      </c>
      <c r="B643" s="463" t="s">
        <v>1002</v>
      </c>
      <c r="C643" s="463" t="s">
        <v>2325</v>
      </c>
      <c r="D643" s="470" t="s">
        <v>2326</v>
      </c>
      <c r="E643" s="677">
        <v>45517.0</v>
      </c>
      <c r="F643" s="677">
        <v>45564.0</v>
      </c>
      <c r="G643" s="564" t="s">
        <v>1138</v>
      </c>
      <c r="H643" s="558">
        <v>1211357.0</v>
      </c>
      <c r="I643" s="619" t="s">
        <v>2327</v>
      </c>
      <c r="J643" s="516" t="s">
        <v>2328</v>
      </c>
      <c r="K643" s="531"/>
      <c r="L643" s="445"/>
      <c r="M643" s="437"/>
      <c r="N643" s="437"/>
    </row>
    <row r="644" hidden="1">
      <c r="A644" s="465" t="s">
        <v>404</v>
      </c>
      <c r="B644" s="465" t="s">
        <v>1002</v>
      </c>
      <c r="C644" s="465" t="s">
        <v>1481</v>
      </c>
      <c r="D644" s="486" t="s">
        <v>2329</v>
      </c>
      <c r="E644" s="675">
        <v>45561.0</v>
      </c>
      <c r="F644" s="675">
        <v>45593.0</v>
      </c>
      <c r="G644" s="561" t="s">
        <v>1138</v>
      </c>
      <c r="H644" s="557">
        <v>1207923.0</v>
      </c>
      <c r="I644" s="590" t="s">
        <v>2330</v>
      </c>
      <c r="J644" s="168" t="s">
        <v>2331</v>
      </c>
      <c r="K644" s="513"/>
      <c r="L644" s="436"/>
      <c r="M644" s="437"/>
      <c r="N644" s="437"/>
    </row>
    <row r="645" hidden="1">
      <c r="A645" s="463" t="s">
        <v>404</v>
      </c>
      <c r="B645" s="463" t="s">
        <v>1002</v>
      </c>
      <c r="C645" s="463" t="s">
        <v>2332</v>
      </c>
      <c r="D645" s="470" t="s">
        <v>2333</v>
      </c>
      <c r="E645" s="677">
        <v>45565.0</v>
      </c>
      <c r="F645" s="677">
        <v>45593.0</v>
      </c>
      <c r="G645" s="564" t="s">
        <v>1138</v>
      </c>
      <c r="H645" s="558">
        <v>1212682.0</v>
      </c>
      <c r="I645" s="619" t="s">
        <v>2334</v>
      </c>
      <c r="J645" s="516" t="s">
        <v>2335</v>
      </c>
      <c r="K645" s="531"/>
      <c r="L645" s="445"/>
      <c r="M645" s="437"/>
      <c r="N645" s="437"/>
    </row>
    <row r="646" hidden="1">
      <c r="A646" s="465" t="s">
        <v>404</v>
      </c>
      <c r="B646" s="465" t="s">
        <v>1002</v>
      </c>
      <c r="C646" s="465" t="s">
        <v>2336</v>
      </c>
      <c r="D646" s="486" t="s">
        <v>2337</v>
      </c>
      <c r="E646" s="675">
        <v>45563.0</v>
      </c>
      <c r="F646" s="675">
        <v>45573.0</v>
      </c>
      <c r="G646" s="561">
        <v>100.0</v>
      </c>
      <c r="H646" s="557">
        <v>1213424.0</v>
      </c>
      <c r="I646" s="465" t="s">
        <v>1138</v>
      </c>
      <c r="J646" s="168" t="s">
        <v>1487</v>
      </c>
      <c r="K646" s="513"/>
      <c r="L646" s="436"/>
      <c r="M646" s="437"/>
      <c r="N646" s="437"/>
    </row>
    <row r="647" hidden="1">
      <c r="A647" s="463" t="s">
        <v>404</v>
      </c>
      <c r="B647" s="463" t="s">
        <v>1002</v>
      </c>
      <c r="C647" s="463" t="s">
        <v>2338</v>
      </c>
      <c r="D647" s="470" t="s">
        <v>2339</v>
      </c>
      <c r="E647" s="677">
        <v>45563.0</v>
      </c>
      <c r="F647" s="677">
        <v>45573.0</v>
      </c>
      <c r="G647" s="564">
        <v>100.0</v>
      </c>
      <c r="H647" s="558">
        <v>1213425.0</v>
      </c>
      <c r="I647" s="463" t="s">
        <v>1138</v>
      </c>
      <c r="J647" s="516">
        <v>1212684.0</v>
      </c>
      <c r="K647" s="531"/>
      <c r="L647" s="445"/>
      <c r="M647" s="437"/>
      <c r="N647" s="437"/>
    </row>
    <row r="648" hidden="1">
      <c r="A648" s="465" t="s">
        <v>404</v>
      </c>
      <c r="B648" s="465" t="s">
        <v>1002</v>
      </c>
      <c r="C648" s="465" t="s">
        <v>2340</v>
      </c>
      <c r="D648" s="486" t="s">
        <v>2337</v>
      </c>
      <c r="E648" s="675">
        <v>45563.0</v>
      </c>
      <c r="F648" s="675">
        <v>45573.0</v>
      </c>
      <c r="G648" s="561">
        <v>100.0</v>
      </c>
      <c r="H648" s="557">
        <v>1213706.0</v>
      </c>
      <c r="I648" s="465" t="s">
        <v>1138</v>
      </c>
      <c r="J648" s="168" t="s">
        <v>2341</v>
      </c>
      <c r="K648" s="513"/>
      <c r="L648" s="436"/>
      <c r="M648" s="437"/>
      <c r="N648" s="437"/>
    </row>
    <row r="649" hidden="1">
      <c r="A649" s="463" t="s">
        <v>404</v>
      </c>
      <c r="B649" s="463" t="s">
        <v>974</v>
      </c>
      <c r="C649" s="463" t="s">
        <v>2342</v>
      </c>
      <c r="D649" s="470" t="s">
        <v>1722</v>
      </c>
      <c r="E649" s="677">
        <v>45581.0</v>
      </c>
      <c r="F649" s="677">
        <v>45596.0</v>
      </c>
      <c r="G649" s="564" t="s">
        <v>1138</v>
      </c>
      <c r="H649" s="558">
        <v>1200886.0</v>
      </c>
      <c r="I649" s="619" t="s">
        <v>2343</v>
      </c>
      <c r="J649" s="516" t="s">
        <v>2344</v>
      </c>
      <c r="K649" s="531"/>
      <c r="L649" s="445"/>
      <c r="M649" s="437"/>
      <c r="N649" s="437"/>
    </row>
    <row r="650" hidden="1">
      <c r="A650" s="465" t="s">
        <v>404</v>
      </c>
      <c r="B650" s="465" t="s">
        <v>1002</v>
      </c>
      <c r="C650" s="465" t="s">
        <v>2345</v>
      </c>
      <c r="D650" s="486" t="s">
        <v>2346</v>
      </c>
      <c r="E650" s="675">
        <v>45566.0</v>
      </c>
      <c r="F650" s="675">
        <v>45579.0</v>
      </c>
      <c r="G650" s="561"/>
      <c r="H650" s="557">
        <v>1213561.0</v>
      </c>
      <c r="I650" s="590" t="s">
        <v>2347</v>
      </c>
      <c r="J650" s="168" t="s">
        <v>2348</v>
      </c>
      <c r="K650" s="513"/>
      <c r="L650" s="436"/>
      <c r="M650" s="579"/>
      <c r="N650" s="579"/>
    </row>
    <row r="651" hidden="1">
      <c r="A651" s="463" t="s">
        <v>404</v>
      </c>
      <c r="B651" s="463" t="s">
        <v>1002</v>
      </c>
      <c r="C651" s="463" t="s">
        <v>2349</v>
      </c>
      <c r="D651" s="470" t="s">
        <v>2346</v>
      </c>
      <c r="E651" s="677">
        <v>45581.0</v>
      </c>
      <c r="F651" s="677">
        <v>45593.0</v>
      </c>
      <c r="G651" s="564"/>
      <c r="H651" s="558">
        <v>1213561.0</v>
      </c>
      <c r="I651" s="619" t="s">
        <v>2350</v>
      </c>
      <c r="J651" s="516" t="s">
        <v>1484</v>
      </c>
      <c r="K651" s="531"/>
      <c r="L651" s="445"/>
      <c r="M651" s="579"/>
      <c r="N651" s="579"/>
    </row>
    <row r="652" hidden="1">
      <c r="A652" s="465" t="s">
        <v>404</v>
      </c>
      <c r="B652" s="465" t="s">
        <v>1002</v>
      </c>
      <c r="C652" s="465" t="s">
        <v>2351</v>
      </c>
      <c r="D652" s="486" t="s">
        <v>2352</v>
      </c>
      <c r="E652" s="675">
        <v>45581.0</v>
      </c>
      <c r="F652" s="675">
        <v>45595.0</v>
      </c>
      <c r="G652" s="561"/>
      <c r="H652" s="557">
        <v>1214207.0</v>
      </c>
      <c r="I652" s="590" t="s">
        <v>2353</v>
      </c>
      <c r="J652" s="168" t="s">
        <v>2354</v>
      </c>
      <c r="K652" s="513"/>
      <c r="L652" s="436"/>
      <c r="M652" s="579"/>
      <c r="N652" s="579"/>
    </row>
    <row r="653" hidden="1">
      <c r="A653" s="463" t="s">
        <v>404</v>
      </c>
      <c r="B653" s="463" t="s">
        <v>1002</v>
      </c>
      <c r="C653" s="463" t="s">
        <v>2355</v>
      </c>
      <c r="D653" s="470" t="s">
        <v>2356</v>
      </c>
      <c r="E653" s="677">
        <v>45520.0</v>
      </c>
      <c r="F653" s="677">
        <v>45526.0</v>
      </c>
      <c r="G653" s="564"/>
      <c r="H653" s="558" t="s">
        <v>2357</v>
      </c>
      <c r="I653" s="619" t="s">
        <v>2358</v>
      </c>
      <c r="J653" s="516" t="s">
        <v>2357</v>
      </c>
      <c r="K653" s="531"/>
      <c r="L653" s="445"/>
      <c r="M653" s="437"/>
      <c r="N653" s="437"/>
    </row>
    <row r="654" ht="215.25" hidden="1" customHeight="1">
      <c r="A654" s="814" t="s">
        <v>585</v>
      </c>
      <c r="B654" s="814" t="s">
        <v>1002</v>
      </c>
      <c r="C654" s="814" t="s">
        <v>2359</v>
      </c>
      <c r="D654" s="815" t="s">
        <v>2360</v>
      </c>
      <c r="E654" s="816">
        <v>45499.0</v>
      </c>
      <c r="F654" s="817">
        <v>45501.0</v>
      </c>
      <c r="G654" s="818">
        <v>30.0</v>
      </c>
      <c r="H654" s="819">
        <v>1210651.0</v>
      </c>
      <c r="I654" s="820"/>
      <c r="J654" s="815" t="s">
        <v>2361</v>
      </c>
      <c r="K654" s="514"/>
      <c r="L654" s="437"/>
      <c r="M654" s="437"/>
      <c r="N654" s="437"/>
    </row>
    <row r="655" ht="141.0" hidden="1" customHeight="1">
      <c r="A655" s="814" t="s">
        <v>585</v>
      </c>
      <c r="B655" s="814" t="s">
        <v>1002</v>
      </c>
      <c r="C655" s="814" t="s">
        <v>2362</v>
      </c>
      <c r="D655" s="815" t="s">
        <v>2363</v>
      </c>
      <c r="E655" s="816">
        <v>45517.0</v>
      </c>
      <c r="F655" s="817">
        <v>45540.0</v>
      </c>
      <c r="G655" s="818"/>
      <c r="H655" s="819">
        <v>1210376.0</v>
      </c>
      <c r="I655" s="820" t="s">
        <v>2364</v>
      </c>
      <c r="J655" s="815" t="s">
        <v>2365</v>
      </c>
      <c r="K655" s="514"/>
      <c r="L655" s="437"/>
      <c r="M655" s="437"/>
      <c r="N655" s="437"/>
    </row>
    <row r="656" ht="141.0" hidden="1" customHeight="1">
      <c r="A656" s="814" t="s">
        <v>585</v>
      </c>
      <c r="B656" s="814" t="s">
        <v>1002</v>
      </c>
      <c r="C656" s="814" t="s">
        <v>2366</v>
      </c>
      <c r="D656" s="815" t="s">
        <v>2367</v>
      </c>
      <c r="E656" s="816">
        <v>45517.0</v>
      </c>
      <c r="F656" s="817">
        <v>45540.0</v>
      </c>
      <c r="G656" s="818">
        <v>50.0</v>
      </c>
      <c r="H656" s="819">
        <v>1211366.0</v>
      </c>
      <c r="I656" s="820"/>
      <c r="J656" s="815"/>
      <c r="K656" s="514"/>
      <c r="L656" s="437"/>
      <c r="M656" s="437"/>
      <c r="N656" s="437"/>
    </row>
    <row r="657" hidden="1">
      <c r="A657" s="821" t="s">
        <v>1166</v>
      </c>
      <c r="B657" s="821" t="s">
        <v>576</v>
      </c>
      <c r="C657" s="821" t="s">
        <v>2368</v>
      </c>
      <c r="D657" s="821" t="s">
        <v>2369</v>
      </c>
      <c r="E657" s="822">
        <v>45777.0</v>
      </c>
      <c r="F657" s="822">
        <v>45784.0</v>
      </c>
      <c r="G657" s="823">
        <v>20.0</v>
      </c>
      <c r="H657" s="821">
        <v>1220559.0</v>
      </c>
      <c r="I657" s="821" t="s">
        <v>1179</v>
      </c>
      <c r="J657" s="824" t="s">
        <v>2370</v>
      </c>
      <c r="K657" s="825"/>
      <c r="L657" s="804"/>
      <c r="M657" s="804"/>
      <c r="N657" s="804"/>
    </row>
    <row r="658" ht="90.0" hidden="1" customHeight="1">
      <c r="A658" s="821" t="s">
        <v>1166</v>
      </c>
      <c r="B658" s="821" t="s">
        <v>576</v>
      </c>
      <c r="C658" s="821" t="s">
        <v>2371</v>
      </c>
      <c r="D658" s="821" t="s">
        <v>2372</v>
      </c>
      <c r="E658" s="822">
        <v>45777.0</v>
      </c>
      <c r="F658" s="822">
        <v>45784.0</v>
      </c>
      <c r="G658" s="823">
        <v>20.0</v>
      </c>
      <c r="H658" s="821">
        <v>1220560.0</v>
      </c>
      <c r="I658" s="826" t="s">
        <v>2373</v>
      </c>
      <c r="J658" s="824" t="s">
        <v>2374</v>
      </c>
      <c r="K658" s="825"/>
      <c r="L658" s="804"/>
      <c r="M658" s="804"/>
      <c r="N658" s="804"/>
    </row>
    <row r="659" ht="43.5" hidden="1" customHeight="1">
      <c r="A659" s="821" t="s">
        <v>1166</v>
      </c>
      <c r="B659" s="821" t="s">
        <v>576</v>
      </c>
      <c r="C659" s="821" t="s">
        <v>2375</v>
      </c>
      <c r="D659" s="821" t="s">
        <v>2376</v>
      </c>
      <c r="E659" s="822">
        <v>45777.0</v>
      </c>
      <c r="F659" s="822">
        <v>45784.0</v>
      </c>
      <c r="G659" s="823">
        <v>200.0</v>
      </c>
      <c r="H659" s="821">
        <v>1220739.0</v>
      </c>
      <c r="I659" s="826" t="s">
        <v>2377</v>
      </c>
      <c r="J659" s="824" t="s">
        <v>2378</v>
      </c>
      <c r="K659" s="825"/>
      <c r="L659" s="804"/>
      <c r="M659" s="804"/>
      <c r="N659" s="804"/>
    </row>
    <row r="660" hidden="1">
      <c r="A660" s="483" t="s">
        <v>2151</v>
      </c>
      <c r="B660" s="483" t="s">
        <v>2379</v>
      </c>
      <c r="C660" s="483" t="s">
        <v>2380</v>
      </c>
      <c r="D660" s="544" t="s">
        <v>2381</v>
      </c>
      <c r="E660" s="827">
        <v>45566.0</v>
      </c>
      <c r="F660" s="827">
        <v>45596.0</v>
      </c>
      <c r="G660" s="828">
        <v>70.0</v>
      </c>
      <c r="H660" s="557">
        <v>1213843.0</v>
      </c>
      <c r="I660" s="590" t="s">
        <v>2382</v>
      </c>
      <c r="J660" s="591" t="s">
        <v>2383</v>
      </c>
      <c r="K660" s="437"/>
      <c r="L660" s="569"/>
      <c r="M660" s="569"/>
      <c r="N660" s="569"/>
    </row>
    <row r="661" hidden="1">
      <c r="A661" s="465"/>
      <c r="B661" s="465"/>
      <c r="C661" s="483"/>
      <c r="D661" s="544"/>
      <c r="E661" s="480"/>
      <c r="F661" s="480"/>
      <c r="G661" s="484"/>
      <c r="H661" s="471"/>
      <c r="I661" s="465"/>
      <c r="J661" s="591"/>
      <c r="K661" s="436"/>
      <c r="L661" s="568"/>
      <c r="M661" s="568"/>
      <c r="N661" s="568"/>
    </row>
    <row r="662" hidden="1">
      <c r="A662" s="465"/>
      <c r="B662" s="465"/>
      <c r="C662" s="483"/>
      <c r="D662" s="627"/>
      <c r="E662" s="480"/>
      <c r="F662" s="480"/>
      <c r="G662" s="484"/>
      <c r="H662" s="471"/>
      <c r="I662" s="465"/>
      <c r="J662" s="591"/>
      <c r="K662" s="436"/>
      <c r="L662" s="568"/>
      <c r="M662" s="568"/>
      <c r="N662" s="568"/>
    </row>
    <row r="663" ht="15.0" customHeight="1">
      <c r="A663" s="829" t="s">
        <v>2384</v>
      </c>
      <c r="B663" s="829" t="s">
        <v>2385</v>
      </c>
      <c r="C663" s="830" t="s">
        <v>2386</v>
      </c>
      <c r="D663" s="831" t="s">
        <v>2387</v>
      </c>
      <c r="E663" s="832">
        <v>45961.0</v>
      </c>
      <c r="F663" s="833">
        <v>45992.0</v>
      </c>
      <c r="G663" s="828" t="s">
        <v>2388</v>
      </c>
      <c r="H663" s="834">
        <v>1223103.0</v>
      </c>
      <c r="I663" s="835"/>
      <c r="J663" s="836"/>
      <c r="K663" s="514"/>
      <c r="L663" s="437"/>
      <c r="M663" s="437"/>
      <c r="N663" s="437"/>
    </row>
    <row r="664" ht="15.0" customHeight="1">
      <c r="A664" s="829" t="s">
        <v>2384</v>
      </c>
      <c r="B664" s="829" t="s">
        <v>2385</v>
      </c>
      <c r="C664" s="830" t="s">
        <v>2386</v>
      </c>
      <c r="D664" s="831" t="s">
        <v>2387</v>
      </c>
      <c r="E664" s="832">
        <v>45961.0</v>
      </c>
      <c r="F664" s="833">
        <v>45992.0</v>
      </c>
      <c r="G664" s="828" t="s">
        <v>2388</v>
      </c>
      <c r="H664" s="834">
        <v>1223103.0</v>
      </c>
      <c r="I664" s="835"/>
      <c r="J664" s="836"/>
      <c r="K664" s="514"/>
      <c r="L664" s="437"/>
      <c r="M664" s="437"/>
      <c r="N664" s="437"/>
    </row>
    <row r="665">
      <c r="A665" s="814"/>
      <c r="B665" s="814"/>
      <c r="C665" s="814" t="s">
        <v>1205</v>
      </c>
      <c r="D665" s="815"/>
      <c r="E665" s="837"/>
      <c r="F665" s="817"/>
      <c r="G665" s="818"/>
      <c r="H665" s="819"/>
      <c r="I665" s="820"/>
      <c r="J665" s="815"/>
      <c r="K665" s="514"/>
      <c r="L665" s="437"/>
      <c r="M665" s="437"/>
      <c r="N665" s="437"/>
    </row>
    <row r="666">
      <c r="A666" s="814"/>
      <c r="B666" s="814"/>
      <c r="C666" s="814"/>
      <c r="D666" s="815"/>
      <c r="E666" s="837"/>
      <c r="F666" s="817"/>
      <c r="G666" s="818"/>
      <c r="H666" s="819"/>
      <c r="I666" s="820"/>
      <c r="J666" s="815"/>
      <c r="K666" s="514"/>
      <c r="L666" s="437"/>
      <c r="M666" s="437"/>
      <c r="N666" s="437"/>
    </row>
    <row r="667">
      <c r="A667" s="814"/>
      <c r="B667" s="814"/>
      <c r="C667" s="814"/>
      <c r="D667" s="815"/>
      <c r="E667" s="837"/>
      <c r="F667" s="817"/>
      <c r="G667" s="818"/>
      <c r="H667" s="819"/>
      <c r="I667" s="820"/>
      <c r="J667" s="815"/>
      <c r="K667" s="514"/>
      <c r="L667" s="437"/>
      <c r="M667" s="437"/>
      <c r="N667" s="437"/>
    </row>
    <row r="668">
      <c r="A668" s="814"/>
      <c r="B668" s="814"/>
      <c r="C668" s="814"/>
      <c r="D668" s="815"/>
      <c r="E668" s="837"/>
      <c r="F668" s="817"/>
      <c r="G668" s="818"/>
      <c r="H668" s="819"/>
      <c r="I668" s="820"/>
      <c r="J668" s="815"/>
      <c r="K668" s="514"/>
      <c r="L668" s="437"/>
      <c r="M668" s="437"/>
      <c r="N668" s="437"/>
    </row>
    <row r="669">
      <c r="A669" s="814"/>
      <c r="B669" s="814"/>
      <c r="C669" s="814"/>
      <c r="D669" s="815"/>
      <c r="E669" s="837"/>
      <c r="F669" s="817"/>
      <c r="G669" s="818"/>
      <c r="H669" s="819"/>
      <c r="I669" s="820"/>
      <c r="J669" s="815"/>
      <c r="K669" s="514"/>
      <c r="L669" s="437"/>
      <c r="M669" s="437"/>
      <c r="N669" s="437"/>
    </row>
    <row r="670">
      <c r="A670" s="814"/>
      <c r="B670" s="814"/>
      <c r="C670" s="814"/>
      <c r="D670" s="815"/>
      <c r="E670" s="837"/>
      <c r="F670" s="817"/>
      <c r="G670" s="818"/>
      <c r="H670" s="819"/>
      <c r="I670" s="820"/>
      <c r="J670" s="815"/>
      <c r="K670" s="514"/>
      <c r="L670" s="437"/>
      <c r="M670" s="437"/>
      <c r="N670" s="437"/>
    </row>
    <row r="671">
      <c r="A671" s="814"/>
      <c r="B671" s="814"/>
      <c r="C671" s="814"/>
      <c r="D671" s="815"/>
      <c r="E671" s="837"/>
      <c r="F671" s="817"/>
      <c r="G671" s="818"/>
      <c r="H671" s="819"/>
      <c r="I671" s="820"/>
      <c r="J671" s="815"/>
      <c r="K671" s="514"/>
      <c r="L671" s="437"/>
      <c r="M671" s="437"/>
      <c r="N671" s="437"/>
    </row>
    <row r="672">
      <c r="A672" s="814"/>
      <c r="B672" s="814"/>
      <c r="C672" s="814"/>
      <c r="D672" s="815"/>
      <c r="E672" s="837"/>
      <c r="F672" s="817"/>
      <c r="G672" s="818"/>
      <c r="H672" s="819"/>
      <c r="I672" s="820"/>
      <c r="J672" s="815"/>
      <c r="K672" s="514"/>
      <c r="L672" s="437"/>
      <c r="M672" s="437"/>
      <c r="N672" s="437"/>
    </row>
    <row r="673" ht="174.0" customHeight="1">
      <c r="A673" s="834"/>
      <c r="B673" s="834"/>
      <c r="C673" s="838"/>
      <c r="D673" s="838"/>
      <c r="E673" s="839"/>
      <c r="F673" s="839"/>
      <c r="G673" s="840"/>
      <c r="H673" s="841"/>
      <c r="I673" s="842"/>
      <c r="J673" s="843"/>
      <c r="K673" s="844"/>
      <c r="L673" s="845"/>
      <c r="M673" s="787"/>
      <c r="N673" s="787"/>
    </row>
    <row r="674">
      <c r="A674" s="814"/>
      <c r="B674" s="814"/>
      <c r="C674" s="814"/>
      <c r="D674" s="815"/>
      <c r="E674" s="837"/>
      <c r="F674" s="817"/>
      <c r="G674" s="818"/>
      <c r="H674" s="819"/>
      <c r="I674" s="820"/>
      <c r="J674" s="815"/>
      <c r="K674" s="514"/>
      <c r="L674" s="437"/>
      <c r="M674" s="437"/>
      <c r="N674" s="437"/>
    </row>
    <row r="675">
      <c r="A675" s="814"/>
      <c r="B675" s="814"/>
      <c r="C675" s="814"/>
      <c r="D675" s="815"/>
      <c r="E675" s="837"/>
      <c r="F675" s="817"/>
      <c r="G675" s="818"/>
      <c r="H675" s="819"/>
      <c r="I675" s="820"/>
      <c r="J675" s="815"/>
      <c r="K675" s="514"/>
      <c r="L675" s="437"/>
      <c r="M675" s="437"/>
      <c r="N675" s="437"/>
    </row>
    <row r="676">
      <c r="A676" s="814"/>
      <c r="B676" s="814"/>
      <c r="C676" s="814"/>
      <c r="D676" s="815"/>
      <c r="E676" s="837"/>
      <c r="F676" s="817"/>
      <c r="G676" s="818"/>
      <c r="H676" s="819"/>
      <c r="I676" s="820"/>
      <c r="J676" s="815"/>
      <c r="K676" s="514"/>
      <c r="L676" s="437"/>
      <c r="M676" s="437"/>
      <c r="N676" s="437"/>
    </row>
    <row r="677">
      <c r="A677" s="814"/>
      <c r="B677" s="814"/>
      <c r="C677" s="814"/>
      <c r="D677" s="815"/>
      <c r="E677" s="837"/>
      <c r="F677" s="817"/>
      <c r="G677" s="818"/>
      <c r="H677" s="819"/>
      <c r="I677" s="820"/>
      <c r="J677" s="815"/>
      <c r="K677" s="514"/>
      <c r="L677" s="437"/>
      <c r="M677" s="437"/>
      <c r="N677" s="437"/>
    </row>
    <row r="678">
      <c r="A678" s="814"/>
      <c r="B678" s="814"/>
      <c r="C678" s="814"/>
      <c r="D678" s="815"/>
      <c r="E678" s="837"/>
      <c r="F678" s="817"/>
      <c r="G678" s="818"/>
      <c r="H678" s="819"/>
      <c r="I678" s="820"/>
      <c r="J678" s="815"/>
      <c r="K678" s="514"/>
      <c r="L678" s="437"/>
      <c r="M678" s="437"/>
      <c r="N678" s="437"/>
    </row>
    <row r="679">
      <c r="A679" s="814"/>
      <c r="B679" s="814"/>
      <c r="C679" s="814"/>
      <c r="D679" s="815"/>
      <c r="E679" s="837"/>
      <c r="F679" s="817"/>
      <c r="G679" s="818"/>
      <c r="H679" s="819"/>
      <c r="I679" s="820"/>
      <c r="J679" s="815"/>
      <c r="K679" s="514"/>
      <c r="L679" s="437"/>
      <c r="M679" s="437"/>
      <c r="N679" s="437"/>
    </row>
    <row r="680">
      <c r="A680" s="814"/>
      <c r="B680" s="814"/>
      <c r="C680" s="814"/>
      <c r="D680" s="815"/>
      <c r="E680" s="837"/>
      <c r="F680" s="817"/>
      <c r="G680" s="818"/>
      <c r="H680" s="819"/>
      <c r="I680" s="820"/>
      <c r="J680" s="815"/>
      <c r="K680" s="514"/>
      <c r="L680" s="437"/>
      <c r="M680" s="437"/>
      <c r="N680" s="437"/>
    </row>
    <row r="681">
      <c r="A681" s="814"/>
      <c r="B681" s="814"/>
      <c r="C681" s="814"/>
      <c r="D681" s="815"/>
      <c r="E681" s="837"/>
      <c r="F681" s="817"/>
      <c r="G681" s="818"/>
      <c r="H681" s="819"/>
      <c r="I681" s="820"/>
      <c r="J681" s="815"/>
      <c r="K681" s="514"/>
      <c r="L681" s="437"/>
      <c r="M681" s="437"/>
      <c r="N681" s="437"/>
    </row>
    <row r="682">
      <c r="A682" s="814"/>
      <c r="B682" s="814"/>
      <c r="C682" s="814"/>
      <c r="D682" s="815"/>
      <c r="E682" s="837"/>
      <c r="F682" s="817"/>
      <c r="G682" s="818"/>
      <c r="H682" s="819"/>
      <c r="I682" s="820"/>
      <c r="J682" s="815"/>
      <c r="K682" s="514"/>
      <c r="L682" s="437"/>
      <c r="M682" s="437"/>
      <c r="N682" s="437"/>
    </row>
    <row r="683">
      <c r="A683" s="814"/>
      <c r="B683" s="814"/>
      <c r="C683" s="814"/>
      <c r="D683" s="815"/>
      <c r="E683" s="837"/>
      <c r="F683" s="817"/>
      <c r="G683" s="818"/>
      <c r="H683" s="819"/>
      <c r="I683" s="820"/>
      <c r="J683" s="815"/>
      <c r="K683" s="514"/>
      <c r="L683" s="437"/>
      <c r="M683" s="437"/>
      <c r="N683" s="437"/>
    </row>
    <row r="684">
      <c r="A684" s="814"/>
      <c r="B684" s="814"/>
      <c r="C684" s="814"/>
      <c r="D684" s="815"/>
      <c r="E684" s="837"/>
      <c r="F684" s="817"/>
      <c r="G684" s="818"/>
      <c r="H684" s="819"/>
      <c r="I684" s="820"/>
      <c r="J684" s="815"/>
      <c r="K684" s="514"/>
      <c r="L684" s="437"/>
      <c r="M684" s="437"/>
      <c r="N684" s="437"/>
    </row>
    <row r="685">
      <c r="A685" s="814"/>
      <c r="B685" s="814"/>
      <c r="C685" s="814"/>
      <c r="D685" s="815"/>
      <c r="E685" s="837"/>
      <c r="F685" s="817"/>
      <c r="G685" s="818"/>
      <c r="H685" s="819"/>
      <c r="I685" s="820"/>
      <c r="J685" s="815"/>
      <c r="K685" s="514"/>
      <c r="L685" s="437"/>
      <c r="M685" s="437"/>
      <c r="N685" s="437"/>
    </row>
    <row r="686">
      <c r="A686" s="814"/>
      <c r="B686" s="814"/>
      <c r="C686" s="814"/>
      <c r="D686" s="815"/>
      <c r="E686" s="837"/>
      <c r="F686" s="817"/>
      <c r="G686" s="818"/>
      <c r="H686" s="819"/>
      <c r="I686" s="820"/>
      <c r="J686" s="815"/>
      <c r="K686" s="514"/>
      <c r="L686" s="437"/>
      <c r="M686" s="437"/>
      <c r="N686" s="437"/>
    </row>
    <row r="687">
      <c r="A687" s="814"/>
      <c r="B687" s="814"/>
      <c r="C687" s="814"/>
      <c r="D687" s="815"/>
      <c r="E687" s="837"/>
      <c r="F687" s="817"/>
      <c r="G687" s="818"/>
      <c r="H687" s="819"/>
      <c r="I687" s="820"/>
      <c r="J687" s="815"/>
      <c r="K687" s="514"/>
      <c r="L687" s="437"/>
      <c r="M687" s="437"/>
      <c r="N687" s="437"/>
    </row>
    <row r="688">
      <c r="A688" s="814"/>
      <c r="B688" s="814"/>
      <c r="C688" s="814"/>
      <c r="D688" s="815"/>
      <c r="E688" s="837"/>
      <c r="F688" s="817"/>
      <c r="G688" s="818"/>
      <c r="H688" s="819"/>
      <c r="I688" s="820"/>
      <c r="J688" s="815"/>
      <c r="K688" s="514"/>
      <c r="L688" s="437"/>
      <c r="M688" s="437"/>
      <c r="N688" s="437"/>
    </row>
    <row r="689">
      <c r="A689" s="814"/>
      <c r="B689" s="814"/>
      <c r="C689" s="814"/>
      <c r="D689" s="815"/>
      <c r="E689" s="837"/>
      <c r="F689" s="817"/>
      <c r="G689" s="818"/>
      <c r="H689" s="819"/>
      <c r="I689" s="820"/>
      <c r="J689" s="815"/>
      <c r="K689" s="514"/>
      <c r="L689" s="437"/>
      <c r="M689" s="437"/>
      <c r="N689" s="437"/>
    </row>
    <row r="690">
      <c r="A690" s="814"/>
      <c r="B690" s="814"/>
      <c r="C690" s="814"/>
      <c r="D690" s="815"/>
      <c r="E690" s="837"/>
      <c r="F690" s="817"/>
      <c r="G690" s="818"/>
      <c r="H690" s="819"/>
      <c r="I690" s="820"/>
      <c r="J690" s="815"/>
      <c r="K690" s="514"/>
      <c r="L690" s="437"/>
      <c r="M690" s="437"/>
      <c r="N690" s="437"/>
    </row>
    <row r="691">
      <c r="A691" s="814"/>
      <c r="B691" s="814"/>
      <c r="C691" s="814"/>
      <c r="D691" s="815"/>
      <c r="E691" s="837"/>
      <c r="F691" s="817"/>
      <c r="G691" s="818"/>
      <c r="H691" s="819"/>
      <c r="I691" s="820"/>
      <c r="J691" s="815"/>
      <c r="K691" s="514"/>
      <c r="L691" s="437"/>
      <c r="M691" s="437"/>
      <c r="N691" s="437"/>
    </row>
    <row r="692">
      <c r="A692" s="814"/>
      <c r="B692" s="814"/>
      <c r="C692" s="814"/>
      <c r="D692" s="815"/>
      <c r="E692" s="837"/>
      <c r="F692" s="817"/>
      <c r="G692" s="818"/>
      <c r="H692" s="819"/>
      <c r="I692" s="820"/>
      <c r="J692" s="815"/>
      <c r="K692" s="514"/>
      <c r="L692" s="437"/>
      <c r="M692" s="437"/>
      <c r="N692" s="437"/>
    </row>
    <row r="693">
      <c r="A693" s="814"/>
      <c r="B693" s="814"/>
      <c r="C693" s="814"/>
      <c r="D693" s="815"/>
      <c r="E693" s="837"/>
      <c r="F693" s="817"/>
      <c r="G693" s="818"/>
      <c r="H693" s="819"/>
      <c r="I693" s="820"/>
      <c r="J693" s="815"/>
      <c r="K693" s="514"/>
      <c r="L693" s="437"/>
      <c r="M693" s="437"/>
      <c r="N693" s="437"/>
    </row>
    <row r="694">
      <c r="A694" s="814"/>
      <c r="B694" s="814"/>
      <c r="C694" s="814"/>
      <c r="D694" s="815"/>
      <c r="E694" s="837"/>
      <c r="F694" s="817"/>
      <c r="G694" s="818"/>
      <c r="H694" s="819"/>
      <c r="I694" s="820"/>
      <c r="J694" s="815"/>
      <c r="K694" s="514"/>
      <c r="L694" s="437"/>
      <c r="M694" s="437"/>
      <c r="N694" s="437"/>
    </row>
    <row r="695">
      <c r="A695" s="814"/>
      <c r="B695" s="814"/>
      <c r="C695" s="814"/>
      <c r="D695" s="815"/>
      <c r="E695" s="837"/>
      <c r="F695" s="817"/>
      <c r="G695" s="818"/>
      <c r="H695" s="819"/>
      <c r="I695" s="820"/>
      <c r="J695" s="815"/>
      <c r="K695" s="514"/>
      <c r="L695" s="437"/>
      <c r="M695" s="437"/>
      <c r="N695" s="437"/>
    </row>
    <row r="696">
      <c r="A696" s="814"/>
      <c r="B696" s="814"/>
      <c r="C696" s="814"/>
      <c r="D696" s="815"/>
      <c r="E696" s="837"/>
      <c r="F696" s="817"/>
      <c r="G696" s="818"/>
      <c r="H696" s="819"/>
      <c r="I696" s="820"/>
      <c r="J696" s="815"/>
      <c r="K696" s="514"/>
      <c r="L696" s="437"/>
      <c r="M696" s="437"/>
      <c r="N696" s="437"/>
    </row>
    <row r="697">
      <c r="A697" s="814"/>
      <c r="B697" s="814"/>
      <c r="C697" s="814"/>
      <c r="D697" s="815"/>
      <c r="E697" s="837"/>
      <c r="F697" s="817"/>
      <c r="G697" s="818"/>
      <c r="H697" s="819"/>
      <c r="I697" s="820"/>
      <c r="J697" s="815"/>
      <c r="K697" s="514"/>
      <c r="L697" s="437"/>
      <c r="M697" s="437"/>
      <c r="N697" s="437"/>
    </row>
    <row r="698">
      <c r="A698" s="814"/>
      <c r="B698" s="814"/>
      <c r="C698" s="814"/>
      <c r="D698" s="815"/>
      <c r="E698" s="837"/>
      <c r="F698" s="817"/>
      <c r="G698" s="818"/>
      <c r="H698" s="819"/>
      <c r="I698" s="820"/>
      <c r="J698" s="815"/>
      <c r="K698" s="514"/>
      <c r="L698" s="437"/>
      <c r="M698" s="437"/>
      <c r="N698" s="437"/>
    </row>
    <row r="699">
      <c r="A699" s="814"/>
      <c r="B699" s="814"/>
      <c r="C699" s="814"/>
      <c r="D699" s="815"/>
      <c r="E699" s="837"/>
      <c r="F699" s="817"/>
      <c r="G699" s="818"/>
      <c r="H699" s="819"/>
      <c r="I699" s="820"/>
      <c r="J699" s="815"/>
      <c r="K699" s="514"/>
      <c r="L699" s="437"/>
      <c r="M699" s="437"/>
      <c r="N699" s="437"/>
    </row>
    <row r="700">
      <c r="A700" s="814"/>
      <c r="B700" s="814"/>
      <c r="C700" s="814"/>
      <c r="D700" s="815"/>
      <c r="E700" s="837"/>
      <c r="F700" s="817"/>
      <c r="G700" s="818"/>
      <c r="H700" s="819"/>
      <c r="I700" s="820"/>
      <c r="J700" s="815"/>
      <c r="K700" s="514"/>
      <c r="L700" s="437"/>
      <c r="M700" s="437"/>
      <c r="N700" s="437"/>
    </row>
    <row r="701">
      <c r="A701" s="814"/>
      <c r="B701" s="814"/>
      <c r="C701" s="814"/>
      <c r="D701" s="815"/>
      <c r="E701" s="837"/>
      <c r="F701" s="817"/>
      <c r="G701" s="818"/>
      <c r="H701" s="819"/>
      <c r="I701" s="820"/>
      <c r="J701" s="815"/>
      <c r="K701" s="514"/>
      <c r="L701" s="437"/>
      <c r="M701" s="437"/>
      <c r="N701" s="437"/>
    </row>
    <row r="702">
      <c r="A702" s="814"/>
      <c r="B702" s="814"/>
      <c r="C702" s="814"/>
      <c r="D702" s="815"/>
      <c r="E702" s="837"/>
      <c r="F702" s="817"/>
      <c r="G702" s="818"/>
      <c r="H702" s="819"/>
      <c r="I702" s="820"/>
      <c r="J702" s="815"/>
      <c r="K702" s="514"/>
      <c r="L702" s="437"/>
      <c r="M702" s="437"/>
      <c r="N702" s="437"/>
    </row>
    <row r="703">
      <c r="A703" s="814"/>
      <c r="B703" s="814"/>
      <c r="C703" s="814"/>
      <c r="D703" s="815"/>
      <c r="E703" s="837"/>
      <c r="F703" s="817"/>
      <c r="G703" s="818"/>
      <c r="H703" s="819"/>
      <c r="I703" s="820"/>
      <c r="J703" s="815"/>
      <c r="K703" s="514"/>
      <c r="L703" s="437"/>
      <c r="M703" s="437"/>
      <c r="N703" s="437"/>
    </row>
    <row r="704">
      <c r="A704" s="814"/>
      <c r="B704" s="814"/>
      <c r="C704" s="814"/>
      <c r="D704" s="815"/>
      <c r="E704" s="837"/>
      <c r="F704" s="817"/>
      <c r="G704" s="818"/>
      <c r="H704" s="819"/>
      <c r="I704" s="820"/>
      <c r="J704" s="815"/>
      <c r="K704" s="514"/>
      <c r="L704" s="437"/>
      <c r="M704" s="437"/>
      <c r="N704" s="437"/>
    </row>
    <row r="705">
      <c r="A705" s="814"/>
      <c r="B705" s="814"/>
      <c r="C705" s="814"/>
      <c r="D705" s="815"/>
      <c r="E705" s="837"/>
      <c r="F705" s="817"/>
      <c r="G705" s="818"/>
      <c r="H705" s="819"/>
      <c r="I705" s="820"/>
      <c r="J705" s="815"/>
      <c r="K705" s="514"/>
      <c r="L705" s="437"/>
      <c r="M705" s="437"/>
      <c r="N705" s="437"/>
    </row>
    <row r="706">
      <c r="A706" s="814"/>
      <c r="B706" s="814"/>
      <c r="C706" s="814"/>
      <c r="D706" s="815"/>
      <c r="E706" s="837"/>
      <c r="F706" s="817"/>
      <c r="G706" s="818"/>
      <c r="H706" s="819"/>
      <c r="I706" s="820"/>
      <c r="J706" s="815"/>
      <c r="K706" s="514"/>
      <c r="L706" s="437"/>
      <c r="M706" s="437"/>
      <c r="N706" s="437"/>
    </row>
    <row r="707">
      <c r="A707" s="814"/>
      <c r="B707" s="814"/>
      <c r="C707" s="814"/>
      <c r="D707" s="815"/>
      <c r="E707" s="837"/>
      <c r="F707" s="817"/>
      <c r="G707" s="818"/>
      <c r="H707" s="819"/>
      <c r="I707" s="820"/>
      <c r="J707" s="815"/>
      <c r="K707" s="514"/>
      <c r="L707" s="437"/>
      <c r="M707" s="437"/>
      <c r="N707" s="437"/>
    </row>
    <row r="708">
      <c r="A708" s="814"/>
      <c r="B708" s="814"/>
      <c r="C708" s="814"/>
      <c r="D708" s="815"/>
      <c r="E708" s="837"/>
      <c r="F708" s="817"/>
      <c r="G708" s="818"/>
      <c r="H708" s="819"/>
      <c r="I708" s="820"/>
      <c r="J708" s="815"/>
      <c r="K708" s="514"/>
      <c r="L708" s="437"/>
      <c r="M708" s="437"/>
      <c r="N708" s="437"/>
    </row>
    <row r="709">
      <c r="A709" s="814"/>
      <c r="B709" s="814"/>
      <c r="C709" s="814"/>
      <c r="D709" s="815"/>
      <c r="E709" s="837"/>
      <c r="F709" s="817"/>
      <c r="G709" s="818"/>
      <c r="H709" s="819"/>
      <c r="I709" s="820"/>
      <c r="J709" s="815"/>
      <c r="K709" s="514"/>
      <c r="L709" s="437"/>
      <c r="M709" s="437"/>
      <c r="N709" s="437"/>
    </row>
    <row r="710">
      <c r="A710" s="814"/>
      <c r="B710" s="814"/>
      <c r="C710" s="814"/>
      <c r="D710" s="815"/>
      <c r="E710" s="837"/>
      <c r="F710" s="817"/>
      <c r="G710" s="818"/>
      <c r="H710" s="819"/>
      <c r="I710" s="820"/>
      <c r="J710" s="815"/>
      <c r="K710" s="514"/>
      <c r="L710" s="437"/>
      <c r="M710" s="437"/>
      <c r="N710" s="437"/>
    </row>
    <row r="711">
      <c r="A711" s="814"/>
      <c r="B711" s="814"/>
      <c r="C711" s="814"/>
      <c r="D711" s="815"/>
      <c r="E711" s="837"/>
      <c r="F711" s="817"/>
      <c r="G711" s="818"/>
      <c r="H711" s="819"/>
      <c r="I711" s="820"/>
      <c r="J711" s="815"/>
      <c r="K711" s="514"/>
      <c r="L711" s="437"/>
      <c r="M711" s="437"/>
      <c r="N711" s="437"/>
    </row>
    <row r="712">
      <c r="A712" s="814"/>
      <c r="B712" s="814"/>
      <c r="C712" s="814"/>
      <c r="D712" s="815"/>
      <c r="E712" s="837"/>
      <c r="F712" s="817"/>
      <c r="G712" s="818"/>
      <c r="H712" s="819"/>
      <c r="I712" s="820"/>
      <c r="J712" s="815"/>
      <c r="K712" s="514"/>
      <c r="L712" s="437"/>
      <c r="M712" s="437"/>
      <c r="N712" s="437"/>
    </row>
    <row r="713">
      <c r="A713" s="814"/>
      <c r="B713" s="814"/>
      <c r="C713" s="814"/>
      <c r="D713" s="815"/>
      <c r="E713" s="837"/>
      <c r="F713" s="817"/>
      <c r="G713" s="818"/>
      <c r="H713" s="819"/>
      <c r="I713" s="820"/>
      <c r="J713" s="815"/>
      <c r="K713" s="514"/>
      <c r="L713" s="437"/>
      <c r="M713" s="437"/>
      <c r="N713" s="437"/>
    </row>
    <row r="714">
      <c r="A714" s="814"/>
      <c r="B714" s="814"/>
      <c r="C714" s="814"/>
      <c r="D714" s="815"/>
      <c r="E714" s="837"/>
      <c r="F714" s="817"/>
      <c r="G714" s="818"/>
      <c r="H714" s="819"/>
      <c r="I714" s="820"/>
      <c r="J714" s="815"/>
      <c r="K714" s="514"/>
      <c r="L714" s="437"/>
      <c r="M714" s="437"/>
      <c r="N714" s="437"/>
    </row>
    <row r="715">
      <c r="A715" s="814"/>
      <c r="B715" s="814"/>
      <c r="C715" s="814"/>
      <c r="D715" s="815"/>
      <c r="E715" s="837"/>
      <c r="F715" s="817"/>
      <c r="G715" s="818"/>
      <c r="H715" s="819"/>
      <c r="I715" s="820"/>
      <c r="J715" s="815"/>
      <c r="K715" s="514"/>
      <c r="L715" s="437"/>
      <c r="M715" s="437"/>
      <c r="N715" s="437"/>
    </row>
    <row r="716">
      <c r="A716" s="814"/>
      <c r="B716" s="814"/>
      <c r="C716" s="814"/>
      <c r="D716" s="815"/>
      <c r="E716" s="837"/>
      <c r="F716" s="817"/>
      <c r="G716" s="818"/>
      <c r="H716" s="819"/>
      <c r="I716" s="820"/>
      <c r="J716" s="815"/>
      <c r="K716" s="514"/>
      <c r="L716" s="437"/>
      <c r="M716" s="437"/>
      <c r="N716" s="437"/>
    </row>
    <row r="717">
      <c r="A717" s="814"/>
      <c r="B717" s="814"/>
      <c r="C717" s="814"/>
      <c r="D717" s="815"/>
      <c r="E717" s="837"/>
      <c r="F717" s="817"/>
      <c r="G717" s="818"/>
      <c r="H717" s="819"/>
      <c r="I717" s="820"/>
      <c r="J717" s="815"/>
      <c r="K717" s="514"/>
      <c r="L717" s="437"/>
      <c r="M717" s="437"/>
      <c r="N717" s="437"/>
    </row>
    <row r="718">
      <c r="A718" s="814"/>
      <c r="B718" s="814"/>
      <c r="C718" s="814"/>
      <c r="D718" s="815"/>
      <c r="E718" s="837"/>
      <c r="F718" s="817"/>
      <c r="G718" s="818"/>
      <c r="H718" s="819"/>
      <c r="I718" s="820"/>
      <c r="J718" s="815"/>
      <c r="K718" s="514"/>
      <c r="L718" s="437"/>
      <c r="M718" s="437"/>
      <c r="N718" s="437"/>
    </row>
    <row r="719">
      <c r="A719" s="814"/>
      <c r="B719" s="814"/>
      <c r="C719" s="814"/>
      <c r="D719" s="815"/>
      <c r="E719" s="837"/>
      <c r="F719" s="817"/>
      <c r="G719" s="818"/>
      <c r="H719" s="819"/>
      <c r="I719" s="820"/>
      <c r="J719" s="815"/>
      <c r="K719" s="514"/>
      <c r="L719" s="437"/>
      <c r="M719" s="437"/>
      <c r="N719" s="437"/>
    </row>
    <row r="720">
      <c r="A720" s="814"/>
      <c r="B720" s="814"/>
      <c r="C720" s="814"/>
      <c r="D720" s="815"/>
      <c r="E720" s="837"/>
      <c r="F720" s="817"/>
      <c r="G720" s="818"/>
      <c r="H720" s="819"/>
      <c r="I720" s="820"/>
      <c r="J720" s="815"/>
      <c r="K720" s="514"/>
      <c r="L720" s="437"/>
      <c r="M720" s="437"/>
      <c r="N720" s="437"/>
    </row>
    <row r="721">
      <c r="A721" s="814"/>
      <c r="B721" s="814"/>
      <c r="C721" s="814"/>
      <c r="D721" s="815"/>
      <c r="E721" s="837"/>
      <c r="F721" s="817"/>
      <c r="G721" s="818"/>
      <c r="H721" s="819"/>
      <c r="I721" s="820"/>
      <c r="J721" s="815"/>
      <c r="K721" s="514"/>
      <c r="L721" s="437"/>
      <c r="M721" s="437"/>
      <c r="N721" s="437"/>
    </row>
    <row r="722">
      <c r="A722" s="814"/>
      <c r="B722" s="814"/>
      <c r="C722" s="814"/>
      <c r="D722" s="815"/>
      <c r="E722" s="837"/>
      <c r="F722" s="817"/>
      <c r="G722" s="818"/>
      <c r="H722" s="819"/>
      <c r="I722" s="820"/>
      <c r="J722" s="815"/>
      <c r="K722" s="514"/>
      <c r="L722" s="437"/>
      <c r="M722" s="437"/>
      <c r="N722" s="437"/>
    </row>
    <row r="723">
      <c r="A723" s="814"/>
      <c r="B723" s="814"/>
      <c r="C723" s="814"/>
      <c r="D723" s="815"/>
      <c r="E723" s="837"/>
      <c r="F723" s="817"/>
      <c r="G723" s="818"/>
      <c r="H723" s="819"/>
      <c r="I723" s="820"/>
      <c r="J723" s="815"/>
      <c r="K723" s="514"/>
      <c r="L723" s="437"/>
      <c r="M723" s="437"/>
      <c r="N723" s="437"/>
    </row>
    <row r="724">
      <c r="A724" s="814"/>
      <c r="B724" s="814"/>
      <c r="C724" s="814"/>
      <c r="D724" s="815"/>
      <c r="E724" s="837"/>
      <c r="F724" s="817"/>
      <c r="G724" s="818"/>
      <c r="H724" s="819"/>
      <c r="I724" s="820"/>
      <c r="J724" s="815"/>
      <c r="K724" s="514"/>
      <c r="L724" s="437"/>
      <c r="M724" s="437"/>
      <c r="N724" s="437"/>
    </row>
    <row r="725">
      <c r="A725" s="814"/>
      <c r="B725" s="814"/>
      <c r="C725" s="814"/>
      <c r="D725" s="815"/>
      <c r="E725" s="837"/>
      <c r="F725" s="817"/>
      <c r="G725" s="818"/>
      <c r="H725" s="819"/>
      <c r="I725" s="820"/>
      <c r="J725" s="815"/>
      <c r="K725" s="514"/>
      <c r="L725" s="437"/>
      <c r="M725" s="437"/>
      <c r="N725" s="437"/>
    </row>
    <row r="726">
      <c r="A726" s="814"/>
      <c r="B726" s="814"/>
      <c r="C726" s="814"/>
      <c r="D726" s="815"/>
      <c r="E726" s="837"/>
      <c r="F726" s="817"/>
      <c r="G726" s="818"/>
      <c r="H726" s="819"/>
      <c r="I726" s="820"/>
      <c r="J726" s="815"/>
      <c r="K726" s="514"/>
      <c r="L726" s="437"/>
      <c r="M726" s="437"/>
      <c r="N726" s="437"/>
    </row>
    <row r="727">
      <c r="A727" s="814"/>
      <c r="B727" s="814"/>
      <c r="C727" s="814"/>
      <c r="D727" s="815"/>
      <c r="E727" s="837"/>
      <c r="F727" s="817"/>
      <c r="G727" s="818"/>
      <c r="H727" s="819"/>
      <c r="I727" s="820"/>
      <c r="J727" s="815"/>
      <c r="K727" s="514"/>
      <c r="L727" s="437"/>
      <c r="M727" s="437"/>
      <c r="N727" s="437"/>
    </row>
    <row r="728">
      <c r="A728" s="814"/>
      <c r="B728" s="814"/>
      <c r="C728" s="814"/>
      <c r="D728" s="815"/>
      <c r="E728" s="837"/>
      <c r="F728" s="817"/>
      <c r="G728" s="818"/>
      <c r="H728" s="819"/>
      <c r="I728" s="820"/>
      <c r="J728" s="815"/>
      <c r="K728" s="514"/>
      <c r="L728" s="437"/>
      <c r="M728" s="437"/>
      <c r="N728" s="437"/>
    </row>
    <row r="729">
      <c r="A729" s="814"/>
      <c r="B729" s="814"/>
      <c r="C729" s="814"/>
      <c r="D729" s="815"/>
      <c r="E729" s="837"/>
      <c r="F729" s="817"/>
      <c r="G729" s="818"/>
      <c r="H729" s="819"/>
      <c r="I729" s="820"/>
      <c r="J729" s="815"/>
      <c r="K729" s="514"/>
      <c r="L729" s="437"/>
      <c r="M729" s="437"/>
      <c r="N729" s="437"/>
    </row>
    <row r="730">
      <c r="A730" s="814"/>
      <c r="B730" s="814"/>
      <c r="C730" s="814"/>
      <c r="D730" s="815"/>
      <c r="E730" s="837"/>
      <c r="F730" s="817"/>
      <c r="G730" s="818"/>
      <c r="H730" s="819"/>
      <c r="I730" s="820"/>
      <c r="J730" s="815"/>
      <c r="K730" s="514"/>
      <c r="L730" s="437"/>
      <c r="M730" s="437"/>
      <c r="N730" s="437"/>
    </row>
    <row r="731">
      <c r="A731" s="814"/>
      <c r="B731" s="814"/>
      <c r="C731" s="814"/>
      <c r="D731" s="815"/>
      <c r="E731" s="837"/>
      <c r="F731" s="817"/>
      <c r="G731" s="818"/>
      <c r="H731" s="819"/>
      <c r="I731" s="820"/>
      <c r="J731" s="815"/>
      <c r="K731" s="514"/>
      <c r="L731" s="437"/>
      <c r="M731" s="437"/>
      <c r="N731" s="437"/>
    </row>
    <row r="732">
      <c r="A732" s="814"/>
      <c r="B732" s="814"/>
      <c r="C732" s="814"/>
      <c r="D732" s="815"/>
      <c r="E732" s="837"/>
      <c r="F732" s="817"/>
      <c r="G732" s="818"/>
      <c r="H732" s="819"/>
      <c r="I732" s="820"/>
      <c r="J732" s="815"/>
      <c r="K732" s="514"/>
      <c r="L732" s="437"/>
      <c r="M732" s="437"/>
      <c r="N732" s="437"/>
    </row>
    <row r="733">
      <c r="A733" s="814"/>
      <c r="B733" s="814"/>
      <c r="C733" s="814"/>
      <c r="D733" s="815"/>
      <c r="E733" s="837"/>
      <c r="F733" s="817"/>
      <c r="G733" s="818"/>
      <c r="H733" s="819"/>
      <c r="I733" s="820"/>
      <c r="J733" s="815"/>
      <c r="K733" s="514"/>
      <c r="L733" s="437"/>
      <c r="M733" s="437"/>
      <c r="N733" s="437"/>
    </row>
    <row r="734">
      <c r="A734" s="814"/>
      <c r="B734" s="814"/>
      <c r="C734" s="814"/>
      <c r="D734" s="815"/>
      <c r="E734" s="837"/>
      <c r="F734" s="817"/>
      <c r="G734" s="818"/>
      <c r="H734" s="819"/>
      <c r="I734" s="820"/>
      <c r="J734" s="815"/>
      <c r="K734" s="514"/>
      <c r="L734" s="437"/>
      <c r="M734" s="437"/>
      <c r="N734" s="437"/>
    </row>
    <row r="735">
      <c r="A735" s="814"/>
      <c r="B735" s="814"/>
      <c r="C735" s="814"/>
      <c r="D735" s="815"/>
      <c r="E735" s="837"/>
      <c r="F735" s="817"/>
      <c r="G735" s="818"/>
      <c r="H735" s="819"/>
      <c r="I735" s="820"/>
      <c r="J735" s="815"/>
      <c r="K735" s="514"/>
      <c r="L735" s="437"/>
      <c r="M735" s="437"/>
      <c r="N735" s="437"/>
    </row>
    <row r="736">
      <c r="A736" s="814"/>
      <c r="B736" s="814"/>
      <c r="C736" s="814"/>
      <c r="D736" s="815"/>
      <c r="E736" s="837"/>
      <c r="F736" s="817"/>
      <c r="G736" s="818"/>
      <c r="H736" s="819"/>
      <c r="I736" s="820"/>
      <c r="J736" s="815"/>
      <c r="K736" s="514"/>
      <c r="L736" s="437"/>
      <c r="M736" s="437"/>
      <c r="N736" s="437"/>
    </row>
    <row r="737">
      <c r="A737" s="814"/>
      <c r="B737" s="814"/>
      <c r="C737" s="814"/>
      <c r="D737" s="815"/>
      <c r="E737" s="837"/>
      <c r="F737" s="817"/>
      <c r="G737" s="818"/>
      <c r="H737" s="819"/>
      <c r="I737" s="820"/>
      <c r="J737" s="815"/>
      <c r="K737" s="514"/>
      <c r="L737" s="437"/>
      <c r="M737" s="437"/>
      <c r="N737" s="437"/>
    </row>
    <row r="738">
      <c r="A738" s="814"/>
      <c r="B738" s="814"/>
      <c r="C738" s="814"/>
      <c r="D738" s="815"/>
      <c r="E738" s="837"/>
      <c r="F738" s="817"/>
      <c r="G738" s="818"/>
      <c r="H738" s="819"/>
      <c r="I738" s="820"/>
      <c r="J738" s="815"/>
      <c r="K738" s="514"/>
      <c r="L738" s="437"/>
      <c r="M738" s="437"/>
      <c r="N738" s="437"/>
    </row>
    <row r="739">
      <c r="A739" s="814"/>
      <c r="B739" s="814"/>
      <c r="C739" s="814"/>
      <c r="D739" s="815"/>
      <c r="E739" s="837"/>
      <c r="F739" s="817"/>
      <c r="G739" s="818"/>
      <c r="H739" s="819"/>
      <c r="I739" s="820"/>
      <c r="J739" s="815"/>
      <c r="K739" s="514"/>
      <c r="L739" s="437"/>
      <c r="M739" s="437"/>
      <c r="N739" s="437"/>
    </row>
    <row r="740">
      <c r="A740" s="814"/>
      <c r="B740" s="814"/>
      <c r="C740" s="814"/>
      <c r="D740" s="815"/>
      <c r="E740" s="837"/>
      <c r="F740" s="817"/>
      <c r="G740" s="818"/>
      <c r="H740" s="819"/>
      <c r="I740" s="820"/>
      <c r="J740" s="815"/>
      <c r="K740" s="514"/>
      <c r="L740" s="437"/>
      <c r="M740" s="437"/>
      <c r="N740" s="437"/>
    </row>
    <row r="741">
      <c r="A741" s="814"/>
      <c r="B741" s="814"/>
      <c r="C741" s="814"/>
      <c r="D741" s="815"/>
      <c r="E741" s="837"/>
      <c r="F741" s="817"/>
      <c r="G741" s="818"/>
      <c r="H741" s="819"/>
      <c r="I741" s="820"/>
      <c r="J741" s="815"/>
      <c r="K741" s="514"/>
      <c r="L741" s="437"/>
      <c r="M741" s="437"/>
      <c r="N741" s="437"/>
    </row>
    <row r="742">
      <c r="A742" s="814"/>
      <c r="B742" s="814"/>
      <c r="C742" s="814"/>
      <c r="D742" s="815"/>
      <c r="E742" s="837"/>
      <c r="F742" s="817"/>
      <c r="G742" s="818"/>
      <c r="H742" s="819"/>
      <c r="I742" s="820"/>
      <c r="J742" s="815"/>
      <c r="K742" s="514"/>
      <c r="L742" s="437"/>
      <c r="M742" s="437"/>
      <c r="N742" s="437"/>
    </row>
    <row r="743">
      <c r="A743" s="814"/>
      <c r="B743" s="814"/>
      <c r="C743" s="814"/>
      <c r="D743" s="815"/>
      <c r="E743" s="837"/>
      <c r="F743" s="817"/>
      <c r="G743" s="818"/>
      <c r="H743" s="819"/>
      <c r="I743" s="820"/>
      <c r="J743" s="815"/>
      <c r="K743" s="514"/>
      <c r="L743" s="437"/>
      <c r="M743" s="437"/>
      <c r="N743" s="437"/>
    </row>
    <row r="744">
      <c r="A744" s="814"/>
      <c r="B744" s="814"/>
      <c r="C744" s="814"/>
      <c r="D744" s="815"/>
      <c r="E744" s="837"/>
      <c r="F744" s="817"/>
      <c r="G744" s="818"/>
      <c r="H744" s="819"/>
      <c r="I744" s="820"/>
      <c r="J744" s="815"/>
      <c r="K744" s="514"/>
      <c r="L744" s="437"/>
      <c r="M744" s="437"/>
      <c r="N744" s="437"/>
    </row>
    <row r="745">
      <c r="A745" s="814"/>
      <c r="B745" s="814"/>
      <c r="C745" s="814"/>
      <c r="D745" s="815"/>
      <c r="E745" s="837"/>
      <c r="F745" s="817"/>
      <c r="G745" s="818"/>
      <c r="H745" s="819"/>
      <c r="I745" s="820"/>
      <c r="J745" s="815"/>
      <c r="K745" s="514"/>
      <c r="L745" s="437"/>
      <c r="M745" s="437"/>
      <c r="N745" s="437"/>
    </row>
    <row r="746">
      <c r="A746" s="814"/>
      <c r="B746" s="814"/>
      <c r="C746" s="814"/>
      <c r="D746" s="815"/>
      <c r="E746" s="837"/>
      <c r="F746" s="817"/>
      <c r="G746" s="818"/>
      <c r="H746" s="819"/>
      <c r="I746" s="820"/>
      <c r="J746" s="815"/>
      <c r="K746" s="514"/>
      <c r="L746" s="437"/>
      <c r="M746" s="437"/>
      <c r="N746" s="437"/>
    </row>
    <row r="747">
      <c r="A747" s="814"/>
      <c r="B747" s="814"/>
      <c r="C747" s="814"/>
      <c r="D747" s="815"/>
      <c r="E747" s="837"/>
      <c r="F747" s="817"/>
      <c r="G747" s="818"/>
      <c r="H747" s="819"/>
      <c r="I747" s="820"/>
      <c r="J747" s="815"/>
      <c r="K747" s="514"/>
      <c r="L747" s="437"/>
      <c r="M747" s="437"/>
      <c r="N747" s="437"/>
    </row>
    <row r="748">
      <c r="A748" s="814"/>
      <c r="B748" s="814"/>
      <c r="C748" s="814"/>
      <c r="D748" s="815"/>
      <c r="E748" s="837"/>
      <c r="F748" s="817"/>
      <c r="G748" s="818"/>
      <c r="H748" s="819"/>
      <c r="I748" s="820"/>
      <c r="J748" s="815"/>
      <c r="K748" s="514"/>
      <c r="L748" s="437"/>
      <c r="M748" s="437"/>
      <c r="N748" s="437"/>
    </row>
    <row r="749">
      <c r="A749" s="814"/>
      <c r="B749" s="814"/>
      <c r="C749" s="814"/>
      <c r="D749" s="815"/>
      <c r="E749" s="837"/>
      <c r="F749" s="817"/>
      <c r="G749" s="818"/>
      <c r="H749" s="819"/>
      <c r="I749" s="820"/>
      <c r="J749" s="815"/>
      <c r="K749" s="514"/>
      <c r="L749" s="437"/>
      <c r="M749" s="437"/>
      <c r="N749" s="437"/>
    </row>
    <row r="750">
      <c r="A750" s="814"/>
      <c r="B750" s="814"/>
      <c r="C750" s="814"/>
      <c r="D750" s="815"/>
      <c r="E750" s="837"/>
      <c r="F750" s="817"/>
      <c r="G750" s="818"/>
      <c r="H750" s="819"/>
      <c r="I750" s="820"/>
      <c r="J750" s="815"/>
      <c r="K750" s="514"/>
      <c r="L750" s="437"/>
      <c r="M750" s="437"/>
      <c r="N750" s="437"/>
    </row>
    <row r="751">
      <c r="A751" s="814"/>
      <c r="B751" s="814"/>
      <c r="C751" s="814"/>
      <c r="D751" s="815"/>
      <c r="E751" s="837"/>
      <c r="F751" s="817"/>
      <c r="G751" s="818"/>
      <c r="H751" s="819"/>
      <c r="I751" s="820"/>
      <c r="J751" s="815"/>
      <c r="K751" s="514"/>
      <c r="L751" s="437"/>
      <c r="M751" s="437"/>
      <c r="N751" s="437"/>
    </row>
    <row r="752">
      <c r="A752" s="814"/>
      <c r="B752" s="814"/>
      <c r="C752" s="814"/>
      <c r="D752" s="815"/>
      <c r="E752" s="837"/>
      <c r="F752" s="817"/>
      <c r="G752" s="818"/>
      <c r="H752" s="819"/>
      <c r="I752" s="820"/>
      <c r="J752" s="815"/>
      <c r="K752" s="514"/>
      <c r="L752" s="437"/>
      <c r="M752" s="437"/>
      <c r="N752" s="437"/>
    </row>
    <row r="753">
      <c r="A753" s="814"/>
      <c r="B753" s="814"/>
      <c r="C753" s="814"/>
      <c r="D753" s="815"/>
      <c r="E753" s="837"/>
      <c r="F753" s="817"/>
      <c r="G753" s="818"/>
      <c r="H753" s="819"/>
      <c r="I753" s="820"/>
      <c r="J753" s="815"/>
      <c r="K753" s="514"/>
      <c r="L753" s="437"/>
      <c r="M753" s="437"/>
      <c r="N753" s="437"/>
    </row>
    <row r="754">
      <c r="A754" s="814"/>
      <c r="B754" s="814"/>
      <c r="C754" s="814"/>
      <c r="D754" s="815"/>
      <c r="E754" s="837"/>
      <c r="F754" s="817"/>
      <c r="G754" s="818"/>
      <c r="H754" s="819"/>
      <c r="I754" s="820"/>
      <c r="J754" s="815"/>
      <c r="K754" s="514"/>
      <c r="L754" s="437"/>
      <c r="M754" s="437"/>
      <c r="N754" s="437"/>
    </row>
    <row r="755">
      <c r="A755" s="814"/>
      <c r="B755" s="814"/>
      <c r="C755" s="814"/>
      <c r="D755" s="815"/>
      <c r="E755" s="837"/>
      <c r="F755" s="817"/>
      <c r="G755" s="818"/>
      <c r="H755" s="819"/>
      <c r="I755" s="820"/>
      <c r="J755" s="815"/>
      <c r="K755" s="514"/>
      <c r="L755" s="437"/>
      <c r="M755" s="437"/>
      <c r="N755" s="437"/>
    </row>
    <row r="756">
      <c r="A756" s="814"/>
      <c r="B756" s="814"/>
      <c r="C756" s="814"/>
      <c r="D756" s="815"/>
      <c r="E756" s="837"/>
      <c r="F756" s="817"/>
      <c r="G756" s="818"/>
      <c r="H756" s="819"/>
      <c r="I756" s="820"/>
      <c r="J756" s="815"/>
      <c r="K756" s="514"/>
      <c r="L756" s="437"/>
      <c r="M756" s="437"/>
      <c r="N756" s="437"/>
    </row>
    <row r="757">
      <c r="A757" s="814"/>
      <c r="B757" s="814"/>
      <c r="C757" s="814"/>
      <c r="D757" s="815"/>
      <c r="E757" s="837"/>
      <c r="F757" s="817"/>
      <c r="G757" s="818"/>
      <c r="H757" s="819"/>
      <c r="I757" s="820"/>
      <c r="J757" s="815"/>
      <c r="K757" s="514"/>
      <c r="L757" s="437"/>
      <c r="M757" s="437"/>
      <c r="N757" s="437"/>
    </row>
    <row r="758">
      <c r="A758" s="814"/>
      <c r="B758" s="814"/>
      <c r="C758" s="814"/>
      <c r="D758" s="815"/>
      <c r="E758" s="837"/>
      <c r="F758" s="817"/>
      <c r="G758" s="818"/>
      <c r="H758" s="819"/>
      <c r="I758" s="820"/>
      <c r="J758" s="815"/>
      <c r="K758" s="514"/>
      <c r="L758" s="437"/>
      <c r="M758" s="437"/>
      <c r="N758" s="437"/>
    </row>
    <row r="759">
      <c r="A759" s="814"/>
      <c r="B759" s="814"/>
      <c r="C759" s="814"/>
      <c r="D759" s="815"/>
      <c r="E759" s="837"/>
      <c r="F759" s="817"/>
      <c r="G759" s="818"/>
      <c r="H759" s="819"/>
      <c r="I759" s="820"/>
      <c r="J759" s="815"/>
      <c r="K759" s="514"/>
      <c r="L759" s="437"/>
      <c r="M759" s="437"/>
      <c r="N759" s="437"/>
    </row>
    <row r="760">
      <c r="A760" s="814"/>
      <c r="B760" s="814"/>
      <c r="C760" s="814"/>
      <c r="D760" s="815"/>
      <c r="E760" s="837"/>
      <c r="F760" s="817"/>
      <c r="G760" s="818"/>
      <c r="H760" s="819"/>
      <c r="I760" s="820"/>
      <c r="J760" s="815"/>
      <c r="K760" s="514"/>
      <c r="L760" s="437"/>
      <c r="M760" s="437"/>
      <c r="N760" s="437"/>
    </row>
    <row r="761">
      <c r="A761" s="814"/>
      <c r="B761" s="814"/>
      <c r="C761" s="814"/>
      <c r="D761" s="815"/>
      <c r="E761" s="837"/>
      <c r="F761" s="817"/>
      <c r="G761" s="818"/>
      <c r="H761" s="819"/>
      <c r="I761" s="820"/>
      <c r="J761" s="815"/>
      <c r="K761" s="514"/>
      <c r="L761" s="437"/>
      <c r="M761" s="437"/>
      <c r="N761" s="437"/>
    </row>
    <row r="762">
      <c r="A762" s="814"/>
      <c r="B762" s="814"/>
      <c r="C762" s="814"/>
      <c r="D762" s="815"/>
      <c r="E762" s="837"/>
      <c r="F762" s="817"/>
      <c r="G762" s="818"/>
      <c r="H762" s="819"/>
      <c r="I762" s="820"/>
      <c r="J762" s="815"/>
      <c r="K762" s="514"/>
      <c r="L762" s="437"/>
      <c r="M762" s="437"/>
      <c r="N762" s="437"/>
    </row>
    <row r="763">
      <c r="A763" s="814"/>
      <c r="B763" s="814"/>
      <c r="C763" s="814"/>
      <c r="D763" s="815"/>
      <c r="E763" s="837"/>
      <c r="F763" s="817"/>
      <c r="G763" s="818"/>
      <c r="H763" s="819"/>
      <c r="I763" s="820"/>
      <c r="J763" s="815"/>
      <c r="K763" s="514"/>
      <c r="L763" s="437"/>
      <c r="M763" s="437"/>
      <c r="N763" s="437"/>
    </row>
    <row r="764">
      <c r="A764" s="814"/>
      <c r="B764" s="814"/>
      <c r="C764" s="814"/>
      <c r="D764" s="815"/>
      <c r="E764" s="837"/>
      <c r="F764" s="817"/>
      <c r="G764" s="818"/>
      <c r="H764" s="819"/>
      <c r="I764" s="820"/>
      <c r="J764" s="815"/>
      <c r="K764" s="514"/>
      <c r="L764" s="437"/>
      <c r="M764" s="437"/>
      <c r="N764" s="437"/>
    </row>
    <row r="765">
      <c r="A765" s="814"/>
      <c r="B765" s="814"/>
      <c r="C765" s="814"/>
      <c r="D765" s="815"/>
      <c r="E765" s="837"/>
      <c r="F765" s="817"/>
      <c r="G765" s="818"/>
      <c r="H765" s="819"/>
      <c r="I765" s="820"/>
      <c r="J765" s="815"/>
      <c r="K765" s="514"/>
      <c r="L765" s="437"/>
      <c r="M765" s="437"/>
      <c r="N765" s="437"/>
    </row>
    <row r="766">
      <c r="A766" s="814"/>
      <c r="B766" s="814"/>
      <c r="C766" s="814"/>
      <c r="D766" s="815"/>
      <c r="E766" s="837"/>
      <c r="F766" s="817"/>
      <c r="G766" s="818"/>
      <c r="H766" s="819"/>
      <c r="I766" s="820"/>
      <c r="J766" s="815"/>
      <c r="K766" s="514"/>
      <c r="L766" s="437"/>
      <c r="M766" s="437"/>
      <c r="N766" s="437"/>
    </row>
    <row r="767">
      <c r="A767" s="814"/>
      <c r="B767" s="814"/>
      <c r="C767" s="814"/>
      <c r="D767" s="815"/>
      <c r="E767" s="837"/>
      <c r="F767" s="817"/>
      <c r="G767" s="818"/>
      <c r="H767" s="819"/>
      <c r="I767" s="820"/>
      <c r="J767" s="815"/>
      <c r="K767" s="514"/>
      <c r="L767" s="437"/>
      <c r="M767" s="437"/>
      <c r="N767" s="437"/>
    </row>
    <row r="768">
      <c r="A768" s="814"/>
      <c r="B768" s="814"/>
      <c r="C768" s="814"/>
      <c r="D768" s="815"/>
      <c r="E768" s="837"/>
      <c r="F768" s="817"/>
      <c r="G768" s="818"/>
      <c r="H768" s="819"/>
      <c r="I768" s="820"/>
      <c r="J768" s="815"/>
      <c r="K768" s="514"/>
      <c r="L768" s="437"/>
      <c r="M768" s="437"/>
      <c r="N768" s="437"/>
    </row>
    <row r="769">
      <c r="A769" s="814"/>
      <c r="B769" s="814"/>
      <c r="C769" s="814"/>
      <c r="D769" s="815"/>
      <c r="E769" s="837"/>
      <c r="F769" s="817"/>
      <c r="G769" s="818"/>
      <c r="H769" s="819"/>
      <c r="I769" s="820"/>
      <c r="J769" s="815"/>
      <c r="K769" s="514"/>
      <c r="L769" s="437"/>
      <c r="M769" s="437"/>
      <c r="N769" s="437"/>
    </row>
    <row r="770">
      <c r="A770" s="814"/>
      <c r="B770" s="814"/>
      <c r="C770" s="814"/>
      <c r="D770" s="815"/>
      <c r="E770" s="837"/>
      <c r="F770" s="817"/>
      <c r="G770" s="818"/>
      <c r="H770" s="819"/>
      <c r="I770" s="820"/>
      <c r="J770" s="815"/>
      <c r="K770" s="514"/>
      <c r="L770" s="437"/>
      <c r="M770" s="437"/>
      <c r="N770" s="437"/>
    </row>
    <row r="771">
      <c r="A771" s="814"/>
      <c r="B771" s="814"/>
      <c r="C771" s="814"/>
      <c r="D771" s="815"/>
      <c r="E771" s="837"/>
      <c r="F771" s="817"/>
      <c r="G771" s="818"/>
      <c r="H771" s="819"/>
      <c r="I771" s="820"/>
      <c r="J771" s="815"/>
      <c r="K771" s="514"/>
      <c r="L771" s="437"/>
      <c r="M771" s="437"/>
      <c r="N771" s="437"/>
    </row>
    <row r="772">
      <c r="A772" s="814"/>
      <c r="B772" s="814"/>
      <c r="C772" s="814"/>
      <c r="D772" s="815"/>
      <c r="E772" s="837"/>
      <c r="F772" s="817"/>
      <c r="G772" s="818"/>
      <c r="H772" s="819"/>
      <c r="I772" s="820"/>
      <c r="J772" s="815"/>
      <c r="K772" s="514"/>
      <c r="L772" s="437"/>
      <c r="M772" s="437"/>
      <c r="N772" s="437"/>
    </row>
    <row r="773">
      <c r="A773" s="814"/>
      <c r="B773" s="814"/>
      <c r="C773" s="814"/>
      <c r="D773" s="815"/>
      <c r="E773" s="837"/>
      <c r="F773" s="817"/>
      <c r="G773" s="818"/>
      <c r="H773" s="819"/>
      <c r="I773" s="820"/>
      <c r="J773" s="815"/>
      <c r="K773" s="514"/>
      <c r="L773" s="437"/>
      <c r="M773" s="437"/>
      <c r="N773" s="437"/>
    </row>
    <row r="774">
      <c r="A774" s="814"/>
      <c r="B774" s="814"/>
      <c r="C774" s="814"/>
      <c r="D774" s="815"/>
      <c r="E774" s="837"/>
      <c r="F774" s="817"/>
      <c r="G774" s="818"/>
      <c r="H774" s="819"/>
      <c r="I774" s="820"/>
      <c r="J774" s="815"/>
      <c r="K774" s="514"/>
      <c r="L774" s="437"/>
      <c r="M774" s="437"/>
      <c r="N774" s="437"/>
    </row>
    <row r="775">
      <c r="A775" s="814"/>
      <c r="B775" s="814"/>
      <c r="C775" s="814"/>
      <c r="D775" s="815"/>
      <c r="E775" s="837"/>
      <c r="F775" s="817"/>
      <c r="G775" s="818"/>
      <c r="H775" s="819"/>
      <c r="I775" s="820"/>
      <c r="J775" s="815"/>
      <c r="K775" s="514"/>
      <c r="L775" s="437"/>
      <c r="M775" s="437"/>
      <c r="N775" s="437"/>
    </row>
    <row r="776">
      <c r="A776" s="814"/>
      <c r="B776" s="814"/>
      <c r="C776" s="814"/>
      <c r="D776" s="815"/>
      <c r="E776" s="837"/>
      <c r="F776" s="817"/>
      <c r="G776" s="818"/>
      <c r="H776" s="819"/>
      <c r="I776" s="820"/>
      <c r="J776" s="815"/>
      <c r="K776" s="514"/>
      <c r="L776" s="437"/>
      <c r="M776" s="437"/>
      <c r="N776" s="437"/>
    </row>
    <row r="777">
      <c r="A777" s="814"/>
      <c r="B777" s="814"/>
      <c r="C777" s="814"/>
      <c r="D777" s="815"/>
      <c r="E777" s="837"/>
      <c r="F777" s="817"/>
      <c r="G777" s="818"/>
      <c r="H777" s="819"/>
      <c r="I777" s="820"/>
      <c r="J777" s="815"/>
      <c r="K777" s="514"/>
      <c r="L777" s="437"/>
      <c r="M777" s="437"/>
      <c r="N777" s="437"/>
    </row>
    <row r="778">
      <c r="A778" s="814"/>
      <c r="B778" s="814"/>
      <c r="C778" s="814"/>
      <c r="D778" s="815"/>
      <c r="E778" s="837"/>
      <c r="F778" s="817"/>
      <c r="G778" s="818"/>
      <c r="H778" s="819"/>
      <c r="I778" s="820"/>
      <c r="J778" s="815"/>
      <c r="K778" s="514"/>
      <c r="L778" s="437"/>
      <c r="M778" s="437"/>
      <c r="N778" s="437"/>
    </row>
    <row r="779">
      <c r="A779" s="814"/>
      <c r="B779" s="814"/>
      <c r="C779" s="814"/>
      <c r="D779" s="815"/>
      <c r="E779" s="837"/>
      <c r="F779" s="817"/>
      <c r="G779" s="818"/>
      <c r="H779" s="819"/>
      <c r="I779" s="820"/>
      <c r="J779" s="815"/>
      <c r="K779" s="514"/>
      <c r="L779" s="437"/>
      <c r="M779" s="437"/>
      <c r="N779" s="437"/>
    </row>
    <row r="780">
      <c r="A780" s="814"/>
      <c r="B780" s="814"/>
      <c r="C780" s="814"/>
      <c r="D780" s="815"/>
      <c r="E780" s="837"/>
      <c r="F780" s="817"/>
      <c r="G780" s="818"/>
      <c r="H780" s="819"/>
      <c r="I780" s="820"/>
      <c r="J780" s="815"/>
      <c r="K780" s="514"/>
      <c r="L780" s="437"/>
      <c r="M780" s="437"/>
      <c r="N780" s="437"/>
    </row>
    <row r="781">
      <c r="A781" s="814"/>
      <c r="B781" s="814"/>
      <c r="C781" s="814"/>
      <c r="D781" s="815"/>
      <c r="E781" s="837"/>
      <c r="F781" s="817"/>
      <c r="G781" s="818"/>
      <c r="H781" s="819"/>
      <c r="I781" s="820"/>
      <c r="J781" s="815"/>
      <c r="K781" s="514"/>
      <c r="L781" s="437"/>
      <c r="M781" s="437"/>
      <c r="N781" s="437"/>
    </row>
    <row r="782">
      <c r="A782" s="814"/>
      <c r="B782" s="814"/>
      <c r="C782" s="814"/>
      <c r="D782" s="815"/>
      <c r="E782" s="837"/>
      <c r="F782" s="817"/>
      <c r="G782" s="818"/>
      <c r="H782" s="819"/>
      <c r="I782" s="820"/>
      <c r="J782" s="815"/>
      <c r="K782" s="514"/>
      <c r="L782" s="437"/>
      <c r="M782" s="437"/>
      <c r="N782" s="437"/>
    </row>
    <row r="783">
      <c r="A783" s="814"/>
      <c r="B783" s="814"/>
      <c r="C783" s="814"/>
      <c r="D783" s="815"/>
      <c r="E783" s="837"/>
      <c r="F783" s="817"/>
      <c r="G783" s="818"/>
      <c r="H783" s="819"/>
      <c r="I783" s="820"/>
      <c r="J783" s="815"/>
      <c r="K783" s="514"/>
      <c r="L783" s="437"/>
      <c r="M783" s="437"/>
      <c r="N783" s="437"/>
    </row>
    <row r="784">
      <c r="A784" s="814"/>
      <c r="B784" s="814"/>
      <c r="C784" s="814"/>
      <c r="D784" s="815"/>
      <c r="E784" s="837"/>
      <c r="F784" s="817"/>
      <c r="G784" s="818"/>
      <c r="H784" s="819"/>
      <c r="I784" s="820"/>
      <c r="J784" s="815"/>
      <c r="K784" s="514"/>
      <c r="L784" s="437"/>
      <c r="M784" s="437"/>
      <c r="N784" s="437"/>
    </row>
    <row r="785">
      <c r="A785" s="814"/>
      <c r="B785" s="814"/>
      <c r="C785" s="814"/>
      <c r="D785" s="815"/>
      <c r="E785" s="837"/>
      <c r="F785" s="817"/>
      <c r="G785" s="818"/>
      <c r="H785" s="819"/>
      <c r="I785" s="820"/>
      <c r="J785" s="815"/>
      <c r="K785" s="514"/>
      <c r="L785" s="437"/>
      <c r="M785" s="437"/>
      <c r="N785" s="437"/>
    </row>
    <row r="786">
      <c r="A786" s="814"/>
      <c r="B786" s="814"/>
      <c r="C786" s="814"/>
      <c r="D786" s="815"/>
      <c r="E786" s="837"/>
      <c r="F786" s="817"/>
      <c r="G786" s="818"/>
      <c r="H786" s="819"/>
      <c r="I786" s="820"/>
      <c r="J786" s="815"/>
      <c r="K786" s="514"/>
      <c r="L786" s="437"/>
      <c r="M786" s="437"/>
      <c r="N786" s="437"/>
    </row>
    <row r="787">
      <c r="A787" s="814"/>
      <c r="B787" s="814"/>
      <c r="C787" s="814"/>
      <c r="D787" s="815"/>
      <c r="E787" s="837"/>
      <c r="F787" s="817"/>
      <c r="G787" s="818"/>
      <c r="H787" s="819"/>
      <c r="I787" s="820"/>
      <c r="J787" s="815"/>
      <c r="K787" s="514"/>
      <c r="L787" s="437"/>
      <c r="M787" s="437"/>
      <c r="N787" s="437"/>
    </row>
    <row r="788">
      <c r="A788" s="814"/>
      <c r="B788" s="814"/>
      <c r="C788" s="814"/>
      <c r="D788" s="815"/>
      <c r="E788" s="837"/>
      <c r="F788" s="817"/>
      <c r="G788" s="818"/>
      <c r="H788" s="819"/>
      <c r="I788" s="820"/>
      <c r="J788" s="815"/>
      <c r="K788" s="514"/>
      <c r="L788" s="437"/>
      <c r="M788" s="437"/>
      <c r="N788" s="437"/>
    </row>
    <row r="789">
      <c r="A789" s="814"/>
      <c r="B789" s="814"/>
      <c r="C789" s="814"/>
      <c r="D789" s="815"/>
      <c r="E789" s="837"/>
      <c r="F789" s="817"/>
      <c r="G789" s="818"/>
      <c r="H789" s="819"/>
      <c r="I789" s="820"/>
      <c r="J789" s="815"/>
      <c r="K789" s="514"/>
      <c r="L789" s="437"/>
      <c r="M789" s="437"/>
      <c r="N789" s="437"/>
    </row>
    <row r="790">
      <c r="A790" s="814"/>
      <c r="B790" s="814"/>
      <c r="C790" s="814"/>
      <c r="D790" s="815"/>
      <c r="E790" s="837"/>
      <c r="F790" s="817"/>
      <c r="G790" s="818"/>
      <c r="H790" s="819"/>
      <c r="I790" s="820"/>
      <c r="J790" s="815"/>
      <c r="K790" s="514"/>
      <c r="L790" s="437"/>
      <c r="M790" s="437"/>
      <c r="N790" s="437"/>
    </row>
    <row r="791">
      <c r="A791" s="814"/>
      <c r="B791" s="814"/>
      <c r="C791" s="814"/>
      <c r="D791" s="815"/>
      <c r="E791" s="837"/>
      <c r="F791" s="817"/>
      <c r="G791" s="818"/>
      <c r="H791" s="819"/>
      <c r="I791" s="820"/>
      <c r="J791" s="815"/>
      <c r="K791" s="514"/>
      <c r="L791" s="437"/>
      <c r="M791" s="437"/>
      <c r="N791" s="437"/>
    </row>
    <row r="792">
      <c r="A792" s="814"/>
      <c r="B792" s="814"/>
      <c r="C792" s="814"/>
      <c r="D792" s="815"/>
      <c r="E792" s="837"/>
      <c r="F792" s="817"/>
      <c r="G792" s="818"/>
      <c r="H792" s="819"/>
      <c r="I792" s="820"/>
      <c r="J792" s="815"/>
      <c r="K792" s="514"/>
      <c r="L792" s="437"/>
      <c r="M792" s="437"/>
      <c r="N792" s="437"/>
    </row>
    <row r="793">
      <c r="A793" s="814"/>
      <c r="B793" s="814"/>
      <c r="C793" s="814"/>
      <c r="D793" s="815"/>
      <c r="E793" s="837"/>
      <c r="F793" s="817"/>
      <c r="G793" s="818"/>
      <c r="H793" s="819"/>
      <c r="I793" s="820"/>
      <c r="J793" s="815"/>
      <c r="K793" s="514"/>
      <c r="L793" s="437"/>
      <c r="M793" s="437"/>
      <c r="N793" s="437"/>
    </row>
    <row r="794">
      <c r="A794" s="814"/>
      <c r="B794" s="814"/>
      <c r="C794" s="814"/>
      <c r="D794" s="815"/>
      <c r="E794" s="837"/>
      <c r="F794" s="817"/>
      <c r="G794" s="818"/>
      <c r="H794" s="819"/>
      <c r="I794" s="820"/>
      <c r="J794" s="815"/>
      <c r="K794" s="514"/>
      <c r="L794" s="437"/>
      <c r="M794" s="437"/>
      <c r="N794" s="437"/>
    </row>
    <row r="795">
      <c r="A795" s="814"/>
      <c r="B795" s="814"/>
      <c r="C795" s="814"/>
      <c r="D795" s="815"/>
      <c r="E795" s="837"/>
      <c r="F795" s="817"/>
      <c r="G795" s="818"/>
      <c r="H795" s="819"/>
      <c r="I795" s="820"/>
      <c r="J795" s="815"/>
      <c r="K795" s="514"/>
      <c r="L795" s="437"/>
      <c r="M795" s="437"/>
      <c r="N795" s="437"/>
    </row>
    <row r="796">
      <c r="A796" s="814"/>
      <c r="B796" s="814"/>
      <c r="C796" s="814"/>
      <c r="D796" s="815"/>
      <c r="E796" s="837"/>
      <c r="F796" s="817"/>
      <c r="G796" s="818"/>
      <c r="H796" s="819"/>
      <c r="I796" s="820"/>
      <c r="J796" s="815"/>
      <c r="K796" s="514"/>
      <c r="L796" s="437"/>
      <c r="M796" s="437"/>
      <c r="N796" s="437"/>
    </row>
    <row r="797">
      <c r="A797" s="814"/>
      <c r="B797" s="814"/>
      <c r="C797" s="814"/>
      <c r="D797" s="815"/>
      <c r="E797" s="837"/>
      <c r="F797" s="817"/>
      <c r="G797" s="818"/>
      <c r="H797" s="819"/>
      <c r="I797" s="820"/>
      <c r="J797" s="815"/>
      <c r="K797" s="514"/>
      <c r="L797" s="437"/>
      <c r="M797" s="437"/>
      <c r="N797" s="437"/>
    </row>
    <row r="798">
      <c r="A798" s="814"/>
      <c r="B798" s="814"/>
      <c r="C798" s="814"/>
      <c r="D798" s="815"/>
      <c r="E798" s="837"/>
      <c r="F798" s="817"/>
      <c r="G798" s="818"/>
      <c r="H798" s="819"/>
      <c r="I798" s="820"/>
      <c r="J798" s="815"/>
      <c r="K798" s="514"/>
      <c r="L798" s="437"/>
      <c r="M798" s="437"/>
      <c r="N798" s="437"/>
    </row>
    <row r="799">
      <c r="A799" s="814"/>
      <c r="B799" s="814"/>
      <c r="C799" s="814"/>
      <c r="D799" s="815"/>
      <c r="E799" s="837"/>
      <c r="F799" s="817"/>
      <c r="G799" s="818"/>
      <c r="H799" s="819"/>
      <c r="I799" s="820"/>
      <c r="J799" s="815"/>
      <c r="K799" s="514"/>
      <c r="L799" s="437"/>
      <c r="M799" s="437"/>
      <c r="N799" s="437"/>
    </row>
    <row r="800">
      <c r="A800" s="814"/>
      <c r="B800" s="814"/>
      <c r="C800" s="814"/>
      <c r="D800" s="815"/>
      <c r="E800" s="837"/>
      <c r="F800" s="817"/>
      <c r="G800" s="818"/>
      <c r="H800" s="819"/>
      <c r="I800" s="820"/>
      <c r="J800" s="815"/>
      <c r="K800" s="514"/>
      <c r="L800" s="437"/>
      <c r="M800" s="437"/>
      <c r="N800" s="437"/>
    </row>
    <row r="801">
      <c r="A801" s="814"/>
      <c r="B801" s="814"/>
      <c r="C801" s="814"/>
      <c r="D801" s="815"/>
      <c r="E801" s="837"/>
      <c r="F801" s="817"/>
      <c r="G801" s="818"/>
      <c r="H801" s="819"/>
      <c r="I801" s="820"/>
      <c r="J801" s="815"/>
      <c r="K801" s="514"/>
      <c r="L801" s="437"/>
      <c r="M801" s="437"/>
      <c r="N801" s="437"/>
    </row>
    <row r="802">
      <c r="A802" s="814"/>
      <c r="B802" s="814"/>
      <c r="C802" s="814"/>
      <c r="D802" s="815"/>
      <c r="E802" s="837"/>
      <c r="F802" s="817"/>
      <c r="G802" s="818"/>
      <c r="H802" s="819"/>
      <c r="I802" s="820"/>
      <c r="J802" s="815"/>
      <c r="K802" s="514"/>
      <c r="L802" s="437"/>
      <c r="M802" s="437"/>
      <c r="N802" s="437"/>
    </row>
    <row r="803">
      <c r="A803" s="814"/>
      <c r="B803" s="814"/>
      <c r="C803" s="814"/>
      <c r="D803" s="815"/>
      <c r="E803" s="837"/>
      <c r="F803" s="817"/>
      <c r="G803" s="818"/>
      <c r="H803" s="819"/>
      <c r="I803" s="820"/>
      <c r="J803" s="815"/>
      <c r="K803" s="514"/>
      <c r="L803" s="437"/>
      <c r="M803" s="437"/>
      <c r="N803" s="437"/>
    </row>
    <row r="804">
      <c r="A804" s="814"/>
      <c r="B804" s="814"/>
      <c r="C804" s="814"/>
      <c r="D804" s="815"/>
      <c r="E804" s="837"/>
      <c r="F804" s="817"/>
      <c r="G804" s="818"/>
      <c r="H804" s="819"/>
      <c r="I804" s="820"/>
      <c r="J804" s="815"/>
      <c r="K804" s="514"/>
      <c r="L804" s="437"/>
      <c r="M804" s="437"/>
      <c r="N804" s="437"/>
    </row>
    <row r="805">
      <c r="A805" s="814"/>
      <c r="B805" s="814"/>
      <c r="C805" s="814"/>
      <c r="D805" s="815"/>
      <c r="E805" s="837"/>
      <c r="F805" s="817"/>
      <c r="G805" s="818"/>
      <c r="H805" s="819"/>
      <c r="I805" s="820"/>
      <c r="J805" s="815"/>
      <c r="K805" s="514"/>
      <c r="L805" s="437"/>
      <c r="M805" s="437"/>
      <c r="N805" s="437"/>
    </row>
    <row r="806">
      <c r="A806" s="814"/>
      <c r="B806" s="814"/>
      <c r="C806" s="814"/>
      <c r="D806" s="815"/>
      <c r="E806" s="837"/>
      <c r="F806" s="817"/>
      <c r="G806" s="818"/>
      <c r="H806" s="819"/>
      <c r="I806" s="820"/>
      <c r="J806" s="815"/>
      <c r="K806" s="514"/>
      <c r="L806" s="437"/>
      <c r="M806" s="437"/>
      <c r="N806" s="437"/>
    </row>
    <row r="807">
      <c r="A807" s="814"/>
      <c r="B807" s="814"/>
      <c r="C807" s="814"/>
      <c r="D807" s="815"/>
      <c r="E807" s="837"/>
      <c r="F807" s="817"/>
      <c r="G807" s="818"/>
      <c r="H807" s="819"/>
      <c r="I807" s="820"/>
      <c r="J807" s="815"/>
      <c r="K807" s="514"/>
      <c r="L807" s="437"/>
      <c r="M807" s="437"/>
      <c r="N807" s="437"/>
    </row>
    <row r="808">
      <c r="A808" s="814"/>
      <c r="B808" s="814"/>
      <c r="C808" s="814"/>
      <c r="D808" s="815"/>
      <c r="E808" s="837"/>
      <c r="F808" s="817"/>
      <c r="G808" s="818"/>
      <c r="H808" s="819"/>
      <c r="I808" s="820"/>
      <c r="J808" s="815"/>
      <c r="K808" s="514"/>
      <c r="L808" s="437"/>
      <c r="M808" s="437"/>
      <c r="N808" s="437"/>
    </row>
    <row r="809">
      <c r="A809" s="814"/>
      <c r="B809" s="814"/>
      <c r="C809" s="814"/>
      <c r="D809" s="815"/>
      <c r="E809" s="837"/>
      <c r="F809" s="817"/>
      <c r="G809" s="818"/>
      <c r="H809" s="819"/>
      <c r="I809" s="820"/>
      <c r="J809" s="815"/>
      <c r="K809" s="514"/>
      <c r="L809" s="437"/>
      <c r="M809" s="437"/>
      <c r="N809" s="437"/>
    </row>
    <row r="810">
      <c r="A810" s="814"/>
      <c r="B810" s="814"/>
      <c r="C810" s="814"/>
      <c r="D810" s="815"/>
      <c r="E810" s="837"/>
      <c r="F810" s="817"/>
      <c r="G810" s="818"/>
      <c r="H810" s="819"/>
      <c r="I810" s="820"/>
      <c r="J810" s="815"/>
      <c r="K810" s="514"/>
      <c r="L810" s="437"/>
      <c r="M810" s="437"/>
      <c r="N810" s="437"/>
    </row>
    <row r="811">
      <c r="A811" s="814"/>
      <c r="B811" s="814"/>
      <c r="C811" s="814"/>
      <c r="D811" s="815"/>
      <c r="E811" s="837"/>
      <c r="F811" s="817"/>
      <c r="G811" s="818"/>
      <c r="H811" s="819"/>
      <c r="I811" s="820"/>
      <c r="J811" s="815"/>
      <c r="K811" s="514"/>
      <c r="L811" s="437"/>
      <c r="M811" s="437"/>
      <c r="N811" s="437"/>
    </row>
    <row r="812">
      <c r="A812" s="814"/>
      <c r="B812" s="814"/>
      <c r="C812" s="814"/>
      <c r="D812" s="815"/>
      <c r="E812" s="837"/>
      <c r="F812" s="817"/>
      <c r="G812" s="818"/>
      <c r="H812" s="819"/>
      <c r="I812" s="820"/>
      <c r="J812" s="815"/>
      <c r="K812" s="514"/>
      <c r="L812" s="437"/>
      <c r="M812" s="437"/>
      <c r="N812" s="437"/>
    </row>
    <row r="813">
      <c r="A813" s="814"/>
      <c r="B813" s="814"/>
      <c r="C813" s="814"/>
      <c r="D813" s="815"/>
      <c r="E813" s="837"/>
      <c r="F813" s="817"/>
      <c r="G813" s="818"/>
      <c r="H813" s="819"/>
      <c r="I813" s="820"/>
      <c r="J813" s="815"/>
      <c r="K813" s="514"/>
      <c r="L813" s="437"/>
      <c r="M813" s="437"/>
      <c r="N813" s="437"/>
    </row>
    <row r="814">
      <c r="A814" s="814"/>
      <c r="B814" s="814"/>
      <c r="C814" s="814"/>
      <c r="D814" s="815"/>
      <c r="E814" s="837"/>
      <c r="F814" s="817"/>
      <c r="G814" s="818"/>
      <c r="H814" s="819"/>
      <c r="I814" s="820"/>
      <c r="J814" s="815"/>
      <c r="K814" s="514"/>
      <c r="L814" s="437"/>
      <c r="M814" s="437"/>
      <c r="N814" s="437"/>
    </row>
    <row r="815">
      <c r="A815" s="814"/>
      <c r="B815" s="814"/>
      <c r="C815" s="814"/>
      <c r="D815" s="815"/>
      <c r="E815" s="837"/>
      <c r="F815" s="817"/>
      <c r="G815" s="818"/>
      <c r="H815" s="819"/>
      <c r="I815" s="820"/>
      <c r="J815" s="815"/>
      <c r="K815" s="514"/>
      <c r="L815" s="437"/>
      <c r="M815" s="437"/>
      <c r="N815" s="437"/>
    </row>
    <row r="816">
      <c r="A816" s="814"/>
      <c r="B816" s="814"/>
      <c r="C816" s="814"/>
      <c r="D816" s="815"/>
      <c r="E816" s="837"/>
      <c r="F816" s="817"/>
      <c r="G816" s="818"/>
      <c r="H816" s="819"/>
      <c r="I816" s="820"/>
      <c r="J816" s="815"/>
      <c r="K816" s="514"/>
      <c r="L816" s="437"/>
      <c r="M816" s="437"/>
      <c r="N816" s="437"/>
    </row>
    <row r="817">
      <c r="A817" s="814"/>
      <c r="B817" s="814"/>
      <c r="C817" s="814"/>
      <c r="D817" s="815"/>
      <c r="E817" s="837"/>
      <c r="F817" s="817"/>
      <c r="G817" s="818"/>
      <c r="H817" s="819"/>
      <c r="I817" s="820"/>
      <c r="J817" s="815"/>
      <c r="K817" s="514"/>
      <c r="L817" s="437"/>
      <c r="M817" s="437"/>
      <c r="N817" s="437"/>
    </row>
    <row r="818">
      <c r="A818" s="814"/>
      <c r="B818" s="814"/>
      <c r="C818" s="814"/>
      <c r="D818" s="815"/>
      <c r="E818" s="837"/>
      <c r="F818" s="817"/>
      <c r="G818" s="818"/>
      <c r="H818" s="819"/>
      <c r="I818" s="820"/>
      <c r="J818" s="815"/>
      <c r="K818" s="514"/>
      <c r="L818" s="437"/>
      <c r="M818" s="437"/>
      <c r="N818" s="437"/>
    </row>
    <row r="819">
      <c r="A819" s="814"/>
      <c r="B819" s="814"/>
      <c r="C819" s="814"/>
      <c r="D819" s="815"/>
      <c r="E819" s="837"/>
      <c r="F819" s="817"/>
      <c r="G819" s="818"/>
      <c r="H819" s="819"/>
      <c r="I819" s="820"/>
      <c r="J819" s="815"/>
      <c r="K819" s="514"/>
      <c r="L819" s="437"/>
      <c r="M819" s="437"/>
      <c r="N819" s="437"/>
    </row>
    <row r="820">
      <c r="A820" s="814"/>
      <c r="B820" s="814"/>
      <c r="C820" s="814"/>
      <c r="D820" s="815"/>
      <c r="E820" s="837"/>
      <c r="F820" s="817"/>
      <c r="G820" s="818"/>
      <c r="H820" s="819"/>
      <c r="I820" s="820"/>
      <c r="J820" s="815"/>
      <c r="K820" s="514"/>
      <c r="L820" s="437"/>
      <c r="M820" s="437"/>
      <c r="N820" s="437"/>
    </row>
    <row r="821">
      <c r="A821" s="814"/>
      <c r="B821" s="814"/>
      <c r="C821" s="814"/>
      <c r="D821" s="815"/>
      <c r="E821" s="837"/>
      <c r="F821" s="817"/>
      <c r="G821" s="818"/>
      <c r="H821" s="819"/>
      <c r="I821" s="820"/>
      <c r="J821" s="815"/>
      <c r="K821" s="514"/>
      <c r="L821" s="437"/>
      <c r="M821" s="437"/>
      <c r="N821" s="437"/>
    </row>
    <row r="822">
      <c r="A822" s="814"/>
      <c r="B822" s="814"/>
      <c r="C822" s="814"/>
      <c r="D822" s="815"/>
      <c r="E822" s="837"/>
      <c r="F822" s="817"/>
      <c r="G822" s="818"/>
      <c r="H822" s="819"/>
      <c r="I822" s="820"/>
      <c r="J822" s="815"/>
      <c r="K822" s="514"/>
      <c r="L822" s="437"/>
      <c r="M822" s="437"/>
      <c r="N822" s="437"/>
    </row>
    <row r="823">
      <c r="A823" s="814"/>
      <c r="B823" s="814"/>
      <c r="C823" s="814"/>
      <c r="D823" s="815"/>
      <c r="E823" s="837"/>
      <c r="F823" s="817"/>
      <c r="G823" s="818"/>
      <c r="H823" s="819"/>
      <c r="I823" s="820"/>
      <c r="J823" s="815"/>
      <c r="K823" s="514"/>
      <c r="L823" s="437"/>
      <c r="M823" s="437"/>
      <c r="N823" s="437"/>
    </row>
    <row r="824">
      <c r="A824" s="814"/>
      <c r="B824" s="814"/>
      <c r="C824" s="814"/>
      <c r="D824" s="815"/>
      <c r="E824" s="837"/>
      <c r="F824" s="817"/>
      <c r="G824" s="818"/>
      <c r="H824" s="819"/>
      <c r="I824" s="820"/>
      <c r="J824" s="815"/>
      <c r="K824" s="514"/>
      <c r="L824" s="437"/>
      <c r="M824" s="437"/>
      <c r="N824" s="437"/>
    </row>
    <row r="825">
      <c r="A825" s="814"/>
      <c r="B825" s="814"/>
      <c r="C825" s="814"/>
      <c r="D825" s="815"/>
      <c r="E825" s="837"/>
      <c r="F825" s="817"/>
      <c r="G825" s="818"/>
      <c r="H825" s="819"/>
      <c r="I825" s="820"/>
      <c r="J825" s="815"/>
      <c r="K825" s="514"/>
      <c r="L825" s="437"/>
      <c r="M825" s="437"/>
      <c r="N825" s="437"/>
    </row>
    <row r="826">
      <c r="A826" s="814"/>
      <c r="B826" s="814"/>
      <c r="C826" s="814"/>
      <c r="D826" s="815"/>
      <c r="E826" s="837"/>
      <c r="F826" s="817"/>
      <c r="G826" s="818"/>
      <c r="H826" s="819"/>
      <c r="I826" s="820"/>
      <c r="J826" s="815"/>
      <c r="K826" s="514"/>
      <c r="L826" s="437"/>
      <c r="M826" s="437"/>
      <c r="N826" s="437"/>
    </row>
    <row r="827">
      <c r="A827" s="814"/>
      <c r="B827" s="814"/>
      <c r="C827" s="814"/>
      <c r="D827" s="815"/>
      <c r="E827" s="837"/>
      <c r="F827" s="817"/>
      <c r="G827" s="818"/>
      <c r="H827" s="819"/>
      <c r="I827" s="820"/>
      <c r="J827" s="815"/>
      <c r="K827" s="514"/>
      <c r="L827" s="437"/>
      <c r="M827" s="437"/>
      <c r="N827" s="437"/>
    </row>
    <row r="828">
      <c r="A828" s="814"/>
      <c r="B828" s="814"/>
      <c r="C828" s="814"/>
      <c r="D828" s="815"/>
      <c r="E828" s="837"/>
      <c r="F828" s="817"/>
      <c r="G828" s="818"/>
      <c r="H828" s="819"/>
      <c r="I828" s="820"/>
      <c r="J828" s="815"/>
      <c r="K828" s="514"/>
      <c r="L828" s="437"/>
      <c r="M828" s="437"/>
      <c r="N828" s="437"/>
    </row>
    <row r="829">
      <c r="A829" s="814"/>
      <c r="B829" s="814"/>
      <c r="C829" s="814"/>
      <c r="D829" s="815"/>
      <c r="E829" s="837"/>
      <c r="F829" s="817"/>
      <c r="G829" s="818"/>
      <c r="H829" s="819"/>
      <c r="I829" s="820"/>
      <c r="J829" s="815"/>
      <c r="K829" s="514"/>
      <c r="L829" s="437"/>
      <c r="M829" s="437"/>
      <c r="N829" s="437"/>
    </row>
    <row r="830">
      <c r="A830" s="814"/>
      <c r="B830" s="814"/>
      <c r="C830" s="814"/>
      <c r="D830" s="815"/>
      <c r="E830" s="837"/>
      <c r="F830" s="817"/>
      <c r="G830" s="818"/>
      <c r="H830" s="819"/>
      <c r="I830" s="820"/>
      <c r="J830" s="815"/>
      <c r="K830" s="514"/>
      <c r="L830" s="437"/>
      <c r="M830" s="437"/>
      <c r="N830" s="437"/>
    </row>
    <row r="831">
      <c r="A831" s="814"/>
      <c r="B831" s="814"/>
      <c r="C831" s="814"/>
      <c r="D831" s="815"/>
      <c r="E831" s="837"/>
      <c r="F831" s="817"/>
      <c r="G831" s="818"/>
      <c r="H831" s="819"/>
      <c r="I831" s="820"/>
      <c r="J831" s="815"/>
      <c r="K831" s="514"/>
      <c r="L831" s="437"/>
      <c r="M831" s="437"/>
      <c r="N831" s="437"/>
    </row>
    <row r="832">
      <c r="A832" s="814"/>
      <c r="B832" s="814"/>
      <c r="C832" s="814"/>
      <c r="D832" s="815"/>
      <c r="E832" s="837"/>
      <c r="F832" s="817"/>
      <c r="G832" s="818"/>
      <c r="H832" s="819"/>
      <c r="I832" s="820"/>
      <c r="J832" s="815"/>
      <c r="K832" s="514"/>
      <c r="L832" s="437"/>
      <c r="M832" s="437"/>
      <c r="N832" s="437"/>
    </row>
    <row r="833">
      <c r="A833" s="814"/>
      <c r="B833" s="814"/>
      <c r="C833" s="814"/>
      <c r="D833" s="815"/>
      <c r="E833" s="837"/>
      <c r="F833" s="817"/>
      <c r="G833" s="818"/>
      <c r="H833" s="819"/>
      <c r="I833" s="820"/>
      <c r="J833" s="815"/>
      <c r="K833" s="514"/>
      <c r="L833" s="437"/>
      <c r="M833" s="437"/>
      <c r="N833" s="437"/>
    </row>
    <row r="834">
      <c r="A834" s="814"/>
      <c r="B834" s="814"/>
      <c r="C834" s="814"/>
      <c r="D834" s="815"/>
      <c r="E834" s="837"/>
      <c r="F834" s="817"/>
      <c r="G834" s="818"/>
      <c r="H834" s="819"/>
      <c r="I834" s="820"/>
      <c r="J834" s="815"/>
      <c r="K834" s="514"/>
      <c r="L834" s="437"/>
      <c r="M834" s="437"/>
      <c r="N834" s="437"/>
    </row>
    <row r="835">
      <c r="A835" s="814"/>
      <c r="B835" s="814"/>
      <c r="C835" s="814"/>
      <c r="D835" s="815"/>
      <c r="E835" s="837"/>
      <c r="F835" s="817"/>
      <c r="G835" s="818"/>
      <c r="H835" s="819"/>
      <c r="I835" s="820"/>
      <c r="J835" s="815"/>
      <c r="K835" s="514"/>
      <c r="L835" s="437"/>
      <c r="M835" s="437"/>
      <c r="N835" s="437"/>
    </row>
    <row r="836">
      <c r="A836" s="814"/>
      <c r="B836" s="814"/>
      <c r="C836" s="814"/>
      <c r="D836" s="815"/>
      <c r="E836" s="837"/>
      <c r="F836" s="817"/>
      <c r="G836" s="818"/>
      <c r="H836" s="819"/>
      <c r="I836" s="820"/>
      <c r="J836" s="815"/>
      <c r="K836" s="514"/>
      <c r="L836" s="437"/>
      <c r="M836" s="437"/>
      <c r="N836" s="437"/>
    </row>
    <row r="837">
      <c r="A837" s="814"/>
      <c r="B837" s="814"/>
      <c r="C837" s="814"/>
      <c r="D837" s="815"/>
      <c r="E837" s="837"/>
      <c r="F837" s="817"/>
      <c r="G837" s="818"/>
      <c r="H837" s="819"/>
      <c r="I837" s="820"/>
      <c r="J837" s="815"/>
      <c r="K837" s="514"/>
      <c r="L837" s="437"/>
      <c r="M837" s="437"/>
      <c r="N837" s="437"/>
    </row>
    <row r="838">
      <c r="A838" s="814"/>
      <c r="B838" s="814"/>
      <c r="C838" s="814"/>
      <c r="D838" s="815"/>
      <c r="E838" s="837"/>
      <c r="F838" s="817"/>
      <c r="G838" s="818"/>
      <c r="H838" s="819"/>
      <c r="I838" s="820"/>
      <c r="J838" s="815"/>
      <c r="K838" s="514"/>
      <c r="L838" s="437"/>
      <c r="M838" s="437"/>
      <c r="N838" s="437"/>
    </row>
    <row r="839">
      <c r="A839" s="814"/>
      <c r="B839" s="814"/>
      <c r="C839" s="814"/>
      <c r="D839" s="815"/>
      <c r="E839" s="837"/>
      <c r="F839" s="817"/>
      <c r="G839" s="818"/>
      <c r="H839" s="819"/>
      <c r="I839" s="820"/>
      <c r="J839" s="815"/>
      <c r="K839" s="514"/>
      <c r="L839" s="437"/>
      <c r="M839" s="437"/>
      <c r="N839" s="437"/>
    </row>
    <row r="840">
      <c r="A840" s="814"/>
      <c r="B840" s="814"/>
      <c r="C840" s="814"/>
      <c r="D840" s="815"/>
      <c r="E840" s="837"/>
      <c r="F840" s="817"/>
      <c r="G840" s="818"/>
      <c r="H840" s="819"/>
      <c r="I840" s="820"/>
      <c r="J840" s="815"/>
      <c r="K840" s="514"/>
      <c r="L840" s="437"/>
      <c r="M840" s="437"/>
      <c r="N840" s="437"/>
    </row>
    <row r="841">
      <c r="A841" s="814"/>
      <c r="B841" s="814"/>
      <c r="C841" s="814"/>
      <c r="D841" s="815"/>
      <c r="E841" s="837"/>
      <c r="F841" s="817"/>
      <c r="G841" s="818"/>
      <c r="H841" s="819"/>
      <c r="I841" s="820"/>
      <c r="J841" s="815"/>
      <c r="K841" s="514"/>
      <c r="L841" s="437"/>
      <c r="M841" s="437"/>
      <c r="N841" s="437"/>
    </row>
    <row r="842">
      <c r="A842" s="814"/>
      <c r="B842" s="814"/>
      <c r="C842" s="814"/>
      <c r="D842" s="815"/>
      <c r="E842" s="837"/>
      <c r="F842" s="817"/>
      <c r="G842" s="818"/>
      <c r="H842" s="819"/>
      <c r="I842" s="820"/>
      <c r="J842" s="815"/>
      <c r="K842" s="514"/>
      <c r="L842" s="437"/>
      <c r="M842" s="437"/>
      <c r="N842" s="437"/>
    </row>
    <row r="843">
      <c r="A843" s="814"/>
      <c r="B843" s="814"/>
      <c r="C843" s="814"/>
      <c r="D843" s="815"/>
      <c r="E843" s="837"/>
      <c r="F843" s="817"/>
      <c r="G843" s="818"/>
      <c r="H843" s="819"/>
      <c r="I843" s="820"/>
      <c r="J843" s="815"/>
      <c r="K843" s="514"/>
      <c r="L843" s="437"/>
      <c r="M843" s="437"/>
      <c r="N843" s="437"/>
    </row>
    <row r="844">
      <c r="A844" s="814"/>
      <c r="B844" s="814"/>
      <c r="C844" s="814"/>
      <c r="D844" s="815"/>
      <c r="E844" s="837"/>
      <c r="F844" s="817"/>
      <c r="G844" s="818"/>
      <c r="H844" s="819"/>
      <c r="I844" s="820"/>
      <c r="J844" s="815"/>
      <c r="K844" s="514"/>
      <c r="L844" s="437"/>
      <c r="M844" s="437"/>
      <c r="N844" s="437"/>
    </row>
    <row r="845">
      <c r="A845" s="814"/>
      <c r="B845" s="814"/>
      <c r="C845" s="814"/>
      <c r="D845" s="815"/>
      <c r="E845" s="837"/>
      <c r="F845" s="817"/>
      <c r="G845" s="818"/>
      <c r="H845" s="819"/>
      <c r="I845" s="820"/>
      <c r="J845" s="815"/>
      <c r="K845" s="514"/>
      <c r="L845" s="437"/>
      <c r="M845" s="437"/>
      <c r="N845" s="437"/>
    </row>
    <row r="846">
      <c r="A846" s="814"/>
      <c r="B846" s="814"/>
      <c r="C846" s="814"/>
      <c r="D846" s="815"/>
      <c r="E846" s="837"/>
      <c r="F846" s="817"/>
      <c r="G846" s="818"/>
      <c r="H846" s="819"/>
      <c r="I846" s="820"/>
      <c r="J846" s="815"/>
      <c r="K846" s="514"/>
      <c r="L846" s="437"/>
      <c r="M846" s="437"/>
      <c r="N846" s="437"/>
    </row>
    <row r="847">
      <c r="A847" s="814"/>
      <c r="B847" s="814"/>
      <c r="C847" s="814"/>
      <c r="D847" s="815"/>
      <c r="E847" s="837"/>
      <c r="F847" s="817"/>
      <c r="G847" s="818"/>
      <c r="H847" s="819"/>
      <c r="I847" s="820"/>
      <c r="J847" s="815"/>
      <c r="K847" s="514"/>
      <c r="L847" s="437"/>
      <c r="M847" s="437"/>
      <c r="N847" s="437"/>
    </row>
    <row r="848">
      <c r="A848" s="814"/>
      <c r="B848" s="814"/>
      <c r="C848" s="814"/>
      <c r="D848" s="815"/>
      <c r="E848" s="837"/>
      <c r="F848" s="817"/>
      <c r="G848" s="818"/>
      <c r="H848" s="819"/>
      <c r="I848" s="820"/>
      <c r="J848" s="815"/>
      <c r="K848" s="514"/>
      <c r="L848" s="437"/>
      <c r="M848" s="437"/>
      <c r="N848" s="437"/>
    </row>
    <row r="849">
      <c r="A849" s="814"/>
      <c r="B849" s="814"/>
      <c r="C849" s="814"/>
      <c r="D849" s="815"/>
      <c r="E849" s="837"/>
      <c r="F849" s="817"/>
      <c r="G849" s="818"/>
      <c r="H849" s="819"/>
      <c r="I849" s="820"/>
      <c r="J849" s="815"/>
      <c r="K849" s="514"/>
      <c r="L849" s="437"/>
      <c r="M849" s="437"/>
      <c r="N849" s="437"/>
    </row>
    <row r="850">
      <c r="A850" s="814"/>
      <c r="B850" s="814"/>
      <c r="C850" s="814"/>
      <c r="D850" s="815"/>
      <c r="E850" s="837"/>
      <c r="F850" s="817"/>
      <c r="G850" s="818"/>
      <c r="H850" s="819"/>
      <c r="I850" s="820"/>
      <c r="J850" s="815"/>
      <c r="K850" s="514"/>
      <c r="L850" s="437"/>
      <c r="M850" s="437"/>
      <c r="N850" s="437"/>
    </row>
    <row r="851">
      <c r="A851" s="814"/>
      <c r="B851" s="814"/>
      <c r="C851" s="814"/>
      <c r="D851" s="815"/>
      <c r="E851" s="837"/>
      <c r="F851" s="817"/>
      <c r="G851" s="818"/>
      <c r="H851" s="819"/>
      <c r="I851" s="820"/>
      <c r="J851" s="815"/>
      <c r="K851" s="514"/>
      <c r="L851" s="437"/>
      <c r="M851" s="437"/>
      <c r="N851" s="437"/>
    </row>
    <row r="852">
      <c r="A852" s="814"/>
      <c r="B852" s="814"/>
      <c r="C852" s="814"/>
      <c r="D852" s="815"/>
      <c r="E852" s="837"/>
      <c r="F852" s="817"/>
      <c r="G852" s="818"/>
      <c r="H852" s="819"/>
      <c r="I852" s="820"/>
      <c r="J852" s="815"/>
      <c r="K852" s="514"/>
      <c r="L852" s="437"/>
      <c r="M852" s="437"/>
      <c r="N852" s="437"/>
    </row>
    <row r="853">
      <c r="A853" s="814"/>
      <c r="B853" s="814"/>
      <c r="C853" s="814"/>
      <c r="D853" s="815"/>
      <c r="E853" s="837"/>
      <c r="F853" s="817"/>
      <c r="G853" s="818"/>
      <c r="H853" s="819"/>
      <c r="I853" s="820"/>
      <c r="J853" s="815"/>
      <c r="K853" s="514"/>
      <c r="L853" s="437"/>
      <c r="M853" s="437"/>
      <c r="N853" s="437"/>
    </row>
    <row r="854">
      <c r="A854" s="814"/>
      <c r="B854" s="814"/>
      <c r="C854" s="814"/>
      <c r="D854" s="815"/>
      <c r="E854" s="837"/>
      <c r="F854" s="817"/>
      <c r="G854" s="818"/>
      <c r="H854" s="819"/>
      <c r="I854" s="820"/>
      <c r="J854" s="815"/>
      <c r="K854" s="514"/>
      <c r="L854" s="437"/>
      <c r="M854" s="437"/>
      <c r="N854" s="437"/>
    </row>
    <row r="855">
      <c r="A855" s="814"/>
      <c r="B855" s="814"/>
      <c r="C855" s="814"/>
      <c r="D855" s="815"/>
      <c r="E855" s="837"/>
      <c r="F855" s="817"/>
      <c r="G855" s="818"/>
      <c r="H855" s="819"/>
      <c r="I855" s="820"/>
      <c r="J855" s="815"/>
      <c r="K855" s="514"/>
      <c r="L855" s="437"/>
      <c r="M855" s="437"/>
      <c r="N855" s="437"/>
    </row>
    <row r="856">
      <c r="A856" s="814"/>
      <c r="B856" s="814"/>
      <c r="C856" s="814"/>
      <c r="D856" s="815"/>
      <c r="E856" s="837"/>
      <c r="F856" s="817"/>
      <c r="G856" s="818"/>
      <c r="H856" s="819"/>
      <c r="I856" s="820"/>
      <c r="J856" s="815"/>
      <c r="K856" s="514"/>
      <c r="L856" s="437"/>
      <c r="M856" s="437"/>
      <c r="N856" s="437"/>
    </row>
    <row r="857">
      <c r="A857" s="814"/>
      <c r="B857" s="814"/>
      <c r="C857" s="814"/>
      <c r="D857" s="815"/>
      <c r="E857" s="837"/>
      <c r="F857" s="817"/>
      <c r="G857" s="818"/>
      <c r="H857" s="819"/>
      <c r="I857" s="820"/>
      <c r="J857" s="815"/>
      <c r="K857" s="514"/>
      <c r="L857" s="437"/>
      <c r="M857" s="437"/>
      <c r="N857" s="437"/>
    </row>
    <row r="858">
      <c r="A858" s="814"/>
      <c r="B858" s="814"/>
      <c r="C858" s="814"/>
      <c r="D858" s="815"/>
      <c r="E858" s="837"/>
      <c r="F858" s="817"/>
      <c r="G858" s="818"/>
      <c r="H858" s="819"/>
      <c r="I858" s="820"/>
      <c r="J858" s="815"/>
      <c r="K858" s="514"/>
      <c r="L858" s="437"/>
      <c r="M858" s="437"/>
      <c r="N858" s="437"/>
    </row>
    <row r="859">
      <c r="A859" s="814"/>
      <c r="B859" s="814"/>
      <c r="C859" s="814"/>
      <c r="D859" s="815"/>
      <c r="E859" s="837"/>
      <c r="F859" s="817"/>
      <c r="G859" s="818"/>
      <c r="H859" s="819"/>
      <c r="I859" s="820"/>
      <c r="J859" s="815"/>
      <c r="K859" s="514"/>
      <c r="L859" s="437"/>
      <c r="M859" s="437"/>
      <c r="N859" s="437"/>
    </row>
    <row r="860">
      <c r="A860" s="814"/>
      <c r="B860" s="814"/>
      <c r="C860" s="814"/>
      <c r="D860" s="815"/>
      <c r="E860" s="837"/>
      <c r="F860" s="817"/>
      <c r="G860" s="818"/>
      <c r="H860" s="819"/>
      <c r="I860" s="820"/>
      <c r="J860" s="815"/>
      <c r="K860" s="514"/>
      <c r="L860" s="437"/>
      <c r="M860" s="437"/>
      <c r="N860" s="437"/>
    </row>
    <row r="861">
      <c r="A861" s="814"/>
      <c r="B861" s="814"/>
      <c r="C861" s="814"/>
      <c r="D861" s="815"/>
      <c r="E861" s="837"/>
      <c r="F861" s="817"/>
      <c r="G861" s="818"/>
      <c r="H861" s="819"/>
      <c r="I861" s="820"/>
      <c r="J861" s="815"/>
      <c r="K861" s="514"/>
      <c r="L861" s="437"/>
      <c r="M861" s="437"/>
      <c r="N861" s="437"/>
    </row>
    <row r="862">
      <c r="A862" s="814"/>
      <c r="B862" s="814"/>
      <c r="C862" s="814"/>
      <c r="D862" s="815"/>
      <c r="E862" s="837"/>
      <c r="F862" s="817"/>
      <c r="G862" s="818"/>
      <c r="H862" s="819"/>
      <c r="I862" s="820"/>
      <c r="J862" s="815"/>
      <c r="K862" s="514"/>
      <c r="L862" s="437"/>
      <c r="M862" s="437"/>
      <c r="N862" s="437"/>
    </row>
    <row r="863">
      <c r="A863" s="814"/>
      <c r="B863" s="814"/>
      <c r="C863" s="814"/>
      <c r="D863" s="815"/>
      <c r="E863" s="837"/>
      <c r="F863" s="817"/>
      <c r="G863" s="818"/>
      <c r="H863" s="819"/>
      <c r="I863" s="820"/>
      <c r="J863" s="815"/>
      <c r="K863" s="514"/>
      <c r="L863" s="437"/>
      <c r="M863" s="437"/>
      <c r="N863" s="437"/>
    </row>
    <row r="864">
      <c r="A864" s="814"/>
      <c r="B864" s="814"/>
      <c r="C864" s="814"/>
      <c r="D864" s="815"/>
      <c r="E864" s="837"/>
      <c r="F864" s="817"/>
      <c r="G864" s="818"/>
      <c r="H864" s="819"/>
      <c r="I864" s="820"/>
      <c r="J864" s="815"/>
      <c r="K864" s="514"/>
      <c r="L864" s="437"/>
      <c r="M864" s="437"/>
      <c r="N864" s="437"/>
    </row>
    <row r="865">
      <c r="A865" s="814"/>
      <c r="B865" s="814"/>
      <c r="C865" s="814"/>
      <c r="D865" s="815"/>
      <c r="E865" s="837"/>
      <c r="F865" s="817"/>
      <c r="G865" s="818"/>
      <c r="H865" s="819"/>
      <c r="I865" s="820"/>
      <c r="J865" s="815"/>
      <c r="K865" s="514"/>
      <c r="L865" s="437"/>
      <c r="M865" s="437"/>
      <c r="N865" s="437"/>
    </row>
    <row r="866">
      <c r="A866" s="814"/>
      <c r="B866" s="814"/>
      <c r="C866" s="814"/>
      <c r="D866" s="815"/>
      <c r="E866" s="837"/>
      <c r="F866" s="817"/>
      <c r="G866" s="818"/>
      <c r="H866" s="819"/>
      <c r="I866" s="820"/>
      <c r="J866" s="815"/>
      <c r="K866" s="514"/>
      <c r="L866" s="437"/>
      <c r="M866" s="437"/>
      <c r="N866" s="437"/>
    </row>
    <row r="867">
      <c r="A867" s="814"/>
      <c r="B867" s="814"/>
      <c r="C867" s="814"/>
      <c r="D867" s="815"/>
      <c r="E867" s="837"/>
      <c r="F867" s="817"/>
      <c r="G867" s="818"/>
      <c r="H867" s="819"/>
      <c r="I867" s="820"/>
      <c r="J867" s="815"/>
      <c r="K867" s="514"/>
      <c r="L867" s="437"/>
      <c r="M867" s="437"/>
      <c r="N867" s="437"/>
    </row>
    <row r="868">
      <c r="A868" s="814"/>
      <c r="B868" s="814"/>
      <c r="C868" s="814"/>
      <c r="D868" s="815"/>
      <c r="E868" s="837"/>
      <c r="F868" s="817"/>
      <c r="G868" s="818"/>
      <c r="H868" s="819"/>
      <c r="I868" s="820"/>
      <c r="J868" s="815"/>
      <c r="K868" s="514"/>
      <c r="L868" s="437"/>
      <c r="M868" s="437"/>
      <c r="N868" s="437"/>
    </row>
    <row r="869">
      <c r="A869" s="814"/>
      <c r="B869" s="814"/>
      <c r="C869" s="814"/>
      <c r="D869" s="815"/>
      <c r="E869" s="837"/>
      <c r="F869" s="817"/>
      <c r="G869" s="818"/>
      <c r="H869" s="819"/>
      <c r="I869" s="820"/>
      <c r="J869" s="815"/>
      <c r="K869" s="514"/>
      <c r="L869" s="437"/>
      <c r="M869" s="437"/>
      <c r="N869" s="437"/>
    </row>
    <row r="870">
      <c r="A870" s="814"/>
      <c r="B870" s="814"/>
      <c r="C870" s="814"/>
      <c r="D870" s="815"/>
      <c r="E870" s="837"/>
      <c r="F870" s="817"/>
      <c r="G870" s="818"/>
      <c r="H870" s="819"/>
      <c r="I870" s="820"/>
      <c r="J870" s="815"/>
      <c r="K870" s="514"/>
      <c r="L870" s="437"/>
      <c r="M870" s="437"/>
      <c r="N870" s="437"/>
    </row>
    <row r="871">
      <c r="A871" s="814"/>
      <c r="B871" s="814"/>
      <c r="C871" s="814"/>
      <c r="D871" s="815"/>
      <c r="E871" s="837"/>
      <c r="F871" s="817"/>
      <c r="G871" s="818"/>
      <c r="H871" s="819"/>
      <c r="I871" s="820"/>
      <c r="J871" s="815"/>
      <c r="K871" s="514"/>
      <c r="L871" s="437"/>
      <c r="M871" s="437"/>
      <c r="N871" s="437"/>
    </row>
    <row r="872">
      <c r="A872" s="814"/>
      <c r="B872" s="814"/>
      <c r="C872" s="814"/>
      <c r="D872" s="815"/>
      <c r="E872" s="837"/>
      <c r="F872" s="817"/>
      <c r="G872" s="818"/>
      <c r="H872" s="819"/>
      <c r="I872" s="820"/>
      <c r="J872" s="815"/>
      <c r="K872" s="514"/>
      <c r="L872" s="437"/>
      <c r="M872" s="437"/>
      <c r="N872" s="437"/>
    </row>
    <row r="873">
      <c r="A873" s="814"/>
      <c r="B873" s="814"/>
      <c r="C873" s="814"/>
      <c r="D873" s="815"/>
      <c r="E873" s="837"/>
      <c r="F873" s="817"/>
      <c r="G873" s="818"/>
      <c r="H873" s="819"/>
      <c r="I873" s="820"/>
      <c r="J873" s="815"/>
      <c r="K873" s="514"/>
      <c r="L873" s="437"/>
      <c r="M873" s="437"/>
      <c r="N873" s="437"/>
    </row>
    <row r="874">
      <c r="A874" s="814"/>
      <c r="B874" s="814"/>
      <c r="C874" s="814"/>
      <c r="D874" s="815"/>
      <c r="E874" s="837"/>
      <c r="F874" s="817"/>
      <c r="G874" s="818"/>
      <c r="H874" s="819"/>
      <c r="I874" s="820"/>
      <c r="J874" s="815"/>
      <c r="K874" s="514"/>
      <c r="L874" s="437"/>
      <c r="M874" s="437"/>
      <c r="N874" s="437"/>
    </row>
    <row r="875">
      <c r="A875" s="814"/>
      <c r="B875" s="814"/>
      <c r="C875" s="814"/>
      <c r="D875" s="815"/>
      <c r="E875" s="837"/>
      <c r="F875" s="817"/>
      <c r="G875" s="818"/>
      <c r="H875" s="819"/>
      <c r="I875" s="820"/>
      <c r="J875" s="815"/>
      <c r="K875" s="514"/>
      <c r="L875" s="437"/>
      <c r="M875" s="437"/>
      <c r="N875" s="437"/>
    </row>
    <row r="876">
      <c r="A876" s="814"/>
      <c r="B876" s="814"/>
      <c r="C876" s="814"/>
      <c r="D876" s="815"/>
      <c r="E876" s="837"/>
      <c r="F876" s="817"/>
      <c r="G876" s="818"/>
      <c r="H876" s="819"/>
      <c r="I876" s="820"/>
      <c r="J876" s="815"/>
      <c r="K876" s="514"/>
      <c r="L876" s="437"/>
      <c r="M876" s="437"/>
      <c r="N876" s="437"/>
    </row>
    <row r="877">
      <c r="A877" s="814"/>
      <c r="B877" s="814"/>
      <c r="C877" s="814"/>
      <c r="D877" s="815"/>
      <c r="E877" s="837"/>
      <c r="F877" s="817"/>
      <c r="G877" s="818"/>
      <c r="H877" s="819"/>
      <c r="I877" s="820"/>
      <c r="J877" s="815"/>
      <c r="K877" s="514"/>
      <c r="L877" s="437"/>
      <c r="M877" s="437"/>
      <c r="N877" s="437"/>
    </row>
    <row r="878">
      <c r="A878" s="814"/>
      <c r="B878" s="814"/>
      <c r="C878" s="814"/>
      <c r="D878" s="815"/>
      <c r="E878" s="837"/>
      <c r="F878" s="817"/>
      <c r="G878" s="818"/>
      <c r="H878" s="819"/>
      <c r="I878" s="820"/>
      <c r="J878" s="815"/>
      <c r="K878" s="514"/>
      <c r="L878" s="437"/>
      <c r="M878" s="437"/>
      <c r="N878" s="437"/>
    </row>
    <row r="879">
      <c r="A879" s="814"/>
      <c r="B879" s="814"/>
      <c r="C879" s="814"/>
      <c r="D879" s="815"/>
      <c r="E879" s="837"/>
      <c r="F879" s="817"/>
      <c r="G879" s="818"/>
      <c r="H879" s="819"/>
      <c r="I879" s="820"/>
      <c r="J879" s="815"/>
      <c r="K879" s="514"/>
      <c r="L879" s="437"/>
      <c r="M879" s="437"/>
      <c r="N879" s="437"/>
    </row>
    <row r="880">
      <c r="A880" s="814"/>
      <c r="B880" s="814"/>
      <c r="C880" s="814"/>
      <c r="D880" s="815"/>
      <c r="E880" s="837"/>
      <c r="F880" s="817"/>
      <c r="G880" s="818"/>
      <c r="H880" s="819"/>
      <c r="I880" s="820"/>
      <c r="J880" s="815"/>
      <c r="K880" s="514"/>
      <c r="L880" s="437"/>
      <c r="M880" s="437"/>
      <c r="N880" s="437"/>
    </row>
    <row r="881">
      <c r="A881" s="814"/>
      <c r="B881" s="814"/>
      <c r="C881" s="814"/>
      <c r="D881" s="815"/>
      <c r="E881" s="837"/>
      <c r="F881" s="817"/>
      <c r="G881" s="818"/>
      <c r="H881" s="819"/>
      <c r="I881" s="820"/>
      <c r="J881" s="815"/>
      <c r="K881" s="514"/>
      <c r="L881" s="437"/>
      <c r="M881" s="437"/>
      <c r="N881" s="437"/>
    </row>
    <row r="882">
      <c r="A882" s="814"/>
      <c r="B882" s="814"/>
      <c r="C882" s="814"/>
      <c r="D882" s="815"/>
      <c r="E882" s="837"/>
      <c r="F882" s="817"/>
      <c r="G882" s="818"/>
      <c r="H882" s="819"/>
      <c r="I882" s="820"/>
      <c r="J882" s="815"/>
      <c r="K882" s="514"/>
      <c r="L882" s="437"/>
      <c r="M882" s="437"/>
      <c r="N882" s="437"/>
    </row>
    <row r="883">
      <c r="A883" s="814"/>
      <c r="B883" s="814"/>
      <c r="C883" s="814"/>
      <c r="D883" s="815"/>
      <c r="E883" s="837"/>
      <c r="F883" s="817"/>
      <c r="G883" s="818"/>
      <c r="H883" s="819"/>
      <c r="I883" s="820"/>
      <c r="J883" s="815"/>
      <c r="K883" s="514"/>
      <c r="L883" s="437"/>
      <c r="M883" s="437"/>
      <c r="N883" s="437"/>
    </row>
    <row r="884">
      <c r="A884" s="814"/>
      <c r="B884" s="814"/>
      <c r="C884" s="814"/>
      <c r="D884" s="815"/>
      <c r="E884" s="837"/>
      <c r="F884" s="817"/>
      <c r="G884" s="818"/>
      <c r="H884" s="819"/>
      <c r="I884" s="820"/>
      <c r="J884" s="815"/>
      <c r="K884" s="514"/>
      <c r="L884" s="437"/>
      <c r="M884" s="437"/>
      <c r="N884" s="437"/>
    </row>
    <row r="885">
      <c r="A885" s="814"/>
      <c r="B885" s="814"/>
      <c r="C885" s="814"/>
      <c r="D885" s="815"/>
      <c r="E885" s="837"/>
      <c r="F885" s="817"/>
      <c r="G885" s="818"/>
      <c r="H885" s="819"/>
      <c r="I885" s="820"/>
      <c r="J885" s="815"/>
      <c r="K885" s="514"/>
      <c r="L885" s="437"/>
      <c r="M885" s="437"/>
      <c r="N885" s="437"/>
    </row>
    <row r="886">
      <c r="A886" s="814"/>
      <c r="B886" s="814"/>
      <c r="C886" s="814"/>
      <c r="D886" s="815"/>
      <c r="E886" s="837"/>
      <c r="F886" s="817"/>
      <c r="G886" s="818"/>
      <c r="H886" s="819"/>
      <c r="I886" s="820"/>
      <c r="J886" s="815"/>
      <c r="K886" s="514"/>
      <c r="L886" s="437"/>
      <c r="M886" s="437"/>
      <c r="N886" s="437"/>
    </row>
    <row r="887">
      <c r="A887" s="814"/>
      <c r="B887" s="814"/>
      <c r="C887" s="814"/>
      <c r="D887" s="815"/>
      <c r="E887" s="837"/>
      <c r="F887" s="817"/>
      <c r="G887" s="818"/>
      <c r="H887" s="819"/>
      <c r="I887" s="820"/>
      <c r="J887" s="815"/>
      <c r="K887" s="514"/>
      <c r="L887" s="437"/>
      <c r="M887" s="437"/>
      <c r="N887" s="437"/>
    </row>
    <row r="888">
      <c r="A888" s="814"/>
      <c r="B888" s="814"/>
      <c r="C888" s="814"/>
      <c r="D888" s="815"/>
      <c r="E888" s="837"/>
      <c r="F888" s="817"/>
      <c r="G888" s="818"/>
      <c r="H888" s="819"/>
      <c r="I888" s="820"/>
      <c r="J888" s="815"/>
      <c r="K888" s="514"/>
      <c r="L888" s="437"/>
      <c r="M888" s="437"/>
      <c r="N888" s="437"/>
    </row>
    <row r="889">
      <c r="A889" s="814"/>
      <c r="B889" s="814"/>
      <c r="C889" s="814"/>
      <c r="D889" s="815"/>
      <c r="E889" s="837"/>
      <c r="F889" s="817"/>
      <c r="G889" s="818"/>
      <c r="H889" s="819"/>
      <c r="I889" s="820"/>
      <c r="J889" s="815"/>
      <c r="K889" s="514"/>
      <c r="L889" s="437"/>
      <c r="M889" s="437"/>
      <c r="N889" s="437"/>
    </row>
    <row r="890">
      <c r="A890" s="814"/>
      <c r="B890" s="814"/>
      <c r="C890" s="814"/>
      <c r="D890" s="815"/>
      <c r="E890" s="837"/>
      <c r="F890" s="817"/>
      <c r="G890" s="818"/>
      <c r="H890" s="819"/>
      <c r="I890" s="820"/>
      <c r="J890" s="815"/>
      <c r="K890" s="514"/>
      <c r="L890" s="437"/>
      <c r="M890" s="437"/>
      <c r="N890" s="437"/>
    </row>
    <row r="891">
      <c r="A891" s="814"/>
      <c r="B891" s="814"/>
      <c r="C891" s="814"/>
      <c r="D891" s="815"/>
      <c r="E891" s="837"/>
      <c r="F891" s="817"/>
      <c r="G891" s="818"/>
      <c r="H891" s="819"/>
      <c r="I891" s="820"/>
      <c r="J891" s="815"/>
      <c r="K891" s="514"/>
      <c r="L891" s="437"/>
      <c r="M891" s="437"/>
      <c r="N891" s="437"/>
    </row>
    <row r="892">
      <c r="A892" s="814"/>
      <c r="B892" s="814"/>
      <c r="C892" s="814"/>
      <c r="D892" s="815"/>
      <c r="E892" s="837"/>
      <c r="F892" s="817"/>
      <c r="G892" s="818"/>
      <c r="H892" s="819"/>
      <c r="I892" s="820"/>
      <c r="J892" s="815"/>
      <c r="K892" s="514"/>
      <c r="L892" s="437"/>
      <c r="M892" s="437"/>
      <c r="N892" s="437"/>
    </row>
    <row r="893">
      <c r="A893" s="814"/>
      <c r="B893" s="814"/>
      <c r="C893" s="814"/>
      <c r="D893" s="815"/>
      <c r="E893" s="837"/>
      <c r="F893" s="817"/>
      <c r="G893" s="818"/>
      <c r="H893" s="819"/>
      <c r="I893" s="820"/>
      <c r="J893" s="815"/>
      <c r="K893" s="514"/>
      <c r="L893" s="437"/>
      <c r="M893" s="437"/>
      <c r="N893" s="437"/>
    </row>
    <row r="894">
      <c r="A894" s="814"/>
      <c r="B894" s="814"/>
      <c r="C894" s="814"/>
      <c r="D894" s="815"/>
      <c r="E894" s="837"/>
      <c r="F894" s="817"/>
      <c r="G894" s="818"/>
      <c r="H894" s="819"/>
      <c r="I894" s="820"/>
      <c r="J894" s="815"/>
      <c r="K894" s="514"/>
      <c r="L894" s="437"/>
      <c r="M894" s="437"/>
      <c r="N894" s="437"/>
    </row>
    <row r="895">
      <c r="A895" s="814"/>
      <c r="B895" s="814"/>
      <c r="C895" s="814"/>
      <c r="D895" s="815"/>
      <c r="E895" s="837"/>
      <c r="F895" s="817"/>
      <c r="G895" s="818"/>
      <c r="H895" s="819"/>
      <c r="I895" s="820"/>
      <c r="J895" s="815"/>
      <c r="K895" s="514"/>
      <c r="L895" s="437"/>
      <c r="M895" s="437"/>
      <c r="N895" s="437"/>
    </row>
    <row r="896">
      <c r="A896" s="814"/>
      <c r="B896" s="814"/>
      <c r="C896" s="814"/>
      <c r="D896" s="815"/>
      <c r="E896" s="837"/>
      <c r="F896" s="817"/>
      <c r="G896" s="818"/>
      <c r="H896" s="819"/>
      <c r="I896" s="820"/>
      <c r="J896" s="815"/>
      <c r="K896" s="514"/>
      <c r="L896" s="437"/>
      <c r="M896" s="437"/>
      <c r="N896" s="437"/>
    </row>
    <row r="897">
      <c r="A897" s="814"/>
      <c r="B897" s="814"/>
      <c r="C897" s="814"/>
      <c r="D897" s="815"/>
      <c r="E897" s="837"/>
      <c r="F897" s="817"/>
      <c r="G897" s="818"/>
      <c r="H897" s="819"/>
      <c r="I897" s="820"/>
      <c r="J897" s="815"/>
      <c r="K897" s="514"/>
      <c r="L897" s="437"/>
      <c r="M897" s="437"/>
      <c r="N897" s="437"/>
    </row>
    <row r="898">
      <c r="A898" s="814"/>
      <c r="B898" s="814"/>
      <c r="C898" s="814"/>
      <c r="D898" s="815"/>
      <c r="E898" s="837"/>
      <c r="F898" s="817"/>
      <c r="G898" s="818"/>
      <c r="H898" s="819"/>
      <c r="I898" s="820"/>
      <c r="J898" s="815"/>
      <c r="K898" s="514"/>
      <c r="L898" s="437"/>
      <c r="M898" s="437"/>
      <c r="N898" s="437"/>
    </row>
    <row r="899">
      <c r="A899" s="814"/>
      <c r="B899" s="814"/>
      <c r="C899" s="814"/>
      <c r="D899" s="815"/>
      <c r="E899" s="837"/>
      <c r="F899" s="817"/>
      <c r="G899" s="818"/>
      <c r="H899" s="819"/>
      <c r="I899" s="820"/>
      <c r="J899" s="815"/>
      <c r="K899" s="514"/>
      <c r="L899" s="437"/>
      <c r="M899" s="437"/>
      <c r="N899" s="437"/>
    </row>
    <row r="900">
      <c r="A900" s="814"/>
      <c r="B900" s="814"/>
      <c r="C900" s="814"/>
      <c r="D900" s="815"/>
      <c r="E900" s="837"/>
      <c r="F900" s="817"/>
      <c r="G900" s="818"/>
      <c r="H900" s="819"/>
      <c r="I900" s="820"/>
      <c r="J900" s="815"/>
      <c r="K900" s="514"/>
      <c r="L900" s="437"/>
      <c r="M900" s="437"/>
      <c r="N900" s="437"/>
    </row>
    <row r="901">
      <c r="A901" s="814"/>
      <c r="B901" s="814"/>
      <c r="C901" s="814"/>
      <c r="D901" s="815"/>
      <c r="E901" s="837"/>
      <c r="F901" s="817"/>
      <c r="G901" s="818"/>
      <c r="H901" s="819"/>
      <c r="I901" s="820"/>
      <c r="J901" s="815"/>
      <c r="K901" s="514"/>
      <c r="L901" s="437"/>
      <c r="M901" s="437"/>
      <c r="N901" s="437"/>
    </row>
    <row r="902">
      <c r="A902" s="814"/>
      <c r="B902" s="814"/>
      <c r="C902" s="814"/>
      <c r="D902" s="815"/>
      <c r="E902" s="837"/>
      <c r="F902" s="817"/>
      <c r="G902" s="818"/>
      <c r="H902" s="819"/>
      <c r="I902" s="820"/>
      <c r="J902" s="815"/>
      <c r="K902" s="514"/>
      <c r="L902" s="437"/>
      <c r="M902" s="437"/>
      <c r="N902" s="437"/>
    </row>
    <row r="903">
      <c r="A903" s="814"/>
      <c r="B903" s="814"/>
      <c r="C903" s="814"/>
      <c r="D903" s="815"/>
      <c r="E903" s="837"/>
      <c r="F903" s="817"/>
      <c r="G903" s="818"/>
      <c r="H903" s="819"/>
      <c r="I903" s="820"/>
      <c r="J903" s="815"/>
      <c r="K903" s="514"/>
      <c r="L903" s="437"/>
      <c r="M903" s="437"/>
      <c r="N903" s="437"/>
    </row>
    <row r="904">
      <c r="A904" s="814"/>
      <c r="B904" s="814"/>
      <c r="C904" s="814"/>
      <c r="D904" s="815"/>
      <c r="E904" s="837"/>
      <c r="F904" s="817"/>
      <c r="G904" s="818"/>
      <c r="H904" s="819"/>
      <c r="I904" s="820"/>
      <c r="J904" s="815"/>
      <c r="K904" s="514"/>
      <c r="L904" s="437"/>
      <c r="M904" s="437"/>
      <c r="N904" s="437"/>
    </row>
    <row r="905">
      <c r="A905" s="814"/>
      <c r="B905" s="814"/>
      <c r="C905" s="814"/>
      <c r="D905" s="815"/>
      <c r="E905" s="837"/>
      <c r="F905" s="817"/>
      <c r="G905" s="818"/>
      <c r="H905" s="819"/>
      <c r="I905" s="820"/>
      <c r="J905" s="815"/>
      <c r="K905" s="514"/>
      <c r="L905" s="437"/>
      <c r="M905" s="437"/>
      <c r="N905" s="437"/>
    </row>
    <row r="906">
      <c r="A906" s="814"/>
      <c r="B906" s="814"/>
      <c r="C906" s="814"/>
      <c r="D906" s="815"/>
      <c r="E906" s="837"/>
      <c r="F906" s="817"/>
      <c r="G906" s="818"/>
      <c r="H906" s="819"/>
      <c r="I906" s="820"/>
      <c r="J906" s="815"/>
      <c r="K906" s="514"/>
      <c r="L906" s="437"/>
      <c r="M906" s="437"/>
      <c r="N906" s="437"/>
    </row>
    <row r="907">
      <c r="A907" s="814"/>
      <c r="B907" s="814"/>
      <c r="C907" s="814"/>
      <c r="D907" s="815"/>
      <c r="E907" s="837"/>
      <c r="F907" s="817"/>
      <c r="G907" s="818"/>
      <c r="H907" s="819"/>
      <c r="I907" s="820"/>
      <c r="J907" s="815"/>
      <c r="K907" s="514"/>
      <c r="L907" s="437"/>
      <c r="M907" s="437"/>
      <c r="N907" s="437"/>
    </row>
    <row r="908">
      <c r="A908" s="814"/>
      <c r="B908" s="814"/>
      <c r="C908" s="814"/>
      <c r="D908" s="815"/>
      <c r="E908" s="837"/>
      <c r="F908" s="817"/>
      <c r="G908" s="818"/>
      <c r="H908" s="819"/>
      <c r="I908" s="820"/>
      <c r="J908" s="815"/>
      <c r="K908" s="514"/>
      <c r="L908" s="437"/>
      <c r="M908" s="437"/>
      <c r="N908" s="437"/>
    </row>
    <row r="909">
      <c r="A909" s="814"/>
      <c r="B909" s="814"/>
      <c r="C909" s="814"/>
      <c r="D909" s="815"/>
      <c r="E909" s="837"/>
      <c r="F909" s="817"/>
      <c r="G909" s="818"/>
      <c r="H909" s="819"/>
      <c r="I909" s="820"/>
      <c r="J909" s="815"/>
      <c r="K909" s="514"/>
      <c r="L909" s="437"/>
      <c r="M909" s="437"/>
      <c r="N909" s="437"/>
    </row>
    <row r="910">
      <c r="A910" s="814"/>
      <c r="B910" s="814"/>
      <c r="C910" s="814"/>
      <c r="D910" s="815"/>
      <c r="E910" s="837"/>
      <c r="F910" s="817"/>
      <c r="G910" s="818"/>
      <c r="H910" s="819"/>
      <c r="I910" s="820"/>
      <c r="J910" s="815"/>
      <c r="K910" s="514"/>
      <c r="L910" s="437"/>
      <c r="M910" s="437"/>
      <c r="N910" s="437"/>
    </row>
    <row r="911">
      <c r="A911" s="814"/>
      <c r="B911" s="814"/>
      <c r="C911" s="814"/>
      <c r="D911" s="815"/>
      <c r="E911" s="837"/>
      <c r="F911" s="817"/>
      <c r="G911" s="818"/>
      <c r="H911" s="819"/>
      <c r="I911" s="820"/>
      <c r="J911" s="815"/>
      <c r="K911" s="514"/>
      <c r="L911" s="437"/>
      <c r="M911" s="437"/>
      <c r="N911" s="437"/>
    </row>
    <row r="912">
      <c r="A912" s="814"/>
      <c r="B912" s="814"/>
      <c r="C912" s="814"/>
      <c r="D912" s="815"/>
      <c r="E912" s="837"/>
      <c r="F912" s="817"/>
      <c r="G912" s="818"/>
      <c r="H912" s="819"/>
      <c r="I912" s="820"/>
      <c r="J912" s="815"/>
      <c r="K912" s="514"/>
      <c r="L912" s="437"/>
      <c r="M912" s="437"/>
      <c r="N912" s="437"/>
    </row>
    <row r="913">
      <c r="A913" s="814"/>
      <c r="B913" s="814"/>
      <c r="C913" s="814"/>
      <c r="D913" s="815"/>
      <c r="E913" s="837"/>
      <c r="F913" s="817"/>
      <c r="G913" s="818"/>
      <c r="H913" s="819"/>
      <c r="I913" s="820"/>
      <c r="J913" s="815"/>
      <c r="K913" s="514"/>
      <c r="L913" s="437"/>
      <c r="M913" s="437"/>
      <c r="N913" s="437"/>
    </row>
    <row r="914">
      <c r="A914" s="814"/>
      <c r="B914" s="814"/>
      <c r="C914" s="814"/>
      <c r="D914" s="815"/>
      <c r="E914" s="837"/>
      <c r="F914" s="817"/>
      <c r="G914" s="818"/>
      <c r="H914" s="819"/>
      <c r="I914" s="820"/>
      <c r="J914" s="815"/>
      <c r="K914" s="514"/>
      <c r="L914" s="437"/>
      <c r="M914" s="437"/>
      <c r="N914" s="437"/>
    </row>
    <row r="915">
      <c r="A915" s="814"/>
      <c r="B915" s="814"/>
      <c r="C915" s="814"/>
      <c r="D915" s="815"/>
      <c r="E915" s="837"/>
      <c r="F915" s="817"/>
      <c r="G915" s="818"/>
      <c r="H915" s="819"/>
      <c r="I915" s="820"/>
      <c r="J915" s="815"/>
      <c r="K915" s="514"/>
      <c r="L915" s="437"/>
      <c r="M915" s="437"/>
      <c r="N915" s="437"/>
    </row>
    <row r="916">
      <c r="A916" s="814"/>
      <c r="B916" s="814"/>
      <c r="C916" s="814"/>
      <c r="D916" s="815"/>
      <c r="E916" s="837"/>
      <c r="F916" s="817"/>
      <c r="G916" s="818"/>
      <c r="H916" s="819"/>
      <c r="I916" s="820"/>
      <c r="J916" s="815"/>
      <c r="K916" s="514"/>
      <c r="L916" s="437"/>
      <c r="M916" s="437"/>
      <c r="N916" s="437"/>
    </row>
    <row r="917">
      <c r="A917" s="814"/>
      <c r="B917" s="814"/>
      <c r="C917" s="814"/>
      <c r="D917" s="815"/>
      <c r="E917" s="837"/>
      <c r="F917" s="817"/>
      <c r="G917" s="818"/>
      <c r="H917" s="819"/>
      <c r="I917" s="820"/>
      <c r="J917" s="815"/>
      <c r="K917" s="514"/>
      <c r="L917" s="437"/>
      <c r="M917" s="437"/>
      <c r="N917" s="437"/>
    </row>
    <row r="918">
      <c r="A918" s="814"/>
      <c r="B918" s="814"/>
      <c r="C918" s="814"/>
      <c r="D918" s="815"/>
      <c r="E918" s="837"/>
      <c r="F918" s="817"/>
      <c r="G918" s="818"/>
      <c r="H918" s="819"/>
      <c r="I918" s="820"/>
      <c r="J918" s="815"/>
      <c r="K918" s="514"/>
      <c r="L918" s="437"/>
      <c r="M918" s="437"/>
      <c r="N918" s="437"/>
    </row>
    <row r="919">
      <c r="A919" s="814"/>
      <c r="B919" s="814"/>
      <c r="C919" s="814"/>
      <c r="D919" s="815"/>
      <c r="E919" s="837"/>
      <c r="F919" s="817"/>
      <c r="G919" s="818"/>
      <c r="H919" s="819"/>
      <c r="I919" s="820"/>
      <c r="J919" s="815"/>
      <c r="K919" s="514"/>
      <c r="L919" s="437"/>
      <c r="M919" s="437"/>
      <c r="N919" s="437"/>
    </row>
    <row r="920">
      <c r="A920" s="814"/>
      <c r="B920" s="814"/>
      <c r="C920" s="814"/>
      <c r="D920" s="815"/>
      <c r="E920" s="837"/>
      <c r="F920" s="817"/>
      <c r="G920" s="818"/>
      <c r="H920" s="819"/>
      <c r="I920" s="820"/>
      <c r="J920" s="815"/>
      <c r="K920" s="514"/>
      <c r="L920" s="437"/>
      <c r="M920" s="437"/>
      <c r="N920" s="437"/>
    </row>
    <row r="921">
      <c r="A921" s="814"/>
      <c r="B921" s="814"/>
      <c r="C921" s="814"/>
      <c r="D921" s="815"/>
      <c r="E921" s="837"/>
      <c r="F921" s="817"/>
      <c r="G921" s="818"/>
      <c r="H921" s="819"/>
      <c r="I921" s="820"/>
      <c r="J921" s="815"/>
      <c r="K921" s="514"/>
      <c r="L921" s="437"/>
      <c r="M921" s="437"/>
      <c r="N921" s="437"/>
    </row>
    <row r="922">
      <c r="A922" s="814"/>
      <c r="B922" s="814"/>
      <c r="C922" s="814"/>
      <c r="D922" s="815"/>
      <c r="E922" s="837"/>
      <c r="F922" s="817"/>
      <c r="G922" s="818"/>
      <c r="H922" s="819"/>
      <c r="I922" s="820"/>
      <c r="J922" s="815"/>
      <c r="K922" s="514"/>
      <c r="L922" s="437"/>
      <c r="M922" s="437"/>
      <c r="N922" s="437"/>
    </row>
    <row r="923">
      <c r="A923" s="814"/>
      <c r="B923" s="814"/>
      <c r="C923" s="814"/>
      <c r="D923" s="815"/>
      <c r="E923" s="837"/>
      <c r="F923" s="817"/>
      <c r="G923" s="818"/>
      <c r="H923" s="819"/>
      <c r="I923" s="820"/>
      <c r="J923" s="815"/>
      <c r="K923" s="514"/>
      <c r="L923" s="437"/>
      <c r="M923" s="437"/>
      <c r="N923" s="437"/>
    </row>
    <row r="924">
      <c r="A924" s="814"/>
      <c r="B924" s="814"/>
      <c r="C924" s="814"/>
      <c r="D924" s="815"/>
      <c r="E924" s="837"/>
      <c r="F924" s="817"/>
      <c r="G924" s="818"/>
      <c r="H924" s="819"/>
      <c r="I924" s="820"/>
      <c r="J924" s="815"/>
      <c r="K924" s="514"/>
      <c r="L924" s="437"/>
      <c r="M924" s="437"/>
      <c r="N924" s="437"/>
    </row>
    <row r="925">
      <c r="A925" s="814"/>
      <c r="B925" s="814"/>
      <c r="C925" s="814"/>
      <c r="D925" s="815"/>
      <c r="E925" s="837"/>
      <c r="F925" s="817"/>
      <c r="G925" s="818"/>
      <c r="H925" s="819"/>
      <c r="I925" s="820"/>
      <c r="J925" s="815"/>
      <c r="K925" s="514"/>
      <c r="L925" s="437"/>
      <c r="M925" s="437"/>
      <c r="N925" s="437"/>
    </row>
    <row r="926">
      <c r="A926" s="814"/>
      <c r="B926" s="814"/>
      <c r="C926" s="814"/>
      <c r="D926" s="815"/>
      <c r="E926" s="837"/>
      <c r="F926" s="817"/>
      <c r="G926" s="818"/>
      <c r="H926" s="819"/>
      <c r="I926" s="820"/>
      <c r="J926" s="815"/>
      <c r="K926" s="514"/>
      <c r="L926" s="437"/>
      <c r="M926" s="437"/>
      <c r="N926" s="437"/>
    </row>
    <row r="927">
      <c r="A927" s="814"/>
      <c r="B927" s="814"/>
      <c r="C927" s="814"/>
      <c r="D927" s="815"/>
      <c r="E927" s="837"/>
      <c r="F927" s="817"/>
      <c r="G927" s="818"/>
      <c r="H927" s="819"/>
      <c r="I927" s="820"/>
      <c r="J927" s="815"/>
      <c r="K927" s="514"/>
      <c r="L927" s="437"/>
      <c r="M927" s="437"/>
      <c r="N927" s="437"/>
    </row>
    <row r="928">
      <c r="A928" s="814"/>
      <c r="B928" s="814"/>
      <c r="C928" s="814"/>
      <c r="D928" s="815"/>
      <c r="E928" s="837"/>
      <c r="F928" s="817"/>
      <c r="G928" s="818"/>
      <c r="H928" s="819"/>
      <c r="I928" s="820"/>
      <c r="J928" s="815"/>
      <c r="K928" s="514"/>
      <c r="L928" s="437"/>
      <c r="M928" s="437"/>
      <c r="N928" s="437"/>
    </row>
    <row r="929">
      <c r="A929" s="814"/>
      <c r="B929" s="814"/>
      <c r="C929" s="814"/>
      <c r="D929" s="815"/>
      <c r="E929" s="837"/>
      <c r="F929" s="817"/>
      <c r="G929" s="818"/>
      <c r="H929" s="819"/>
      <c r="I929" s="820"/>
      <c r="J929" s="815"/>
      <c r="K929" s="514"/>
      <c r="L929" s="437"/>
      <c r="M929" s="437"/>
      <c r="N929" s="437"/>
    </row>
    <row r="930">
      <c r="A930" s="814"/>
      <c r="B930" s="814"/>
      <c r="C930" s="814"/>
      <c r="D930" s="815"/>
      <c r="E930" s="837"/>
      <c r="F930" s="817"/>
      <c r="G930" s="818"/>
      <c r="H930" s="819"/>
      <c r="I930" s="820"/>
      <c r="J930" s="815"/>
      <c r="K930" s="514"/>
      <c r="L930" s="437"/>
      <c r="M930" s="437"/>
      <c r="N930" s="437"/>
    </row>
    <row r="931">
      <c r="A931" s="814"/>
      <c r="B931" s="814"/>
      <c r="C931" s="814"/>
      <c r="D931" s="815"/>
      <c r="E931" s="837"/>
      <c r="F931" s="817"/>
      <c r="G931" s="818"/>
      <c r="H931" s="819"/>
      <c r="I931" s="820"/>
      <c r="J931" s="815"/>
      <c r="K931" s="514"/>
      <c r="L931" s="437"/>
      <c r="M931" s="437"/>
      <c r="N931" s="437"/>
    </row>
    <row r="932">
      <c r="A932" s="814"/>
      <c r="B932" s="814"/>
      <c r="C932" s="814"/>
      <c r="D932" s="815"/>
      <c r="E932" s="837"/>
      <c r="F932" s="817"/>
      <c r="G932" s="818"/>
      <c r="H932" s="819"/>
      <c r="I932" s="820"/>
      <c r="J932" s="815"/>
      <c r="K932" s="514"/>
      <c r="L932" s="437"/>
      <c r="M932" s="437"/>
      <c r="N932" s="437"/>
    </row>
    <row r="933">
      <c r="A933" s="814"/>
      <c r="B933" s="814"/>
      <c r="C933" s="814"/>
      <c r="D933" s="815"/>
      <c r="E933" s="837"/>
      <c r="F933" s="817"/>
      <c r="G933" s="818"/>
      <c r="H933" s="819"/>
      <c r="I933" s="820"/>
      <c r="J933" s="815"/>
      <c r="K933" s="514"/>
      <c r="L933" s="437"/>
      <c r="M933" s="437"/>
      <c r="N933" s="437"/>
    </row>
    <row r="934">
      <c r="A934" s="814"/>
      <c r="B934" s="814"/>
      <c r="C934" s="814"/>
      <c r="D934" s="815"/>
      <c r="E934" s="837"/>
      <c r="F934" s="817"/>
      <c r="G934" s="818"/>
      <c r="H934" s="819"/>
      <c r="I934" s="820"/>
      <c r="J934" s="815"/>
      <c r="K934" s="514"/>
      <c r="L934" s="437"/>
      <c r="M934" s="437"/>
      <c r="N934" s="437"/>
    </row>
    <row r="935">
      <c r="A935" s="814"/>
      <c r="B935" s="814"/>
      <c r="C935" s="814"/>
      <c r="D935" s="815"/>
      <c r="E935" s="837"/>
      <c r="F935" s="817"/>
      <c r="G935" s="818"/>
      <c r="H935" s="819"/>
      <c r="I935" s="820"/>
      <c r="J935" s="815"/>
      <c r="K935" s="514"/>
      <c r="L935" s="437"/>
      <c r="M935" s="437"/>
      <c r="N935" s="437"/>
    </row>
    <row r="936">
      <c r="A936" s="814"/>
      <c r="B936" s="814"/>
      <c r="C936" s="814"/>
      <c r="D936" s="815"/>
      <c r="E936" s="837"/>
      <c r="F936" s="817"/>
      <c r="G936" s="818"/>
      <c r="H936" s="819"/>
      <c r="I936" s="820"/>
      <c r="J936" s="815"/>
      <c r="K936" s="514"/>
      <c r="L936" s="437"/>
      <c r="M936" s="437"/>
      <c r="N936" s="437"/>
    </row>
    <row r="937">
      <c r="A937" s="814"/>
      <c r="B937" s="814"/>
      <c r="C937" s="814"/>
      <c r="D937" s="815"/>
      <c r="E937" s="837"/>
      <c r="F937" s="817"/>
      <c r="G937" s="818"/>
      <c r="H937" s="819"/>
      <c r="I937" s="820"/>
      <c r="J937" s="815"/>
      <c r="K937" s="514"/>
      <c r="L937" s="437"/>
      <c r="M937" s="437"/>
      <c r="N937" s="437"/>
    </row>
    <row r="938">
      <c r="A938" s="814"/>
      <c r="B938" s="814"/>
      <c r="C938" s="814"/>
      <c r="D938" s="815"/>
      <c r="E938" s="837"/>
      <c r="F938" s="817"/>
      <c r="G938" s="818"/>
      <c r="H938" s="819"/>
      <c r="I938" s="820"/>
      <c r="J938" s="815"/>
      <c r="K938" s="514"/>
      <c r="L938" s="437"/>
      <c r="M938" s="437"/>
      <c r="N938" s="437"/>
    </row>
    <row r="939">
      <c r="A939" s="814"/>
      <c r="B939" s="814"/>
      <c r="C939" s="814"/>
      <c r="D939" s="815"/>
      <c r="E939" s="837"/>
      <c r="F939" s="817"/>
      <c r="G939" s="818"/>
      <c r="H939" s="819"/>
      <c r="I939" s="820"/>
      <c r="J939" s="815"/>
      <c r="K939" s="514"/>
      <c r="L939" s="437"/>
      <c r="M939" s="437"/>
      <c r="N939" s="437"/>
    </row>
    <row r="940">
      <c r="A940" s="814"/>
      <c r="B940" s="814"/>
      <c r="C940" s="814"/>
      <c r="D940" s="815"/>
      <c r="E940" s="837"/>
      <c r="F940" s="817"/>
      <c r="G940" s="818"/>
      <c r="H940" s="819"/>
      <c r="I940" s="820"/>
      <c r="J940" s="815"/>
      <c r="K940" s="514"/>
      <c r="L940" s="437"/>
      <c r="M940" s="437"/>
      <c r="N940" s="437"/>
    </row>
    <row r="941">
      <c r="A941" s="814"/>
      <c r="B941" s="814"/>
      <c r="C941" s="814"/>
      <c r="D941" s="815"/>
      <c r="E941" s="837"/>
      <c r="F941" s="817"/>
      <c r="G941" s="818"/>
      <c r="H941" s="819"/>
      <c r="I941" s="820"/>
      <c r="J941" s="815"/>
      <c r="K941" s="514"/>
      <c r="L941" s="437"/>
      <c r="M941" s="437"/>
      <c r="N941" s="437"/>
    </row>
    <row r="942">
      <c r="A942" s="814"/>
      <c r="B942" s="814"/>
      <c r="C942" s="814"/>
      <c r="D942" s="815"/>
      <c r="E942" s="837"/>
      <c r="F942" s="817"/>
      <c r="G942" s="818"/>
      <c r="H942" s="819"/>
      <c r="I942" s="820"/>
      <c r="J942" s="815"/>
      <c r="K942" s="514"/>
      <c r="L942" s="437"/>
      <c r="M942" s="437"/>
      <c r="N942" s="437"/>
    </row>
    <row r="943">
      <c r="A943" s="814"/>
      <c r="B943" s="814"/>
      <c r="C943" s="814"/>
      <c r="D943" s="815"/>
      <c r="E943" s="837"/>
      <c r="F943" s="817"/>
      <c r="G943" s="818"/>
      <c r="H943" s="819"/>
      <c r="I943" s="820"/>
      <c r="J943" s="815"/>
      <c r="K943" s="514"/>
      <c r="L943" s="437"/>
      <c r="M943" s="437"/>
      <c r="N943" s="437"/>
    </row>
    <row r="944">
      <c r="A944" s="814"/>
      <c r="B944" s="814"/>
      <c r="C944" s="814"/>
      <c r="D944" s="815"/>
      <c r="E944" s="837"/>
      <c r="F944" s="817"/>
      <c r="G944" s="818"/>
      <c r="H944" s="819"/>
      <c r="I944" s="820"/>
      <c r="J944" s="815"/>
      <c r="K944" s="514"/>
      <c r="L944" s="437"/>
      <c r="M944" s="437"/>
      <c r="N944" s="437"/>
    </row>
    <row r="945">
      <c r="A945" s="814"/>
      <c r="B945" s="814"/>
      <c r="C945" s="814"/>
      <c r="D945" s="815"/>
      <c r="E945" s="837"/>
      <c r="F945" s="817"/>
      <c r="G945" s="818"/>
      <c r="H945" s="819"/>
      <c r="I945" s="820"/>
      <c r="J945" s="815"/>
      <c r="K945" s="514"/>
      <c r="L945" s="437"/>
      <c r="M945" s="437"/>
      <c r="N945" s="437"/>
    </row>
    <row r="946">
      <c r="A946" s="814"/>
      <c r="B946" s="814"/>
      <c r="C946" s="814"/>
      <c r="D946" s="815"/>
      <c r="E946" s="837"/>
      <c r="F946" s="817"/>
      <c r="G946" s="818"/>
      <c r="H946" s="819"/>
      <c r="I946" s="820"/>
      <c r="J946" s="815"/>
      <c r="K946" s="514"/>
      <c r="L946" s="437"/>
      <c r="M946" s="437"/>
      <c r="N946" s="437"/>
    </row>
    <row r="947">
      <c r="A947" s="814"/>
      <c r="B947" s="814"/>
      <c r="C947" s="814"/>
      <c r="D947" s="815"/>
      <c r="E947" s="837"/>
      <c r="F947" s="817"/>
      <c r="G947" s="818"/>
      <c r="H947" s="819"/>
      <c r="I947" s="820"/>
      <c r="J947" s="815"/>
      <c r="K947" s="514"/>
      <c r="L947" s="437"/>
      <c r="M947" s="437"/>
      <c r="N947" s="437"/>
    </row>
    <row r="948">
      <c r="A948" s="814"/>
      <c r="B948" s="814"/>
      <c r="C948" s="814"/>
      <c r="D948" s="815"/>
      <c r="E948" s="837"/>
      <c r="F948" s="817"/>
      <c r="G948" s="818"/>
      <c r="H948" s="819"/>
      <c r="I948" s="820"/>
      <c r="J948" s="815"/>
      <c r="K948" s="514"/>
      <c r="L948" s="437"/>
      <c r="M948" s="437"/>
      <c r="N948" s="437"/>
    </row>
    <row r="949">
      <c r="A949" s="814"/>
      <c r="B949" s="814"/>
      <c r="C949" s="814"/>
      <c r="D949" s="815"/>
      <c r="E949" s="837"/>
      <c r="F949" s="817"/>
      <c r="G949" s="818"/>
      <c r="H949" s="819"/>
      <c r="I949" s="820"/>
      <c r="J949" s="815"/>
      <c r="K949" s="514"/>
      <c r="L949" s="437"/>
      <c r="M949" s="437"/>
      <c r="N949" s="437"/>
    </row>
    <row r="950">
      <c r="A950" s="814"/>
      <c r="B950" s="814"/>
      <c r="C950" s="814"/>
      <c r="D950" s="815"/>
      <c r="E950" s="837"/>
      <c r="F950" s="817"/>
      <c r="G950" s="818"/>
      <c r="H950" s="819"/>
      <c r="I950" s="820"/>
      <c r="J950" s="815"/>
      <c r="K950" s="514"/>
      <c r="L950" s="437"/>
      <c r="M950" s="437"/>
      <c r="N950" s="437"/>
    </row>
    <row r="951">
      <c r="A951" s="814"/>
      <c r="B951" s="814"/>
      <c r="C951" s="814"/>
      <c r="D951" s="815"/>
      <c r="E951" s="837"/>
      <c r="F951" s="817"/>
      <c r="G951" s="818"/>
      <c r="H951" s="819"/>
      <c r="I951" s="820"/>
      <c r="J951" s="815"/>
      <c r="K951" s="514"/>
      <c r="L951" s="437"/>
      <c r="M951" s="437"/>
      <c r="N951" s="437"/>
    </row>
    <row r="952">
      <c r="A952" s="814"/>
      <c r="B952" s="814"/>
      <c r="C952" s="814"/>
      <c r="D952" s="815"/>
      <c r="E952" s="837"/>
      <c r="F952" s="817"/>
      <c r="G952" s="818"/>
      <c r="H952" s="819"/>
      <c r="I952" s="820"/>
      <c r="J952" s="815"/>
      <c r="K952" s="514"/>
      <c r="L952" s="437"/>
      <c r="M952" s="437"/>
      <c r="N952" s="437"/>
    </row>
    <row r="953">
      <c r="A953" s="814"/>
      <c r="B953" s="814"/>
      <c r="C953" s="814"/>
      <c r="D953" s="815"/>
      <c r="E953" s="837"/>
      <c r="F953" s="817"/>
      <c r="G953" s="818"/>
      <c r="H953" s="819"/>
      <c r="I953" s="820"/>
      <c r="J953" s="815"/>
      <c r="K953" s="514"/>
      <c r="L953" s="437"/>
      <c r="M953" s="437"/>
      <c r="N953" s="437"/>
    </row>
    <row r="954">
      <c r="A954" s="814"/>
      <c r="B954" s="814"/>
      <c r="C954" s="814"/>
      <c r="D954" s="815"/>
      <c r="E954" s="837"/>
      <c r="F954" s="817"/>
      <c r="G954" s="818"/>
      <c r="H954" s="819"/>
      <c r="I954" s="820"/>
      <c r="J954" s="815"/>
      <c r="K954" s="514"/>
      <c r="L954" s="437"/>
      <c r="M954" s="437"/>
      <c r="N954" s="437"/>
    </row>
    <row r="955">
      <c r="A955" s="814"/>
      <c r="B955" s="814"/>
      <c r="C955" s="814"/>
      <c r="D955" s="815"/>
      <c r="E955" s="837"/>
      <c r="F955" s="817"/>
      <c r="G955" s="818"/>
      <c r="H955" s="819"/>
      <c r="I955" s="820"/>
      <c r="J955" s="815"/>
      <c r="K955" s="514"/>
      <c r="L955" s="437"/>
      <c r="M955" s="437"/>
      <c r="N955" s="437"/>
    </row>
    <row r="956">
      <c r="A956" s="814"/>
      <c r="B956" s="814"/>
      <c r="C956" s="814"/>
      <c r="D956" s="815"/>
      <c r="E956" s="837"/>
      <c r="F956" s="817"/>
      <c r="G956" s="818"/>
      <c r="H956" s="819"/>
      <c r="I956" s="820"/>
      <c r="J956" s="815"/>
      <c r="K956" s="514"/>
      <c r="L956" s="437"/>
      <c r="M956" s="437"/>
      <c r="N956" s="437"/>
    </row>
    <row r="957">
      <c r="A957" s="814"/>
      <c r="B957" s="814"/>
      <c r="C957" s="814"/>
      <c r="D957" s="815"/>
      <c r="E957" s="837"/>
      <c r="F957" s="817"/>
      <c r="G957" s="818"/>
      <c r="H957" s="819"/>
      <c r="I957" s="820"/>
      <c r="J957" s="815"/>
      <c r="K957" s="514"/>
      <c r="L957" s="437"/>
      <c r="M957" s="437"/>
      <c r="N957" s="437"/>
    </row>
    <row r="958">
      <c r="A958" s="814"/>
      <c r="B958" s="814"/>
      <c r="C958" s="814"/>
      <c r="D958" s="815"/>
      <c r="E958" s="837"/>
      <c r="F958" s="817"/>
      <c r="G958" s="818"/>
      <c r="H958" s="819"/>
      <c r="I958" s="820"/>
      <c r="J958" s="815"/>
      <c r="K958" s="514"/>
      <c r="L958" s="437"/>
      <c r="M958" s="437"/>
      <c r="N958" s="437"/>
    </row>
    <row r="959">
      <c r="A959" s="814"/>
      <c r="B959" s="814"/>
      <c r="C959" s="814"/>
      <c r="D959" s="815"/>
      <c r="E959" s="837"/>
      <c r="F959" s="817"/>
      <c r="G959" s="818"/>
      <c r="H959" s="819"/>
      <c r="I959" s="820"/>
      <c r="J959" s="815"/>
      <c r="K959" s="514"/>
      <c r="L959" s="437"/>
      <c r="M959" s="437"/>
      <c r="N959" s="437"/>
    </row>
    <row r="960">
      <c r="A960" s="814"/>
      <c r="B960" s="814"/>
      <c r="C960" s="814"/>
      <c r="D960" s="815"/>
      <c r="E960" s="837"/>
      <c r="F960" s="817"/>
      <c r="G960" s="818"/>
      <c r="H960" s="819"/>
      <c r="I960" s="820"/>
      <c r="J960" s="815"/>
      <c r="K960" s="514"/>
      <c r="L960" s="437"/>
      <c r="M960" s="437"/>
      <c r="N960" s="437"/>
    </row>
    <row r="961">
      <c r="A961" s="814"/>
      <c r="B961" s="814"/>
      <c r="C961" s="814"/>
      <c r="D961" s="815"/>
      <c r="E961" s="837"/>
      <c r="F961" s="817"/>
      <c r="G961" s="818"/>
      <c r="H961" s="819"/>
      <c r="I961" s="820"/>
      <c r="J961" s="815"/>
      <c r="K961" s="514"/>
      <c r="L961" s="437"/>
      <c r="M961" s="437"/>
      <c r="N961" s="437"/>
    </row>
    <row r="962">
      <c r="A962" s="814"/>
      <c r="B962" s="814"/>
      <c r="C962" s="814"/>
      <c r="D962" s="815"/>
      <c r="E962" s="837"/>
      <c r="F962" s="817"/>
      <c r="G962" s="818"/>
      <c r="H962" s="819"/>
      <c r="I962" s="820"/>
      <c r="J962" s="815"/>
      <c r="K962" s="514"/>
      <c r="L962" s="437"/>
      <c r="M962" s="437"/>
      <c r="N962" s="437"/>
    </row>
    <row r="963">
      <c r="A963" s="814"/>
      <c r="B963" s="814"/>
      <c r="C963" s="814"/>
      <c r="D963" s="815"/>
      <c r="E963" s="837"/>
      <c r="F963" s="817"/>
      <c r="G963" s="818"/>
      <c r="H963" s="819"/>
      <c r="I963" s="820"/>
      <c r="J963" s="815"/>
      <c r="K963" s="514"/>
      <c r="L963" s="437"/>
      <c r="M963" s="437"/>
      <c r="N963" s="437"/>
    </row>
    <row r="964">
      <c r="A964" s="814"/>
      <c r="B964" s="814"/>
      <c r="C964" s="814"/>
      <c r="D964" s="815"/>
      <c r="E964" s="837"/>
      <c r="F964" s="817"/>
      <c r="G964" s="818"/>
      <c r="H964" s="819"/>
      <c r="I964" s="820"/>
      <c r="J964" s="815"/>
      <c r="K964" s="514"/>
      <c r="L964" s="437"/>
      <c r="M964" s="437"/>
      <c r="N964" s="437"/>
    </row>
    <row r="965">
      <c r="A965" s="814"/>
      <c r="B965" s="814"/>
      <c r="C965" s="814"/>
      <c r="D965" s="815"/>
      <c r="E965" s="837"/>
      <c r="F965" s="817"/>
      <c r="G965" s="818"/>
      <c r="H965" s="819"/>
      <c r="I965" s="820"/>
      <c r="J965" s="815"/>
      <c r="K965" s="514"/>
      <c r="L965" s="437"/>
      <c r="M965" s="437"/>
      <c r="N965" s="437"/>
    </row>
    <row r="966">
      <c r="A966" s="814"/>
      <c r="B966" s="814"/>
      <c r="C966" s="814"/>
      <c r="D966" s="815"/>
      <c r="E966" s="837"/>
      <c r="F966" s="817"/>
      <c r="G966" s="818"/>
      <c r="H966" s="819"/>
      <c r="I966" s="820"/>
      <c r="J966" s="815"/>
      <c r="K966" s="514"/>
      <c r="L966" s="437"/>
      <c r="M966" s="437"/>
      <c r="N966" s="437"/>
    </row>
    <row r="967">
      <c r="A967" s="814"/>
      <c r="B967" s="814"/>
      <c r="C967" s="814"/>
      <c r="D967" s="815"/>
      <c r="E967" s="837"/>
      <c r="F967" s="817"/>
      <c r="G967" s="818"/>
      <c r="H967" s="819"/>
      <c r="I967" s="820"/>
      <c r="J967" s="815"/>
      <c r="K967" s="514"/>
      <c r="L967" s="437"/>
      <c r="M967" s="437"/>
      <c r="N967" s="437"/>
    </row>
    <row r="968">
      <c r="A968" s="814"/>
      <c r="B968" s="814"/>
      <c r="C968" s="814"/>
      <c r="D968" s="815"/>
      <c r="E968" s="837"/>
      <c r="F968" s="817"/>
      <c r="G968" s="818"/>
      <c r="H968" s="819"/>
      <c r="I968" s="820"/>
      <c r="J968" s="815"/>
      <c r="K968" s="514"/>
      <c r="L968" s="437"/>
      <c r="M968" s="437"/>
      <c r="N968" s="437"/>
    </row>
    <row r="969">
      <c r="A969" s="814"/>
      <c r="B969" s="814"/>
      <c r="C969" s="814"/>
      <c r="D969" s="815"/>
      <c r="E969" s="837"/>
      <c r="F969" s="817"/>
      <c r="G969" s="818"/>
      <c r="H969" s="819"/>
      <c r="I969" s="820"/>
      <c r="J969" s="815"/>
      <c r="K969" s="514"/>
      <c r="L969" s="437"/>
      <c r="M969" s="437"/>
      <c r="N969" s="437"/>
    </row>
    <row r="970">
      <c r="A970" s="814"/>
      <c r="B970" s="814"/>
      <c r="C970" s="814"/>
      <c r="D970" s="815"/>
      <c r="E970" s="837"/>
      <c r="F970" s="817"/>
      <c r="G970" s="818"/>
      <c r="H970" s="819"/>
      <c r="I970" s="820"/>
      <c r="J970" s="815"/>
      <c r="K970" s="514"/>
      <c r="L970" s="437"/>
      <c r="M970" s="437"/>
      <c r="N970" s="437"/>
    </row>
    <row r="971">
      <c r="A971" s="814"/>
      <c r="B971" s="814"/>
      <c r="C971" s="814"/>
      <c r="D971" s="815"/>
      <c r="E971" s="837"/>
      <c r="F971" s="817"/>
      <c r="G971" s="818"/>
      <c r="H971" s="819"/>
      <c r="I971" s="820"/>
      <c r="J971" s="815"/>
      <c r="K971" s="514"/>
      <c r="L971" s="437"/>
      <c r="M971" s="437"/>
      <c r="N971" s="437"/>
    </row>
    <row r="972">
      <c r="A972" s="814"/>
      <c r="B972" s="814"/>
      <c r="C972" s="814"/>
      <c r="D972" s="815"/>
      <c r="E972" s="837"/>
      <c r="F972" s="817"/>
      <c r="G972" s="818"/>
      <c r="H972" s="819"/>
      <c r="I972" s="820"/>
      <c r="J972" s="815"/>
      <c r="K972" s="514"/>
      <c r="L972" s="437"/>
      <c r="M972" s="437"/>
      <c r="N972" s="437"/>
    </row>
    <row r="973">
      <c r="A973" s="814"/>
      <c r="B973" s="814"/>
      <c r="C973" s="814"/>
      <c r="D973" s="815"/>
      <c r="E973" s="837"/>
      <c r="F973" s="817"/>
      <c r="G973" s="818"/>
      <c r="H973" s="819"/>
      <c r="I973" s="820"/>
      <c r="J973" s="815"/>
      <c r="K973" s="514"/>
      <c r="L973" s="437"/>
      <c r="M973" s="437"/>
      <c r="N973" s="437"/>
    </row>
    <row r="974">
      <c r="A974" s="814"/>
      <c r="B974" s="814"/>
      <c r="C974" s="814"/>
      <c r="D974" s="815"/>
      <c r="E974" s="837"/>
      <c r="F974" s="817"/>
      <c r="G974" s="818"/>
      <c r="H974" s="819"/>
      <c r="I974" s="820"/>
      <c r="J974" s="815"/>
      <c r="K974" s="514"/>
      <c r="L974" s="437"/>
      <c r="M974" s="437"/>
      <c r="N974" s="437"/>
    </row>
    <row r="975">
      <c r="A975" s="814"/>
      <c r="B975" s="814"/>
      <c r="C975" s="814"/>
      <c r="D975" s="815"/>
      <c r="E975" s="837"/>
      <c r="F975" s="817"/>
      <c r="G975" s="818"/>
      <c r="H975" s="819"/>
      <c r="I975" s="820"/>
      <c r="J975" s="815"/>
      <c r="K975" s="514"/>
      <c r="L975" s="437"/>
      <c r="M975" s="437"/>
      <c r="N975" s="437"/>
    </row>
    <row r="976">
      <c r="A976" s="814"/>
      <c r="B976" s="814"/>
      <c r="C976" s="814"/>
      <c r="D976" s="815"/>
      <c r="E976" s="837"/>
      <c r="F976" s="817"/>
      <c r="G976" s="818"/>
      <c r="H976" s="819"/>
      <c r="I976" s="820"/>
      <c r="J976" s="815"/>
      <c r="K976" s="514"/>
      <c r="L976" s="437"/>
      <c r="M976" s="437"/>
      <c r="N976" s="437"/>
    </row>
    <row r="977">
      <c r="A977" s="814"/>
      <c r="B977" s="814"/>
      <c r="C977" s="814"/>
      <c r="D977" s="815"/>
      <c r="E977" s="837"/>
      <c r="F977" s="817"/>
      <c r="G977" s="818"/>
      <c r="H977" s="819"/>
      <c r="I977" s="820"/>
      <c r="J977" s="815"/>
      <c r="K977" s="514"/>
      <c r="L977" s="437"/>
      <c r="M977" s="437"/>
      <c r="N977" s="437"/>
    </row>
    <row r="978">
      <c r="A978" s="814"/>
      <c r="B978" s="814"/>
      <c r="C978" s="814"/>
      <c r="D978" s="815"/>
      <c r="E978" s="837"/>
      <c r="F978" s="817"/>
      <c r="G978" s="818"/>
      <c r="H978" s="819"/>
      <c r="I978" s="820"/>
      <c r="J978" s="815"/>
      <c r="K978" s="514"/>
      <c r="L978" s="437"/>
      <c r="M978" s="437"/>
      <c r="N978" s="437"/>
    </row>
    <row r="979">
      <c r="A979" s="814"/>
      <c r="B979" s="814"/>
      <c r="C979" s="814"/>
      <c r="D979" s="815"/>
      <c r="E979" s="837"/>
      <c r="F979" s="817"/>
      <c r="G979" s="818"/>
      <c r="H979" s="819"/>
      <c r="I979" s="820"/>
      <c r="J979" s="815"/>
      <c r="K979" s="514"/>
      <c r="L979" s="437"/>
      <c r="M979" s="437"/>
      <c r="N979" s="437"/>
    </row>
    <row r="980">
      <c r="A980" s="814"/>
      <c r="B980" s="814"/>
      <c r="C980" s="814"/>
      <c r="D980" s="815"/>
      <c r="E980" s="837"/>
      <c r="F980" s="817"/>
      <c r="G980" s="818"/>
      <c r="H980" s="819"/>
      <c r="I980" s="820"/>
      <c r="J980" s="815"/>
      <c r="K980" s="514"/>
      <c r="L980" s="437"/>
      <c r="M980" s="437"/>
      <c r="N980" s="437"/>
    </row>
    <row r="981">
      <c r="A981" s="814"/>
      <c r="B981" s="814"/>
      <c r="C981" s="814"/>
      <c r="D981" s="815"/>
      <c r="E981" s="837"/>
      <c r="F981" s="817"/>
      <c r="G981" s="818"/>
      <c r="H981" s="819"/>
      <c r="I981" s="820"/>
      <c r="J981" s="815"/>
      <c r="K981" s="514"/>
      <c r="L981" s="437"/>
      <c r="M981" s="437"/>
      <c r="N981" s="437"/>
    </row>
    <row r="982">
      <c r="A982" s="814"/>
      <c r="B982" s="814"/>
      <c r="C982" s="814"/>
      <c r="D982" s="815"/>
      <c r="E982" s="837"/>
      <c r="F982" s="817"/>
      <c r="G982" s="818"/>
      <c r="H982" s="819"/>
      <c r="I982" s="820"/>
      <c r="J982" s="815"/>
      <c r="K982" s="514"/>
      <c r="L982" s="437"/>
      <c r="M982" s="437"/>
      <c r="N982" s="437"/>
    </row>
    <row r="983">
      <c r="A983" s="814"/>
      <c r="B983" s="814"/>
      <c r="C983" s="814"/>
      <c r="D983" s="815"/>
      <c r="E983" s="837"/>
      <c r="F983" s="817"/>
      <c r="G983" s="818"/>
      <c r="H983" s="819"/>
      <c r="I983" s="820"/>
      <c r="J983" s="815"/>
      <c r="K983" s="514"/>
      <c r="L983" s="437"/>
      <c r="M983" s="437"/>
      <c r="N983" s="437"/>
    </row>
    <row r="984">
      <c r="A984" s="814"/>
      <c r="B984" s="814"/>
      <c r="C984" s="814"/>
      <c r="D984" s="815"/>
      <c r="E984" s="837"/>
      <c r="F984" s="817"/>
      <c r="G984" s="818"/>
      <c r="H984" s="819"/>
      <c r="I984" s="820"/>
      <c r="J984" s="815"/>
      <c r="K984" s="514"/>
      <c r="L984" s="437"/>
      <c r="M984" s="437"/>
      <c r="N984" s="437"/>
    </row>
    <row r="985">
      <c r="A985" s="814"/>
      <c r="B985" s="814"/>
      <c r="C985" s="814"/>
      <c r="D985" s="815"/>
      <c r="E985" s="837"/>
      <c r="F985" s="817"/>
      <c r="G985" s="818"/>
      <c r="H985" s="819"/>
      <c r="I985" s="820"/>
      <c r="J985" s="815"/>
      <c r="K985" s="514"/>
      <c r="L985" s="437"/>
      <c r="M985" s="437"/>
      <c r="N985" s="437"/>
    </row>
    <row r="986">
      <c r="A986" s="814"/>
      <c r="B986" s="814"/>
      <c r="C986" s="814"/>
      <c r="D986" s="815"/>
      <c r="E986" s="837"/>
      <c r="F986" s="817"/>
      <c r="G986" s="818"/>
      <c r="H986" s="819"/>
      <c r="I986" s="820"/>
      <c r="J986" s="815"/>
      <c r="K986" s="514"/>
      <c r="L986" s="437"/>
      <c r="M986" s="437"/>
      <c r="N986" s="437"/>
    </row>
    <row r="987">
      <c r="A987" s="814"/>
      <c r="B987" s="814"/>
      <c r="C987" s="814"/>
      <c r="D987" s="815"/>
      <c r="E987" s="837"/>
      <c r="F987" s="817"/>
      <c r="G987" s="818"/>
      <c r="H987" s="819"/>
      <c r="I987" s="820"/>
      <c r="J987" s="815"/>
      <c r="K987" s="514"/>
      <c r="L987" s="437"/>
      <c r="M987" s="437"/>
      <c r="N987" s="437"/>
    </row>
    <row r="988">
      <c r="A988" s="814"/>
      <c r="B988" s="814"/>
      <c r="C988" s="814"/>
      <c r="D988" s="815"/>
      <c r="E988" s="837"/>
      <c r="F988" s="817"/>
      <c r="G988" s="818"/>
      <c r="H988" s="819"/>
      <c r="I988" s="820"/>
      <c r="J988" s="815"/>
      <c r="K988" s="514"/>
      <c r="L988" s="437"/>
      <c r="M988" s="437"/>
      <c r="N988" s="437"/>
    </row>
    <row r="989">
      <c r="A989" s="814"/>
      <c r="B989" s="814"/>
      <c r="C989" s="814"/>
      <c r="D989" s="815"/>
      <c r="E989" s="837"/>
      <c r="F989" s="817"/>
      <c r="G989" s="818"/>
      <c r="H989" s="819"/>
      <c r="I989" s="820"/>
      <c r="J989" s="815"/>
      <c r="K989" s="514"/>
      <c r="L989" s="437"/>
      <c r="M989" s="437"/>
      <c r="N989" s="437"/>
    </row>
    <row r="990">
      <c r="A990" s="814"/>
      <c r="B990" s="814"/>
      <c r="C990" s="814"/>
      <c r="D990" s="815"/>
      <c r="E990" s="837"/>
      <c r="F990" s="817"/>
      <c r="G990" s="818"/>
      <c r="H990" s="819"/>
      <c r="I990" s="820"/>
      <c r="J990" s="815"/>
      <c r="K990" s="514"/>
      <c r="L990" s="437"/>
      <c r="M990" s="437"/>
      <c r="N990" s="437"/>
    </row>
    <row r="991">
      <c r="A991" s="814"/>
      <c r="B991" s="814"/>
      <c r="C991" s="814"/>
      <c r="D991" s="815"/>
      <c r="E991" s="837"/>
      <c r="F991" s="817"/>
      <c r="G991" s="818"/>
      <c r="H991" s="819"/>
      <c r="I991" s="820"/>
      <c r="J991" s="815"/>
      <c r="K991" s="514"/>
      <c r="L991" s="437"/>
      <c r="M991" s="437"/>
      <c r="N991" s="437"/>
    </row>
    <row r="992">
      <c r="A992" s="814"/>
      <c r="B992" s="814"/>
      <c r="C992" s="814"/>
      <c r="D992" s="815"/>
      <c r="E992" s="837"/>
      <c r="F992" s="817"/>
      <c r="G992" s="818"/>
      <c r="H992" s="819"/>
      <c r="I992" s="820"/>
      <c r="J992" s="815"/>
      <c r="K992" s="514"/>
      <c r="L992" s="437"/>
      <c r="M992" s="437"/>
      <c r="N992" s="437"/>
    </row>
    <row r="993">
      <c r="A993" s="814"/>
      <c r="B993" s="814"/>
      <c r="C993" s="814"/>
      <c r="D993" s="815"/>
      <c r="E993" s="837"/>
      <c r="F993" s="817"/>
      <c r="G993" s="818"/>
      <c r="H993" s="819"/>
      <c r="I993" s="820"/>
      <c r="J993" s="815"/>
      <c r="K993" s="514"/>
      <c r="L993" s="437"/>
      <c r="M993" s="437"/>
      <c r="N993" s="437"/>
    </row>
    <row r="994">
      <c r="A994" s="814"/>
      <c r="B994" s="814"/>
      <c r="C994" s="814"/>
      <c r="D994" s="815"/>
      <c r="E994" s="837"/>
      <c r="F994" s="817"/>
      <c r="G994" s="818"/>
      <c r="H994" s="819"/>
      <c r="I994" s="820"/>
      <c r="J994" s="815"/>
      <c r="K994" s="514"/>
      <c r="L994" s="437"/>
      <c r="M994" s="437"/>
      <c r="N994" s="437"/>
    </row>
    <row r="995">
      <c r="A995" s="814"/>
      <c r="B995" s="814"/>
      <c r="C995" s="814"/>
      <c r="D995" s="815"/>
      <c r="E995" s="837"/>
      <c r="F995" s="817"/>
      <c r="G995" s="818"/>
      <c r="H995" s="819"/>
      <c r="I995" s="820"/>
      <c r="J995" s="815"/>
      <c r="K995" s="514"/>
      <c r="L995" s="437"/>
      <c r="M995" s="437"/>
      <c r="N995" s="437"/>
    </row>
    <row r="996">
      <c r="A996" s="814"/>
      <c r="B996" s="814"/>
      <c r="C996" s="814"/>
      <c r="D996" s="815"/>
      <c r="E996" s="837"/>
      <c r="F996" s="817"/>
      <c r="G996" s="818"/>
      <c r="H996" s="819"/>
      <c r="I996" s="820"/>
      <c r="J996" s="815"/>
      <c r="K996" s="514"/>
      <c r="L996" s="437"/>
      <c r="M996" s="437"/>
      <c r="N996" s="437"/>
    </row>
    <row r="997">
      <c r="A997" s="814"/>
      <c r="B997" s="814"/>
      <c r="C997" s="814"/>
      <c r="D997" s="815"/>
      <c r="E997" s="837"/>
      <c r="F997" s="817"/>
      <c r="G997" s="818"/>
      <c r="H997" s="819"/>
      <c r="I997" s="820"/>
      <c r="J997" s="815"/>
      <c r="K997" s="514"/>
      <c r="L997" s="437"/>
      <c r="M997" s="437"/>
      <c r="N997" s="437"/>
    </row>
    <row r="998">
      <c r="A998" s="814"/>
      <c r="B998" s="814"/>
      <c r="C998" s="814"/>
      <c r="D998" s="815"/>
      <c r="E998" s="837"/>
      <c r="F998" s="817"/>
      <c r="G998" s="818"/>
      <c r="H998" s="819"/>
      <c r="I998" s="820"/>
      <c r="J998" s="815"/>
      <c r="K998" s="514"/>
      <c r="L998" s="437"/>
      <c r="M998" s="437"/>
      <c r="N998" s="437"/>
    </row>
    <row r="999">
      <c r="A999" s="814"/>
      <c r="B999" s="814"/>
      <c r="C999" s="814"/>
      <c r="D999" s="815"/>
      <c r="E999" s="837"/>
      <c r="F999" s="817"/>
      <c r="G999" s="818"/>
      <c r="H999" s="819"/>
      <c r="I999" s="820"/>
      <c r="J999" s="815"/>
      <c r="K999" s="514"/>
      <c r="L999" s="437"/>
      <c r="M999" s="437"/>
      <c r="N999" s="437"/>
    </row>
    <row r="1000">
      <c r="A1000" s="814"/>
      <c r="B1000" s="814"/>
      <c r="C1000" s="814"/>
      <c r="D1000" s="815"/>
      <c r="E1000" s="837"/>
      <c r="F1000" s="817"/>
      <c r="G1000" s="818"/>
      <c r="H1000" s="819"/>
      <c r="I1000" s="820"/>
      <c r="J1000" s="815"/>
      <c r="K1000" s="514"/>
      <c r="L1000" s="437"/>
      <c r="M1000" s="437"/>
      <c r="N1000" s="437"/>
    </row>
    <row r="1001">
      <c r="A1001" s="814"/>
      <c r="B1001" s="814"/>
      <c r="C1001" s="814"/>
      <c r="D1001" s="815"/>
      <c r="E1001" s="837"/>
      <c r="F1001" s="817"/>
      <c r="G1001" s="818"/>
      <c r="H1001" s="819"/>
      <c r="I1001" s="820"/>
      <c r="J1001" s="815"/>
      <c r="K1001" s="514"/>
      <c r="L1001" s="437"/>
      <c r="M1001" s="437"/>
      <c r="N1001" s="437"/>
    </row>
    <row r="1002">
      <c r="A1002" s="814"/>
      <c r="B1002" s="814"/>
      <c r="C1002" s="814"/>
      <c r="D1002" s="815"/>
      <c r="E1002" s="837"/>
      <c r="F1002" s="817"/>
      <c r="G1002" s="818"/>
      <c r="H1002" s="819"/>
      <c r="I1002" s="820"/>
      <c r="J1002" s="815"/>
      <c r="K1002" s="514"/>
      <c r="L1002" s="437"/>
      <c r="M1002" s="437"/>
      <c r="N1002" s="437"/>
    </row>
    <row r="1003">
      <c r="A1003" s="814"/>
      <c r="B1003" s="814"/>
      <c r="C1003" s="814"/>
      <c r="D1003" s="815"/>
      <c r="E1003" s="837"/>
      <c r="F1003" s="817"/>
      <c r="G1003" s="818"/>
      <c r="H1003" s="819"/>
      <c r="I1003" s="820"/>
      <c r="J1003" s="815"/>
      <c r="K1003" s="514"/>
      <c r="L1003" s="437"/>
      <c r="M1003" s="437"/>
      <c r="N1003" s="437"/>
    </row>
    <row r="1004">
      <c r="A1004" s="814"/>
      <c r="B1004" s="814"/>
      <c r="C1004" s="814"/>
      <c r="D1004" s="815"/>
      <c r="E1004" s="837"/>
      <c r="F1004" s="817"/>
      <c r="G1004" s="818"/>
      <c r="H1004" s="819"/>
      <c r="I1004" s="820"/>
      <c r="J1004" s="815"/>
      <c r="K1004" s="514"/>
      <c r="L1004" s="437"/>
      <c r="M1004" s="437"/>
      <c r="N1004" s="437"/>
    </row>
    <row r="1005">
      <c r="A1005" s="814"/>
      <c r="B1005" s="814"/>
      <c r="C1005" s="814"/>
      <c r="D1005" s="815"/>
      <c r="E1005" s="837"/>
      <c r="F1005" s="817"/>
      <c r="G1005" s="818"/>
      <c r="H1005" s="819"/>
      <c r="I1005" s="820"/>
      <c r="J1005" s="815"/>
      <c r="K1005" s="514"/>
      <c r="L1005" s="437"/>
      <c r="M1005" s="437"/>
      <c r="N1005" s="437"/>
    </row>
    <row r="1006">
      <c r="A1006" s="814"/>
      <c r="B1006" s="814"/>
      <c r="C1006" s="814"/>
      <c r="D1006" s="815"/>
      <c r="E1006" s="837"/>
      <c r="F1006" s="817"/>
      <c r="G1006" s="818"/>
      <c r="H1006" s="819"/>
      <c r="I1006" s="820"/>
      <c r="J1006" s="815"/>
      <c r="K1006" s="514"/>
      <c r="L1006" s="437"/>
      <c r="M1006" s="437"/>
      <c r="N1006" s="437"/>
    </row>
    <row r="1007">
      <c r="A1007" s="814"/>
      <c r="B1007" s="814"/>
      <c r="C1007" s="814"/>
      <c r="D1007" s="815"/>
      <c r="E1007" s="837"/>
      <c r="F1007" s="817"/>
      <c r="G1007" s="818"/>
      <c r="H1007" s="819"/>
      <c r="I1007" s="820"/>
      <c r="J1007" s="815"/>
      <c r="K1007" s="514"/>
      <c r="L1007" s="437"/>
      <c r="M1007" s="437"/>
      <c r="N1007" s="437"/>
    </row>
    <row r="1008">
      <c r="A1008" s="814"/>
      <c r="B1008" s="814"/>
      <c r="C1008" s="814"/>
      <c r="D1008" s="815"/>
      <c r="E1008" s="837"/>
      <c r="F1008" s="817"/>
      <c r="G1008" s="818"/>
      <c r="H1008" s="819"/>
      <c r="I1008" s="820"/>
      <c r="J1008" s="815"/>
      <c r="K1008" s="514"/>
      <c r="L1008" s="437"/>
      <c r="M1008" s="437"/>
      <c r="N1008" s="437"/>
    </row>
    <row r="1009">
      <c r="A1009" s="814"/>
      <c r="B1009" s="814"/>
      <c r="C1009" s="814"/>
      <c r="D1009" s="815"/>
      <c r="E1009" s="837"/>
      <c r="F1009" s="817"/>
      <c r="G1009" s="818"/>
      <c r="H1009" s="819"/>
      <c r="I1009" s="820"/>
      <c r="J1009" s="815"/>
      <c r="K1009" s="514"/>
      <c r="L1009" s="437"/>
      <c r="M1009" s="437"/>
      <c r="N1009" s="437"/>
    </row>
    <row r="1010">
      <c r="A1010" s="814"/>
      <c r="B1010" s="814"/>
      <c r="C1010" s="814"/>
      <c r="D1010" s="815"/>
      <c r="E1010" s="837"/>
      <c r="F1010" s="817"/>
      <c r="G1010" s="818"/>
      <c r="H1010" s="819"/>
      <c r="I1010" s="820"/>
      <c r="J1010" s="815"/>
      <c r="K1010" s="514"/>
      <c r="L1010" s="437"/>
      <c r="M1010" s="437"/>
      <c r="N1010" s="437"/>
    </row>
    <row r="1011">
      <c r="A1011" s="814"/>
      <c r="B1011" s="814"/>
      <c r="C1011" s="814"/>
      <c r="D1011" s="815"/>
      <c r="E1011" s="837"/>
      <c r="F1011" s="817"/>
      <c r="G1011" s="818"/>
      <c r="H1011" s="819"/>
      <c r="I1011" s="820"/>
      <c r="J1011" s="815"/>
      <c r="K1011" s="514"/>
      <c r="L1011" s="437"/>
      <c r="M1011" s="437"/>
      <c r="N1011" s="437"/>
    </row>
    <row r="1012">
      <c r="A1012" s="814"/>
      <c r="B1012" s="814"/>
      <c r="C1012" s="814"/>
      <c r="D1012" s="815"/>
      <c r="E1012" s="837"/>
      <c r="F1012" s="817"/>
      <c r="G1012" s="818"/>
      <c r="H1012" s="819"/>
      <c r="I1012" s="820"/>
      <c r="J1012" s="815"/>
      <c r="K1012" s="514"/>
      <c r="L1012" s="437"/>
      <c r="M1012" s="437"/>
      <c r="N1012" s="437"/>
    </row>
    <row r="1013">
      <c r="A1013" s="814"/>
      <c r="B1013" s="814"/>
      <c r="C1013" s="814"/>
      <c r="D1013" s="815"/>
      <c r="E1013" s="837"/>
      <c r="F1013" s="817"/>
      <c r="G1013" s="818"/>
      <c r="H1013" s="819"/>
      <c r="I1013" s="820"/>
      <c r="J1013" s="815"/>
      <c r="K1013" s="514"/>
      <c r="L1013" s="437"/>
      <c r="M1013" s="437"/>
      <c r="N1013" s="437"/>
    </row>
    <row r="1014">
      <c r="A1014" s="814"/>
      <c r="B1014" s="814"/>
      <c r="C1014" s="814"/>
      <c r="D1014" s="815"/>
      <c r="E1014" s="837"/>
      <c r="F1014" s="817"/>
      <c r="G1014" s="818"/>
      <c r="H1014" s="819"/>
      <c r="I1014" s="820"/>
      <c r="J1014" s="815"/>
      <c r="K1014" s="514"/>
      <c r="L1014" s="437"/>
      <c r="M1014" s="437"/>
      <c r="N1014" s="437"/>
    </row>
    <row r="1015">
      <c r="A1015" s="814"/>
      <c r="B1015" s="814"/>
      <c r="C1015" s="814"/>
      <c r="D1015" s="815"/>
      <c r="E1015" s="837"/>
      <c r="F1015" s="817"/>
      <c r="G1015" s="818"/>
      <c r="H1015" s="819"/>
      <c r="I1015" s="820"/>
      <c r="J1015" s="815"/>
      <c r="K1015" s="514"/>
      <c r="L1015" s="437"/>
      <c r="M1015" s="437"/>
      <c r="N1015" s="437"/>
    </row>
    <row r="1016">
      <c r="A1016" s="814"/>
      <c r="B1016" s="814"/>
      <c r="C1016" s="814"/>
      <c r="D1016" s="815"/>
      <c r="E1016" s="837"/>
      <c r="F1016" s="817"/>
      <c r="G1016" s="818"/>
      <c r="H1016" s="819"/>
      <c r="I1016" s="820"/>
      <c r="J1016" s="815"/>
      <c r="K1016" s="514"/>
      <c r="L1016" s="437"/>
      <c r="M1016" s="437"/>
      <c r="N1016" s="437"/>
    </row>
    <row r="1017">
      <c r="A1017" s="814"/>
      <c r="B1017" s="814"/>
      <c r="C1017" s="814"/>
      <c r="D1017" s="815"/>
      <c r="E1017" s="837"/>
      <c r="F1017" s="817"/>
      <c r="G1017" s="818"/>
      <c r="H1017" s="819"/>
      <c r="I1017" s="820"/>
      <c r="J1017" s="815"/>
      <c r="K1017" s="514"/>
      <c r="L1017" s="437"/>
      <c r="M1017" s="437"/>
      <c r="N1017" s="437"/>
    </row>
    <row r="1018">
      <c r="A1018" s="814"/>
      <c r="B1018" s="814"/>
      <c r="C1018" s="814"/>
      <c r="D1018" s="815"/>
      <c r="E1018" s="837"/>
      <c r="F1018" s="817"/>
      <c r="G1018" s="818"/>
      <c r="H1018" s="819"/>
      <c r="I1018" s="820"/>
      <c r="J1018" s="815"/>
      <c r="K1018" s="514"/>
      <c r="L1018" s="437"/>
      <c r="M1018" s="437"/>
      <c r="N1018" s="437"/>
    </row>
    <row r="1019">
      <c r="A1019" s="814"/>
      <c r="B1019" s="814"/>
      <c r="C1019" s="814"/>
      <c r="D1019" s="815"/>
      <c r="E1019" s="837"/>
      <c r="F1019" s="817"/>
      <c r="G1019" s="818"/>
      <c r="H1019" s="819"/>
      <c r="I1019" s="820"/>
      <c r="J1019" s="815"/>
      <c r="K1019" s="514"/>
      <c r="L1019" s="437"/>
      <c r="M1019" s="437"/>
      <c r="N1019" s="437"/>
    </row>
    <row r="1020">
      <c r="A1020" s="814"/>
      <c r="B1020" s="814"/>
      <c r="C1020" s="814"/>
      <c r="D1020" s="815"/>
      <c r="E1020" s="837"/>
      <c r="F1020" s="817"/>
      <c r="G1020" s="818"/>
      <c r="H1020" s="819"/>
      <c r="I1020" s="820"/>
      <c r="J1020" s="815"/>
      <c r="K1020" s="514"/>
      <c r="L1020" s="437"/>
      <c r="M1020" s="437"/>
      <c r="N1020" s="437"/>
    </row>
    <row r="1021">
      <c r="A1021" s="814"/>
      <c r="B1021" s="814"/>
      <c r="C1021" s="814"/>
      <c r="D1021" s="815"/>
      <c r="E1021" s="837"/>
      <c r="F1021" s="817"/>
      <c r="G1021" s="818"/>
      <c r="H1021" s="819"/>
      <c r="I1021" s="820"/>
      <c r="J1021" s="815"/>
      <c r="K1021" s="514"/>
      <c r="L1021" s="437"/>
      <c r="M1021" s="437"/>
      <c r="N1021" s="437"/>
    </row>
    <row r="1022">
      <c r="A1022" s="814"/>
      <c r="B1022" s="814"/>
      <c r="C1022" s="814"/>
      <c r="D1022" s="815"/>
      <c r="E1022" s="837"/>
      <c r="F1022" s="817"/>
      <c r="G1022" s="818"/>
      <c r="H1022" s="819"/>
      <c r="I1022" s="820"/>
      <c r="J1022" s="815"/>
      <c r="K1022" s="514"/>
      <c r="L1022" s="437"/>
      <c r="M1022" s="437"/>
      <c r="N1022" s="437"/>
    </row>
    <row r="1023">
      <c r="A1023" s="814"/>
      <c r="B1023" s="814"/>
      <c r="C1023" s="814"/>
      <c r="D1023" s="815"/>
      <c r="E1023" s="837"/>
      <c r="F1023" s="817"/>
      <c r="G1023" s="818"/>
      <c r="H1023" s="819"/>
      <c r="I1023" s="820"/>
      <c r="J1023" s="815"/>
      <c r="K1023" s="514"/>
      <c r="L1023" s="437"/>
      <c r="M1023" s="437"/>
      <c r="N1023" s="437"/>
    </row>
    <row r="1024">
      <c r="A1024" s="814"/>
      <c r="B1024" s="814"/>
      <c r="C1024" s="814"/>
      <c r="D1024" s="815"/>
      <c r="E1024" s="837"/>
      <c r="F1024" s="817"/>
      <c r="G1024" s="818"/>
      <c r="H1024" s="819"/>
      <c r="I1024" s="820"/>
      <c r="J1024" s="815"/>
      <c r="K1024" s="514"/>
      <c r="L1024" s="437"/>
      <c r="M1024" s="437"/>
      <c r="N1024" s="437"/>
    </row>
    <row r="1025">
      <c r="A1025" s="814"/>
      <c r="B1025" s="814"/>
      <c r="C1025" s="814"/>
      <c r="D1025" s="815"/>
      <c r="E1025" s="837"/>
      <c r="F1025" s="817"/>
      <c r="G1025" s="818"/>
      <c r="H1025" s="819"/>
      <c r="I1025" s="820"/>
      <c r="J1025" s="815"/>
      <c r="K1025" s="514"/>
      <c r="L1025" s="437"/>
      <c r="M1025" s="437"/>
      <c r="N1025" s="437"/>
    </row>
    <row r="1026">
      <c r="A1026" s="814"/>
      <c r="B1026" s="814"/>
      <c r="C1026" s="814"/>
      <c r="D1026" s="815"/>
      <c r="E1026" s="837"/>
      <c r="F1026" s="817"/>
      <c r="G1026" s="818"/>
      <c r="H1026" s="819"/>
      <c r="I1026" s="820"/>
      <c r="J1026" s="815"/>
      <c r="K1026" s="514"/>
      <c r="L1026" s="437"/>
      <c r="M1026" s="437"/>
      <c r="N1026" s="437"/>
    </row>
    <row r="1027">
      <c r="A1027" s="814"/>
      <c r="B1027" s="814"/>
      <c r="C1027" s="814"/>
      <c r="D1027" s="815"/>
      <c r="E1027" s="837"/>
      <c r="F1027" s="817"/>
      <c r="G1027" s="818"/>
      <c r="H1027" s="819"/>
      <c r="I1027" s="820"/>
      <c r="J1027" s="815"/>
      <c r="K1027" s="514"/>
      <c r="L1027" s="437"/>
      <c r="M1027" s="437"/>
      <c r="N1027" s="437"/>
    </row>
    <row r="1028">
      <c r="A1028" s="814"/>
      <c r="B1028" s="814"/>
      <c r="C1028" s="814"/>
      <c r="D1028" s="815"/>
      <c r="E1028" s="837"/>
      <c r="F1028" s="817"/>
      <c r="G1028" s="818"/>
      <c r="H1028" s="819"/>
      <c r="I1028" s="820"/>
      <c r="J1028" s="815"/>
      <c r="K1028" s="514"/>
      <c r="L1028" s="437"/>
      <c r="M1028" s="437"/>
      <c r="N1028" s="437"/>
    </row>
    <row r="1029">
      <c r="A1029" s="814"/>
      <c r="B1029" s="814"/>
      <c r="C1029" s="814"/>
      <c r="D1029" s="815"/>
      <c r="E1029" s="837"/>
      <c r="F1029" s="817"/>
      <c r="G1029" s="818"/>
      <c r="H1029" s="819"/>
      <c r="I1029" s="820"/>
      <c r="J1029" s="815"/>
      <c r="K1029" s="514"/>
      <c r="L1029" s="437"/>
      <c r="M1029" s="437"/>
      <c r="N1029" s="437"/>
    </row>
    <row r="1030">
      <c r="A1030" s="814"/>
      <c r="B1030" s="814"/>
      <c r="C1030" s="814"/>
      <c r="D1030" s="815"/>
      <c r="E1030" s="837"/>
      <c r="F1030" s="817"/>
      <c r="G1030" s="818"/>
      <c r="H1030" s="819"/>
      <c r="I1030" s="820"/>
      <c r="J1030" s="815"/>
      <c r="K1030" s="514"/>
      <c r="L1030" s="437"/>
      <c r="M1030" s="437"/>
      <c r="N1030" s="437"/>
    </row>
    <row r="1031">
      <c r="A1031" s="814"/>
      <c r="B1031" s="814"/>
      <c r="C1031" s="814"/>
      <c r="D1031" s="815"/>
      <c r="E1031" s="837"/>
      <c r="F1031" s="817"/>
      <c r="G1031" s="818"/>
      <c r="H1031" s="819"/>
      <c r="I1031" s="820"/>
      <c r="J1031" s="815"/>
      <c r="K1031" s="514"/>
      <c r="L1031" s="437"/>
      <c r="M1031" s="437"/>
      <c r="N1031" s="437"/>
    </row>
    <row r="1032">
      <c r="A1032" s="814"/>
      <c r="B1032" s="814"/>
      <c r="C1032" s="814"/>
      <c r="D1032" s="815"/>
      <c r="E1032" s="837"/>
      <c r="F1032" s="817"/>
      <c r="G1032" s="818"/>
      <c r="H1032" s="819"/>
      <c r="I1032" s="820"/>
      <c r="J1032" s="815"/>
      <c r="K1032" s="514"/>
      <c r="L1032" s="437"/>
      <c r="M1032" s="437"/>
      <c r="N1032" s="437"/>
    </row>
    <row r="1033">
      <c r="A1033" s="814"/>
      <c r="B1033" s="814"/>
      <c r="C1033" s="814"/>
      <c r="D1033" s="815"/>
      <c r="E1033" s="837"/>
      <c r="F1033" s="817"/>
      <c r="G1033" s="818"/>
      <c r="H1033" s="819"/>
      <c r="I1033" s="820"/>
      <c r="J1033" s="815"/>
      <c r="K1033" s="514"/>
      <c r="L1033" s="437"/>
      <c r="M1033" s="437"/>
      <c r="N1033" s="437"/>
    </row>
    <row r="1034">
      <c r="A1034" s="814"/>
      <c r="B1034" s="814"/>
      <c r="C1034" s="814"/>
      <c r="D1034" s="815"/>
      <c r="E1034" s="837"/>
      <c r="F1034" s="817"/>
      <c r="G1034" s="818"/>
      <c r="H1034" s="819"/>
      <c r="I1034" s="820"/>
      <c r="J1034" s="815"/>
      <c r="K1034" s="514"/>
      <c r="L1034" s="437"/>
      <c r="M1034" s="437"/>
      <c r="N1034" s="437"/>
    </row>
    <row r="1035">
      <c r="A1035" s="814"/>
      <c r="B1035" s="814"/>
      <c r="C1035" s="814"/>
      <c r="D1035" s="815"/>
      <c r="E1035" s="837"/>
      <c r="F1035" s="817"/>
      <c r="G1035" s="818"/>
      <c r="H1035" s="819"/>
      <c r="I1035" s="820"/>
      <c r="J1035" s="815"/>
      <c r="K1035" s="514"/>
      <c r="L1035" s="437"/>
      <c r="M1035" s="437"/>
      <c r="N1035" s="437"/>
    </row>
    <row r="1036">
      <c r="A1036" s="814"/>
      <c r="B1036" s="814"/>
      <c r="C1036" s="814"/>
      <c r="D1036" s="815"/>
      <c r="E1036" s="837"/>
      <c r="F1036" s="817"/>
      <c r="G1036" s="818"/>
      <c r="H1036" s="819"/>
      <c r="I1036" s="820"/>
      <c r="J1036" s="815"/>
      <c r="K1036" s="514"/>
      <c r="L1036" s="437"/>
      <c r="M1036" s="437"/>
      <c r="N1036" s="437"/>
    </row>
    <row r="1037">
      <c r="A1037" s="814"/>
      <c r="B1037" s="814"/>
      <c r="C1037" s="814"/>
      <c r="D1037" s="815"/>
      <c r="E1037" s="837"/>
      <c r="F1037" s="817"/>
      <c r="G1037" s="818"/>
      <c r="H1037" s="819"/>
      <c r="I1037" s="820"/>
      <c r="J1037" s="815"/>
      <c r="K1037" s="514"/>
      <c r="L1037" s="437"/>
      <c r="M1037" s="437"/>
      <c r="N1037" s="437"/>
    </row>
    <row r="1038">
      <c r="A1038" s="814"/>
      <c r="B1038" s="814"/>
      <c r="C1038" s="814"/>
      <c r="D1038" s="815"/>
      <c r="E1038" s="837"/>
      <c r="F1038" s="817"/>
      <c r="G1038" s="818"/>
      <c r="H1038" s="819"/>
      <c r="I1038" s="820"/>
      <c r="J1038" s="815"/>
      <c r="K1038" s="514"/>
      <c r="L1038" s="437"/>
      <c r="M1038" s="437"/>
      <c r="N1038" s="437"/>
    </row>
    <row r="1039">
      <c r="A1039" s="814"/>
      <c r="B1039" s="814"/>
      <c r="C1039" s="814"/>
      <c r="D1039" s="815"/>
      <c r="E1039" s="837"/>
      <c r="F1039" s="817"/>
      <c r="G1039" s="818"/>
      <c r="H1039" s="819"/>
      <c r="I1039" s="820"/>
      <c r="J1039" s="815"/>
      <c r="K1039" s="514"/>
      <c r="L1039" s="437"/>
      <c r="M1039" s="437"/>
      <c r="N1039" s="437"/>
    </row>
    <row r="1040">
      <c r="A1040" s="814"/>
      <c r="B1040" s="814"/>
      <c r="C1040" s="814"/>
      <c r="D1040" s="815"/>
      <c r="E1040" s="837"/>
      <c r="F1040" s="817"/>
      <c r="G1040" s="818"/>
      <c r="H1040" s="819"/>
      <c r="I1040" s="820"/>
      <c r="J1040" s="815"/>
      <c r="K1040" s="514"/>
      <c r="L1040" s="437"/>
      <c r="M1040" s="437"/>
      <c r="N1040" s="437"/>
    </row>
    <row r="1041">
      <c r="A1041" s="814"/>
      <c r="B1041" s="814"/>
      <c r="C1041" s="814"/>
      <c r="D1041" s="815"/>
      <c r="E1041" s="837"/>
      <c r="F1041" s="817"/>
      <c r="G1041" s="818"/>
      <c r="H1041" s="819"/>
      <c r="I1041" s="820"/>
      <c r="J1041" s="815"/>
      <c r="K1041" s="514"/>
      <c r="L1041" s="437"/>
      <c r="M1041" s="437"/>
      <c r="N1041" s="437"/>
    </row>
    <row r="1042">
      <c r="A1042" s="814"/>
      <c r="B1042" s="814"/>
      <c r="C1042" s="814"/>
      <c r="D1042" s="815"/>
      <c r="E1042" s="837"/>
      <c r="F1042" s="817"/>
      <c r="G1042" s="818"/>
      <c r="H1042" s="819"/>
      <c r="I1042" s="820"/>
      <c r="J1042" s="815"/>
      <c r="K1042" s="514"/>
      <c r="L1042" s="437"/>
      <c r="M1042" s="437"/>
      <c r="N1042" s="437"/>
    </row>
    <row r="1043">
      <c r="A1043" s="814"/>
      <c r="B1043" s="814"/>
      <c r="C1043" s="814"/>
      <c r="D1043" s="815"/>
      <c r="E1043" s="837"/>
      <c r="F1043" s="817"/>
      <c r="G1043" s="818"/>
      <c r="H1043" s="819"/>
      <c r="I1043" s="820"/>
      <c r="J1043" s="815"/>
      <c r="K1043" s="514"/>
      <c r="L1043" s="437"/>
      <c r="M1043" s="437"/>
      <c r="N1043" s="437"/>
    </row>
    <row r="1044">
      <c r="A1044" s="814"/>
      <c r="B1044" s="814"/>
      <c r="C1044" s="814"/>
      <c r="D1044" s="815"/>
      <c r="E1044" s="837"/>
      <c r="F1044" s="817"/>
      <c r="G1044" s="818"/>
      <c r="H1044" s="819"/>
      <c r="I1044" s="820"/>
      <c r="J1044" s="815"/>
      <c r="K1044" s="514"/>
      <c r="L1044" s="437"/>
      <c r="M1044" s="437"/>
      <c r="N1044" s="437"/>
    </row>
    <row r="1045">
      <c r="A1045" s="814"/>
      <c r="B1045" s="814"/>
      <c r="C1045" s="814"/>
      <c r="D1045" s="815"/>
      <c r="E1045" s="837"/>
      <c r="F1045" s="817"/>
      <c r="G1045" s="818"/>
      <c r="H1045" s="819"/>
      <c r="I1045" s="820"/>
      <c r="J1045" s="815"/>
      <c r="K1045" s="514"/>
      <c r="L1045" s="437"/>
      <c r="M1045" s="437"/>
      <c r="N1045" s="437"/>
    </row>
    <row r="1046">
      <c r="A1046" s="814"/>
      <c r="B1046" s="814"/>
      <c r="C1046" s="814"/>
      <c r="D1046" s="815"/>
      <c r="E1046" s="837"/>
      <c r="F1046" s="817"/>
      <c r="G1046" s="818"/>
      <c r="H1046" s="819"/>
      <c r="I1046" s="820"/>
      <c r="J1046" s="815"/>
      <c r="K1046" s="514"/>
      <c r="L1046" s="437"/>
      <c r="M1046" s="437"/>
      <c r="N1046" s="437"/>
    </row>
    <row r="1047">
      <c r="A1047" s="814"/>
      <c r="B1047" s="814"/>
      <c r="C1047" s="814"/>
      <c r="D1047" s="815"/>
      <c r="E1047" s="837"/>
      <c r="F1047" s="817"/>
      <c r="G1047" s="818"/>
      <c r="H1047" s="819"/>
      <c r="I1047" s="820"/>
      <c r="J1047" s="815"/>
      <c r="K1047" s="514"/>
      <c r="L1047" s="437"/>
      <c r="M1047" s="437"/>
      <c r="N1047" s="437"/>
    </row>
    <row r="1048">
      <c r="A1048" s="814"/>
      <c r="B1048" s="814"/>
      <c r="C1048" s="814"/>
      <c r="D1048" s="815"/>
      <c r="E1048" s="837"/>
      <c r="F1048" s="817"/>
      <c r="G1048" s="818"/>
      <c r="H1048" s="819"/>
      <c r="I1048" s="820"/>
      <c r="J1048" s="815"/>
      <c r="K1048" s="514"/>
      <c r="L1048" s="437"/>
      <c r="M1048" s="437"/>
      <c r="N1048" s="437"/>
    </row>
    <row r="1049">
      <c r="A1049" s="814"/>
      <c r="B1049" s="814"/>
      <c r="C1049" s="814"/>
      <c r="D1049" s="815"/>
      <c r="E1049" s="837"/>
      <c r="F1049" s="817"/>
      <c r="G1049" s="818"/>
      <c r="H1049" s="819"/>
      <c r="I1049" s="820"/>
      <c r="J1049" s="815"/>
      <c r="K1049" s="514"/>
      <c r="L1049" s="437"/>
      <c r="M1049" s="437"/>
      <c r="N1049" s="437"/>
    </row>
    <row r="1050">
      <c r="A1050" s="814"/>
      <c r="B1050" s="814"/>
      <c r="C1050" s="814"/>
      <c r="D1050" s="815"/>
      <c r="E1050" s="837"/>
      <c r="F1050" s="817"/>
      <c r="G1050" s="818"/>
      <c r="H1050" s="819"/>
      <c r="I1050" s="820"/>
      <c r="J1050" s="815"/>
      <c r="K1050" s="514"/>
      <c r="L1050" s="437"/>
      <c r="M1050" s="437"/>
      <c r="N1050" s="437"/>
    </row>
    <row r="1051">
      <c r="A1051" s="814"/>
      <c r="B1051" s="814"/>
      <c r="C1051" s="814"/>
      <c r="D1051" s="815"/>
      <c r="E1051" s="837"/>
      <c r="F1051" s="817"/>
      <c r="G1051" s="818"/>
      <c r="H1051" s="819"/>
      <c r="I1051" s="820"/>
      <c r="J1051" s="815"/>
      <c r="K1051" s="514"/>
      <c r="L1051" s="437"/>
      <c r="M1051" s="437"/>
      <c r="N1051" s="437"/>
    </row>
    <row r="1052">
      <c r="A1052" s="814"/>
      <c r="B1052" s="814"/>
      <c r="C1052" s="814"/>
      <c r="D1052" s="815"/>
      <c r="E1052" s="837"/>
      <c r="F1052" s="817"/>
      <c r="G1052" s="818"/>
      <c r="H1052" s="819"/>
      <c r="I1052" s="820"/>
      <c r="J1052" s="815"/>
      <c r="K1052" s="514"/>
      <c r="L1052" s="437"/>
      <c r="M1052" s="437"/>
      <c r="N1052" s="437"/>
    </row>
    <row r="1053">
      <c r="A1053" s="814"/>
      <c r="B1053" s="814"/>
      <c r="C1053" s="814"/>
      <c r="D1053" s="815"/>
      <c r="E1053" s="837"/>
      <c r="F1053" s="817"/>
      <c r="G1053" s="818"/>
      <c r="H1053" s="819"/>
      <c r="I1053" s="820"/>
      <c r="J1053" s="815"/>
      <c r="K1053" s="514"/>
      <c r="L1053" s="437"/>
      <c r="M1053" s="437"/>
      <c r="N1053" s="437"/>
    </row>
    <row r="1054">
      <c r="A1054" s="814"/>
      <c r="B1054" s="814"/>
      <c r="C1054" s="814"/>
      <c r="D1054" s="815"/>
      <c r="E1054" s="837"/>
      <c r="F1054" s="817"/>
      <c r="G1054" s="818"/>
      <c r="H1054" s="819"/>
      <c r="I1054" s="820"/>
      <c r="J1054" s="815"/>
      <c r="K1054" s="514"/>
      <c r="L1054" s="437"/>
      <c r="M1054" s="437"/>
      <c r="N1054" s="437"/>
    </row>
    <row r="1055">
      <c r="A1055" s="814"/>
      <c r="B1055" s="814"/>
      <c r="C1055" s="814"/>
      <c r="D1055" s="815"/>
      <c r="E1055" s="837"/>
      <c r="F1055" s="817"/>
      <c r="G1055" s="818"/>
      <c r="H1055" s="819"/>
      <c r="I1055" s="820"/>
      <c r="J1055" s="815"/>
      <c r="K1055" s="514"/>
      <c r="L1055" s="437"/>
      <c r="M1055" s="437"/>
      <c r="N1055" s="437"/>
    </row>
    <row r="1056">
      <c r="A1056" s="814"/>
      <c r="B1056" s="814"/>
      <c r="C1056" s="814"/>
      <c r="D1056" s="815"/>
      <c r="E1056" s="837"/>
      <c r="F1056" s="817"/>
      <c r="G1056" s="818"/>
      <c r="H1056" s="819"/>
      <c r="I1056" s="820"/>
      <c r="J1056" s="815"/>
      <c r="K1056" s="514"/>
      <c r="L1056" s="437"/>
      <c r="M1056" s="437"/>
      <c r="N1056" s="437"/>
    </row>
    <row r="1057">
      <c r="A1057" s="814"/>
      <c r="B1057" s="814"/>
      <c r="C1057" s="814"/>
      <c r="D1057" s="815"/>
      <c r="E1057" s="837"/>
      <c r="F1057" s="817"/>
      <c r="G1057" s="818"/>
      <c r="H1057" s="819"/>
      <c r="I1057" s="820"/>
      <c r="J1057" s="815"/>
      <c r="K1057" s="514"/>
      <c r="L1057" s="437"/>
      <c r="M1057" s="437"/>
      <c r="N1057" s="437"/>
    </row>
    <row r="1058">
      <c r="A1058" s="814"/>
      <c r="B1058" s="814"/>
      <c r="C1058" s="814"/>
      <c r="D1058" s="815"/>
      <c r="E1058" s="837"/>
      <c r="F1058" s="817"/>
      <c r="G1058" s="818"/>
      <c r="H1058" s="819"/>
      <c r="I1058" s="820"/>
      <c r="J1058" s="815"/>
      <c r="K1058" s="514"/>
      <c r="L1058" s="437"/>
      <c r="M1058" s="437"/>
      <c r="N1058" s="437"/>
    </row>
    <row r="1059">
      <c r="A1059" s="814"/>
      <c r="B1059" s="814"/>
      <c r="C1059" s="814"/>
      <c r="D1059" s="815"/>
      <c r="E1059" s="837"/>
      <c r="F1059" s="817"/>
      <c r="G1059" s="818"/>
      <c r="H1059" s="819"/>
      <c r="I1059" s="820"/>
      <c r="J1059" s="815"/>
      <c r="K1059" s="514"/>
      <c r="L1059" s="437"/>
      <c r="M1059" s="437"/>
      <c r="N1059" s="437"/>
    </row>
    <row r="1060">
      <c r="A1060" s="814"/>
      <c r="B1060" s="814"/>
      <c r="C1060" s="814"/>
      <c r="D1060" s="815"/>
      <c r="E1060" s="837"/>
      <c r="F1060" s="817"/>
      <c r="G1060" s="818"/>
      <c r="H1060" s="819"/>
      <c r="I1060" s="820"/>
      <c r="J1060" s="815"/>
      <c r="K1060" s="514"/>
      <c r="L1060" s="437"/>
      <c r="M1060" s="437"/>
      <c r="N1060" s="437"/>
    </row>
    <row r="1061">
      <c r="A1061" s="814"/>
      <c r="B1061" s="814"/>
      <c r="C1061" s="814"/>
      <c r="D1061" s="815"/>
      <c r="E1061" s="837"/>
      <c r="F1061" s="817"/>
      <c r="G1061" s="818"/>
      <c r="H1061" s="819"/>
      <c r="I1061" s="820"/>
      <c r="J1061" s="815"/>
      <c r="K1061" s="514"/>
      <c r="L1061" s="437"/>
      <c r="M1061" s="437"/>
      <c r="N1061" s="437"/>
    </row>
    <row r="1062">
      <c r="A1062" s="814"/>
      <c r="B1062" s="814"/>
      <c r="C1062" s="814"/>
      <c r="D1062" s="815"/>
      <c r="E1062" s="837"/>
      <c r="F1062" s="817"/>
      <c r="G1062" s="818"/>
      <c r="H1062" s="819"/>
      <c r="I1062" s="820"/>
      <c r="J1062" s="815"/>
      <c r="K1062" s="514"/>
      <c r="L1062" s="437"/>
      <c r="M1062" s="437"/>
      <c r="N1062" s="437"/>
    </row>
    <row r="1063">
      <c r="A1063" s="814"/>
      <c r="B1063" s="814"/>
      <c r="C1063" s="814"/>
      <c r="D1063" s="815"/>
      <c r="E1063" s="837"/>
      <c r="F1063" s="817"/>
      <c r="G1063" s="818"/>
      <c r="H1063" s="819"/>
      <c r="I1063" s="820"/>
      <c r="J1063" s="815"/>
      <c r="K1063" s="514"/>
      <c r="L1063" s="437"/>
      <c r="M1063" s="437"/>
      <c r="N1063" s="437"/>
    </row>
    <row r="1064">
      <c r="A1064" s="814"/>
      <c r="B1064" s="814"/>
      <c r="C1064" s="814"/>
      <c r="D1064" s="815"/>
      <c r="E1064" s="837"/>
      <c r="F1064" s="817"/>
      <c r="G1064" s="818"/>
      <c r="H1064" s="819"/>
      <c r="I1064" s="820"/>
      <c r="J1064" s="815"/>
      <c r="K1064" s="514"/>
      <c r="L1064" s="437"/>
      <c r="M1064" s="437"/>
      <c r="N1064" s="437"/>
    </row>
    <row r="1065">
      <c r="A1065" s="814"/>
      <c r="B1065" s="814"/>
      <c r="C1065" s="814"/>
      <c r="D1065" s="815"/>
      <c r="E1065" s="837"/>
      <c r="F1065" s="817"/>
      <c r="G1065" s="818"/>
      <c r="H1065" s="819"/>
      <c r="I1065" s="820"/>
      <c r="J1065" s="815"/>
      <c r="K1065" s="514"/>
      <c r="L1065" s="437"/>
      <c r="M1065" s="437"/>
      <c r="N1065" s="437"/>
    </row>
    <row r="1066">
      <c r="A1066" s="814"/>
      <c r="B1066" s="814"/>
      <c r="C1066" s="814"/>
      <c r="D1066" s="815"/>
      <c r="E1066" s="837"/>
      <c r="F1066" s="817"/>
      <c r="G1066" s="818"/>
      <c r="H1066" s="819"/>
      <c r="I1066" s="820"/>
      <c r="J1066" s="815"/>
      <c r="K1066" s="514"/>
      <c r="L1066" s="437"/>
      <c r="M1066" s="437"/>
      <c r="N1066" s="437"/>
    </row>
    <row r="1067">
      <c r="A1067" s="814"/>
      <c r="B1067" s="814"/>
      <c r="C1067" s="814"/>
      <c r="D1067" s="815"/>
      <c r="E1067" s="837"/>
      <c r="F1067" s="817"/>
      <c r="G1067" s="818"/>
      <c r="H1067" s="819"/>
      <c r="I1067" s="820"/>
      <c r="J1067" s="815"/>
      <c r="K1067" s="514"/>
      <c r="L1067" s="437"/>
      <c r="M1067" s="437"/>
      <c r="N1067" s="437"/>
    </row>
    <row r="1068">
      <c r="A1068" s="814"/>
      <c r="B1068" s="814"/>
      <c r="C1068" s="814"/>
      <c r="D1068" s="815"/>
      <c r="E1068" s="837"/>
      <c r="F1068" s="817"/>
      <c r="G1068" s="818"/>
      <c r="H1068" s="819"/>
      <c r="I1068" s="820"/>
      <c r="J1068" s="815"/>
      <c r="K1068" s="514"/>
      <c r="L1068" s="437"/>
      <c r="M1068" s="437"/>
      <c r="N1068" s="437"/>
    </row>
    <row r="1069">
      <c r="A1069" s="814"/>
      <c r="B1069" s="814"/>
      <c r="C1069" s="814"/>
      <c r="D1069" s="815"/>
      <c r="E1069" s="837"/>
      <c r="F1069" s="817"/>
      <c r="G1069" s="818"/>
      <c r="H1069" s="819"/>
      <c r="I1069" s="820"/>
      <c r="J1069" s="815"/>
      <c r="K1069" s="514"/>
      <c r="L1069" s="437"/>
      <c r="M1069" s="437"/>
      <c r="N1069" s="437"/>
    </row>
    <row r="1070">
      <c r="A1070" s="814"/>
      <c r="B1070" s="814"/>
      <c r="C1070" s="814"/>
      <c r="D1070" s="815"/>
      <c r="E1070" s="837"/>
      <c r="F1070" s="817"/>
      <c r="G1070" s="818"/>
      <c r="H1070" s="819"/>
      <c r="I1070" s="820"/>
      <c r="J1070" s="815"/>
      <c r="K1070" s="514"/>
      <c r="L1070" s="437"/>
      <c r="M1070" s="437"/>
      <c r="N1070" s="437"/>
    </row>
    <row r="1071">
      <c r="A1071" s="814"/>
      <c r="B1071" s="814"/>
      <c r="C1071" s="814"/>
      <c r="D1071" s="815"/>
      <c r="E1071" s="837"/>
      <c r="F1071" s="817"/>
      <c r="G1071" s="818"/>
      <c r="H1071" s="819"/>
      <c r="I1071" s="820"/>
      <c r="J1071" s="815"/>
      <c r="K1071" s="514"/>
      <c r="L1071" s="437"/>
      <c r="M1071" s="437"/>
      <c r="N1071" s="437"/>
    </row>
    <row r="1072">
      <c r="A1072" s="814"/>
      <c r="B1072" s="814"/>
      <c r="C1072" s="814"/>
      <c r="D1072" s="815"/>
      <c r="E1072" s="837"/>
      <c r="F1072" s="817"/>
      <c r="G1072" s="818"/>
      <c r="H1072" s="819"/>
      <c r="I1072" s="820"/>
      <c r="J1072" s="815"/>
      <c r="K1072" s="514"/>
      <c r="L1072" s="437"/>
      <c r="M1072" s="437"/>
      <c r="N1072" s="437"/>
    </row>
    <row r="1073">
      <c r="A1073" s="814"/>
      <c r="B1073" s="814"/>
      <c r="C1073" s="814"/>
      <c r="D1073" s="815"/>
      <c r="E1073" s="837"/>
      <c r="F1073" s="817"/>
      <c r="G1073" s="818"/>
      <c r="H1073" s="819"/>
      <c r="I1073" s="820"/>
      <c r="J1073" s="815"/>
      <c r="K1073" s="514"/>
      <c r="L1073" s="437"/>
      <c r="M1073" s="437"/>
      <c r="N1073" s="437"/>
    </row>
    <row r="1074">
      <c r="A1074" s="814"/>
      <c r="B1074" s="814"/>
      <c r="C1074" s="814"/>
      <c r="D1074" s="815"/>
      <c r="E1074" s="837"/>
      <c r="F1074" s="817"/>
      <c r="G1074" s="818"/>
      <c r="H1074" s="819"/>
      <c r="I1074" s="820"/>
      <c r="J1074" s="815"/>
      <c r="K1074" s="514"/>
      <c r="L1074" s="437"/>
      <c r="M1074" s="437"/>
      <c r="N1074" s="437"/>
    </row>
    <row r="1075">
      <c r="A1075" s="814"/>
      <c r="B1075" s="814"/>
      <c r="C1075" s="814"/>
      <c r="D1075" s="815"/>
      <c r="E1075" s="837"/>
      <c r="F1075" s="817"/>
      <c r="G1075" s="818"/>
      <c r="H1075" s="819"/>
      <c r="I1075" s="820"/>
      <c r="J1075" s="815"/>
      <c r="K1075" s="514"/>
      <c r="L1075" s="437"/>
      <c r="M1075" s="437"/>
      <c r="N1075" s="437"/>
    </row>
    <row r="1076">
      <c r="A1076" s="814"/>
      <c r="B1076" s="814"/>
      <c r="C1076" s="814"/>
      <c r="D1076" s="815"/>
      <c r="E1076" s="837"/>
      <c r="F1076" s="817"/>
      <c r="G1076" s="818"/>
      <c r="H1076" s="819"/>
      <c r="I1076" s="820"/>
      <c r="J1076" s="815"/>
      <c r="K1076" s="514"/>
      <c r="L1076" s="437"/>
      <c r="M1076" s="437"/>
      <c r="N1076" s="437"/>
    </row>
    <row r="1077">
      <c r="A1077" s="814"/>
      <c r="B1077" s="814"/>
      <c r="C1077" s="814"/>
      <c r="D1077" s="815"/>
      <c r="E1077" s="837"/>
      <c r="F1077" s="817"/>
      <c r="G1077" s="818"/>
      <c r="H1077" s="819"/>
      <c r="I1077" s="820"/>
      <c r="J1077" s="815"/>
      <c r="K1077" s="514"/>
      <c r="L1077" s="437"/>
      <c r="M1077" s="437"/>
      <c r="N1077" s="437"/>
    </row>
    <row r="1078">
      <c r="A1078" s="814"/>
      <c r="B1078" s="814"/>
      <c r="C1078" s="814"/>
      <c r="D1078" s="815"/>
      <c r="E1078" s="837"/>
      <c r="F1078" s="817"/>
      <c r="G1078" s="818"/>
      <c r="H1078" s="819"/>
      <c r="I1078" s="820"/>
      <c r="J1078" s="815"/>
      <c r="K1078" s="514"/>
      <c r="L1078" s="437"/>
      <c r="M1078" s="437"/>
      <c r="N1078" s="437"/>
    </row>
    <row r="1079">
      <c r="A1079" s="814"/>
      <c r="B1079" s="814"/>
      <c r="C1079" s="814"/>
      <c r="D1079" s="815"/>
      <c r="E1079" s="837"/>
      <c r="F1079" s="817"/>
      <c r="G1079" s="818"/>
      <c r="H1079" s="819"/>
      <c r="I1079" s="820"/>
      <c r="J1079" s="815"/>
      <c r="K1079" s="514"/>
      <c r="L1079" s="437"/>
      <c r="M1079" s="437"/>
      <c r="N1079" s="437"/>
    </row>
    <row r="1080">
      <c r="A1080" s="814"/>
      <c r="B1080" s="814"/>
      <c r="C1080" s="814"/>
      <c r="D1080" s="815"/>
      <c r="E1080" s="837"/>
      <c r="F1080" s="817"/>
      <c r="G1080" s="818"/>
      <c r="H1080" s="819"/>
      <c r="I1080" s="820"/>
      <c r="J1080" s="815"/>
      <c r="K1080" s="514"/>
      <c r="L1080" s="437"/>
      <c r="M1080" s="437"/>
      <c r="N1080" s="437"/>
    </row>
    <row r="1081">
      <c r="A1081" s="814"/>
      <c r="B1081" s="814"/>
      <c r="C1081" s="814"/>
      <c r="D1081" s="815"/>
      <c r="E1081" s="837"/>
      <c r="F1081" s="817"/>
      <c r="G1081" s="818"/>
      <c r="H1081" s="819"/>
      <c r="I1081" s="820"/>
      <c r="J1081" s="815"/>
      <c r="K1081" s="514"/>
      <c r="L1081" s="437"/>
      <c r="M1081" s="437"/>
      <c r="N1081" s="437"/>
    </row>
    <row r="1082">
      <c r="A1082" s="814"/>
      <c r="B1082" s="814"/>
      <c r="C1082" s="814"/>
      <c r="D1082" s="815"/>
      <c r="E1082" s="837"/>
      <c r="F1082" s="817"/>
      <c r="G1082" s="818"/>
      <c r="H1082" s="819"/>
      <c r="I1082" s="820"/>
      <c r="J1082" s="815"/>
      <c r="K1082" s="514"/>
      <c r="L1082" s="437"/>
      <c r="M1082" s="437"/>
      <c r="N1082" s="437"/>
    </row>
    <row r="1083">
      <c r="A1083" s="814"/>
      <c r="B1083" s="814"/>
      <c r="C1083" s="814"/>
      <c r="D1083" s="815"/>
      <c r="E1083" s="837"/>
      <c r="F1083" s="817"/>
      <c r="G1083" s="818"/>
      <c r="H1083" s="819"/>
      <c r="I1083" s="820"/>
      <c r="J1083" s="815"/>
      <c r="K1083" s="514"/>
      <c r="L1083" s="437"/>
      <c r="M1083" s="437"/>
      <c r="N1083" s="437"/>
    </row>
    <row r="1084">
      <c r="A1084" s="814"/>
      <c r="B1084" s="814"/>
      <c r="C1084" s="814"/>
      <c r="D1084" s="815"/>
      <c r="E1084" s="837"/>
      <c r="F1084" s="817"/>
      <c r="G1084" s="818"/>
      <c r="H1084" s="819"/>
      <c r="I1084" s="820"/>
      <c r="J1084" s="815"/>
      <c r="K1084" s="514"/>
      <c r="L1084" s="437"/>
      <c r="M1084" s="437"/>
      <c r="N1084" s="437"/>
    </row>
    <row r="1085">
      <c r="A1085" s="814"/>
      <c r="B1085" s="814"/>
      <c r="C1085" s="814"/>
      <c r="D1085" s="815"/>
      <c r="E1085" s="837"/>
      <c r="F1085" s="817"/>
      <c r="G1085" s="818"/>
      <c r="H1085" s="819"/>
      <c r="I1085" s="820"/>
      <c r="J1085" s="815"/>
      <c r="K1085" s="514"/>
      <c r="L1085" s="437"/>
      <c r="M1085" s="437"/>
      <c r="N1085" s="437"/>
    </row>
    <row r="1086">
      <c r="A1086" s="814"/>
      <c r="B1086" s="814"/>
      <c r="C1086" s="814"/>
      <c r="D1086" s="815"/>
      <c r="E1086" s="837"/>
      <c r="F1086" s="817"/>
      <c r="G1086" s="818"/>
      <c r="H1086" s="819"/>
      <c r="I1086" s="820"/>
      <c r="J1086" s="815"/>
      <c r="K1086" s="514"/>
      <c r="L1086" s="437"/>
      <c r="M1086" s="437"/>
      <c r="N1086" s="437"/>
    </row>
    <row r="1087">
      <c r="A1087" s="814"/>
      <c r="B1087" s="814"/>
      <c r="C1087" s="814"/>
      <c r="D1087" s="815"/>
      <c r="E1087" s="837"/>
      <c r="F1087" s="817"/>
      <c r="G1087" s="818"/>
      <c r="H1087" s="819"/>
      <c r="I1087" s="820"/>
      <c r="J1087" s="815"/>
      <c r="K1087" s="514"/>
      <c r="L1087" s="437"/>
      <c r="M1087" s="437"/>
      <c r="N1087" s="437"/>
    </row>
    <row r="1088">
      <c r="A1088" s="814"/>
      <c r="B1088" s="814"/>
      <c r="C1088" s="814"/>
      <c r="D1088" s="815"/>
      <c r="E1088" s="837"/>
      <c r="F1088" s="817"/>
      <c r="G1088" s="818"/>
      <c r="H1088" s="819"/>
      <c r="I1088" s="820"/>
      <c r="J1088" s="815"/>
      <c r="K1088" s="514"/>
      <c r="L1088" s="437"/>
      <c r="M1088" s="437"/>
      <c r="N1088" s="437"/>
    </row>
    <row r="1089">
      <c r="A1089" s="814"/>
      <c r="B1089" s="814"/>
      <c r="C1089" s="814"/>
      <c r="D1089" s="815"/>
      <c r="E1089" s="837"/>
      <c r="F1089" s="817"/>
      <c r="G1089" s="818"/>
      <c r="H1089" s="819"/>
      <c r="I1089" s="820"/>
      <c r="J1089" s="815"/>
      <c r="K1089" s="514"/>
      <c r="L1089" s="437"/>
      <c r="M1089" s="437"/>
      <c r="N1089" s="437"/>
    </row>
    <row r="1090">
      <c r="A1090" s="814"/>
      <c r="B1090" s="814"/>
      <c r="C1090" s="814"/>
      <c r="D1090" s="815"/>
      <c r="E1090" s="837"/>
      <c r="F1090" s="817"/>
      <c r="G1090" s="818"/>
      <c r="H1090" s="819"/>
      <c r="I1090" s="820"/>
      <c r="J1090" s="815"/>
      <c r="K1090" s="514"/>
      <c r="L1090" s="437"/>
      <c r="M1090" s="437"/>
      <c r="N1090" s="437"/>
    </row>
    <row r="1091">
      <c r="A1091" s="814"/>
      <c r="B1091" s="814"/>
      <c r="C1091" s="814"/>
      <c r="D1091" s="815"/>
      <c r="E1091" s="837"/>
      <c r="F1091" s="817"/>
      <c r="G1091" s="818"/>
      <c r="H1091" s="819"/>
      <c r="I1091" s="820"/>
      <c r="J1091" s="815"/>
      <c r="K1091" s="514"/>
      <c r="L1091" s="437"/>
      <c r="M1091" s="437"/>
      <c r="N1091" s="437"/>
    </row>
    <row r="1092">
      <c r="A1092" s="814"/>
      <c r="B1092" s="814"/>
      <c r="C1092" s="814"/>
      <c r="D1092" s="815"/>
      <c r="E1092" s="837"/>
      <c r="F1092" s="817"/>
      <c r="G1092" s="818"/>
      <c r="H1092" s="819"/>
      <c r="I1092" s="820"/>
      <c r="J1092" s="815"/>
      <c r="K1092" s="514"/>
      <c r="L1092" s="437"/>
      <c r="M1092" s="437"/>
      <c r="N1092" s="437"/>
    </row>
    <row r="1093">
      <c r="A1093" s="814"/>
      <c r="B1093" s="814"/>
      <c r="C1093" s="814"/>
      <c r="D1093" s="815"/>
      <c r="E1093" s="837"/>
      <c r="F1093" s="817"/>
      <c r="G1093" s="818"/>
      <c r="H1093" s="819"/>
      <c r="I1093" s="820"/>
      <c r="J1093" s="815"/>
      <c r="K1093" s="514"/>
      <c r="L1093" s="437"/>
      <c r="M1093" s="437"/>
      <c r="N1093" s="437"/>
    </row>
    <row r="1094">
      <c r="A1094" s="814"/>
      <c r="B1094" s="814"/>
      <c r="C1094" s="814"/>
      <c r="D1094" s="815"/>
      <c r="E1094" s="837"/>
      <c r="F1094" s="817"/>
      <c r="G1094" s="818"/>
      <c r="H1094" s="819"/>
      <c r="I1094" s="820"/>
      <c r="J1094" s="815"/>
      <c r="K1094" s="514"/>
      <c r="L1094" s="437"/>
      <c r="M1094" s="437"/>
      <c r="N1094" s="437"/>
    </row>
    <row r="1095">
      <c r="A1095" s="814"/>
      <c r="B1095" s="814"/>
      <c r="C1095" s="814"/>
      <c r="D1095" s="815"/>
      <c r="E1095" s="837"/>
      <c r="F1095" s="817"/>
      <c r="G1095" s="818"/>
      <c r="H1095" s="819"/>
      <c r="I1095" s="820"/>
      <c r="J1095" s="815"/>
      <c r="K1095" s="514"/>
      <c r="L1095" s="437"/>
      <c r="M1095" s="437"/>
      <c r="N1095" s="437"/>
    </row>
    <row r="1096">
      <c r="A1096" s="814"/>
      <c r="B1096" s="814"/>
      <c r="C1096" s="814"/>
      <c r="D1096" s="815"/>
      <c r="E1096" s="837"/>
      <c r="F1096" s="817"/>
      <c r="G1096" s="818"/>
      <c r="H1096" s="819"/>
      <c r="I1096" s="820"/>
      <c r="J1096" s="815"/>
      <c r="K1096" s="514"/>
      <c r="L1096" s="437"/>
      <c r="M1096" s="437"/>
      <c r="N1096" s="437"/>
    </row>
    <row r="1097">
      <c r="A1097" s="814"/>
      <c r="B1097" s="814"/>
      <c r="C1097" s="814"/>
      <c r="D1097" s="815"/>
      <c r="E1097" s="837"/>
      <c r="F1097" s="817"/>
      <c r="G1097" s="818"/>
      <c r="H1097" s="819"/>
      <c r="I1097" s="820"/>
      <c r="J1097" s="815"/>
      <c r="K1097" s="514"/>
      <c r="L1097" s="437"/>
      <c r="M1097" s="437"/>
      <c r="N1097" s="437"/>
    </row>
    <row r="1098">
      <c r="A1098" s="814"/>
      <c r="B1098" s="814"/>
      <c r="C1098" s="814"/>
      <c r="D1098" s="815"/>
      <c r="E1098" s="837"/>
      <c r="F1098" s="817"/>
      <c r="G1098" s="818"/>
      <c r="H1098" s="819"/>
      <c r="I1098" s="820"/>
      <c r="J1098" s="815"/>
      <c r="K1098" s="514"/>
      <c r="L1098" s="437"/>
      <c r="M1098" s="437"/>
      <c r="N1098" s="437"/>
    </row>
    <row r="1099">
      <c r="A1099" s="814"/>
      <c r="B1099" s="814"/>
      <c r="C1099" s="814"/>
      <c r="D1099" s="815"/>
      <c r="E1099" s="837"/>
      <c r="F1099" s="817"/>
      <c r="G1099" s="818"/>
      <c r="H1099" s="819"/>
      <c r="I1099" s="820"/>
      <c r="J1099" s="815"/>
      <c r="K1099" s="514"/>
      <c r="L1099" s="437"/>
      <c r="M1099" s="437"/>
      <c r="N1099" s="437"/>
    </row>
    <row r="1100">
      <c r="A1100" s="814"/>
      <c r="B1100" s="814"/>
      <c r="C1100" s="814"/>
      <c r="D1100" s="815"/>
      <c r="E1100" s="837"/>
      <c r="F1100" s="817"/>
      <c r="G1100" s="818"/>
      <c r="H1100" s="819"/>
      <c r="I1100" s="820"/>
      <c r="J1100" s="815"/>
      <c r="K1100" s="514"/>
      <c r="L1100" s="437"/>
      <c r="M1100" s="437"/>
      <c r="N1100" s="437"/>
    </row>
    <row r="1101">
      <c r="A1101" s="814"/>
      <c r="B1101" s="814"/>
      <c r="C1101" s="814"/>
      <c r="D1101" s="815"/>
      <c r="E1101" s="837"/>
      <c r="F1101" s="817"/>
      <c r="G1101" s="818"/>
      <c r="H1101" s="819"/>
      <c r="I1101" s="820"/>
      <c r="J1101" s="815"/>
      <c r="K1101" s="514"/>
      <c r="L1101" s="437"/>
      <c r="M1101" s="437"/>
      <c r="N1101" s="437"/>
    </row>
    <row r="1102">
      <c r="A1102" s="814"/>
      <c r="B1102" s="814"/>
      <c r="C1102" s="814"/>
      <c r="D1102" s="815"/>
      <c r="E1102" s="837"/>
      <c r="F1102" s="817"/>
      <c r="G1102" s="818"/>
      <c r="H1102" s="819"/>
      <c r="I1102" s="820"/>
      <c r="J1102" s="815"/>
      <c r="K1102" s="514"/>
      <c r="L1102" s="437"/>
      <c r="M1102" s="437"/>
      <c r="N1102" s="437"/>
    </row>
    <row r="1103">
      <c r="A1103" s="814"/>
      <c r="B1103" s="814"/>
      <c r="C1103" s="814"/>
      <c r="D1103" s="815"/>
      <c r="E1103" s="837"/>
      <c r="F1103" s="817"/>
      <c r="G1103" s="818"/>
      <c r="H1103" s="819"/>
      <c r="I1103" s="820"/>
      <c r="J1103" s="815"/>
      <c r="K1103" s="514"/>
      <c r="L1103" s="437"/>
      <c r="M1103" s="437"/>
      <c r="N1103" s="437"/>
    </row>
    <row r="1104">
      <c r="A1104" s="814"/>
      <c r="B1104" s="814"/>
      <c r="C1104" s="814"/>
      <c r="D1104" s="815"/>
      <c r="E1104" s="837"/>
      <c r="F1104" s="817"/>
      <c r="G1104" s="818"/>
      <c r="H1104" s="819"/>
      <c r="I1104" s="820"/>
      <c r="J1104" s="815"/>
      <c r="K1104" s="514"/>
      <c r="L1104" s="437"/>
      <c r="M1104" s="437"/>
      <c r="N1104" s="437"/>
    </row>
    <row r="1105">
      <c r="A1105" s="814"/>
      <c r="B1105" s="814"/>
      <c r="C1105" s="814"/>
      <c r="D1105" s="815"/>
      <c r="E1105" s="837"/>
      <c r="F1105" s="817"/>
      <c r="G1105" s="818"/>
      <c r="H1105" s="819"/>
      <c r="I1105" s="820"/>
      <c r="J1105" s="815"/>
      <c r="K1105" s="514"/>
      <c r="L1105" s="437"/>
      <c r="M1105" s="437"/>
      <c r="N1105" s="437"/>
    </row>
    <row r="1106">
      <c r="A1106" s="814"/>
      <c r="B1106" s="814"/>
      <c r="C1106" s="814"/>
      <c r="D1106" s="815"/>
      <c r="E1106" s="837"/>
      <c r="F1106" s="817"/>
      <c r="G1106" s="818"/>
      <c r="H1106" s="819"/>
      <c r="I1106" s="820"/>
      <c r="J1106" s="815"/>
      <c r="K1106" s="514"/>
      <c r="L1106" s="437"/>
      <c r="M1106" s="437"/>
      <c r="N1106" s="437"/>
    </row>
    <row r="1107">
      <c r="A1107" s="814"/>
      <c r="B1107" s="814"/>
      <c r="C1107" s="814"/>
      <c r="D1107" s="815"/>
      <c r="E1107" s="837"/>
      <c r="F1107" s="817"/>
      <c r="G1107" s="818"/>
      <c r="H1107" s="819"/>
      <c r="I1107" s="820"/>
      <c r="J1107" s="815"/>
      <c r="K1107" s="514"/>
      <c r="L1107" s="437"/>
      <c r="M1107" s="437"/>
      <c r="N1107" s="437"/>
    </row>
    <row r="1108">
      <c r="A1108" s="814"/>
      <c r="B1108" s="814"/>
      <c r="C1108" s="814"/>
      <c r="D1108" s="815"/>
      <c r="E1108" s="837"/>
      <c r="F1108" s="817"/>
      <c r="G1108" s="818"/>
      <c r="H1108" s="819"/>
      <c r="I1108" s="820"/>
      <c r="J1108" s="815"/>
      <c r="K1108" s="514"/>
      <c r="L1108" s="437"/>
      <c r="M1108" s="437"/>
      <c r="N1108" s="437"/>
    </row>
    <row r="1109">
      <c r="A1109" s="814"/>
      <c r="B1109" s="814"/>
      <c r="C1109" s="814"/>
      <c r="D1109" s="815"/>
      <c r="E1109" s="837"/>
      <c r="F1109" s="817"/>
      <c r="G1109" s="818"/>
      <c r="H1109" s="819"/>
      <c r="I1109" s="820"/>
      <c r="J1109" s="815"/>
      <c r="K1109" s="514"/>
      <c r="L1109" s="437"/>
      <c r="M1109" s="437"/>
      <c r="N1109" s="437"/>
    </row>
    <row r="1110">
      <c r="A1110" s="814"/>
      <c r="B1110" s="814"/>
      <c r="C1110" s="814"/>
      <c r="D1110" s="815"/>
      <c r="E1110" s="837"/>
      <c r="F1110" s="817"/>
      <c r="G1110" s="818"/>
      <c r="H1110" s="819"/>
      <c r="I1110" s="820"/>
      <c r="J1110" s="815"/>
      <c r="K1110" s="514"/>
      <c r="L1110" s="437"/>
      <c r="M1110" s="437"/>
      <c r="N1110" s="437"/>
    </row>
    <row r="1111">
      <c r="A1111" s="814"/>
      <c r="B1111" s="814"/>
      <c r="C1111" s="814"/>
      <c r="D1111" s="815"/>
      <c r="E1111" s="837"/>
      <c r="F1111" s="817"/>
      <c r="G1111" s="818"/>
      <c r="H1111" s="819"/>
      <c r="I1111" s="820"/>
      <c r="J1111" s="815"/>
      <c r="K1111" s="514"/>
      <c r="L1111" s="437"/>
      <c r="M1111" s="437"/>
      <c r="N1111" s="437"/>
    </row>
    <row r="1112">
      <c r="A1112" s="814"/>
      <c r="B1112" s="814"/>
      <c r="C1112" s="814"/>
      <c r="D1112" s="815"/>
      <c r="E1112" s="837"/>
      <c r="F1112" s="817"/>
      <c r="G1112" s="818"/>
      <c r="H1112" s="819"/>
      <c r="I1112" s="820"/>
      <c r="J1112" s="815"/>
      <c r="K1112" s="514"/>
      <c r="L1112" s="437"/>
      <c r="M1112" s="437"/>
      <c r="N1112" s="437"/>
    </row>
    <row r="1113">
      <c r="A1113" s="814"/>
      <c r="B1113" s="814"/>
      <c r="C1113" s="814"/>
      <c r="D1113" s="815"/>
      <c r="E1113" s="837"/>
      <c r="F1113" s="817"/>
      <c r="G1113" s="818"/>
      <c r="H1113" s="819"/>
      <c r="I1113" s="820"/>
      <c r="J1113" s="815"/>
      <c r="K1113" s="514"/>
      <c r="L1113" s="437"/>
      <c r="M1113" s="437"/>
      <c r="N1113" s="437"/>
    </row>
    <row r="1114">
      <c r="A1114" s="814"/>
      <c r="B1114" s="814"/>
      <c r="C1114" s="814"/>
      <c r="D1114" s="815"/>
      <c r="E1114" s="837"/>
      <c r="F1114" s="817"/>
      <c r="G1114" s="818"/>
      <c r="H1114" s="819"/>
      <c r="I1114" s="820"/>
      <c r="J1114" s="815"/>
      <c r="K1114" s="514"/>
      <c r="L1114" s="437"/>
      <c r="M1114" s="437"/>
      <c r="N1114" s="437"/>
    </row>
    <row r="1115">
      <c r="A1115" s="814"/>
      <c r="B1115" s="814"/>
      <c r="C1115" s="814"/>
      <c r="D1115" s="815"/>
      <c r="E1115" s="837"/>
      <c r="F1115" s="817"/>
      <c r="G1115" s="818"/>
      <c r="H1115" s="819"/>
      <c r="I1115" s="820"/>
      <c r="J1115" s="815"/>
      <c r="K1115" s="514"/>
      <c r="L1115" s="437"/>
      <c r="M1115" s="437"/>
      <c r="N1115" s="437"/>
    </row>
    <row r="1116">
      <c r="A1116" s="814"/>
      <c r="B1116" s="814"/>
      <c r="C1116" s="814"/>
      <c r="D1116" s="815"/>
      <c r="E1116" s="837"/>
      <c r="F1116" s="817"/>
      <c r="G1116" s="818"/>
      <c r="H1116" s="819"/>
      <c r="I1116" s="820"/>
      <c r="J1116" s="815"/>
      <c r="K1116" s="514"/>
      <c r="L1116" s="437"/>
      <c r="M1116" s="437"/>
      <c r="N1116" s="437"/>
    </row>
    <row r="1117">
      <c r="A1117" s="814"/>
      <c r="B1117" s="814"/>
      <c r="C1117" s="814"/>
      <c r="D1117" s="815"/>
      <c r="E1117" s="837"/>
      <c r="F1117" s="817"/>
      <c r="G1117" s="818"/>
      <c r="H1117" s="819"/>
      <c r="I1117" s="820"/>
      <c r="J1117" s="815"/>
      <c r="K1117" s="514"/>
      <c r="L1117" s="437"/>
      <c r="M1117" s="437"/>
      <c r="N1117" s="437"/>
    </row>
    <row r="1118">
      <c r="A1118" s="814"/>
      <c r="B1118" s="814"/>
      <c r="C1118" s="814"/>
      <c r="D1118" s="815"/>
      <c r="E1118" s="837"/>
      <c r="F1118" s="817"/>
      <c r="G1118" s="818"/>
      <c r="H1118" s="819"/>
      <c r="I1118" s="820"/>
      <c r="J1118" s="815"/>
      <c r="K1118" s="514"/>
      <c r="L1118" s="437"/>
      <c r="M1118" s="437"/>
      <c r="N1118" s="437"/>
    </row>
    <row r="1119">
      <c r="A1119" s="814"/>
      <c r="B1119" s="814"/>
      <c r="C1119" s="814"/>
      <c r="D1119" s="815"/>
      <c r="E1119" s="837"/>
      <c r="F1119" s="817"/>
      <c r="G1119" s="818"/>
      <c r="H1119" s="819"/>
      <c r="I1119" s="820"/>
      <c r="J1119" s="815"/>
      <c r="K1119" s="514"/>
      <c r="L1119" s="437"/>
      <c r="M1119" s="437"/>
      <c r="N1119" s="437"/>
    </row>
    <row r="1120">
      <c r="A1120" s="814"/>
      <c r="B1120" s="814"/>
      <c r="C1120" s="814"/>
      <c r="D1120" s="815"/>
      <c r="E1120" s="837"/>
      <c r="F1120" s="817"/>
      <c r="G1120" s="818"/>
      <c r="H1120" s="819"/>
      <c r="I1120" s="820"/>
      <c r="J1120" s="815"/>
      <c r="K1120" s="514"/>
      <c r="L1120" s="437"/>
      <c r="M1120" s="437"/>
      <c r="N1120" s="437"/>
    </row>
    <row r="1121">
      <c r="A1121" s="814"/>
      <c r="B1121" s="814"/>
      <c r="C1121" s="814"/>
      <c r="D1121" s="815"/>
      <c r="E1121" s="837"/>
      <c r="F1121" s="817"/>
      <c r="G1121" s="818"/>
      <c r="H1121" s="819"/>
      <c r="I1121" s="820"/>
      <c r="J1121" s="815"/>
      <c r="K1121" s="514"/>
      <c r="L1121" s="437"/>
      <c r="M1121" s="437"/>
      <c r="N1121" s="437"/>
    </row>
    <row r="1122">
      <c r="A1122" s="814"/>
      <c r="B1122" s="814"/>
      <c r="C1122" s="814"/>
      <c r="D1122" s="815"/>
      <c r="E1122" s="837"/>
      <c r="F1122" s="817"/>
      <c r="G1122" s="818"/>
      <c r="H1122" s="819"/>
      <c r="I1122" s="820"/>
      <c r="J1122" s="815"/>
      <c r="K1122" s="514"/>
      <c r="L1122" s="437"/>
      <c r="M1122" s="437"/>
      <c r="N1122" s="437"/>
    </row>
    <row r="1123">
      <c r="A1123" s="814"/>
      <c r="B1123" s="814"/>
      <c r="C1123" s="814"/>
      <c r="D1123" s="815"/>
      <c r="E1123" s="837"/>
      <c r="F1123" s="817"/>
      <c r="G1123" s="818"/>
      <c r="H1123" s="819"/>
      <c r="I1123" s="820"/>
      <c r="J1123" s="815"/>
      <c r="K1123" s="514"/>
      <c r="L1123" s="437"/>
      <c r="M1123" s="437"/>
      <c r="N1123" s="437"/>
    </row>
    <row r="1124">
      <c r="A1124" s="814"/>
      <c r="B1124" s="814"/>
      <c r="C1124" s="814"/>
      <c r="D1124" s="815"/>
      <c r="E1124" s="837"/>
      <c r="F1124" s="817"/>
      <c r="G1124" s="818"/>
      <c r="H1124" s="819"/>
      <c r="I1124" s="820"/>
      <c r="J1124" s="815"/>
      <c r="K1124" s="514"/>
      <c r="L1124" s="437"/>
      <c r="M1124" s="437"/>
      <c r="N1124" s="437"/>
    </row>
    <row r="1125">
      <c r="A1125" s="814"/>
      <c r="B1125" s="814"/>
      <c r="C1125" s="814"/>
      <c r="D1125" s="815"/>
      <c r="E1125" s="837"/>
      <c r="F1125" s="817"/>
      <c r="G1125" s="818"/>
      <c r="H1125" s="819"/>
      <c r="I1125" s="820"/>
      <c r="J1125" s="815"/>
      <c r="K1125" s="514"/>
      <c r="L1125" s="437"/>
      <c r="M1125" s="437"/>
      <c r="N1125" s="437"/>
    </row>
    <row r="1126">
      <c r="A1126" s="814"/>
      <c r="B1126" s="814"/>
      <c r="C1126" s="814"/>
      <c r="D1126" s="815"/>
      <c r="E1126" s="837"/>
      <c r="F1126" s="817"/>
      <c r="G1126" s="818"/>
      <c r="H1126" s="819"/>
      <c r="I1126" s="820"/>
      <c r="J1126" s="815"/>
      <c r="K1126" s="514"/>
      <c r="L1126" s="437"/>
      <c r="M1126" s="437"/>
      <c r="N1126" s="437"/>
    </row>
    <row r="1127">
      <c r="A1127" s="814"/>
      <c r="B1127" s="814"/>
      <c r="C1127" s="814"/>
      <c r="D1127" s="815"/>
      <c r="E1127" s="837"/>
      <c r="F1127" s="817"/>
      <c r="G1127" s="818"/>
      <c r="H1127" s="819"/>
      <c r="I1127" s="820"/>
      <c r="J1127" s="815"/>
      <c r="K1127" s="514"/>
      <c r="L1127" s="437"/>
      <c r="M1127" s="437"/>
      <c r="N1127" s="437"/>
    </row>
    <row r="1128">
      <c r="A1128" s="814"/>
      <c r="B1128" s="814"/>
      <c r="C1128" s="814"/>
      <c r="D1128" s="815"/>
      <c r="E1128" s="837"/>
      <c r="F1128" s="817"/>
      <c r="G1128" s="818"/>
      <c r="H1128" s="819"/>
      <c r="I1128" s="820"/>
      <c r="J1128" s="815"/>
      <c r="K1128" s="514"/>
      <c r="L1128" s="437"/>
      <c r="M1128" s="437"/>
      <c r="N1128" s="437"/>
    </row>
    <row r="1129">
      <c r="A1129" s="814"/>
      <c r="B1129" s="814"/>
      <c r="C1129" s="814"/>
      <c r="D1129" s="815"/>
      <c r="E1129" s="837"/>
      <c r="F1129" s="817"/>
      <c r="G1129" s="818"/>
      <c r="H1129" s="819"/>
      <c r="I1129" s="820"/>
      <c r="J1129" s="815"/>
      <c r="K1129" s="514"/>
      <c r="L1129" s="437"/>
      <c r="M1129" s="437"/>
      <c r="N1129" s="437"/>
    </row>
    <row r="1130">
      <c r="A1130" s="814"/>
      <c r="B1130" s="814"/>
      <c r="C1130" s="814"/>
      <c r="D1130" s="815"/>
      <c r="E1130" s="837"/>
      <c r="F1130" s="817"/>
      <c r="G1130" s="818"/>
      <c r="H1130" s="819"/>
      <c r="I1130" s="820"/>
      <c r="J1130" s="815"/>
      <c r="K1130" s="514"/>
      <c r="L1130" s="437"/>
      <c r="M1130" s="437"/>
      <c r="N1130" s="437"/>
    </row>
    <row r="1131">
      <c r="A1131" s="814"/>
      <c r="B1131" s="814"/>
      <c r="C1131" s="814"/>
      <c r="D1131" s="815"/>
      <c r="E1131" s="837"/>
      <c r="F1131" s="817"/>
      <c r="G1131" s="818"/>
      <c r="H1131" s="819"/>
      <c r="I1131" s="820"/>
      <c r="J1131" s="815"/>
      <c r="K1131" s="514"/>
      <c r="L1131" s="437"/>
      <c r="M1131" s="437"/>
      <c r="N1131" s="437"/>
    </row>
    <row r="1132">
      <c r="A1132" s="814"/>
      <c r="B1132" s="814"/>
      <c r="C1132" s="814"/>
      <c r="D1132" s="815"/>
      <c r="E1132" s="837"/>
      <c r="F1132" s="817"/>
      <c r="G1132" s="818"/>
      <c r="H1132" s="819"/>
      <c r="I1132" s="820"/>
      <c r="J1132" s="815"/>
      <c r="K1132" s="514"/>
      <c r="L1132" s="437"/>
      <c r="M1132" s="437"/>
      <c r="N1132" s="437"/>
    </row>
    <row r="1133">
      <c r="A1133" s="814"/>
      <c r="B1133" s="814"/>
      <c r="C1133" s="814"/>
      <c r="D1133" s="815"/>
      <c r="E1133" s="837"/>
      <c r="F1133" s="817"/>
      <c r="G1133" s="818"/>
      <c r="H1133" s="819"/>
      <c r="I1133" s="820"/>
      <c r="J1133" s="815"/>
      <c r="K1133" s="514"/>
      <c r="L1133" s="437"/>
      <c r="M1133" s="437"/>
      <c r="N1133" s="437"/>
    </row>
    <row r="1134">
      <c r="A1134" s="814"/>
      <c r="B1134" s="814"/>
      <c r="C1134" s="814"/>
      <c r="D1134" s="815"/>
      <c r="E1134" s="837"/>
      <c r="F1134" s="817"/>
      <c r="G1134" s="818"/>
      <c r="H1134" s="819"/>
      <c r="I1134" s="820"/>
      <c r="J1134" s="815"/>
      <c r="K1134" s="514"/>
      <c r="L1134" s="437"/>
      <c r="M1134" s="437"/>
      <c r="N1134" s="437"/>
    </row>
    <row r="1135">
      <c r="A1135" s="814"/>
      <c r="B1135" s="814"/>
      <c r="C1135" s="814"/>
      <c r="D1135" s="815"/>
      <c r="E1135" s="837"/>
      <c r="F1135" s="817"/>
      <c r="G1135" s="818"/>
      <c r="H1135" s="819"/>
      <c r="I1135" s="820"/>
      <c r="J1135" s="815"/>
      <c r="K1135" s="514"/>
      <c r="L1135" s="437"/>
      <c r="M1135" s="437"/>
      <c r="N1135" s="437"/>
    </row>
    <row r="1136">
      <c r="A1136" s="814"/>
      <c r="B1136" s="814"/>
      <c r="C1136" s="814"/>
      <c r="D1136" s="815"/>
      <c r="E1136" s="837"/>
      <c r="F1136" s="817"/>
      <c r="G1136" s="818"/>
      <c r="H1136" s="819"/>
      <c r="I1136" s="820"/>
      <c r="J1136" s="815"/>
      <c r="K1136" s="514"/>
      <c r="L1136" s="437"/>
      <c r="M1136" s="437"/>
      <c r="N1136" s="437"/>
    </row>
    <row r="1137">
      <c r="A1137" s="814"/>
      <c r="B1137" s="814"/>
      <c r="C1137" s="814"/>
      <c r="D1137" s="815"/>
      <c r="E1137" s="837"/>
      <c r="F1137" s="817"/>
      <c r="G1137" s="818"/>
      <c r="H1137" s="819"/>
      <c r="I1137" s="820"/>
      <c r="J1137" s="815"/>
      <c r="K1137" s="514"/>
      <c r="L1137" s="437"/>
      <c r="M1137" s="437"/>
      <c r="N1137" s="437"/>
    </row>
    <row r="1138">
      <c r="A1138" s="814"/>
      <c r="B1138" s="814"/>
      <c r="C1138" s="814"/>
      <c r="D1138" s="815"/>
      <c r="E1138" s="837"/>
      <c r="F1138" s="817"/>
      <c r="G1138" s="818"/>
      <c r="H1138" s="819"/>
      <c r="I1138" s="820"/>
      <c r="J1138" s="815"/>
      <c r="K1138" s="514"/>
      <c r="L1138" s="437"/>
      <c r="M1138" s="437"/>
      <c r="N1138" s="437"/>
    </row>
    <row r="1139">
      <c r="A1139" s="814"/>
      <c r="B1139" s="814"/>
      <c r="C1139" s="814"/>
      <c r="D1139" s="815"/>
      <c r="E1139" s="837"/>
      <c r="F1139" s="817"/>
      <c r="G1139" s="818"/>
      <c r="H1139" s="819"/>
      <c r="I1139" s="820"/>
      <c r="J1139" s="815"/>
      <c r="K1139" s="514"/>
      <c r="L1139" s="437"/>
      <c r="M1139" s="437"/>
      <c r="N1139" s="437"/>
    </row>
    <row r="1140">
      <c r="A1140" s="814"/>
      <c r="B1140" s="814"/>
      <c r="C1140" s="814"/>
      <c r="D1140" s="815"/>
      <c r="E1140" s="837"/>
      <c r="F1140" s="817"/>
      <c r="G1140" s="818"/>
      <c r="H1140" s="819"/>
      <c r="I1140" s="820"/>
      <c r="J1140" s="815"/>
      <c r="K1140" s="514"/>
      <c r="L1140" s="437"/>
      <c r="M1140" s="437"/>
      <c r="N1140" s="437"/>
    </row>
    <row r="1141">
      <c r="A1141" s="814"/>
      <c r="B1141" s="814"/>
      <c r="C1141" s="814"/>
      <c r="D1141" s="815"/>
      <c r="E1141" s="837"/>
      <c r="F1141" s="817"/>
      <c r="G1141" s="818"/>
      <c r="H1141" s="819"/>
      <c r="I1141" s="820"/>
      <c r="J1141" s="815"/>
      <c r="K1141" s="514"/>
      <c r="L1141" s="437"/>
      <c r="M1141" s="437"/>
      <c r="N1141" s="437"/>
    </row>
    <row r="1142">
      <c r="A1142" s="814"/>
      <c r="B1142" s="814"/>
      <c r="C1142" s="814"/>
      <c r="D1142" s="815"/>
      <c r="E1142" s="837"/>
      <c r="F1142" s="817"/>
      <c r="G1142" s="818"/>
      <c r="H1142" s="819"/>
      <c r="I1142" s="820"/>
      <c r="J1142" s="815"/>
      <c r="K1142" s="514"/>
      <c r="L1142" s="437"/>
      <c r="M1142" s="437"/>
      <c r="N1142" s="437"/>
    </row>
    <row r="1143">
      <c r="A1143" s="814"/>
      <c r="B1143" s="814"/>
      <c r="C1143" s="814"/>
      <c r="D1143" s="815"/>
      <c r="E1143" s="837"/>
      <c r="F1143" s="817"/>
      <c r="G1143" s="818"/>
      <c r="H1143" s="819"/>
      <c r="I1143" s="820"/>
      <c r="J1143" s="815"/>
      <c r="K1143" s="514"/>
      <c r="L1143" s="437"/>
      <c r="M1143" s="437"/>
      <c r="N1143" s="437"/>
    </row>
    <row r="1144">
      <c r="A1144" s="814"/>
      <c r="B1144" s="814"/>
      <c r="C1144" s="814"/>
      <c r="D1144" s="815"/>
      <c r="E1144" s="837"/>
      <c r="F1144" s="817"/>
      <c r="G1144" s="818"/>
      <c r="H1144" s="819"/>
      <c r="I1144" s="820"/>
      <c r="J1144" s="815"/>
      <c r="K1144" s="514"/>
      <c r="L1144" s="437"/>
      <c r="M1144" s="437"/>
      <c r="N1144" s="437"/>
    </row>
    <row r="1145">
      <c r="A1145" s="814"/>
      <c r="B1145" s="814"/>
      <c r="C1145" s="814"/>
      <c r="D1145" s="815"/>
      <c r="E1145" s="837"/>
      <c r="F1145" s="817"/>
      <c r="G1145" s="818"/>
      <c r="H1145" s="819"/>
      <c r="I1145" s="820"/>
      <c r="J1145" s="815"/>
      <c r="K1145" s="514"/>
      <c r="L1145" s="437"/>
      <c r="M1145" s="437"/>
      <c r="N1145" s="437"/>
    </row>
    <row r="1146">
      <c r="A1146" s="814"/>
      <c r="B1146" s="814"/>
      <c r="C1146" s="814"/>
      <c r="D1146" s="815"/>
      <c r="E1146" s="837"/>
      <c r="F1146" s="817"/>
      <c r="G1146" s="818"/>
      <c r="H1146" s="819"/>
      <c r="I1146" s="820"/>
      <c r="J1146" s="815"/>
      <c r="K1146" s="514"/>
      <c r="L1146" s="437"/>
      <c r="M1146" s="437"/>
      <c r="N1146" s="437"/>
    </row>
    <row r="1147">
      <c r="A1147" s="814"/>
      <c r="B1147" s="814"/>
      <c r="C1147" s="814"/>
      <c r="D1147" s="815"/>
      <c r="E1147" s="837"/>
      <c r="F1147" s="817"/>
      <c r="G1147" s="818"/>
      <c r="H1147" s="819"/>
      <c r="I1147" s="820"/>
      <c r="J1147" s="815"/>
      <c r="K1147" s="514"/>
      <c r="L1147" s="437"/>
      <c r="M1147" s="437"/>
      <c r="N1147" s="437"/>
    </row>
    <row r="1148">
      <c r="A1148" s="814"/>
      <c r="B1148" s="814"/>
      <c r="C1148" s="814"/>
      <c r="D1148" s="815"/>
      <c r="E1148" s="837"/>
      <c r="F1148" s="817"/>
      <c r="G1148" s="818"/>
      <c r="H1148" s="819"/>
      <c r="I1148" s="820"/>
      <c r="J1148" s="815"/>
      <c r="K1148" s="514"/>
      <c r="L1148" s="437"/>
      <c r="M1148" s="437"/>
      <c r="N1148" s="437"/>
    </row>
    <row r="1149">
      <c r="A1149" s="814"/>
      <c r="B1149" s="814"/>
      <c r="C1149" s="814"/>
      <c r="D1149" s="815"/>
      <c r="E1149" s="837"/>
      <c r="F1149" s="817"/>
      <c r="G1149" s="818"/>
      <c r="H1149" s="819"/>
      <c r="I1149" s="820"/>
      <c r="J1149" s="815"/>
      <c r="K1149" s="514"/>
      <c r="L1149" s="437"/>
      <c r="M1149" s="437"/>
      <c r="N1149" s="437"/>
    </row>
    <row r="1150">
      <c r="A1150" s="814"/>
      <c r="B1150" s="814"/>
      <c r="C1150" s="814"/>
      <c r="D1150" s="815"/>
      <c r="E1150" s="837"/>
      <c r="F1150" s="817"/>
      <c r="G1150" s="818"/>
      <c r="H1150" s="819"/>
      <c r="I1150" s="820"/>
      <c r="J1150" s="815"/>
      <c r="K1150" s="514"/>
      <c r="L1150" s="437"/>
      <c r="M1150" s="437"/>
      <c r="N1150" s="437"/>
    </row>
    <row r="1151">
      <c r="A1151" s="814"/>
      <c r="B1151" s="814"/>
      <c r="C1151" s="814"/>
      <c r="D1151" s="815"/>
      <c r="E1151" s="837"/>
      <c r="F1151" s="817"/>
      <c r="G1151" s="818"/>
      <c r="H1151" s="819"/>
      <c r="I1151" s="820"/>
      <c r="J1151" s="815"/>
      <c r="K1151" s="514"/>
      <c r="L1151" s="437"/>
      <c r="M1151" s="437"/>
      <c r="N1151" s="437"/>
    </row>
    <row r="1152">
      <c r="A1152" s="814"/>
      <c r="B1152" s="814"/>
      <c r="C1152" s="814"/>
      <c r="D1152" s="815"/>
      <c r="E1152" s="837"/>
      <c r="F1152" s="817"/>
      <c r="G1152" s="818"/>
      <c r="H1152" s="819"/>
      <c r="I1152" s="820"/>
      <c r="J1152" s="815"/>
      <c r="K1152" s="514"/>
      <c r="L1152" s="437"/>
      <c r="M1152" s="437"/>
      <c r="N1152" s="437"/>
    </row>
    <row r="1153">
      <c r="A1153" s="814"/>
      <c r="B1153" s="814"/>
      <c r="C1153" s="814"/>
      <c r="D1153" s="815"/>
      <c r="E1153" s="837"/>
      <c r="F1153" s="817"/>
      <c r="G1153" s="818"/>
      <c r="H1153" s="819"/>
      <c r="I1153" s="820"/>
      <c r="J1153" s="815"/>
      <c r="K1153" s="514"/>
      <c r="L1153" s="437"/>
      <c r="M1153" s="437"/>
      <c r="N1153" s="437"/>
    </row>
    <row r="1154">
      <c r="A1154" s="814"/>
      <c r="B1154" s="814"/>
      <c r="C1154" s="814"/>
      <c r="D1154" s="815"/>
      <c r="E1154" s="837"/>
      <c r="F1154" s="817"/>
      <c r="G1154" s="818"/>
      <c r="H1154" s="819"/>
      <c r="I1154" s="820"/>
      <c r="J1154" s="815"/>
      <c r="K1154" s="514"/>
      <c r="L1154" s="437"/>
      <c r="M1154" s="437"/>
      <c r="N1154" s="437"/>
    </row>
    <row r="1155">
      <c r="A1155" s="814"/>
      <c r="B1155" s="814"/>
      <c r="C1155" s="814"/>
      <c r="D1155" s="815"/>
      <c r="E1155" s="837"/>
      <c r="F1155" s="817"/>
      <c r="G1155" s="818"/>
      <c r="H1155" s="819"/>
      <c r="I1155" s="820"/>
      <c r="J1155" s="815"/>
      <c r="K1155" s="514"/>
      <c r="L1155" s="437"/>
      <c r="M1155" s="437"/>
      <c r="N1155" s="437"/>
    </row>
    <row r="1156">
      <c r="A1156" s="814"/>
      <c r="B1156" s="814"/>
      <c r="C1156" s="814"/>
      <c r="D1156" s="815"/>
      <c r="E1156" s="837"/>
      <c r="F1156" s="817"/>
      <c r="G1156" s="818"/>
      <c r="H1156" s="819"/>
      <c r="I1156" s="820"/>
      <c r="J1156" s="815"/>
      <c r="K1156" s="514"/>
      <c r="L1156" s="437"/>
      <c r="M1156" s="437"/>
      <c r="N1156" s="437"/>
    </row>
    <row r="1157">
      <c r="A1157" s="814"/>
      <c r="B1157" s="814"/>
      <c r="C1157" s="814"/>
      <c r="D1157" s="815"/>
      <c r="E1157" s="837"/>
      <c r="F1157" s="817"/>
      <c r="G1157" s="818"/>
      <c r="H1157" s="819"/>
      <c r="I1157" s="820"/>
      <c r="J1157" s="815"/>
      <c r="K1157" s="514"/>
      <c r="L1157" s="437"/>
      <c r="M1157" s="437"/>
      <c r="N1157" s="437"/>
    </row>
    <row r="1158">
      <c r="A1158" s="814"/>
      <c r="B1158" s="814"/>
      <c r="C1158" s="814"/>
      <c r="D1158" s="815"/>
      <c r="E1158" s="837"/>
      <c r="F1158" s="817"/>
      <c r="G1158" s="818"/>
      <c r="H1158" s="819"/>
      <c r="I1158" s="820"/>
      <c r="J1158" s="815"/>
      <c r="K1158" s="514"/>
      <c r="L1158" s="437"/>
      <c r="M1158" s="437"/>
      <c r="N1158" s="437"/>
    </row>
    <row r="1159">
      <c r="A1159" s="814"/>
      <c r="B1159" s="814"/>
      <c r="C1159" s="814"/>
      <c r="D1159" s="815"/>
      <c r="E1159" s="837"/>
      <c r="F1159" s="817"/>
      <c r="G1159" s="818"/>
      <c r="H1159" s="819"/>
      <c r="I1159" s="820"/>
      <c r="J1159" s="815"/>
      <c r="K1159" s="514"/>
      <c r="L1159" s="437"/>
      <c r="M1159" s="437"/>
      <c r="N1159" s="437"/>
    </row>
    <row r="1160">
      <c r="A1160" s="814"/>
      <c r="B1160" s="814"/>
      <c r="C1160" s="814"/>
      <c r="D1160" s="815"/>
      <c r="E1160" s="837"/>
      <c r="F1160" s="817"/>
      <c r="G1160" s="818"/>
      <c r="H1160" s="819"/>
      <c r="I1160" s="820"/>
      <c r="J1160" s="815"/>
      <c r="K1160" s="514"/>
      <c r="L1160" s="437"/>
      <c r="M1160" s="437"/>
      <c r="N1160" s="437"/>
    </row>
    <row r="1161">
      <c r="A1161" s="814"/>
      <c r="B1161" s="814"/>
      <c r="C1161" s="814"/>
      <c r="D1161" s="815"/>
      <c r="E1161" s="837"/>
      <c r="F1161" s="817"/>
      <c r="G1161" s="818"/>
      <c r="H1161" s="819"/>
      <c r="I1161" s="820"/>
      <c r="J1161" s="815"/>
      <c r="K1161" s="514"/>
      <c r="L1161" s="437"/>
      <c r="M1161" s="437"/>
      <c r="N1161" s="437"/>
    </row>
    <row r="1162">
      <c r="A1162" s="814"/>
      <c r="B1162" s="814"/>
      <c r="C1162" s="814"/>
      <c r="D1162" s="815"/>
      <c r="E1162" s="837"/>
      <c r="F1162" s="817"/>
      <c r="G1162" s="818"/>
      <c r="H1162" s="819"/>
      <c r="I1162" s="820"/>
      <c r="J1162" s="815"/>
      <c r="K1162" s="514"/>
      <c r="L1162" s="437"/>
      <c r="M1162" s="437"/>
      <c r="N1162" s="437"/>
    </row>
    <row r="1163">
      <c r="A1163" s="814"/>
      <c r="B1163" s="814"/>
      <c r="C1163" s="814"/>
      <c r="D1163" s="815"/>
      <c r="E1163" s="837"/>
      <c r="F1163" s="817"/>
      <c r="G1163" s="818"/>
      <c r="H1163" s="819"/>
      <c r="I1163" s="820"/>
      <c r="J1163" s="815"/>
      <c r="K1163" s="514"/>
      <c r="L1163" s="437"/>
      <c r="M1163" s="437"/>
      <c r="N1163" s="437"/>
    </row>
    <row r="1164">
      <c r="A1164" s="814"/>
      <c r="B1164" s="814"/>
      <c r="C1164" s="814"/>
      <c r="D1164" s="815"/>
      <c r="E1164" s="837"/>
      <c r="F1164" s="817"/>
      <c r="G1164" s="818"/>
      <c r="H1164" s="819"/>
      <c r="I1164" s="820"/>
      <c r="J1164" s="815"/>
      <c r="K1164" s="514"/>
      <c r="L1164" s="437"/>
      <c r="M1164" s="437"/>
      <c r="N1164" s="437"/>
    </row>
    <row r="1165">
      <c r="A1165" s="814"/>
      <c r="B1165" s="814"/>
      <c r="C1165" s="814"/>
      <c r="D1165" s="815"/>
      <c r="E1165" s="837"/>
      <c r="F1165" s="817"/>
      <c r="G1165" s="818"/>
      <c r="H1165" s="819"/>
      <c r="I1165" s="820"/>
      <c r="J1165" s="815"/>
      <c r="K1165" s="514"/>
      <c r="L1165" s="437"/>
      <c r="M1165" s="437"/>
      <c r="N1165" s="437"/>
    </row>
    <row r="1166">
      <c r="A1166" s="814"/>
      <c r="B1166" s="814"/>
      <c r="C1166" s="814"/>
      <c r="D1166" s="815"/>
      <c r="E1166" s="837"/>
      <c r="F1166" s="817"/>
      <c r="G1166" s="818"/>
      <c r="H1166" s="819"/>
      <c r="I1166" s="820"/>
      <c r="J1166" s="815"/>
      <c r="K1166" s="514"/>
      <c r="L1166" s="437"/>
      <c r="M1166" s="437"/>
      <c r="N1166" s="437"/>
    </row>
    <row r="1167">
      <c r="A1167" s="814"/>
      <c r="B1167" s="814"/>
      <c r="C1167" s="814"/>
      <c r="D1167" s="815"/>
      <c r="E1167" s="837"/>
      <c r="F1167" s="817"/>
      <c r="G1167" s="818"/>
      <c r="H1167" s="819"/>
      <c r="I1167" s="820"/>
      <c r="J1167" s="815"/>
      <c r="K1167" s="514"/>
      <c r="L1167" s="437"/>
      <c r="M1167" s="437"/>
      <c r="N1167" s="437"/>
    </row>
    <row r="1168">
      <c r="A1168" s="814"/>
      <c r="B1168" s="814"/>
      <c r="C1168" s="814"/>
      <c r="D1168" s="815"/>
      <c r="E1168" s="837"/>
      <c r="F1168" s="817"/>
      <c r="G1168" s="818"/>
      <c r="H1168" s="819"/>
      <c r="I1168" s="820"/>
      <c r="J1168" s="815"/>
      <c r="K1168" s="514"/>
      <c r="L1168" s="437"/>
      <c r="M1168" s="437"/>
      <c r="N1168" s="437"/>
    </row>
    <row r="1169">
      <c r="A1169" s="814"/>
      <c r="B1169" s="814"/>
      <c r="C1169" s="814"/>
      <c r="D1169" s="815"/>
      <c r="E1169" s="837"/>
      <c r="F1169" s="817"/>
      <c r="G1169" s="818"/>
      <c r="H1169" s="819"/>
      <c r="I1169" s="820"/>
      <c r="J1169" s="815"/>
      <c r="K1169" s="514"/>
      <c r="L1169" s="437"/>
      <c r="M1169" s="437"/>
      <c r="N1169" s="437"/>
    </row>
    <row r="1170">
      <c r="A1170" s="814"/>
      <c r="B1170" s="814"/>
      <c r="C1170" s="814"/>
      <c r="D1170" s="815"/>
      <c r="E1170" s="837"/>
      <c r="F1170" s="817"/>
      <c r="G1170" s="818"/>
      <c r="H1170" s="819"/>
      <c r="I1170" s="820"/>
      <c r="J1170" s="815"/>
      <c r="K1170" s="514"/>
      <c r="L1170" s="437"/>
      <c r="M1170" s="437"/>
      <c r="N1170" s="437"/>
    </row>
    <row r="1171">
      <c r="A1171" s="814"/>
      <c r="B1171" s="814"/>
      <c r="C1171" s="814"/>
      <c r="D1171" s="815"/>
      <c r="E1171" s="837"/>
      <c r="F1171" s="817"/>
      <c r="G1171" s="818"/>
      <c r="H1171" s="819"/>
      <c r="I1171" s="820"/>
      <c r="J1171" s="815"/>
      <c r="K1171" s="514"/>
      <c r="L1171" s="437"/>
      <c r="M1171" s="437"/>
      <c r="N1171" s="437"/>
    </row>
    <row r="1172">
      <c r="A1172" s="814"/>
      <c r="B1172" s="814"/>
      <c r="C1172" s="814"/>
      <c r="D1172" s="815"/>
      <c r="E1172" s="837"/>
      <c r="F1172" s="817"/>
      <c r="G1172" s="818"/>
      <c r="H1172" s="819"/>
      <c r="I1172" s="820"/>
      <c r="J1172" s="815"/>
      <c r="K1172" s="514"/>
      <c r="L1172" s="437"/>
      <c r="M1172" s="437"/>
      <c r="N1172" s="437"/>
    </row>
    <row r="1173">
      <c r="A1173" s="814"/>
      <c r="B1173" s="814"/>
      <c r="C1173" s="814"/>
      <c r="D1173" s="815"/>
      <c r="E1173" s="837"/>
      <c r="F1173" s="817"/>
      <c r="G1173" s="818"/>
      <c r="H1173" s="819"/>
      <c r="I1173" s="820"/>
      <c r="J1173" s="815"/>
      <c r="K1173" s="514"/>
      <c r="L1173" s="437"/>
      <c r="M1173" s="437"/>
      <c r="N1173" s="437"/>
    </row>
    <row r="1174">
      <c r="A1174" s="814"/>
      <c r="B1174" s="814"/>
      <c r="C1174" s="814"/>
      <c r="D1174" s="815"/>
      <c r="E1174" s="837"/>
      <c r="F1174" s="817"/>
      <c r="G1174" s="818"/>
      <c r="H1174" s="819"/>
      <c r="I1174" s="820"/>
      <c r="J1174" s="815"/>
      <c r="K1174" s="514"/>
      <c r="L1174" s="437"/>
      <c r="M1174" s="437"/>
      <c r="N1174" s="437"/>
    </row>
    <row r="1175">
      <c r="A1175" s="814"/>
      <c r="B1175" s="814"/>
      <c r="C1175" s="814"/>
      <c r="D1175" s="815"/>
      <c r="E1175" s="837"/>
      <c r="F1175" s="817"/>
      <c r="G1175" s="818"/>
      <c r="H1175" s="819"/>
      <c r="I1175" s="820"/>
      <c r="J1175" s="815"/>
      <c r="K1175" s="514"/>
      <c r="L1175" s="437"/>
      <c r="M1175" s="437"/>
      <c r="N1175" s="437"/>
    </row>
    <row r="1176">
      <c r="A1176" s="814"/>
      <c r="B1176" s="814"/>
      <c r="C1176" s="814"/>
      <c r="D1176" s="815"/>
      <c r="E1176" s="837"/>
      <c r="F1176" s="817"/>
      <c r="G1176" s="818"/>
      <c r="H1176" s="819"/>
      <c r="I1176" s="820"/>
      <c r="J1176" s="815"/>
      <c r="K1176" s="514"/>
      <c r="L1176" s="437"/>
      <c r="M1176" s="437"/>
      <c r="N1176" s="437"/>
    </row>
    <row r="1177">
      <c r="A1177" s="814"/>
      <c r="B1177" s="814"/>
      <c r="C1177" s="814"/>
      <c r="D1177" s="815"/>
      <c r="E1177" s="837"/>
      <c r="F1177" s="817"/>
      <c r="G1177" s="818"/>
      <c r="H1177" s="819"/>
      <c r="I1177" s="820"/>
      <c r="J1177" s="815"/>
      <c r="K1177" s="514"/>
      <c r="L1177" s="437"/>
      <c r="M1177" s="437"/>
      <c r="N1177" s="437"/>
    </row>
    <row r="1178">
      <c r="A1178" s="814"/>
      <c r="B1178" s="814"/>
      <c r="C1178" s="814"/>
      <c r="D1178" s="815"/>
      <c r="E1178" s="837"/>
      <c r="F1178" s="817"/>
      <c r="G1178" s="818"/>
      <c r="H1178" s="819"/>
      <c r="I1178" s="820"/>
      <c r="J1178" s="815"/>
      <c r="K1178" s="514"/>
      <c r="L1178" s="437"/>
      <c r="M1178" s="437"/>
      <c r="N1178" s="437"/>
    </row>
    <row r="1179">
      <c r="A1179" s="814"/>
      <c r="B1179" s="814"/>
      <c r="C1179" s="814"/>
      <c r="D1179" s="815"/>
      <c r="E1179" s="837"/>
      <c r="F1179" s="817"/>
      <c r="G1179" s="818"/>
      <c r="H1179" s="819"/>
      <c r="I1179" s="820"/>
      <c r="J1179" s="815"/>
      <c r="K1179" s="514"/>
      <c r="L1179" s="437"/>
      <c r="M1179" s="437"/>
      <c r="N1179" s="437"/>
    </row>
    <row r="1180">
      <c r="A1180" s="814"/>
      <c r="B1180" s="814"/>
      <c r="C1180" s="814"/>
      <c r="D1180" s="815"/>
      <c r="E1180" s="837"/>
      <c r="F1180" s="817"/>
      <c r="G1180" s="818"/>
      <c r="H1180" s="819"/>
      <c r="I1180" s="820"/>
      <c r="J1180" s="815"/>
      <c r="K1180" s="514"/>
      <c r="L1180" s="437"/>
      <c r="M1180" s="437"/>
      <c r="N1180" s="437"/>
    </row>
    <row r="1181">
      <c r="A1181" s="814"/>
      <c r="B1181" s="814"/>
      <c r="C1181" s="814"/>
      <c r="D1181" s="815"/>
      <c r="E1181" s="837"/>
      <c r="F1181" s="817"/>
      <c r="G1181" s="818"/>
      <c r="H1181" s="819"/>
      <c r="I1181" s="820"/>
      <c r="J1181" s="815"/>
      <c r="K1181" s="514"/>
      <c r="L1181" s="437"/>
      <c r="M1181" s="437"/>
      <c r="N1181" s="437"/>
    </row>
    <row r="1182">
      <c r="A1182" s="814"/>
      <c r="B1182" s="814"/>
      <c r="C1182" s="814"/>
      <c r="D1182" s="815"/>
      <c r="E1182" s="837"/>
      <c r="F1182" s="817"/>
      <c r="G1182" s="818"/>
      <c r="H1182" s="819"/>
      <c r="I1182" s="820"/>
      <c r="J1182" s="815"/>
      <c r="K1182" s="514"/>
      <c r="L1182" s="437"/>
      <c r="M1182" s="437"/>
      <c r="N1182" s="437"/>
    </row>
    <row r="1183">
      <c r="A1183" s="814"/>
      <c r="B1183" s="814"/>
      <c r="C1183" s="814"/>
      <c r="D1183" s="815"/>
      <c r="E1183" s="837"/>
      <c r="F1183" s="817"/>
      <c r="G1183" s="818"/>
      <c r="H1183" s="819"/>
      <c r="I1183" s="820"/>
      <c r="J1183" s="815"/>
      <c r="K1183" s="514"/>
      <c r="L1183" s="437"/>
      <c r="M1183" s="437"/>
      <c r="N1183" s="437"/>
    </row>
    <row r="1184">
      <c r="A1184" s="814"/>
      <c r="B1184" s="814"/>
      <c r="C1184" s="814"/>
      <c r="D1184" s="815"/>
      <c r="E1184" s="837"/>
      <c r="F1184" s="817"/>
      <c r="G1184" s="818"/>
      <c r="H1184" s="819"/>
      <c r="I1184" s="820"/>
      <c r="J1184" s="815"/>
      <c r="K1184" s="514"/>
      <c r="L1184" s="437"/>
      <c r="M1184" s="437"/>
      <c r="N1184" s="437"/>
    </row>
    <row r="1185">
      <c r="A1185" s="814"/>
      <c r="B1185" s="814"/>
      <c r="C1185" s="814"/>
      <c r="D1185" s="815"/>
      <c r="E1185" s="837"/>
      <c r="F1185" s="817"/>
      <c r="G1185" s="818"/>
      <c r="H1185" s="819"/>
      <c r="I1185" s="820"/>
      <c r="J1185" s="815"/>
      <c r="K1185" s="514"/>
      <c r="L1185" s="437"/>
      <c r="M1185" s="437"/>
      <c r="N1185" s="437"/>
    </row>
    <row r="1186">
      <c r="A1186" s="814"/>
      <c r="B1186" s="814"/>
      <c r="C1186" s="814"/>
      <c r="D1186" s="815"/>
      <c r="E1186" s="837"/>
      <c r="F1186" s="817"/>
      <c r="G1186" s="818"/>
      <c r="H1186" s="819"/>
      <c r="I1186" s="820"/>
      <c r="J1186" s="815"/>
      <c r="K1186" s="514"/>
      <c r="L1186" s="437"/>
      <c r="M1186" s="437"/>
      <c r="N1186" s="437"/>
    </row>
    <row r="1187">
      <c r="A1187" s="814"/>
      <c r="B1187" s="814"/>
      <c r="C1187" s="814"/>
      <c r="D1187" s="815"/>
      <c r="E1187" s="837"/>
      <c r="F1187" s="817"/>
      <c r="G1187" s="818"/>
      <c r="H1187" s="819"/>
      <c r="I1187" s="820"/>
      <c r="J1187" s="815"/>
      <c r="K1187" s="514"/>
      <c r="L1187" s="437"/>
      <c r="M1187" s="437"/>
      <c r="N1187" s="437"/>
    </row>
    <row r="1188">
      <c r="A1188" s="814"/>
      <c r="B1188" s="814"/>
      <c r="C1188" s="814"/>
      <c r="D1188" s="815"/>
      <c r="E1188" s="837"/>
      <c r="F1188" s="817"/>
      <c r="G1188" s="818"/>
      <c r="H1188" s="819"/>
      <c r="I1188" s="820"/>
      <c r="J1188" s="815"/>
      <c r="K1188" s="514"/>
      <c r="L1188" s="437"/>
      <c r="M1188" s="437"/>
      <c r="N1188" s="437"/>
    </row>
    <row r="1189">
      <c r="A1189" s="814"/>
      <c r="B1189" s="814"/>
      <c r="C1189" s="814"/>
      <c r="D1189" s="815"/>
      <c r="E1189" s="837"/>
      <c r="F1189" s="817"/>
      <c r="G1189" s="818"/>
      <c r="H1189" s="819"/>
      <c r="I1189" s="820"/>
      <c r="J1189" s="815"/>
      <c r="K1189" s="514"/>
      <c r="L1189" s="437"/>
      <c r="M1189" s="437"/>
      <c r="N1189" s="437"/>
    </row>
    <row r="1190">
      <c r="A1190" s="814"/>
      <c r="B1190" s="814"/>
      <c r="C1190" s="814"/>
      <c r="D1190" s="815"/>
      <c r="E1190" s="837"/>
      <c r="F1190" s="817"/>
      <c r="G1190" s="818"/>
      <c r="H1190" s="819"/>
      <c r="I1190" s="820"/>
      <c r="J1190" s="815"/>
      <c r="K1190" s="514"/>
      <c r="L1190" s="437"/>
      <c r="M1190" s="437"/>
      <c r="N1190" s="437"/>
    </row>
    <row r="1191">
      <c r="A1191" s="814"/>
      <c r="B1191" s="814"/>
      <c r="C1191" s="814"/>
      <c r="D1191" s="815"/>
      <c r="E1191" s="837"/>
      <c r="F1191" s="817"/>
      <c r="G1191" s="818"/>
      <c r="H1191" s="819"/>
      <c r="I1191" s="820"/>
      <c r="J1191" s="815"/>
      <c r="K1191" s="514"/>
      <c r="L1191" s="437"/>
      <c r="M1191" s="437"/>
      <c r="N1191" s="437"/>
    </row>
    <row r="1192">
      <c r="A1192" s="814"/>
      <c r="B1192" s="814"/>
      <c r="C1192" s="814"/>
      <c r="D1192" s="815"/>
      <c r="E1192" s="837"/>
      <c r="F1192" s="817"/>
      <c r="G1192" s="818"/>
      <c r="H1192" s="819"/>
      <c r="I1192" s="820"/>
      <c r="J1192" s="815"/>
      <c r="K1192" s="514"/>
      <c r="L1192" s="437"/>
      <c r="M1192" s="437"/>
      <c r="N1192" s="437"/>
    </row>
    <row r="1193">
      <c r="A1193" s="814"/>
      <c r="B1193" s="814"/>
      <c r="C1193" s="814"/>
      <c r="D1193" s="815"/>
      <c r="E1193" s="837"/>
      <c r="F1193" s="817"/>
      <c r="G1193" s="818"/>
      <c r="H1193" s="819"/>
      <c r="I1193" s="820"/>
      <c r="J1193" s="815"/>
      <c r="K1193" s="514"/>
      <c r="L1193" s="437"/>
      <c r="M1193" s="437"/>
      <c r="N1193" s="437"/>
    </row>
    <row r="1194">
      <c r="A1194" s="814"/>
      <c r="B1194" s="814"/>
      <c r="C1194" s="814"/>
      <c r="D1194" s="815"/>
      <c r="E1194" s="837"/>
      <c r="F1194" s="817"/>
      <c r="G1194" s="818"/>
      <c r="H1194" s="819"/>
      <c r="I1194" s="820"/>
      <c r="J1194" s="815"/>
      <c r="K1194" s="514"/>
      <c r="L1194" s="437"/>
      <c r="M1194" s="437"/>
      <c r="N1194" s="437"/>
    </row>
    <row r="1195">
      <c r="A1195" s="814"/>
      <c r="B1195" s="814"/>
      <c r="C1195" s="814"/>
      <c r="D1195" s="815"/>
      <c r="E1195" s="837"/>
      <c r="F1195" s="817"/>
      <c r="G1195" s="818"/>
      <c r="H1195" s="819"/>
      <c r="I1195" s="820"/>
      <c r="J1195" s="815"/>
      <c r="K1195" s="514"/>
      <c r="L1195" s="437"/>
      <c r="M1195" s="437"/>
      <c r="N1195" s="437"/>
    </row>
    <row r="1196">
      <c r="A1196" s="814"/>
      <c r="B1196" s="814"/>
      <c r="C1196" s="814"/>
      <c r="D1196" s="815"/>
      <c r="E1196" s="837"/>
      <c r="F1196" s="817"/>
      <c r="G1196" s="818"/>
      <c r="H1196" s="819"/>
      <c r="I1196" s="820"/>
      <c r="J1196" s="815"/>
      <c r="K1196" s="514"/>
      <c r="L1196" s="437"/>
      <c r="M1196" s="437"/>
      <c r="N1196" s="437"/>
    </row>
    <row r="1197">
      <c r="A1197" s="814"/>
      <c r="B1197" s="814"/>
      <c r="C1197" s="814"/>
      <c r="D1197" s="815"/>
      <c r="E1197" s="837"/>
      <c r="F1197" s="817"/>
      <c r="G1197" s="818"/>
      <c r="H1197" s="819"/>
      <c r="I1197" s="820"/>
      <c r="J1197" s="815"/>
      <c r="K1197" s="514"/>
      <c r="L1197" s="437"/>
      <c r="M1197" s="437"/>
      <c r="N1197" s="437"/>
    </row>
    <row r="1198">
      <c r="A1198" s="814"/>
      <c r="B1198" s="814"/>
      <c r="C1198" s="814"/>
      <c r="D1198" s="815"/>
      <c r="E1198" s="837"/>
      <c r="F1198" s="817"/>
      <c r="G1198" s="818"/>
      <c r="H1198" s="819"/>
      <c r="I1198" s="820"/>
      <c r="J1198" s="815"/>
      <c r="K1198" s="514"/>
      <c r="L1198" s="437"/>
      <c r="M1198" s="437"/>
      <c r="N1198" s="437"/>
    </row>
    <row r="1199">
      <c r="A1199" s="814"/>
      <c r="B1199" s="814"/>
      <c r="C1199" s="814"/>
      <c r="D1199" s="815"/>
      <c r="E1199" s="837"/>
      <c r="F1199" s="817"/>
      <c r="G1199" s="818"/>
      <c r="H1199" s="819"/>
      <c r="I1199" s="820"/>
      <c r="J1199" s="815"/>
      <c r="K1199" s="514"/>
      <c r="L1199" s="437"/>
      <c r="M1199" s="437"/>
      <c r="N1199" s="437"/>
    </row>
    <row r="1200">
      <c r="A1200" s="814"/>
      <c r="B1200" s="814"/>
      <c r="C1200" s="814"/>
      <c r="D1200" s="815"/>
      <c r="E1200" s="837"/>
      <c r="F1200" s="817"/>
      <c r="G1200" s="818"/>
      <c r="H1200" s="819"/>
      <c r="I1200" s="820"/>
      <c r="J1200" s="815"/>
      <c r="K1200" s="514"/>
      <c r="L1200" s="437"/>
      <c r="M1200" s="437"/>
      <c r="N1200" s="437"/>
    </row>
    <row r="1201">
      <c r="A1201" s="814"/>
      <c r="B1201" s="814"/>
      <c r="C1201" s="814"/>
      <c r="D1201" s="815"/>
      <c r="E1201" s="837"/>
      <c r="F1201" s="817"/>
      <c r="G1201" s="818"/>
      <c r="H1201" s="819"/>
      <c r="I1201" s="820"/>
      <c r="J1201" s="815"/>
      <c r="K1201" s="514"/>
      <c r="L1201" s="437"/>
      <c r="M1201" s="437"/>
      <c r="N1201" s="437"/>
    </row>
    <row r="1202">
      <c r="A1202" s="814"/>
      <c r="B1202" s="814"/>
      <c r="C1202" s="814"/>
      <c r="D1202" s="815"/>
      <c r="E1202" s="837"/>
      <c r="F1202" s="817"/>
      <c r="G1202" s="818"/>
      <c r="H1202" s="819"/>
      <c r="I1202" s="820"/>
      <c r="J1202" s="815"/>
      <c r="K1202" s="514"/>
      <c r="L1202" s="437"/>
      <c r="M1202" s="437"/>
      <c r="N1202" s="437"/>
    </row>
    <row r="1203">
      <c r="A1203" s="814"/>
      <c r="B1203" s="814"/>
      <c r="C1203" s="814"/>
      <c r="D1203" s="815"/>
      <c r="E1203" s="837"/>
      <c r="F1203" s="817"/>
      <c r="G1203" s="818"/>
      <c r="H1203" s="819"/>
      <c r="I1203" s="820"/>
      <c r="J1203" s="815"/>
      <c r="K1203" s="514"/>
      <c r="L1203" s="437"/>
      <c r="M1203" s="437"/>
      <c r="N1203" s="437"/>
    </row>
    <row r="1204">
      <c r="A1204" s="814"/>
      <c r="B1204" s="814"/>
      <c r="C1204" s="814"/>
      <c r="D1204" s="815"/>
      <c r="E1204" s="837"/>
      <c r="F1204" s="817"/>
      <c r="G1204" s="818"/>
      <c r="H1204" s="819"/>
      <c r="I1204" s="820"/>
      <c r="J1204" s="815"/>
      <c r="K1204" s="514"/>
      <c r="L1204" s="437"/>
      <c r="M1204" s="437"/>
      <c r="N1204" s="437"/>
    </row>
    <row r="1205">
      <c r="A1205" s="814"/>
      <c r="B1205" s="814"/>
      <c r="C1205" s="814"/>
      <c r="D1205" s="815"/>
      <c r="E1205" s="837"/>
      <c r="F1205" s="817"/>
      <c r="G1205" s="818"/>
      <c r="H1205" s="819"/>
      <c r="I1205" s="820"/>
      <c r="J1205" s="815"/>
      <c r="K1205" s="514"/>
      <c r="L1205" s="437"/>
      <c r="M1205" s="437"/>
      <c r="N1205" s="437"/>
    </row>
    <row r="1206">
      <c r="A1206" s="814"/>
      <c r="B1206" s="814"/>
      <c r="C1206" s="814"/>
      <c r="D1206" s="815"/>
      <c r="E1206" s="837"/>
      <c r="F1206" s="817"/>
      <c r="G1206" s="818"/>
      <c r="H1206" s="819"/>
      <c r="I1206" s="820"/>
      <c r="J1206" s="815"/>
      <c r="K1206" s="514"/>
      <c r="L1206" s="437"/>
      <c r="M1206" s="437"/>
      <c r="N1206" s="437"/>
    </row>
    <row r="1207">
      <c r="A1207" s="814"/>
      <c r="B1207" s="814"/>
      <c r="C1207" s="814"/>
      <c r="D1207" s="815"/>
      <c r="E1207" s="837"/>
      <c r="F1207" s="817"/>
      <c r="G1207" s="818"/>
      <c r="H1207" s="819"/>
      <c r="I1207" s="820"/>
      <c r="J1207" s="815"/>
      <c r="K1207" s="514"/>
      <c r="L1207" s="437"/>
      <c r="M1207" s="437"/>
      <c r="N1207" s="437"/>
    </row>
    <row r="1208">
      <c r="A1208" s="814"/>
      <c r="B1208" s="814"/>
      <c r="C1208" s="814"/>
      <c r="D1208" s="815"/>
      <c r="E1208" s="837"/>
      <c r="F1208" s="817"/>
      <c r="G1208" s="818"/>
      <c r="H1208" s="819"/>
      <c r="I1208" s="820"/>
      <c r="J1208" s="815"/>
      <c r="K1208" s="514"/>
      <c r="L1208" s="437"/>
      <c r="M1208" s="437"/>
      <c r="N1208" s="437"/>
    </row>
    <row r="1209">
      <c r="A1209" s="814"/>
      <c r="B1209" s="814"/>
      <c r="C1209" s="814"/>
      <c r="D1209" s="815"/>
      <c r="E1209" s="837"/>
      <c r="F1209" s="817"/>
      <c r="G1209" s="818"/>
      <c r="H1209" s="819"/>
      <c r="I1209" s="820"/>
      <c r="J1209" s="815"/>
      <c r="K1209" s="514"/>
      <c r="L1209" s="437"/>
      <c r="M1209" s="437"/>
      <c r="N1209" s="437"/>
    </row>
    <row r="1210">
      <c r="A1210" s="814"/>
      <c r="B1210" s="814"/>
      <c r="C1210" s="814"/>
      <c r="D1210" s="815"/>
      <c r="E1210" s="837"/>
      <c r="F1210" s="817"/>
      <c r="G1210" s="818"/>
      <c r="H1210" s="819"/>
      <c r="I1210" s="820"/>
      <c r="J1210" s="815"/>
      <c r="K1210" s="514"/>
      <c r="L1210" s="437"/>
      <c r="M1210" s="437"/>
      <c r="N1210" s="437"/>
    </row>
    <row r="1211">
      <c r="A1211" s="814"/>
      <c r="B1211" s="814"/>
      <c r="C1211" s="814"/>
      <c r="D1211" s="815"/>
      <c r="E1211" s="837"/>
      <c r="F1211" s="817"/>
      <c r="G1211" s="818"/>
      <c r="H1211" s="819"/>
      <c r="I1211" s="820"/>
      <c r="J1211" s="815"/>
      <c r="K1211" s="514"/>
      <c r="L1211" s="437"/>
      <c r="M1211" s="437"/>
      <c r="N1211" s="437"/>
    </row>
    <row r="1212">
      <c r="A1212" s="814"/>
      <c r="B1212" s="814"/>
      <c r="C1212" s="814"/>
      <c r="D1212" s="815"/>
      <c r="E1212" s="837"/>
      <c r="F1212" s="817"/>
      <c r="G1212" s="818"/>
      <c r="H1212" s="819"/>
      <c r="I1212" s="820"/>
      <c r="J1212" s="815"/>
      <c r="K1212" s="514"/>
      <c r="L1212" s="437"/>
      <c r="M1212" s="437"/>
      <c r="N1212" s="437"/>
    </row>
    <row r="1213">
      <c r="A1213" s="814"/>
      <c r="B1213" s="814"/>
      <c r="C1213" s="814"/>
      <c r="D1213" s="815"/>
      <c r="E1213" s="837"/>
      <c r="F1213" s="817"/>
      <c r="G1213" s="818"/>
      <c r="H1213" s="819"/>
      <c r="I1213" s="820"/>
      <c r="J1213" s="815"/>
      <c r="K1213" s="514"/>
      <c r="L1213" s="437"/>
      <c r="M1213" s="437"/>
      <c r="N1213" s="437"/>
    </row>
    <row r="1214">
      <c r="A1214" s="814"/>
      <c r="B1214" s="814"/>
      <c r="C1214" s="814"/>
      <c r="D1214" s="815"/>
      <c r="E1214" s="837"/>
      <c r="F1214" s="817"/>
      <c r="G1214" s="818"/>
      <c r="H1214" s="819"/>
      <c r="I1214" s="820"/>
      <c r="J1214" s="815"/>
      <c r="K1214" s="514"/>
      <c r="L1214" s="437"/>
      <c r="M1214" s="437"/>
      <c r="N1214" s="437"/>
    </row>
    <row r="1215">
      <c r="A1215" s="814"/>
      <c r="B1215" s="814"/>
      <c r="C1215" s="814"/>
      <c r="D1215" s="815"/>
      <c r="E1215" s="837"/>
      <c r="F1215" s="817"/>
      <c r="G1215" s="818"/>
      <c r="H1215" s="819"/>
      <c r="I1215" s="820"/>
      <c r="J1215" s="815"/>
      <c r="K1215" s="514"/>
      <c r="L1215" s="437"/>
      <c r="M1215" s="437"/>
      <c r="N1215" s="437"/>
    </row>
    <row r="1216">
      <c r="A1216" s="814"/>
      <c r="B1216" s="814"/>
      <c r="C1216" s="814"/>
      <c r="D1216" s="815"/>
      <c r="E1216" s="837"/>
      <c r="F1216" s="817"/>
      <c r="G1216" s="818"/>
      <c r="H1216" s="819"/>
      <c r="I1216" s="820"/>
      <c r="J1216" s="815"/>
      <c r="K1216" s="514"/>
      <c r="L1216" s="437"/>
      <c r="M1216" s="437"/>
      <c r="N1216" s="437"/>
    </row>
    <row r="1217">
      <c r="A1217" s="814"/>
      <c r="B1217" s="814"/>
      <c r="C1217" s="814"/>
      <c r="D1217" s="815"/>
      <c r="E1217" s="837"/>
      <c r="F1217" s="817"/>
      <c r="G1217" s="818"/>
      <c r="H1217" s="819"/>
      <c r="I1217" s="820"/>
      <c r="J1217" s="815"/>
      <c r="K1217" s="514"/>
      <c r="L1217" s="437"/>
      <c r="M1217" s="437"/>
      <c r="N1217" s="437"/>
    </row>
    <row r="1218">
      <c r="A1218" s="814"/>
      <c r="B1218" s="814"/>
      <c r="C1218" s="814"/>
      <c r="D1218" s="815"/>
      <c r="E1218" s="837"/>
      <c r="F1218" s="817"/>
      <c r="G1218" s="818"/>
      <c r="H1218" s="819"/>
      <c r="I1218" s="820"/>
      <c r="J1218" s="815"/>
      <c r="K1218" s="514"/>
      <c r="L1218" s="437"/>
      <c r="M1218" s="437"/>
      <c r="N1218" s="437"/>
    </row>
    <row r="1219">
      <c r="A1219" s="814"/>
      <c r="B1219" s="814"/>
      <c r="C1219" s="814"/>
      <c r="D1219" s="815"/>
      <c r="E1219" s="837"/>
      <c r="F1219" s="817"/>
      <c r="G1219" s="818"/>
      <c r="H1219" s="819"/>
      <c r="I1219" s="820"/>
      <c r="J1219" s="815"/>
      <c r="K1219" s="514"/>
      <c r="L1219" s="437"/>
      <c r="M1219" s="437"/>
      <c r="N1219" s="437"/>
    </row>
    <row r="1220">
      <c r="A1220" s="814"/>
      <c r="B1220" s="814"/>
      <c r="C1220" s="814"/>
      <c r="D1220" s="815"/>
      <c r="E1220" s="837"/>
      <c r="F1220" s="817"/>
      <c r="G1220" s="818"/>
      <c r="H1220" s="819"/>
      <c r="I1220" s="820"/>
      <c r="J1220" s="815"/>
      <c r="K1220" s="514"/>
      <c r="L1220" s="437"/>
      <c r="M1220" s="437"/>
      <c r="N1220" s="437"/>
    </row>
    <row r="1221">
      <c r="A1221" s="814"/>
      <c r="B1221" s="814"/>
      <c r="C1221" s="814"/>
      <c r="D1221" s="815"/>
      <c r="E1221" s="837"/>
      <c r="F1221" s="817"/>
      <c r="G1221" s="818"/>
      <c r="H1221" s="819"/>
      <c r="I1221" s="820"/>
      <c r="J1221" s="815"/>
      <c r="K1221" s="514"/>
      <c r="L1221" s="437"/>
      <c r="M1221" s="437"/>
      <c r="N1221" s="437"/>
    </row>
    <row r="1222">
      <c r="A1222" s="814"/>
      <c r="B1222" s="814"/>
      <c r="C1222" s="814"/>
      <c r="D1222" s="815"/>
      <c r="E1222" s="837"/>
      <c r="F1222" s="817"/>
      <c r="G1222" s="818"/>
      <c r="H1222" s="819"/>
      <c r="I1222" s="820"/>
      <c r="J1222" s="815"/>
      <c r="K1222" s="514"/>
      <c r="L1222" s="437"/>
      <c r="M1222" s="437"/>
      <c r="N1222" s="437"/>
    </row>
    <row r="1223">
      <c r="A1223" s="814"/>
      <c r="B1223" s="814"/>
      <c r="C1223" s="814"/>
      <c r="D1223" s="815"/>
      <c r="E1223" s="837"/>
      <c r="F1223" s="817"/>
      <c r="G1223" s="818"/>
      <c r="H1223" s="819"/>
      <c r="I1223" s="820"/>
      <c r="J1223" s="815"/>
      <c r="K1223" s="514"/>
      <c r="L1223" s="437"/>
      <c r="M1223" s="437"/>
      <c r="N1223" s="437"/>
    </row>
    <row r="1224">
      <c r="A1224" s="814"/>
      <c r="B1224" s="814"/>
      <c r="C1224" s="814"/>
      <c r="D1224" s="815"/>
      <c r="E1224" s="837"/>
      <c r="F1224" s="817"/>
      <c r="G1224" s="818"/>
      <c r="H1224" s="819"/>
      <c r="I1224" s="820"/>
      <c r="J1224" s="815"/>
      <c r="K1224" s="514"/>
      <c r="L1224" s="437"/>
      <c r="M1224" s="437"/>
      <c r="N1224" s="437"/>
    </row>
    <row r="1225">
      <c r="A1225" s="814"/>
      <c r="B1225" s="814"/>
      <c r="C1225" s="814"/>
      <c r="D1225" s="815"/>
      <c r="E1225" s="837"/>
      <c r="F1225" s="817"/>
      <c r="G1225" s="818"/>
      <c r="H1225" s="819"/>
      <c r="I1225" s="820"/>
      <c r="J1225" s="815"/>
      <c r="K1225" s="514"/>
      <c r="L1225" s="437"/>
      <c r="M1225" s="437"/>
      <c r="N1225" s="437"/>
    </row>
    <row r="1226">
      <c r="A1226" s="814"/>
      <c r="B1226" s="814"/>
      <c r="C1226" s="814"/>
      <c r="D1226" s="815"/>
      <c r="E1226" s="837"/>
      <c r="F1226" s="817"/>
      <c r="G1226" s="818"/>
      <c r="H1226" s="819"/>
      <c r="I1226" s="820"/>
      <c r="J1226" s="815"/>
      <c r="K1226" s="514"/>
      <c r="L1226" s="437"/>
      <c r="M1226" s="437"/>
      <c r="N1226" s="437"/>
    </row>
    <row r="1227">
      <c r="A1227" s="814"/>
      <c r="B1227" s="814"/>
      <c r="C1227" s="814"/>
      <c r="D1227" s="815"/>
      <c r="E1227" s="837"/>
      <c r="F1227" s="817"/>
      <c r="G1227" s="818"/>
      <c r="H1227" s="819"/>
      <c r="I1227" s="820"/>
      <c r="J1227" s="815"/>
      <c r="K1227" s="514"/>
      <c r="L1227" s="437"/>
      <c r="M1227" s="437"/>
      <c r="N1227" s="437"/>
    </row>
    <row r="1228">
      <c r="A1228" s="814"/>
      <c r="B1228" s="814"/>
      <c r="C1228" s="814"/>
      <c r="D1228" s="815"/>
      <c r="E1228" s="837"/>
      <c r="F1228" s="817"/>
      <c r="G1228" s="818"/>
      <c r="H1228" s="819"/>
      <c r="I1228" s="820"/>
      <c r="J1228" s="815"/>
      <c r="K1228" s="514"/>
      <c r="L1228" s="437"/>
      <c r="M1228" s="437"/>
      <c r="N1228" s="437"/>
    </row>
    <row r="1229">
      <c r="A1229" s="814"/>
      <c r="B1229" s="814"/>
      <c r="C1229" s="814"/>
      <c r="D1229" s="815"/>
      <c r="E1229" s="837"/>
      <c r="F1229" s="817"/>
      <c r="G1229" s="818"/>
      <c r="H1229" s="819"/>
      <c r="I1229" s="820"/>
      <c r="J1229" s="815"/>
      <c r="K1229" s="514"/>
      <c r="L1229" s="437"/>
      <c r="M1229" s="437"/>
      <c r="N1229" s="437"/>
    </row>
    <row r="1230">
      <c r="A1230" s="814"/>
      <c r="B1230" s="814"/>
      <c r="C1230" s="814"/>
      <c r="D1230" s="815"/>
      <c r="E1230" s="837"/>
      <c r="F1230" s="817"/>
      <c r="G1230" s="818"/>
      <c r="H1230" s="819"/>
      <c r="I1230" s="820"/>
      <c r="J1230" s="815"/>
      <c r="K1230" s="514"/>
      <c r="L1230" s="437"/>
      <c r="M1230" s="437"/>
      <c r="N1230" s="437"/>
    </row>
    <row r="1231">
      <c r="A1231" s="814"/>
      <c r="B1231" s="814"/>
      <c r="C1231" s="814"/>
      <c r="D1231" s="815"/>
      <c r="E1231" s="837"/>
      <c r="F1231" s="817"/>
      <c r="G1231" s="818"/>
      <c r="H1231" s="819"/>
      <c r="I1231" s="820"/>
      <c r="J1231" s="815"/>
      <c r="K1231" s="514"/>
      <c r="L1231" s="437"/>
      <c r="M1231" s="437"/>
      <c r="N1231" s="437"/>
    </row>
    <row r="1232">
      <c r="A1232" s="814"/>
      <c r="B1232" s="814"/>
      <c r="C1232" s="814"/>
      <c r="D1232" s="815"/>
      <c r="E1232" s="837"/>
      <c r="F1232" s="817"/>
      <c r="G1232" s="818"/>
      <c r="H1232" s="819"/>
      <c r="I1232" s="820"/>
      <c r="J1232" s="815"/>
      <c r="K1232" s="514"/>
      <c r="L1232" s="437"/>
      <c r="M1232" s="437"/>
      <c r="N1232" s="437"/>
    </row>
    <row r="1233">
      <c r="A1233" s="814"/>
      <c r="B1233" s="814"/>
      <c r="C1233" s="814"/>
      <c r="D1233" s="815"/>
      <c r="E1233" s="837"/>
      <c r="F1233" s="817"/>
      <c r="G1233" s="818"/>
      <c r="H1233" s="819"/>
      <c r="I1233" s="820"/>
      <c r="J1233" s="815"/>
      <c r="K1233" s="514"/>
      <c r="L1233" s="437"/>
      <c r="M1233" s="437"/>
      <c r="N1233" s="437"/>
    </row>
    <row r="1234">
      <c r="A1234" s="814"/>
      <c r="B1234" s="814"/>
      <c r="C1234" s="814"/>
      <c r="D1234" s="815"/>
      <c r="E1234" s="837"/>
      <c r="F1234" s="817"/>
      <c r="G1234" s="818"/>
      <c r="H1234" s="819"/>
      <c r="I1234" s="820"/>
      <c r="J1234" s="815"/>
      <c r="K1234" s="514"/>
      <c r="L1234" s="437"/>
      <c r="M1234" s="437"/>
      <c r="N1234" s="437"/>
    </row>
    <row r="1235">
      <c r="A1235" s="814"/>
      <c r="B1235" s="814"/>
      <c r="C1235" s="814"/>
      <c r="D1235" s="815"/>
      <c r="E1235" s="837"/>
      <c r="F1235" s="817"/>
      <c r="G1235" s="818"/>
      <c r="H1235" s="819"/>
      <c r="I1235" s="820"/>
      <c r="J1235" s="815"/>
      <c r="K1235" s="514"/>
      <c r="L1235" s="437"/>
      <c r="M1235" s="437"/>
      <c r="N1235" s="437"/>
    </row>
    <row r="1236">
      <c r="A1236" s="814"/>
      <c r="B1236" s="814"/>
      <c r="C1236" s="814"/>
      <c r="D1236" s="815"/>
      <c r="E1236" s="837"/>
      <c r="F1236" s="817"/>
      <c r="G1236" s="818"/>
      <c r="H1236" s="819"/>
      <c r="I1236" s="820"/>
      <c r="J1236" s="815"/>
      <c r="K1236" s="514"/>
      <c r="L1236" s="437"/>
      <c r="M1236" s="437"/>
      <c r="N1236" s="437"/>
    </row>
    <row r="1237">
      <c r="A1237" s="814"/>
      <c r="B1237" s="814"/>
      <c r="C1237" s="814"/>
      <c r="D1237" s="815"/>
      <c r="E1237" s="837"/>
      <c r="F1237" s="817"/>
      <c r="G1237" s="818"/>
      <c r="H1237" s="819"/>
      <c r="I1237" s="820"/>
      <c r="J1237" s="815"/>
      <c r="K1237" s="514"/>
      <c r="L1237" s="437"/>
      <c r="M1237" s="437"/>
      <c r="N1237" s="437"/>
    </row>
    <row r="1238">
      <c r="A1238" s="814"/>
      <c r="B1238" s="814"/>
      <c r="C1238" s="814"/>
      <c r="D1238" s="815"/>
      <c r="E1238" s="837"/>
      <c r="F1238" s="817"/>
      <c r="G1238" s="818"/>
      <c r="H1238" s="819"/>
      <c r="I1238" s="820"/>
      <c r="J1238" s="815"/>
      <c r="K1238" s="514"/>
      <c r="L1238" s="437"/>
      <c r="M1238" s="437"/>
      <c r="N1238" s="437"/>
    </row>
    <row r="1239">
      <c r="A1239" s="814"/>
      <c r="B1239" s="814"/>
      <c r="C1239" s="814"/>
      <c r="D1239" s="815"/>
      <c r="E1239" s="837"/>
      <c r="F1239" s="817"/>
      <c r="G1239" s="818"/>
      <c r="H1239" s="819"/>
      <c r="I1239" s="820"/>
      <c r="J1239" s="815"/>
      <c r="K1239" s="514"/>
      <c r="L1239" s="437"/>
      <c r="M1239" s="437"/>
      <c r="N1239" s="437"/>
    </row>
    <row r="1240">
      <c r="A1240" s="814"/>
      <c r="B1240" s="814"/>
      <c r="C1240" s="814"/>
      <c r="D1240" s="815"/>
      <c r="E1240" s="837"/>
      <c r="F1240" s="817"/>
      <c r="G1240" s="818"/>
      <c r="H1240" s="819"/>
      <c r="I1240" s="820"/>
      <c r="J1240" s="815"/>
      <c r="K1240" s="514"/>
      <c r="L1240" s="437"/>
      <c r="M1240" s="437"/>
      <c r="N1240" s="437"/>
    </row>
    <row r="1241">
      <c r="A1241" s="814"/>
      <c r="B1241" s="814"/>
      <c r="C1241" s="814"/>
      <c r="D1241" s="815"/>
      <c r="E1241" s="837"/>
      <c r="F1241" s="817"/>
      <c r="G1241" s="818"/>
      <c r="H1241" s="819"/>
      <c r="I1241" s="820"/>
      <c r="J1241" s="815"/>
      <c r="K1241" s="514"/>
      <c r="L1241" s="437"/>
      <c r="M1241" s="437"/>
      <c r="N1241" s="437"/>
    </row>
    <row r="1242">
      <c r="A1242" s="814"/>
      <c r="B1242" s="814"/>
      <c r="C1242" s="814"/>
      <c r="D1242" s="815"/>
      <c r="E1242" s="837"/>
      <c r="F1242" s="817"/>
      <c r="G1242" s="818"/>
      <c r="H1242" s="819"/>
      <c r="I1242" s="820"/>
      <c r="J1242" s="815"/>
      <c r="K1242" s="514"/>
      <c r="L1242" s="437"/>
      <c r="M1242" s="437"/>
      <c r="N1242" s="437"/>
    </row>
    <row r="1243">
      <c r="A1243" s="814"/>
      <c r="B1243" s="814"/>
      <c r="C1243" s="814"/>
      <c r="D1243" s="815"/>
      <c r="E1243" s="837"/>
      <c r="F1243" s="817"/>
      <c r="G1243" s="818"/>
      <c r="H1243" s="819"/>
      <c r="I1243" s="820"/>
      <c r="J1243" s="815"/>
      <c r="K1243" s="514"/>
      <c r="L1243" s="437"/>
      <c r="M1243" s="437"/>
      <c r="N1243" s="437"/>
    </row>
    <row r="1244">
      <c r="A1244" s="814"/>
      <c r="B1244" s="814"/>
      <c r="C1244" s="814"/>
      <c r="D1244" s="815"/>
      <c r="E1244" s="837"/>
      <c r="F1244" s="817"/>
      <c r="G1244" s="818"/>
      <c r="H1244" s="819"/>
      <c r="I1244" s="820"/>
      <c r="J1244" s="815"/>
      <c r="K1244" s="514"/>
      <c r="L1244" s="437"/>
      <c r="M1244" s="437"/>
      <c r="N1244" s="437"/>
    </row>
    <row r="1245">
      <c r="A1245" s="814"/>
      <c r="B1245" s="814"/>
      <c r="C1245" s="814"/>
      <c r="D1245" s="815"/>
      <c r="E1245" s="837"/>
      <c r="F1245" s="817"/>
      <c r="G1245" s="818"/>
      <c r="H1245" s="819"/>
      <c r="I1245" s="820"/>
      <c r="J1245" s="815"/>
      <c r="K1245" s="514"/>
      <c r="L1245" s="437"/>
      <c r="M1245" s="437"/>
      <c r="N1245" s="437"/>
    </row>
    <row r="1246">
      <c r="A1246" s="814"/>
      <c r="B1246" s="814"/>
      <c r="C1246" s="814"/>
      <c r="D1246" s="815"/>
      <c r="E1246" s="837"/>
      <c r="F1246" s="817"/>
      <c r="G1246" s="818"/>
      <c r="H1246" s="819"/>
      <c r="I1246" s="820"/>
      <c r="J1246" s="815"/>
      <c r="K1246" s="514"/>
      <c r="L1246" s="437"/>
      <c r="M1246" s="437"/>
      <c r="N1246" s="437"/>
    </row>
    <row r="1247">
      <c r="A1247" s="814"/>
      <c r="B1247" s="814"/>
      <c r="C1247" s="814"/>
      <c r="D1247" s="815"/>
      <c r="E1247" s="837"/>
      <c r="F1247" s="817"/>
      <c r="G1247" s="818"/>
      <c r="H1247" s="819"/>
      <c r="I1247" s="820"/>
      <c r="J1247" s="815"/>
      <c r="K1247" s="514"/>
      <c r="L1247" s="437"/>
      <c r="M1247" s="437"/>
      <c r="N1247" s="437"/>
    </row>
    <row r="1248">
      <c r="A1248" s="814"/>
      <c r="B1248" s="814"/>
      <c r="C1248" s="814"/>
      <c r="D1248" s="815"/>
      <c r="E1248" s="837"/>
      <c r="F1248" s="817"/>
      <c r="G1248" s="818"/>
      <c r="H1248" s="819"/>
      <c r="I1248" s="820"/>
      <c r="J1248" s="815"/>
      <c r="K1248" s="514"/>
      <c r="L1248" s="437"/>
      <c r="M1248" s="437"/>
      <c r="N1248" s="437"/>
    </row>
    <row r="1249">
      <c r="A1249" s="814"/>
      <c r="B1249" s="814"/>
      <c r="C1249" s="814"/>
      <c r="D1249" s="815"/>
      <c r="E1249" s="837"/>
      <c r="F1249" s="817"/>
      <c r="G1249" s="818"/>
      <c r="H1249" s="819"/>
      <c r="I1249" s="820"/>
      <c r="J1249" s="815"/>
      <c r="K1249" s="514"/>
      <c r="L1249" s="437"/>
      <c r="M1249" s="437"/>
      <c r="N1249" s="437"/>
    </row>
    <row r="1250">
      <c r="A1250" s="814"/>
      <c r="B1250" s="814"/>
      <c r="C1250" s="814"/>
      <c r="D1250" s="815"/>
      <c r="E1250" s="837"/>
      <c r="F1250" s="817"/>
      <c r="G1250" s="818"/>
      <c r="H1250" s="819"/>
      <c r="I1250" s="820"/>
      <c r="J1250" s="815"/>
      <c r="K1250" s="514"/>
      <c r="L1250" s="437"/>
      <c r="M1250" s="437"/>
      <c r="N1250" s="437"/>
    </row>
    <row r="1251">
      <c r="A1251" s="814"/>
      <c r="B1251" s="814"/>
      <c r="C1251" s="814"/>
      <c r="D1251" s="815"/>
      <c r="E1251" s="837"/>
      <c r="F1251" s="817"/>
      <c r="G1251" s="818"/>
      <c r="H1251" s="819"/>
      <c r="I1251" s="820"/>
      <c r="J1251" s="815"/>
      <c r="K1251" s="514"/>
      <c r="L1251" s="437"/>
      <c r="M1251" s="437"/>
      <c r="N1251" s="437"/>
    </row>
    <row r="1252">
      <c r="A1252" s="814"/>
      <c r="B1252" s="814"/>
      <c r="C1252" s="814"/>
      <c r="D1252" s="815"/>
      <c r="E1252" s="837"/>
      <c r="F1252" s="817"/>
      <c r="G1252" s="818"/>
      <c r="H1252" s="819"/>
      <c r="I1252" s="820"/>
      <c r="J1252" s="815"/>
      <c r="K1252" s="514"/>
      <c r="L1252" s="437"/>
      <c r="M1252" s="437"/>
      <c r="N1252" s="437"/>
    </row>
    <row r="1253">
      <c r="A1253" s="814"/>
      <c r="B1253" s="814"/>
      <c r="C1253" s="814"/>
      <c r="D1253" s="815"/>
      <c r="E1253" s="837"/>
      <c r="F1253" s="817"/>
      <c r="G1253" s="818"/>
      <c r="H1253" s="819"/>
      <c r="I1253" s="820"/>
      <c r="J1253" s="815"/>
      <c r="K1253" s="514"/>
      <c r="L1253" s="437"/>
      <c r="M1253" s="437"/>
      <c r="N1253" s="437"/>
    </row>
    <row r="1254">
      <c r="A1254" s="814"/>
      <c r="B1254" s="814"/>
      <c r="C1254" s="814"/>
      <c r="D1254" s="815"/>
      <c r="E1254" s="837"/>
      <c r="F1254" s="817"/>
      <c r="G1254" s="818"/>
      <c r="H1254" s="819"/>
      <c r="I1254" s="820"/>
      <c r="J1254" s="815"/>
      <c r="K1254" s="514"/>
      <c r="L1254" s="437"/>
      <c r="M1254" s="437"/>
      <c r="N1254" s="437"/>
    </row>
    <row r="1255">
      <c r="A1255" s="814"/>
      <c r="B1255" s="814"/>
      <c r="C1255" s="814"/>
      <c r="D1255" s="815"/>
      <c r="E1255" s="837"/>
      <c r="F1255" s="817"/>
      <c r="G1255" s="818"/>
      <c r="H1255" s="819"/>
      <c r="I1255" s="820"/>
      <c r="J1255" s="815"/>
      <c r="K1255" s="514"/>
      <c r="L1255" s="437"/>
      <c r="M1255" s="437"/>
      <c r="N1255" s="437"/>
    </row>
    <row r="1256">
      <c r="A1256" s="814"/>
      <c r="B1256" s="814"/>
      <c r="C1256" s="814"/>
      <c r="D1256" s="815"/>
      <c r="E1256" s="837"/>
      <c r="F1256" s="817"/>
      <c r="G1256" s="818"/>
      <c r="H1256" s="819"/>
      <c r="I1256" s="820"/>
      <c r="J1256" s="815"/>
      <c r="K1256" s="514"/>
      <c r="L1256" s="437"/>
      <c r="M1256" s="437"/>
      <c r="N1256" s="437"/>
    </row>
    <row r="1257">
      <c r="A1257" s="814"/>
      <c r="B1257" s="814"/>
      <c r="C1257" s="814"/>
      <c r="D1257" s="815"/>
      <c r="E1257" s="837"/>
      <c r="F1257" s="817"/>
      <c r="G1257" s="818"/>
      <c r="H1257" s="819"/>
      <c r="I1257" s="820"/>
      <c r="J1257" s="815"/>
      <c r="K1257" s="514"/>
      <c r="L1257" s="437"/>
      <c r="M1257" s="437"/>
      <c r="N1257" s="437"/>
    </row>
    <row r="1258">
      <c r="A1258" s="814"/>
      <c r="B1258" s="814"/>
      <c r="C1258" s="814"/>
      <c r="D1258" s="815"/>
      <c r="E1258" s="837"/>
      <c r="F1258" s="817"/>
      <c r="G1258" s="818"/>
      <c r="H1258" s="819"/>
      <c r="I1258" s="820"/>
      <c r="J1258" s="815"/>
      <c r="K1258" s="514"/>
      <c r="L1258" s="437"/>
      <c r="M1258" s="437"/>
      <c r="N1258" s="437"/>
    </row>
    <row r="1259">
      <c r="A1259" s="814"/>
      <c r="B1259" s="814"/>
      <c r="C1259" s="814"/>
      <c r="D1259" s="815"/>
      <c r="E1259" s="837"/>
      <c r="F1259" s="817"/>
      <c r="G1259" s="818"/>
      <c r="H1259" s="819"/>
      <c r="I1259" s="820"/>
      <c r="J1259" s="815"/>
      <c r="K1259" s="514"/>
      <c r="L1259" s="437"/>
      <c r="M1259" s="437"/>
      <c r="N1259" s="437"/>
    </row>
    <row r="1260">
      <c r="A1260" s="814"/>
      <c r="B1260" s="814"/>
      <c r="C1260" s="814"/>
      <c r="D1260" s="815"/>
      <c r="E1260" s="837"/>
      <c r="F1260" s="817"/>
      <c r="G1260" s="818"/>
      <c r="H1260" s="819"/>
      <c r="I1260" s="820"/>
      <c r="J1260" s="815"/>
      <c r="K1260" s="514"/>
      <c r="L1260" s="437"/>
      <c r="M1260" s="437"/>
      <c r="N1260" s="437"/>
    </row>
    <row r="1261">
      <c r="A1261" s="814"/>
      <c r="B1261" s="814"/>
      <c r="C1261" s="814"/>
      <c r="D1261" s="815"/>
      <c r="E1261" s="837"/>
      <c r="F1261" s="817"/>
      <c r="G1261" s="818"/>
      <c r="H1261" s="819"/>
      <c r="I1261" s="820"/>
      <c r="J1261" s="815"/>
      <c r="K1261" s="514"/>
      <c r="L1261" s="437"/>
      <c r="M1261" s="437"/>
      <c r="N1261" s="437"/>
    </row>
    <row r="1262">
      <c r="A1262" s="814"/>
      <c r="B1262" s="814"/>
      <c r="C1262" s="814"/>
      <c r="D1262" s="815"/>
      <c r="E1262" s="837"/>
      <c r="F1262" s="817"/>
      <c r="G1262" s="818"/>
      <c r="H1262" s="819"/>
      <c r="I1262" s="820"/>
      <c r="J1262" s="815"/>
      <c r="K1262" s="514"/>
      <c r="L1262" s="437"/>
      <c r="M1262" s="437"/>
      <c r="N1262" s="437"/>
    </row>
    <row r="1263">
      <c r="A1263" s="814"/>
      <c r="B1263" s="814"/>
      <c r="C1263" s="814"/>
      <c r="D1263" s="815"/>
      <c r="E1263" s="837"/>
      <c r="F1263" s="817"/>
      <c r="G1263" s="818"/>
      <c r="H1263" s="819"/>
      <c r="I1263" s="820"/>
      <c r="J1263" s="815"/>
      <c r="K1263" s="514"/>
      <c r="L1263" s="437"/>
      <c r="M1263" s="437"/>
      <c r="N1263" s="437"/>
    </row>
    <row r="1264">
      <c r="A1264" s="814"/>
      <c r="B1264" s="814"/>
      <c r="C1264" s="814"/>
      <c r="D1264" s="815"/>
      <c r="E1264" s="837"/>
      <c r="F1264" s="817"/>
      <c r="G1264" s="818"/>
      <c r="H1264" s="819"/>
      <c r="I1264" s="820"/>
      <c r="J1264" s="815"/>
      <c r="K1264" s="514"/>
      <c r="L1264" s="437"/>
      <c r="M1264" s="437"/>
      <c r="N1264" s="437"/>
    </row>
    <row r="1265">
      <c r="A1265" s="814"/>
      <c r="B1265" s="814"/>
      <c r="C1265" s="814"/>
      <c r="D1265" s="815"/>
      <c r="E1265" s="837"/>
      <c r="F1265" s="817"/>
      <c r="G1265" s="818"/>
      <c r="H1265" s="819"/>
      <c r="I1265" s="820"/>
      <c r="J1265" s="815"/>
      <c r="K1265" s="514"/>
      <c r="L1265" s="437"/>
      <c r="M1265" s="437"/>
      <c r="N1265" s="437"/>
    </row>
    <row r="1266">
      <c r="A1266" s="814"/>
      <c r="B1266" s="814"/>
      <c r="C1266" s="814"/>
      <c r="D1266" s="815"/>
      <c r="E1266" s="837"/>
      <c r="F1266" s="817"/>
      <c r="G1266" s="818"/>
      <c r="H1266" s="819"/>
      <c r="I1266" s="820"/>
      <c r="J1266" s="815"/>
      <c r="K1266" s="514"/>
      <c r="L1266" s="437"/>
      <c r="M1266" s="437"/>
      <c r="N1266" s="437"/>
    </row>
    <row r="1267">
      <c r="A1267" s="814"/>
      <c r="B1267" s="814"/>
      <c r="C1267" s="814"/>
      <c r="D1267" s="815"/>
      <c r="E1267" s="837"/>
      <c r="F1267" s="817"/>
      <c r="G1267" s="818"/>
      <c r="H1267" s="819"/>
      <c r="I1267" s="820"/>
      <c r="J1267" s="815"/>
      <c r="K1267" s="514"/>
      <c r="L1267" s="437"/>
      <c r="M1267" s="437"/>
      <c r="N1267" s="437"/>
    </row>
    <row r="1268">
      <c r="A1268" s="814"/>
      <c r="B1268" s="814"/>
      <c r="C1268" s="814"/>
      <c r="D1268" s="815"/>
      <c r="E1268" s="837"/>
      <c r="F1268" s="817"/>
      <c r="G1268" s="818"/>
      <c r="H1268" s="819"/>
      <c r="I1268" s="820"/>
      <c r="J1268" s="815"/>
      <c r="K1268" s="514"/>
      <c r="L1268" s="437"/>
      <c r="M1268" s="437"/>
      <c r="N1268" s="437"/>
    </row>
    <row r="1269">
      <c r="A1269" s="814"/>
      <c r="B1269" s="814"/>
      <c r="C1269" s="814"/>
      <c r="D1269" s="815"/>
      <c r="E1269" s="837"/>
      <c r="F1269" s="817"/>
      <c r="G1269" s="818"/>
      <c r="H1269" s="819"/>
      <c r="I1269" s="820"/>
      <c r="J1269" s="815"/>
      <c r="K1269" s="514"/>
      <c r="L1269" s="437"/>
      <c r="M1269" s="437"/>
      <c r="N1269" s="437"/>
    </row>
    <row r="1270">
      <c r="A1270" s="814"/>
      <c r="B1270" s="814"/>
      <c r="C1270" s="814"/>
      <c r="D1270" s="815"/>
      <c r="E1270" s="837"/>
      <c r="F1270" s="817"/>
      <c r="G1270" s="818"/>
      <c r="H1270" s="819"/>
      <c r="I1270" s="820"/>
      <c r="J1270" s="815"/>
      <c r="K1270" s="514"/>
      <c r="L1270" s="437"/>
      <c r="M1270" s="437"/>
      <c r="N1270" s="437"/>
    </row>
    <row r="1271">
      <c r="A1271" s="814"/>
      <c r="B1271" s="814"/>
      <c r="C1271" s="814"/>
      <c r="D1271" s="815"/>
      <c r="E1271" s="837"/>
      <c r="F1271" s="817"/>
      <c r="G1271" s="818"/>
      <c r="H1271" s="819"/>
      <c r="I1271" s="820"/>
      <c r="J1271" s="815"/>
      <c r="K1271" s="514"/>
      <c r="L1271" s="437"/>
      <c r="M1271" s="437"/>
      <c r="N1271" s="437"/>
    </row>
    <row r="1272">
      <c r="A1272" s="814"/>
      <c r="B1272" s="814"/>
      <c r="C1272" s="814"/>
      <c r="D1272" s="815"/>
      <c r="E1272" s="837"/>
      <c r="F1272" s="817"/>
      <c r="G1272" s="818"/>
      <c r="H1272" s="819"/>
      <c r="I1272" s="820"/>
      <c r="J1272" s="815"/>
      <c r="K1272" s="514"/>
      <c r="L1272" s="437"/>
      <c r="M1272" s="437"/>
      <c r="N1272" s="437"/>
    </row>
    <row r="1273">
      <c r="A1273" s="814"/>
      <c r="B1273" s="814"/>
      <c r="C1273" s="814"/>
      <c r="D1273" s="815"/>
      <c r="E1273" s="837"/>
      <c r="F1273" s="817"/>
      <c r="G1273" s="818"/>
      <c r="H1273" s="819"/>
      <c r="I1273" s="820"/>
      <c r="J1273" s="815"/>
      <c r="K1273" s="514"/>
      <c r="L1273" s="437"/>
      <c r="M1273" s="437"/>
      <c r="N1273" s="437"/>
    </row>
    <row r="1274">
      <c r="A1274" s="814"/>
      <c r="B1274" s="814"/>
      <c r="C1274" s="814"/>
      <c r="D1274" s="815"/>
      <c r="E1274" s="837"/>
      <c r="F1274" s="817"/>
      <c r="G1274" s="818"/>
      <c r="H1274" s="819"/>
      <c r="I1274" s="820"/>
      <c r="J1274" s="815"/>
      <c r="K1274" s="514"/>
      <c r="L1274" s="437"/>
      <c r="M1274" s="437"/>
      <c r="N1274" s="437"/>
    </row>
    <row r="1275">
      <c r="A1275" s="814"/>
      <c r="B1275" s="814"/>
      <c r="C1275" s="814"/>
      <c r="D1275" s="815"/>
      <c r="E1275" s="837"/>
      <c r="F1275" s="817"/>
      <c r="G1275" s="818"/>
      <c r="H1275" s="819"/>
      <c r="I1275" s="820"/>
      <c r="J1275" s="815"/>
      <c r="K1275" s="514"/>
      <c r="L1275" s="437"/>
      <c r="M1275" s="437"/>
      <c r="N1275" s="437"/>
    </row>
    <row r="1276">
      <c r="A1276" s="814"/>
      <c r="B1276" s="814"/>
      <c r="C1276" s="814"/>
      <c r="D1276" s="815"/>
      <c r="E1276" s="837"/>
      <c r="F1276" s="817"/>
      <c r="G1276" s="818"/>
      <c r="H1276" s="819"/>
      <c r="I1276" s="820"/>
      <c r="J1276" s="815"/>
      <c r="K1276" s="514"/>
      <c r="L1276" s="437"/>
      <c r="M1276" s="437"/>
      <c r="N1276" s="437"/>
    </row>
    <row r="1277">
      <c r="A1277" s="814"/>
      <c r="B1277" s="814"/>
      <c r="C1277" s="814"/>
      <c r="D1277" s="815"/>
      <c r="E1277" s="837"/>
      <c r="F1277" s="817"/>
      <c r="G1277" s="818"/>
      <c r="H1277" s="819"/>
      <c r="I1277" s="820"/>
      <c r="J1277" s="815"/>
      <c r="K1277" s="514"/>
      <c r="L1277" s="437"/>
      <c r="M1277" s="437"/>
      <c r="N1277" s="437"/>
    </row>
    <row r="1278">
      <c r="A1278" s="814"/>
      <c r="B1278" s="814"/>
      <c r="C1278" s="814"/>
      <c r="D1278" s="815"/>
      <c r="E1278" s="837"/>
      <c r="F1278" s="817"/>
      <c r="G1278" s="818"/>
      <c r="H1278" s="819"/>
      <c r="I1278" s="820"/>
      <c r="J1278" s="815"/>
      <c r="K1278" s="514"/>
      <c r="L1278" s="437"/>
      <c r="M1278" s="437"/>
      <c r="N1278" s="437"/>
    </row>
    <row r="1279">
      <c r="A1279" s="814"/>
      <c r="B1279" s="814"/>
      <c r="C1279" s="814"/>
      <c r="D1279" s="815"/>
      <c r="E1279" s="837"/>
      <c r="F1279" s="817"/>
      <c r="G1279" s="818"/>
      <c r="H1279" s="819"/>
      <c r="I1279" s="820"/>
      <c r="J1279" s="815"/>
      <c r="K1279" s="514"/>
      <c r="L1279" s="437"/>
      <c r="M1279" s="437"/>
      <c r="N1279" s="437"/>
    </row>
    <row r="1280">
      <c r="A1280" s="814"/>
      <c r="B1280" s="814"/>
      <c r="C1280" s="814"/>
      <c r="D1280" s="815"/>
      <c r="E1280" s="837"/>
      <c r="F1280" s="817"/>
      <c r="G1280" s="818"/>
      <c r="H1280" s="819"/>
      <c r="I1280" s="820"/>
      <c r="J1280" s="815"/>
      <c r="K1280" s="514"/>
      <c r="L1280" s="437"/>
      <c r="M1280" s="437"/>
      <c r="N1280" s="437"/>
    </row>
    <row r="1281">
      <c r="A1281" s="814"/>
      <c r="B1281" s="814"/>
      <c r="C1281" s="814"/>
      <c r="D1281" s="815"/>
      <c r="E1281" s="837"/>
      <c r="F1281" s="817"/>
      <c r="G1281" s="818"/>
      <c r="H1281" s="819"/>
      <c r="I1281" s="820"/>
      <c r="J1281" s="815"/>
      <c r="K1281" s="514"/>
      <c r="L1281" s="437"/>
      <c r="M1281" s="437"/>
      <c r="N1281" s="437"/>
    </row>
    <row r="1282">
      <c r="A1282" s="814"/>
      <c r="B1282" s="814"/>
      <c r="C1282" s="814"/>
      <c r="D1282" s="815"/>
      <c r="E1282" s="837"/>
      <c r="F1282" s="817"/>
      <c r="G1282" s="818"/>
      <c r="H1282" s="819"/>
      <c r="I1282" s="820"/>
      <c r="J1282" s="815"/>
      <c r="K1282" s="514"/>
      <c r="L1282" s="437"/>
      <c r="M1282" s="437"/>
      <c r="N1282" s="437"/>
    </row>
    <row r="1283">
      <c r="A1283" s="814"/>
      <c r="B1283" s="814"/>
      <c r="C1283" s="814"/>
      <c r="D1283" s="815"/>
      <c r="E1283" s="837"/>
      <c r="F1283" s="817"/>
      <c r="G1283" s="818"/>
      <c r="H1283" s="819"/>
      <c r="I1283" s="820"/>
      <c r="J1283" s="815"/>
      <c r="K1283" s="514"/>
      <c r="L1283" s="437"/>
      <c r="M1283" s="437"/>
      <c r="N1283" s="437"/>
    </row>
    <row r="1284">
      <c r="A1284" s="814"/>
      <c r="B1284" s="814"/>
      <c r="C1284" s="814"/>
      <c r="D1284" s="815"/>
      <c r="E1284" s="837"/>
      <c r="F1284" s="817"/>
      <c r="G1284" s="818"/>
      <c r="H1284" s="819"/>
      <c r="I1284" s="820"/>
      <c r="J1284" s="815"/>
      <c r="K1284" s="514"/>
      <c r="L1284" s="437"/>
      <c r="M1284" s="437"/>
      <c r="N1284" s="437"/>
    </row>
    <row r="1285">
      <c r="A1285" s="814"/>
      <c r="B1285" s="814"/>
      <c r="C1285" s="814"/>
      <c r="D1285" s="815"/>
      <c r="E1285" s="837"/>
      <c r="F1285" s="817"/>
      <c r="G1285" s="818"/>
      <c r="H1285" s="819"/>
      <c r="I1285" s="820"/>
      <c r="J1285" s="815"/>
      <c r="K1285" s="514"/>
      <c r="L1285" s="437"/>
      <c r="M1285" s="437"/>
      <c r="N1285" s="437"/>
    </row>
    <row r="1286">
      <c r="A1286" s="814"/>
      <c r="B1286" s="814"/>
      <c r="C1286" s="814"/>
      <c r="D1286" s="815"/>
      <c r="E1286" s="837"/>
      <c r="F1286" s="817"/>
      <c r="G1286" s="818"/>
      <c r="H1286" s="819"/>
      <c r="I1286" s="820"/>
      <c r="J1286" s="815"/>
      <c r="K1286" s="514"/>
      <c r="L1286" s="437"/>
      <c r="M1286" s="437"/>
      <c r="N1286" s="437"/>
    </row>
    <row r="1287">
      <c r="A1287" s="814"/>
      <c r="B1287" s="814"/>
      <c r="C1287" s="814"/>
      <c r="D1287" s="815"/>
      <c r="E1287" s="837"/>
      <c r="F1287" s="817"/>
      <c r="G1287" s="818"/>
      <c r="H1287" s="819"/>
      <c r="I1287" s="820"/>
      <c r="J1287" s="815"/>
      <c r="K1287" s="514"/>
      <c r="L1287" s="437"/>
      <c r="M1287" s="437"/>
      <c r="N1287" s="437"/>
    </row>
    <row r="1288">
      <c r="A1288" s="814"/>
      <c r="B1288" s="814"/>
      <c r="C1288" s="814"/>
      <c r="D1288" s="815"/>
      <c r="E1288" s="837"/>
      <c r="F1288" s="817"/>
      <c r="G1288" s="818"/>
      <c r="H1288" s="819"/>
      <c r="I1288" s="820"/>
      <c r="J1288" s="815"/>
      <c r="K1288" s="514"/>
      <c r="L1288" s="437"/>
      <c r="M1288" s="437"/>
      <c r="N1288" s="437"/>
    </row>
    <row r="1289">
      <c r="A1289" s="814"/>
      <c r="B1289" s="814"/>
      <c r="C1289" s="814"/>
      <c r="D1289" s="815"/>
      <c r="E1289" s="837"/>
      <c r="F1289" s="817"/>
      <c r="G1289" s="818"/>
      <c r="H1289" s="819"/>
      <c r="I1289" s="820"/>
      <c r="J1289" s="815"/>
      <c r="K1289" s="514"/>
      <c r="L1289" s="437"/>
      <c r="M1289" s="437"/>
      <c r="N1289" s="437"/>
    </row>
    <row r="1290">
      <c r="A1290" s="814"/>
      <c r="B1290" s="814"/>
      <c r="C1290" s="814"/>
      <c r="D1290" s="815"/>
      <c r="E1290" s="837"/>
      <c r="F1290" s="817"/>
      <c r="G1290" s="818"/>
      <c r="H1290" s="819"/>
      <c r="I1290" s="820"/>
      <c r="J1290" s="815"/>
      <c r="K1290" s="514"/>
      <c r="L1290" s="437"/>
      <c r="M1290" s="437"/>
      <c r="N1290" s="437"/>
    </row>
    <row r="1291">
      <c r="A1291" s="814"/>
      <c r="B1291" s="814"/>
      <c r="C1291" s="814"/>
      <c r="D1291" s="815"/>
      <c r="E1291" s="837"/>
      <c r="F1291" s="817"/>
      <c r="G1291" s="818"/>
      <c r="H1291" s="819"/>
      <c r="I1291" s="820"/>
      <c r="J1291" s="815"/>
      <c r="K1291" s="514"/>
      <c r="L1291" s="437"/>
      <c r="M1291" s="437"/>
      <c r="N1291" s="437"/>
    </row>
    <row r="1292">
      <c r="A1292" s="814"/>
      <c r="B1292" s="814"/>
      <c r="C1292" s="814"/>
      <c r="D1292" s="815"/>
      <c r="E1292" s="837"/>
      <c r="F1292" s="817"/>
      <c r="G1292" s="818"/>
      <c r="H1292" s="819"/>
      <c r="I1292" s="820"/>
      <c r="J1292" s="815"/>
      <c r="K1292" s="514"/>
      <c r="L1292" s="437"/>
      <c r="M1292" s="437"/>
      <c r="N1292" s="437"/>
    </row>
    <row r="1293">
      <c r="A1293" s="814"/>
      <c r="B1293" s="814"/>
      <c r="C1293" s="814"/>
      <c r="D1293" s="815"/>
      <c r="E1293" s="837"/>
      <c r="F1293" s="817"/>
      <c r="G1293" s="818"/>
      <c r="H1293" s="819"/>
      <c r="I1293" s="820"/>
      <c r="J1293" s="815"/>
      <c r="K1293" s="514"/>
      <c r="L1293" s="437"/>
      <c r="M1293" s="437"/>
      <c r="N1293" s="437"/>
    </row>
    <row r="1294">
      <c r="A1294" s="814"/>
      <c r="B1294" s="814"/>
      <c r="C1294" s="814"/>
      <c r="D1294" s="815"/>
      <c r="E1294" s="837"/>
      <c r="F1294" s="817"/>
      <c r="G1294" s="818"/>
      <c r="H1294" s="819"/>
      <c r="I1294" s="820"/>
      <c r="J1294" s="815"/>
      <c r="K1294" s="514"/>
      <c r="L1294" s="437"/>
      <c r="M1294" s="437"/>
      <c r="N1294" s="437"/>
    </row>
    <row r="1295">
      <c r="A1295" s="814"/>
      <c r="B1295" s="814"/>
      <c r="C1295" s="814"/>
      <c r="D1295" s="815"/>
      <c r="E1295" s="837"/>
      <c r="F1295" s="817"/>
      <c r="G1295" s="818"/>
      <c r="H1295" s="819"/>
      <c r="I1295" s="820"/>
      <c r="J1295" s="815"/>
      <c r="K1295" s="514"/>
      <c r="L1295" s="437"/>
      <c r="M1295" s="437"/>
      <c r="N1295" s="437"/>
    </row>
    <row r="1296">
      <c r="A1296" s="814"/>
      <c r="B1296" s="814"/>
      <c r="C1296" s="814"/>
      <c r="D1296" s="815"/>
      <c r="E1296" s="837"/>
      <c r="F1296" s="817"/>
      <c r="G1296" s="818"/>
      <c r="H1296" s="819"/>
      <c r="I1296" s="820"/>
      <c r="J1296" s="815"/>
      <c r="K1296" s="514"/>
      <c r="L1296" s="437"/>
      <c r="M1296" s="437"/>
      <c r="N1296" s="437"/>
    </row>
    <row r="1297">
      <c r="A1297" s="814"/>
      <c r="B1297" s="814"/>
      <c r="C1297" s="814"/>
      <c r="D1297" s="815"/>
      <c r="E1297" s="837"/>
      <c r="F1297" s="817"/>
      <c r="G1297" s="818"/>
      <c r="H1297" s="819"/>
      <c r="I1297" s="820"/>
      <c r="J1297" s="815"/>
      <c r="K1297" s="514"/>
      <c r="L1297" s="437"/>
      <c r="M1297" s="437"/>
      <c r="N1297" s="437"/>
    </row>
    <row r="1298">
      <c r="A1298" s="814"/>
      <c r="B1298" s="814"/>
      <c r="C1298" s="814"/>
      <c r="D1298" s="815"/>
      <c r="E1298" s="837"/>
      <c r="F1298" s="817"/>
      <c r="G1298" s="818"/>
      <c r="H1298" s="819"/>
      <c r="I1298" s="820"/>
      <c r="J1298" s="815"/>
      <c r="K1298" s="514"/>
      <c r="L1298" s="437"/>
      <c r="M1298" s="437"/>
      <c r="N1298" s="437"/>
    </row>
    <row r="1299">
      <c r="A1299" s="814"/>
      <c r="B1299" s="814"/>
      <c r="C1299" s="814"/>
      <c r="D1299" s="815"/>
      <c r="E1299" s="837"/>
      <c r="F1299" s="817"/>
      <c r="G1299" s="818"/>
      <c r="H1299" s="819"/>
      <c r="I1299" s="820"/>
      <c r="J1299" s="815"/>
      <c r="K1299" s="514"/>
      <c r="L1299" s="437"/>
      <c r="M1299" s="437"/>
      <c r="N1299" s="437"/>
    </row>
    <row r="1300">
      <c r="A1300" s="814"/>
      <c r="B1300" s="814"/>
      <c r="C1300" s="814"/>
      <c r="D1300" s="815"/>
      <c r="E1300" s="837"/>
      <c r="F1300" s="817"/>
      <c r="G1300" s="818"/>
      <c r="H1300" s="819"/>
      <c r="I1300" s="820"/>
      <c r="J1300" s="815"/>
      <c r="K1300" s="514"/>
      <c r="L1300" s="437"/>
      <c r="M1300" s="437"/>
      <c r="N1300" s="437"/>
    </row>
    <row r="1301">
      <c r="A1301" s="814"/>
      <c r="B1301" s="814"/>
      <c r="C1301" s="814"/>
      <c r="D1301" s="815"/>
      <c r="E1301" s="837"/>
      <c r="F1301" s="817"/>
      <c r="G1301" s="818"/>
      <c r="H1301" s="819"/>
      <c r="I1301" s="820"/>
      <c r="J1301" s="815"/>
      <c r="K1301" s="514"/>
      <c r="L1301" s="437"/>
      <c r="M1301" s="437"/>
      <c r="N1301" s="437"/>
    </row>
    <row r="1302">
      <c r="A1302" s="814"/>
      <c r="B1302" s="814"/>
      <c r="C1302" s="814"/>
      <c r="D1302" s="815"/>
      <c r="E1302" s="837"/>
      <c r="F1302" s="817"/>
      <c r="G1302" s="818"/>
      <c r="H1302" s="819"/>
      <c r="I1302" s="820"/>
      <c r="J1302" s="815"/>
      <c r="K1302" s="514"/>
      <c r="L1302" s="437"/>
      <c r="M1302" s="437"/>
      <c r="N1302" s="437"/>
    </row>
    <row r="1303">
      <c r="A1303" s="814"/>
      <c r="B1303" s="814"/>
      <c r="C1303" s="814"/>
      <c r="D1303" s="815"/>
      <c r="E1303" s="837"/>
      <c r="F1303" s="817"/>
      <c r="G1303" s="818"/>
      <c r="H1303" s="819"/>
      <c r="I1303" s="820"/>
      <c r="J1303" s="815"/>
      <c r="K1303" s="514"/>
      <c r="L1303" s="437"/>
      <c r="M1303" s="437"/>
      <c r="N1303" s="437"/>
    </row>
    <row r="1304">
      <c r="A1304" s="814"/>
      <c r="B1304" s="814"/>
      <c r="C1304" s="814"/>
      <c r="D1304" s="815"/>
      <c r="E1304" s="837"/>
      <c r="F1304" s="817"/>
      <c r="G1304" s="818"/>
      <c r="H1304" s="819"/>
      <c r="I1304" s="820"/>
      <c r="J1304" s="815"/>
      <c r="K1304" s="514"/>
      <c r="L1304" s="437"/>
      <c r="M1304" s="437"/>
      <c r="N1304" s="437"/>
    </row>
    <row r="1305">
      <c r="A1305" s="814"/>
      <c r="B1305" s="814"/>
      <c r="C1305" s="814"/>
      <c r="D1305" s="815"/>
      <c r="E1305" s="837"/>
      <c r="F1305" s="817"/>
      <c r="G1305" s="818"/>
      <c r="H1305" s="819"/>
      <c r="I1305" s="820"/>
      <c r="J1305" s="815"/>
      <c r="K1305" s="514"/>
      <c r="L1305" s="437"/>
      <c r="M1305" s="437"/>
      <c r="N1305" s="437"/>
    </row>
    <row r="1306">
      <c r="A1306" s="814"/>
      <c r="B1306" s="814"/>
      <c r="C1306" s="814"/>
      <c r="D1306" s="815"/>
      <c r="E1306" s="837"/>
      <c r="F1306" s="817"/>
      <c r="G1306" s="818"/>
      <c r="H1306" s="819"/>
      <c r="I1306" s="820"/>
      <c r="J1306" s="815"/>
      <c r="K1306" s="514"/>
      <c r="L1306" s="437"/>
      <c r="M1306" s="437"/>
      <c r="N1306" s="437"/>
    </row>
    <row r="1307">
      <c r="A1307" s="814"/>
      <c r="B1307" s="814"/>
      <c r="C1307" s="814"/>
      <c r="D1307" s="815"/>
      <c r="E1307" s="837"/>
      <c r="F1307" s="817"/>
      <c r="G1307" s="818"/>
      <c r="H1307" s="819"/>
      <c r="I1307" s="820"/>
      <c r="J1307" s="815"/>
      <c r="K1307" s="514"/>
      <c r="L1307" s="437"/>
      <c r="M1307" s="437"/>
      <c r="N1307" s="437"/>
    </row>
    <row r="1308">
      <c r="A1308" s="814"/>
      <c r="B1308" s="814"/>
      <c r="C1308" s="814"/>
      <c r="D1308" s="815"/>
      <c r="E1308" s="837"/>
      <c r="F1308" s="817"/>
      <c r="G1308" s="818"/>
      <c r="H1308" s="819"/>
      <c r="I1308" s="820"/>
      <c r="J1308" s="815"/>
      <c r="K1308" s="514"/>
      <c r="L1308" s="437"/>
      <c r="M1308" s="437"/>
      <c r="N1308" s="437"/>
    </row>
    <row r="1309">
      <c r="A1309" s="814"/>
      <c r="B1309" s="814"/>
      <c r="C1309" s="814"/>
      <c r="D1309" s="815"/>
      <c r="E1309" s="837"/>
      <c r="F1309" s="817"/>
      <c r="G1309" s="818"/>
      <c r="H1309" s="819"/>
      <c r="I1309" s="820"/>
      <c r="J1309" s="815"/>
      <c r="K1309" s="514"/>
      <c r="L1309" s="437"/>
      <c r="M1309" s="437"/>
      <c r="N1309" s="437"/>
    </row>
    <row r="1310">
      <c r="A1310" s="814"/>
      <c r="B1310" s="814"/>
      <c r="C1310" s="814"/>
      <c r="D1310" s="815"/>
      <c r="E1310" s="837"/>
      <c r="F1310" s="817"/>
      <c r="G1310" s="818"/>
      <c r="H1310" s="819"/>
      <c r="I1310" s="820"/>
      <c r="J1310" s="815"/>
      <c r="K1310" s="514"/>
      <c r="L1310" s="437"/>
      <c r="M1310" s="437"/>
      <c r="N1310" s="437"/>
    </row>
    <row r="1311">
      <c r="A1311" s="814"/>
      <c r="B1311" s="814"/>
      <c r="C1311" s="814"/>
      <c r="D1311" s="815"/>
      <c r="E1311" s="837"/>
      <c r="F1311" s="817"/>
      <c r="G1311" s="818"/>
      <c r="H1311" s="819"/>
      <c r="I1311" s="820"/>
      <c r="J1311" s="815"/>
      <c r="K1311" s="514"/>
      <c r="L1311" s="437"/>
      <c r="M1311" s="437"/>
      <c r="N1311" s="437"/>
    </row>
    <row r="1312">
      <c r="A1312" s="814"/>
      <c r="B1312" s="814"/>
      <c r="C1312" s="814"/>
      <c r="D1312" s="815"/>
      <c r="E1312" s="837"/>
      <c r="F1312" s="817"/>
      <c r="G1312" s="818"/>
      <c r="H1312" s="819"/>
      <c r="I1312" s="820"/>
      <c r="J1312" s="815"/>
      <c r="K1312" s="514"/>
      <c r="L1312" s="437"/>
      <c r="M1312" s="437"/>
      <c r="N1312" s="437"/>
    </row>
    <row r="1313">
      <c r="A1313" s="814"/>
      <c r="B1313" s="814"/>
      <c r="C1313" s="814"/>
      <c r="D1313" s="815"/>
      <c r="E1313" s="837"/>
      <c r="F1313" s="817"/>
      <c r="G1313" s="818"/>
      <c r="H1313" s="819"/>
      <c r="I1313" s="820"/>
      <c r="J1313" s="815"/>
      <c r="K1313" s="514"/>
      <c r="L1313" s="437"/>
      <c r="M1313" s="437"/>
      <c r="N1313" s="437"/>
    </row>
    <row r="1314">
      <c r="A1314" s="814"/>
      <c r="B1314" s="814"/>
      <c r="C1314" s="814"/>
      <c r="D1314" s="815"/>
      <c r="E1314" s="837"/>
      <c r="F1314" s="817"/>
      <c r="G1314" s="818"/>
      <c r="H1314" s="819"/>
      <c r="I1314" s="820"/>
      <c r="J1314" s="815"/>
      <c r="K1314" s="514"/>
      <c r="L1314" s="437"/>
      <c r="M1314" s="437"/>
      <c r="N1314" s="437"/>
    </row>
    <row r="1315">
      <c r="A1315" s="814"/>
      <c r="B1315" s="814"/>
      <c r="C1315" s="814"/>
      <c r="D1315" s="815"/>
      <c r="E1315" s="837"/>
      <c r="F1315" s="817"/>
      <c r="G1315" s="818"/>
      <c r="H1315" s="819"/>
      <c r="I1315" s="820"/>
      <c r="J1315" s="815"/>
      <c r="K1315" s="514"/>
      <c r="L1315" s="437"/>
      <c r="M1315" s="437"/>
      <c r="N1315" s="437"/>
    </row>
    <row r="1316">
      <c r="A1316" s="814"/>
      <c r="B1316" s="814"/>
      <c r="C1316" s="814"/>
      <c r="D1316" s="815"/>
      <c r="E1316" s="837"/>
      <c r="F1316" s="817"/>
      <c r="G1316" s="818"/>
      <c r="H1316" s="819"/>
      <c r="I1316" s="820"/>
      <c r="J1316" s="815"/>
      <c r="K1316" s="514"/>
      <c r="L1316" s="437"/>
      <c r="M1316" s="437"/>
      <c r="N1316" s="437"/>
    </row>
    <row r="1317">
      <c r="A1317" s="814"/>
      <c r="B1317" s="814"/>
      <c r="C1317" s="814"/>
      <c r="D1317" s="815"/>
      <c r="E1317" s="837"/>
      <c r="F1317" s="817"/>
      <c r="G1317" s="818"/>
      <c r="H1317" s="819"/>
      <c r="I1317" s="820"/>
      <c r="J1317" s="815"/>
      <c r="K1317" s="514"/>
      <c r="L1317" s="437"/>
      <c r="M1317" s="437"/>
      <c r="N1317" s="437"/>
    </row>
    <row r="1318">
      <c r="A1318" s="814"/>
      <c r="B1318" s="814"/>
      <c r="C1318" s="814"/>
      <c r="D1318" s="815"/>
      <c r="E1318" s="837"/>
      <c r="F1318" s="817"/>
      <c r="G1318" s="818"/>
      <c r="H1318" s="819"/>
      <c r="I1318" s="820"/>
      <c r="J1318" s="815"/>
      <c r="K1318" s="514"/>
      <c r="L1318" s="437"/>
      <c r="M1318" s="437"/>
      <c r="N1318" s="437"/>
    </row>
    <row r="1319">
      <c r="A1319" s="814"/>
      <c r="B1319" s="814"/>
      <c r="C1319" s="814"/>
      <c r="D1319" s="815"/>
      <c r="E1319" s="837"/>
      <c r="F1319" s="817"/>
      <c r="G1319" s="818"/>
      <c r="H1319" s="819"/>
      <c r="I1319" s="820"/>
      <c r="J1319" s="815"/>
      <c r="K1319" s="514"/>
      <c r="L1319" s="437"/>
      <c r="M1319" s="437"/>
      <c r="N1319" s="437"/>
    </row>
    <row r="1320">
      <c r="A1320" s="814"/>
      <c r="B1320" s="814"/>
      <c r="C1320" s="814"/>
      <c r="D1320" s="815"/>
      <c r="E1320" s="837"/>
      <c r="F1320" s="817"/>
      <c r="G1320" s="818"/>
      <c r="H1320" s="819"/>
      <c r="I1320" s="820"/>
      <c r="J1320" s="815"/>
      <c r="K1320" s="514"/>
      <c r="L1320" s="437"/>
      <c r="M1320" s="437"/>
      <c r="N1320" s="437"/>
    </row>
    <row r="1321">
      <c r="A1321" s="814"/>
      <c r="B1321" s="814"/>
      <c r="C1321" s="814"/>
      <c r="D1321" s="815"/>
      <c r="E1321" s="837"/>
      <c r="F1321" s="817"/>
      <c r="G1321" s="818"/>
      <c r="H1321" s="819"/>
      <c r="I1321" s="820"/>
      <c r="J1321" s="815"/>
      <c r="K1321" s="514"/>
      <c r="L1321" s="437"/>
      <c r="M1321" s="437"/>
      <c r="N1321" s="437"/>
    </row>
    <row r="1322">
      <c r="A1322" s="814"/>
      <c r="B1322" s="814"/>
      <c r="C1322" s="814"/>
      <c r="D1322" s="815"/>
      <c r="E1322" s="837"/>
      <c r="F1322" s="817"/>
      <c r="G1322" s="818"/>
      <c r="H1322" s="819"/>
      <c r="I1322" s="820"/>
      <c r="J1322" s="815"/>
      <c r="K1322" s="514"/>
      <c r="L1322" s="437"/>
      <c r="M1322" s="437"/>
      <c r="N1322" s="437"/>
    </row>
    <row r="1323">
      <c r="A1323" s="814"/>
      <c r="B1323" s="814"/>
      <c r="C1323" s="814"/>
      <c r="D1323" s="815"/>
      <c r="E1323" s="837"/>
      <c r="F1323" s="817"/>
      <c r="G1323" s="818"/>
      <c r="H1323" s="819"/>
      <c r="I1323" s="820"/>
      <c r="J1323" s="815"/>
      <c r="K1323" s="514"/>
      <c r="L1323" s="437"/>
      <c r="M1323" s="437"/>
      <c r="N1323" s="437"/>
    </row>
    <row r="1324">
      <c r="A1324" s="814"/>
      <c r="B1324" s="814"/>
      <c r="C1324" s="814"/>
      <c r="D1324" s="815"/>
      <c r="E1324" s="837"/>
      <c r="F1324" s="817"/>
      <c r="G1324" s="818"/>
      <c r="H1324" s="819"/>
      <c r="I1324" s="820"/>
      <c r="J1324" s="815"/>
      <c r="K1324" s="514"/>
      <c r="L1324" s="437"/>
      <c r="M1324" s="437"/>
      <c r="N1324" s="437"/>
    </row>
    <row r="1325">
      <c r="A1325" s="814"/>
      <c r="B1325" s="814"/>
      <c r="C1325" s="814"/>
      <c r="D1325" s="815"/>
      <c r="E1325" s="837"/>
      <c r="F1325" s="817"/>
      <c r="G1325" s="818"/>
      <c r="H1325" s="819"/>
      <c r="I1325" s="820"/>
      <c r="J1325" s="815"/>
      <c r="K1325" s="514"/>
      <c r="L1325" s="437"/>
      <c r="M1325" s="437"/>
      <c r="N1325" s="437"/>
    </row>
    <row r="1326">
      <c r="A1326" s="814"/>
      <c r="B1326" s="814"/>
      <c r="C1326" s="814"/>
      <c r="D1326" s="815"/>
      <c r="E1326" s="837"/>
      <c r="F1326" s="817"/>
      <c r="G1326" s="818"/>
      <c r="H1326" s="819"/>
      <c r="I1326" s="820"/>
      <c r="J1326" s="815"/>
      <c r="K1326" s="514"/>
      <c r="L1326" s="437"/>
      <c r="M1326" s="437"/>
      <c r="N1326" s="437"/>
    </row>
    <row r="1327">
      <c r="A1327" s="814"/>
      <c r="B1327" s="814"/>
      <c r="C1327" s="814"/>
      <c r="D1327" s="815"/>
      <c r="E1327" s="837"/>
      <c r="F1327" s="817"/>
      <c r="G1327" s="818"/>
      <c r="H1327" s="819"/>
      <c r="I1327" s="820"/>
      <c r="J1327" s="815"/>
      <c r="K1327" s="514"/>
      <c r="L1327" s="437"/>
      <c r="M1327" s="437"/>
      <c r="N1327" s="437"/>
    </row>
    <row r="1328">
      <c r="A1328" s="814"/>
      <c r="B1328" s="814"/>
      <c r="C1328" s="814"/>
      <c r="D1328" s="815"/>
      <c r="E1328" s="837"/>
      <c r="F1328" s="817"/>
      <c r="G1328" s="818"/>
      <c r="H1328" s="819"/>
      <c r="I1328" s="820"/>
      <c r="J1328" s="815"/>
      <c r="K1328" s="514"/>
      <c r="L1328" s="437"/>
      <c r="M1328" s="437"/>
      <c r="N1328" s="437"/>
    </row>
    <row r="1329">
      <c r="A1329" s="814"/>
      <c r="B1329" s="814"/>
      <c r="C1329" s="814"/>
      <c r="D1329" s="815"/>
      <c r="E1329" s="837"/>
      <c r="F1329" s="817"/>
      <c r="G1329" s="818"/>
      <c r="H1329" s="819"/>
      <c r="I1329" s="820"/>
      <c r="J1329" s="815"/>
      <c r="K1329" s="514"/>
      <c r="L1329" s="437"/>
      <c r="M1329" s="437"/>
      <c r="N1329" s="437"/>
    </row>
    <row r="1330">
      <c r="A1330" s="814"/>
      <c r="B1330" s="814"/>
      <c r="C1330" s="814"/>
      <c r="D1330" s="815"/>
      <c r="E1330" s="837"/>
      <c r="F1330" s="817"/>
      <c r="G1330" s="818"/>
      <c r="H1330" s="819"/>
      <c r="I1330" s="820"/>
      <c r="J1330" s="815"/>
      <c r="K1330" s="514"/>
      <c r="L1330" s="437"/>
      <c r="M1330" s="437"/>
      <c r="N1330" s="437"/>
    </row>
    <row r="1331">
      <c r="A1331" s="814"/>
      <c r="B1331" s="814"/>
      <c r="C1331" s="814"/>
      <c r="D1331" s="815"/>
      <c r="E1331" s="837"/>
      <c r="F1331" s="817"/>
      <c r="G1331" s="818"/>
      <c r="H1331" s="819"/>
      <c r="I1331" s="820"/>
      <c r="J1331" s="815"/>
      <c r="K1331" s="514"/>
      <c r="L1331" s="437"/>
      <c r="M1331" s="437"/>
      <c r="N1331" s="437"/>
    </row>
    <row r="1332">
      <c r="A1332" s="814"/>
      <c r="B1332" s="814"/>
      <c r="C1332" s="814"/>
      <c r="D1332" s="815"/>
      <c r="E1332" s="837"/>
      <c r="F1332" s="817"/>
      <c r="G1332" s="818"/>
      <c r="H1332" s="819"/>
      <c r="I1332" s="820"/>
      <c r="J1332" s="815"/>
      <c r="K1332" s="514"/>
      <c r="L1332" s="437"/>
      <c r="M1332" s="437"/>
      <c r="N1332" s="437"/>
    </row>
    <row r="1333">
      <c r="A1333" s="814"/>
      <c r="B1333" s="814"/>
      <c r="C1333" s="814"/>
      <c r="D1333" s="815"/>
      <c r="E1333" s="837"/>
      <c r="F1333" s="817"/>
      <c r="G1333" s="818"/>
      <c r="H1333" s="819"/>
      <c r="I1333" s="820"/>
      <c r="J1333" s="815"/>
      <c r="K1333" s="514"/>
      <c r="L1333" s="437"/>
      <c r="M1333" s="437"/>
      <c r="N1333" s="437"/>
    </row>
    <row r="1334">
      <c r="A1334" s="814"/>
      <c r="B1334" s="814"/>
      <c r="C1334" s="814"/>
      <c r="D1334" s="815"/>
      <c r="E1334" s="837"/>
      <c r="F1334" s="817"/>
      <c r="G1334" s="818"/>
      <c r="H1334" s="819"/>
      <c r="I1334" s="820"/>
      <c r="J1334" s="815"/>
      <c r="K1334" s="514"/>
      <c r="L1334" s="437"/>
      <c r="M1334" s="437"/>
      <c r="N1334" s="437"/>
    </row>
    <row r="1335">
      <c r="A1335" s="814"/>
      <c r="B1335" s="814"/>
      <c r="C1335" s="814"/>
      <c r="D1335" s="815"/>
      <c r="E1335" s="837"/>
      <c r="F1335" s="817"/>
      <c r="G1335" s="818"/>
      <c r="H1335" s="819"/>
      <c r="I1335" s="820"/>
      <c r="J1335" s="815"/>
      <c r="K1335" s="514"/>
      <c r="L1335" s="437"/>
      <c r="M1335" s="437"/>
      <c r="N1335" s="437"/>
    </row>
    <row r="1336">
      <c r="A1336" s="814"/>
      <c r="B1336" s="814"/>
      <c r="C1336" s="814"/>
      <c r="D1336" s="815"/>
      <c r="E1336" s="837"/>
      <c r="F1336" s="817"/>
      <c r="G1336" s="818"/>
      <c r="H1336" s="819"/>
      <c r="I1336" s="820"/>
      <c r="J1336" s="815"/>
      <c r="K1336" s="514"/>
      <c r="L1336" s="437"/>
      <c r="M1336" s="437"/>
      <c r="N1336" s="437"/>
    </row>
    <row r="1337">
      <c r="A1337" s="814"/>
      <c r="B1337" s="814"/>
      <c r="C1337" s="814"/>
      <c r="D1337" s="815"/>
      <c r="E1337" s="837"/>
      <c r="F1337" s="817"/>
      <c r="G1337" s="818"/>
      <c r="H1337" s="819"/>
      <c r="I1337" s="820"/>
      <c r="J1337" s="815"/>
      <c r="K1337" s="514"/>
      <c r="L1337" s="437"/>
      <c r="M1337" s="437"/>
      <c r="N1337" s="437"/>
    </row>
    <row r="1338">
      <c r="A1338" s="814"/>
      <c r="B1338" s="814"/>
      <c r="C1338" s="814"/>
      <c r="D1338" s="815"/>
      <c r="E1338" s="837"/>
      <c r="F1338" s="817"/>
      <c r="G1338" s="818"/>
      <c r="H1338" s="819"/>
      <c r="I1338" s="820"/>
      <c r="J1338" s="815"/>
      <c r="K1338" s="514"/>
      <c r="L1338" s="437"/>
      <c r="M1338" s="437"/>
      <c r="N1338" s="437"/>
    </row>
    <row r="1339">
      <c r="A1339" s="814"/>
      <c r="B1339" s="814"/>
      <c r="C1339" s="814"/>
      <c r="D1339" s="815"/>
      <c r="E1339" s="837"/>
      <c r="F1339" s="817"/>
      <c r="G1339" s="818"/>
      <c r="H1339" s="819"/>
      <c r="I1339" s="820"/>
      <c r="J1339" s="815"/>
      <c r="K1339" s="514"/>
      <c r="L1339" s="437"/>
      <c r="M1339" s="437"/>
      <c r="N1339" s="437"/>
    </row>
    <row r="1340">
      <c r="A1340" s="814"/>
      <c r="B1340" s="814"/>
      <c r="C1340" s="814"/>
      <c r="D1340" s="815"/>
      <c r="E1340" s="837"/>
      <c r="F1340" s="817"/>
      <c r="G1340" s="818"/>
      <c r="H1340" s="819"/>
      <c r="I1340" s="820"/>
      <c r="J1340" s="815"/>
      <c r="K1340" s="514"/>
      <c r="L1340" s="437"/>
      <c r="M1340" s="437"/>
      <c r="N1340" s="437"/>
    </row>
    <row r="1341">
      <c r="A1341" s="814"/>
      <c r="B1341" s="814"/>
      <c r="C1341" s="814"/>
      <c r="D1341" s="815"/>
      <c r="E1341" s="837"/>
      <c r="F1341" s="817"/>
      <c r="G1341" s="818"/>
      <c r="H1341" s="819"/>
      <c r="I1341" s="820"/>
      <c r="J1341" s="815"/>
      <c r="K1341" s="514"/>
      <c r="L1341" s="437"/>
      <c r="M1341" s="437"/>
      <c r="N1341" s="437"/>
    </row>
    <row r="1342">
      <c r="A1342" s="814"/>
      <c r="B1342" s="814"/>
      <c r="C1342" s="814"/>
      <c r="D1342" s="815"/>
      <c r="E1342" s="837"/>
      <c r="F1342" s="817"/>
      <c r="G1342" s="818"/>
      <c r="H1342" s="819"/>
      <c r="I1342" s="820"/>
      <c r="J1342" s="815"/>
      <c r="K1342" s="514"/>
      <c r="L1342" s="437"/>
      <c r="M1342" s="437"/>
      <c r="N1342" s="437"/>
    </row>
    <row r="1343">
      <c r="A1343" s="814"/>
      <c r="B1343" s="814"/>
      <c r="C1343" s="814"/>
      <c r="D1343" s="815"/>
      <c r="E1343" s="837"/>
      <c r="F1343" s="817"/>
      <c r="G1343" s="818"/>
      <c r="H1343" s="819"/>
      <c r="I1343" s="820"/>
      <c r="J1343" s="815"/>
      <c r="K1343" s="514"/>
      <c r="L1343" s="437"/>
      <c r="M1343" s="437"/>
      <c r="N1343" s="437"/>
    </row>
    <row r="1344">
      <c r="A1344" s="814"/>
      <c r="B1344" s="814"/>
      <c r="C1344" s="814"/>
      <c r="D1344" s="815"/>
      <c r="E1344" s="837"/>
      <c r="F1344" s="817"/>
      <c r="G1344" s="818"/>
      <c r="H1344" s="819"/>
      <c r="I1344" s="820"/>
      <c r="J1344" s="815"/>
      <c r="K1344" s="514"/>
      <c r="L1344" s="437"/>
      <c r="M1344" s="437"/>
      <c r="N1344" s="437"/>
    </row>
    <row r="1345">
      <c r="A1345" s="814"/>
      <c r="B1345" s="814"/>
      <c r="C1345" s="814"/>
      <c r="D1345" s="815"/>
      <c r="E1345" s="837"/>
      <c r="F1345" s="817"/>
      <c r="G1345" s="818"/>
      <c r="H1345" s="819"/>
      <c r="I1345" s="820"/>
      <c r="J1345" s="815"/>
      <c r="K1345" s="514"/>
      <c r="L1345" s="437"/>
      <c r="M1345" s="437"/>
      <c r="N1345" s="437"/>
    </row>
    <row r="1346">
      <c r="A1346" s="814"/>
      <c r="B1346" s="814"/>
      <c r="C1346" s="814"/>
      <c r="D1346" s="815"/>
      <c r="E1346" s="837"/>
      <c r="F1346" s="817"/>
      <c r="G1346" s="818"/>
      <c r="H1346" s="819"/>
      <c r="I1346" s="820"/>
      <c r="J1346" s="815"/>
      <c r="K1346" s="514"/>
      <c r="L1346" s="437"/>
      <c r="M1346" s="437"/>
      <c r="N1346" s="437"/>
    </row>
    <row r="1347">
      <c r="A1347" s="814"/>
      <c r="B1347" s="814"/>
      <c r="C1347" s="814"/>
      <c r="D1347" s="815"/>
      <c r="E1347" s="837"/>
      <c r="F1347" s="817"/>
      <c r="G1347" s="818"/>
      <c r="H1347" s="819"/>
      <c r="I1347" s="820"/>
      <c r="J1347" s="815"/>
      <c r="K1347" s="514"/>
      <c r="L1347" s="437"/>
      <c r="M1347" s="437"/>
      <c r="N1347" s="437"/>
    </row>
    <row r="1348">
      <c r="A1348" s="814"/>
      <c r="B1348" s="814"/>
      <c r="C1348" s="814"/>
      <c r="D1348" s="815"/>
      <c r="E1348" s="837"/>
      <c r="F1348" s="817"/>
      <c r="G1348" s="818"/>
      <c r="H1348" s="819"/>
      <c r="I1348" s="820"/>
      <c r="J1348" s="815"/>
      <c r="K1348" s="514"/>
      <c r="L1348" s="437"/>
      <c r="M1348" s="437"/>
      <c r="N1348" s="437"/>
    </row>
    <row r="1349">
      <c r="A1349" s="814"/>
      <c r="B1349" s="814"/>
      <c r="C1349" s="814"/>
      <c r="D1349" s="815"/>
      <c r="E1349" s="837"/>
      <c r="F1349" s="817"/>
      <c r="G1349" s="818"/>
      <c r="H1349" s="819"/>
      <c r="I1349" s="820"/>
      <c r="J1349" s="815"/>
      <c r="K1349" s="514"/>
      <c r="L1349" s="437"/>
      <c r="M1349" s="437"/>
      <c r="N1349" s="437"/>
    </row>
    <row r="1350">
      <c r="A1350" s="814"/>
      <c r="B1350" s="814"/>
      <c r="C1350" s="814"/>
      <c r="D1350" s="815"/>
      <c r="E1350" s="837"/>
      <c r="F1350" s="817"/>
      <c r="G1350" s="818"/>
      <c r="H1350" s="819"/>
      <c r="I1350" s="820"/>
      <c r="J1350" s="815"/>
      <c r="K1350" s="514"/>
      <c r="L1350" s="437"/>
      <c r="M1350" s="437"/>
      <c r="N1350" s="437"/>
    </row>
    <row r="1351">
      <c r="A1351" s="814"/>
      <c r="B1351" s="814"/>
      <c r="C1351" s="814"/>
      <c r="D1351" s="815"/>
      <c r="E1351" s="837"/>
      <c r="F1351" s="817"/>
      <c r="G1351" s="818"/>
      <c r="H1351" s="819"/>
      <c r="I1351" s="820"/>
      <c r="J1351" s="815"/>
      <c r="K1351" s="514"/>
      <c r="L1351" s="437"/>
      <c r="M1351" s="437"/>
      <c r="N1351" s="437"/>
    </row>
    <row r="1352">
      <c r="A1352" s="814"/>
      <c r="B1352" s="814"/>
      <c r="C1352" s="814"/>
      <c r="D1352" s="815"/>
      <c r="E1352" s="837"/>
      <c r="F1352" s="817"/>
      <c r="G1352" s="818"/>
      <c r="H1352" s="819"/>
      <c r="I1352" s="820"/>
      <c r="J1352" s="815"/>
      <c r="K1352" s="514"/>
      <c r="L1352" s="437"/>
      <c r="M1352" s="437"/>
      <c r="N1352" s="437"/>
    </row>
    <row r="1353">
      <c r="A1353" s="814"/>
      <c r="B1353" s="814"/>
      <c r="C1353" s="814"/>
      <c r="D1353" s="815"/>
      <c r="E1353" s="837"/>
      <c r="F1353" s="817"/>
      <c r="G1353" s="818"/>
      <c r="H1353" s="819"/>
      <c r="I1353" s="820"/>
      <c r="J1353" s="815"/>
      <c r="K1353" s="514"/>
      <c r="L1353" s="437"/>
      <c r="M1353" s="437"/>
      <c r="N1353" s="437"/>
    </row>
    <row r="1354">
      <c r="A1354" s="814"/>
      <c r="B1354" s="814"/>
      <c r="C1354" s="814"/>
      <c r="D1354" s="815"/>
      <c r="E1354" s="837"/>
      <c r="F1354" s="817"/>
      <c r="G1354" s="818"/>
      <c r="H1354" s="819"/>
      <c r="I1354" s="820"/>
      <c r="J1354" s="815"/>
      <c r="K1354" s="514"/>
      <c r="L1354" s="437"/>
      <c r="M1354" s="437"/>
      <c r="N1354" s="437"/>
    </row>
    <row r="1355">
      <c r="A1355" s="814"/>
      <c r="B1355" s="814"/>
      <c r="C1355" s="814"/>
      <c r="D1355" s="815"/>
      <c r="E1355" s="837"/>
      <c r="F1355" s="817"/>
      <c r="G1355" s="818"/>
      <c r="H1355" s="819"/>
      <c r="I1355" s="820"/>
      <c r="J1355" s="815"/>
      <c r="K1355" s="514"/>
      <c r="L1355" s="437"/>
      <c r="M1355" s="437"/>
      <c r="N1355" s="437"/>
    </row>
    <row r="1356">
      <c r="A1356" s="814"/>
      <c r="B1356" s="814"/>
      <c r="C1356" s="814"/>
      <c r="D1356" s="815"/>
      <c r="E1356" s="837"/>
      <c r="F1356" s="817"/>
      <c r="G1356" s="818"/>
      <c r="H1356" s="819"/>
      <c r="I1356" s="820"/>
      <c r="J1356" s="815"/>
      <c r="K1356" s="514"/>
      <c r="L1356" s="437"/>
      <c r="M1356" s="437"/>
      <c r="N1356" s="437"/>
    </row>
    <row r="1357">
      <c r="A1357" s="814"/>
      <c r="B1357" s="814"/>
      <c r="C1357" s="814"/>
      <c r="D1357" s="815"/>
      <c r="E1357" s="837"/>
      <c r="F1357" s="817"/>
      <c r="G1357" s="818"/>
      <c r="H1357" s="819"/>
      <c r="I1357" s="820"/>
      <c r="J1357" s="815"/>
      <c r="K1357" s="514"/>
      <c r="L1357" s="437"/>
      <c r="M1357" s="437"/>
      <c r="N1357" s="437"/>
    </row>
    <row r="1358">
      <c r="A1358" s="814"/>
      <c r="B1358" s="814"/>
      <c r="C1358" s="814"/>
      <c r="D1358" s="815"/>
      <c r="E1358" s="837"/>
      <c r="F1358" s="817"/>
      <c r="G1358" s="818"/>
      <c r="H1358" s="819"/>
      <c r="I1358" s="820"/>
      <c r="J1358" s="815"/>
      <c r="K1358" s="514"/>
      <c r="L1358" s="437"/>
      <c r="M1358" s="437"/>
      <c r="N1358" s="437"/>
    </row>
    <row r="1359">
      <c r="A1359" s="814"/>
      <c r="B1359" s="814"/>
      <c r="C1359" s="814"/>
      <c r="D1359" s="815"/>
      <c r="E1359" s="837"/>
      <c r="F1359" s="817"/>
      <c r="G1359" s="818"/>
      <c r="H1359" s="819"/>
      <c r="I1359" s="820"/>
      <c r="J1359" s="815"/>
      <c r="K1359" s="514"/>
      <c r="L1359" s="437"/>
      <c r="M1359" s="437"/>
      <c r="N1359" s="437"/>
    </row>
    <row r="1360">
      <c r="A1360" s="814"/>
      <c r="B1360" s="814"/>
      <c r="C1360" s="814"/>
      <c r="D1360" s="815"/>
      <c r="E1360" s="837"/>
      <c r="F1360" s="817"/>
      <c r="G1360" s="818"/>
      <c r="H1360" s="819"/>
      <c r="I1360" s="820"/>
      <c r="J1360" s="815"/>
      <c r="K1360" s="514"/>
      <c r="L1360" s="437"/>
      <c r="M1360" s="437"/>
      <c r="N1360" s="437"/>
    </row>
    <row r="1361">
      <c r="A1361" s="814"/>
      <c r="B1361" s="814"/>
      <c r="C1361" s="814"/>
      <c r="D1361" s="815"/>
      <c r="E1361" s="837"/>
      <c r="F1361" s="817"/>
      <c r="G1361" s="818"/>
      <c r="H1361" s="819"/>
      <c r="I1361" s="820"/>
      <c r="J1361" s="815"/>
      <c r="K1361" s="514"/>
      <c r="L1361" s="437"/>
      <c r="M1361" s="437"/>
      <c r="N1361" s="437"/>
    </row>
    <row r="1362">
      <c r="A1362" s="814"/>
      <c r="B1362" s="814"/>
      <c r="C1362" s="814"/>
      <c r="D1362" s="815"/>
      <c r="E1362" s="837"/>
      <c r="F1362" s="817"/>
      <c r="G1362" s="818"/>
      <c r="H1362" s="819"/>
      <c r="I1362" s="820"/>
      <c r="J1362" s="815"/>
      <c r="K1362" s="514"/>
      <c r="L1362" s="437"/>
      <c r="M1362" s="437"/>
      <c r="N1362" s="437"/>
    </row>
    <row r="1363">
      <c r="A1363" s="814"/>
      <c r="B1363" s="814"/>
      <c r="C1363" s="814"/>
      <c r="D1363" s="815"/>
      <c r="E1363" s="837"/>
      <c r="F1363" s="817"/>
      <c r="G1363" s="818"/>
      <c r="H1363" s="819"/>
      <c r="I1363" s="820"/>
      <c r="J1363" s="815"/>
      <c r="K1363" s="514"/>
      <c r="L1363" s="437"/>
      <c r="M1363" s="437"/>
      <c r="N1363" s="437"/>
    </row>
    <row r="1364">
      <c r="A1364" s="814"/>
      <c r="B1364" s="814"/>
      <c r="C1364" s="814"/>
      <c r="D1364" s="815"/>
      <c r="E1364" s="837"/>
      <c r="F1364" s="817"/>
      <c r="G1364" s="818"/>
      <c r="H1364" s="819"/>
      <c r="I1364" s="820"/>
      <c r="J1364" s="815"/>
      <c r="K1364" s="514"/>
      <c r="L1364" s="437"/>
      <c r="M1364" s="437"/>
      <c r="N1364" s="437"/>
    </row>
    <row r="1365">
      <c r="A1365" s="814"/>
      <c r="B1365" s="814"/>
      <c r="C1365" s="814"/>
      <c r="D1365" s="815"/>
      <c r="E1365" s="837"/>
      <c r="F1365" s="817"/>
      <c r="G1365" s="818"/>
      <c r="H1365" s="819"/>
      <c r="I1365" s="820"/>
      <c r="J1365" s="815"/>
      <c r="K1365" s="514"/>
      <c r="L1365" s="437"/>
      <c r="M1365" s="437"/>
      <c r="N1365" s="437"/>
    </row>
    <row r="1366">
      <c r="A1366" s="814"/>
      <c r="B1366" s="814"/>
      <c r="C1366" s="814"/>
      <c r="D1366" s="815"/>
      <c r="E1366" s="837"/>
      <c r="F1366" s="817"/>
      <c r="G1366" s="818"/>
      <c r="H1366" s="819"/>
      <c r="I1366" s="820"/>
      <c r="J1366" s="815"/>
      <c r="K1366" s="514"/>
      <c r="L1366" s="437"/>
      <c r="M1366" s="437"/>
      <c r="N1366" s="437"/>
    </row>
    <row r="1367">
      <c r="A1367" s="814"/>
      <c r="B1367" s="814"/>
      <c r="C1367" s="814"/>
      <c r="D1367" s="815"/>
      <c r="E1367" s="837"/>
      <c r="F1367" s="817"/>
      <c r="G1367" s="818"/>
      <c r="H1367" s="819"/>
      <c r="I1367" s="820"/>
      <c r="J1367" s="815"/>
      <c r="K1367" s="514"/>
      <c r="L1367" s="437"/>
      <c r="M1367" s="437"/>
      <c r="N1367" s="437"/>
    </row>
    <row r="1368">
      <c r="A1368" s="814"/>
      <c r="B1368" s="814"/>
      <c r="C1368" s="814"/>
      <c r="D1368" s="815"/>
      <c r="E1368" s="837"/>
      <c r="F1368" s="817"/>
      <c r="G1368" s="818"/>
      <c r="H1368" s="819"/>
      <c r="I1368" s="820"/>
      <c r="J1368" s="815"/>
      <c r="K1368" s="514"/>
      <c r="L1368" s="437"/>
      <c r="M1368" s="437"/>
      <c r="N1368" s="437"/>
    </row>
    <row r="1369">
      <c r="A1369" s="814"/>
      <c r="B1369" s="814"/>
      <c r="C1369" s="814"/>
      <c r="D1369" s="815"/>
      <c r="E1369" s="837"/>
      <c r="F1369" s="817"/>
      <c r="G1369" s="818"/>
      <c r="H1369" s="819"/>
      <c r="I1369" s="820"/>
      <c r="J1369" s="815"/>
      <c r="K1369" s="514"/>
      <c r="L1369" s="437"/>
      <c r="M1369" s="437"/>
      <c r="N1369" s="437"/>
    </row>
    <row r="1370">
      <c r="A1370" s="814"/>
      <c r="B1370" s="814"/>
      <c r="C1370" s="814"/>
      <c r="D1370" s="815"/>
      <c r="E1370" s="837"/>
      <c r="F1370" s="817"/>
      <c r="G1370" s="818"/>
      <c r="H1370" s="819"/>
      <c r="I1370" s="820"/>
      <c r="J1370" s="815"/>
      <c r="K1370" s="514"/>
      <c r="L1370" s="437"/>
      <c r="M1370" s="437"/>
      <c r="N1370" s="437"/>
    </row>
    <row r="1371">
      <c r="A1371" s="814"/>
      <c r="B1371" s="814"/>
      <c r="C1371" s="814"/>
      <c r="D1371" s="815"/>
      <c r="E1371" s="837"/>
      <c r="F1371" s="817"/>
      <c r="G1371" s="818"/>
      <c r="H1371" s="819"/>
      <c r="I1371" s="820"/>
      <c r="J1371" s="815"/>
      <c r="K1371" s="514"/>
      <c r="L1371" s="437"/>
      <c r="M1371" s="437"/>
      <c r="N1371" s="437"/>
    </row>
    <row r="1372">
      <c r="A1372" s="814"/>
      <c r="B1372" s="814"/>
      <c r="C1372" s="814"/>
      <c r="D1372" s="815"/>
      <c r="E1372" s="837"/>
      <c r="F1372" s="817"/>
      <c r="G1372" s="818"/>
      <c r="H1372" s="819"/>
      <c r="I1372" s="820"/>
      <c r="J1372" s="815"/>
      <c r="K1372" s="514"/>
      <c r="L1372" s="437"/>
      <c r="M1372" s="437"/>
      <c r="N1372" s="437"/>
    </row>
    <row r="1373">
      <c r="A1373" s="814"/>
      <c r="B1373" s="814"/>
      <c r="C1373" s="814"/>
      <c r="D1373" s="815"/>
      <c r="E1373" s="837"/>
      <c r="F1373" s="817"/>
      <c r="G1373" s="818"/>
      <c r="H1373" s="819"/>
      <c r="I1373" s="820"/>
      <c r="J1373" s="815"/>
      <c r="K1373" s="514"/>
      <c r="L1373" s="437"/>
      <c r="M1373" s="437"/>
      <c r="N1373" s="437"/>
    </row>
    <row r="1374">
      <c r="A1374" s="814"/>
      <c r="B1374" s="814"/>
      <c r="C1374" s="814"/>
      <c r="D1374" s="815"/>
      <c r="E1374" s="837"/>
      <c r="F1374" s="817"/>
      <c r="G1374" s="818"/>
      <c r="H1374" s="819"/>
      <c r="I1374" s="820"/>
      <c r="J1374" s="815"/>
      <c r="K1374" s="514"/>
      <c r="L1374" s="437"/>
      <c r="M1374" s="437"/>
      <c r="N1374" s="437"/>
    </row>
    <row r="1375">
      <c r="A1375" s="814"/>
      <c r="B1375" s="814"/>
      <c r="C1375" s="814"/>
      <c r="D1375" s="815"/>
      <c r="E1375" s="837"/>
      <c r="F1375" s="817"/>
      <c r="G1375" s="818"/>
      <c r="H1375" s="819"/>
      <c r="I1375" s="820"/>
      <c r="J1375" s="815"/>
      <c r="K1375" s="514"/>
      <c r="L1375" s="437"/>
      <c r="M1375" s="437"/>
      <c r="N1375" s="437"/>
    </row>
    <row r="1376">
      <c r="A1376" s="814"/>
      <c r="B1376" s="814"/>
      <c r="C1376" s="814"/>
      <c r="D1376" s="815"/>
      <c r="E1376" s="837"/>
      <c r="F1376" s="817"/>
      <c r="G1376" s="818"/>
      <c r="H1376" s="819"/>
      <c r="I1376" s="820"/>
      <c r="J1376" s="815"/>
      <c r="K1376" s="514"/>
      <c r="L1376" s="437"/>
      <c r="M1376" s="437"/>
      <c r="N1376" s="437"/>
    </row>
    <row r="1377">
      <c r="A1377" s="814"/>
      <c r="B1377" s="814"/>
      <c r="C1377" s="814"/>
      <c r="D1377" s="815"/>
      <c r="E1377" s="837"/>
      <c r="F1377" s="817"/>
      <c r="G1377" s="818"/>
      <c r="H1377" s="819"/>
      <c r="I1377" s="820"/>
      <c r="J1377" s="815"/>
      <c r="K1377" s="514"/>
      <c r="L1377" s="437"/>
      <c r="M1377" s="437"/>
      <c r="N1377" s="437"/>
    </row>
    <row r="1378">
      <c r="A1378" s="814"/>
      <c r="B1378" s="814"/>
      <c r="C1378" s="814"/>
      <c r="D1378" s="815"/>
      <c r="E1378" s="837"/>
      <c r="F1378" s="817"/>
      <c r="G1378" s="818"/>
      <c r="H1378" s="819"/>
      <c r="I1378" s="820"/>
      <c r="J1378" s="815"/>
      <c r="K1378" s="514"/>
      <c r="L1378" s="437"/>
      <c r="M1378" s="437"/>
      <c r="N1378" s="437"/>
    </row>
    <row r="1379">
      <c r="A1379" s="814"/>
      <c r="B1379" s="814"/>
      <c r="C1379" s="814"/>
      <c r="D1379" s="815"/>
      <c r="E1379" s="837"/>
      <c r="F1379" s="817"/>
      <c r="G1379" s="818"/>
      <c r="H1379" s="819"/>
      <c r="I1379" s="820"/>
      <c r="J1379" s="815"/>
      <c r="K1379" s="514"/>
      <c r="L1379" s="437"/>
      <c r="M1379" s="437"/>
      <c r="N1379" s="437"/>
    </row>
    <row r="1380">
      <c r="A1380" s="814"/>
      <c r="B1380" s="814"/>
      <c r="C1380" s="814"/>
      <c r="D1380" s="815"/>
      <c r="E1380" s="837"/>
      <c r="F1380" s="817"/>
      <c r="G1380" s="818"/>
      <c r="H1380" s="819"/>
      <c r="I1380" s="820"/>
      <c r="J1380" s="815"/>
      <c r="K1380" s="514"/>
      <c r="L1380" s="437"/>
      <c r="M1380" s="437"/>
      <c r="N1380" s="437"/>
    </row>
    <row r="1381">
      <c r="A1381" s="814"/>
      <c r="B1381" s="814"/>
      <c r="C1381" s="814"/>
      <c r="D1381" s="815"/>
      <c r="E1381" s="837"/>
      <c r="F1381" s="817"/>
      <c r="G1381" s="818"/>
      <c r="H1381" s="819"/>
      <c r="I1381" s="820"/>
      <c r="J1381" s="815"/>
      <c r="K1381" s="514"/>
      <c r="L1381" s="437"/>
      <c r="M1381" s="437"/>
      <c r="N1381" s="437"/>
    </row>
    <row r="1382">
      <c r="A1382" s="814"/>
      <c r="B1382" s="814"/>
      <c r="C1382" s="814"/>
      <c r="D1382" s="815"/>
      <c r="E1382" s="837"/>
      <c r="F1382" s="817"/>
      <c r="G1382" s="818"/>
      <c r="H1382" s="819"/>
      <c r="I1382" s="820"/>
      <c r="J1382" s="815"/>
      <c r="K1382" s="514"/>
      <c r="L1382" s="437"/>
      <c r="M1382" s="437"/>
      <c r="N1382" s="437"/>
    </row>
    <row r="1383">
      <c r="A1383" s="814"/>
      <c r="B1383" s="814"/>
      <c r="C1383" s="814"/>
      <c r="D1383" s="815"/>
      <c r="E1383" s="837"/>
      <c r="F1383" s="817"/>
      <c r="G1383" s="818"/>
      <c r="H1383" s="819"/>
      <c r="I1383" s="820"/>
      <c r="J1383" s="815"/>
      <c r="K1383" s="514"/>
      <c r="L1383" s="437"/>
      <c r="M1383" s="437"/>
      <c r="N1383" s="437"/>
    </row>
    <row r="1384">
      <c r="A1384" s="814"/>
      <c r="B1384" s="814"/>
      <c r="C1384" s="814"/>
      <c r="D1384" s="815"/>
      <c r="E1384" s="837"/>
      <c r="F1384" s="817"/>
      <c r="G1384" s="818"/>
      <c r="H1384" s="819"/>
      <c r="I1384" s="820"/>
      <c r="J1384" s="815"/>
      <c r="K1384" s="514"/>
      <c r="L1384" s="437"/>
      <c r="M1384" s="437"/>
      <c r="N1384" s="437"/>
    </row>
    <row r="1385">
      <c r="A1385" s="814"/>
      <c r="B1385" s="814"/>
      <c r="C1385" s="814"/>
      <c r="D1385" s="815"/>
      <c r="E1385" s="837"/>
      <c r="F1385" s="817"/>
      <c r="G1385" s="818"/>
      <c r="H1385" s="819"/>
      <c r="I1385" s="820"/>
      <c r="J1385" s="815"/>
      <c r="K1385" s="514"/>
      <c r="L1385" s="437"/>
      <c r="M1385" s="437"/>
      <c r="N1385" s="437"/>
    </row>
    <row r="1386">
      <c r="A1386" s="814"/>
      <c r="B1386" s="814"/>
      <c r="C1386" s="814"/>
      <c r="D1386" s="815"/>
      <c r="E1386" s="837"/>
      <c r="F1386" s="817"/>
      <c r="G1386" s="818"/>
      <c r="H1386" s="819"/>
      <c r="I1386" s="820"/>
      <c r="J1386" s="815"/>
      <c r="K1386" s="514"/>
      <c r="L1386" s="437"/>
      <c r="M1386" s="437"/>
      <c r="N1386" s="437"/>
    </row>
    <row r="1387">
      <c r="A1387" s="814"/>
      <c r="B1387" s="814"/>
      <c r="C1387" s="814"/>
      <c r="D1387" s="815"/>
      <c r="E1387" s="837"/>
      <c r="F1387" s="817"/>
      <c r="G1387" s="818"/>
      <c r="H1387" s="819"/>
      <c r="I1387" s="820"/>
      <c r="J1387" s="815"/>
      <c r="K1387" s="514"/>
      <c r="L1387" s="437"/>
      <c r="M1387" s="437"/>
      <c r="N1387" s="437"/>
    </row>
    <row r="1388">
      <c r="A1388" s="814"/>
      <c r="B1388" s="814"/>
      <c r="C1388" s="814"/>
      <c r="D1388" s="815"/>
      <c r="E1388" s="837"/>
      <c r="F1388" s="817"/>
      <c r="G1388" s="818"/>
      <c r="H1388" s="819"/>
      <c r="I1388" s="820"/>
      <c r="J1388" s="815"/>
      <c r="K1388" s="514"/>
      <c r="L1388" s="437"/>
      <c r="M1388" s="437"/>
      <c r="N1388" s="437"/>
    </row>
    <row r="1389">
      <c r="A1389" s="814"/>
      <c r="B1389" s="814"/>
      <c r="C1389" s="814"/>
      <c r="D1389" s="815"/>
      <c r="E1389" s="837"/>
      <c r="F1389" s="817"/>
      <c r="G1389" s="818"/>
      <c r="H1389" s="819"/>
      <c r="I1389" s="820"/>
      <c r="J1389" s="815"/>
      <c r="K1389" s="514"/>
      <c r="L1389" s="437"/>
      <c r="M1389" s="437"/>
      <c r="N1389" s="437"/>
    </row>
    <row r="1390">
      <c r="A1390" s="814"/>
      <c r="B1390" s="814"/>
      <c r="C1390" s="814"/>
      <c r="D1390" s="815"/>
      <c r="E1390" s="837"/>
      <c r="F1390" s="817"/>
      <c r="G1390" s="818"/>
      <c r="H1390" s="819"/>
      <c r="I1390" s="820"/>
      <c r="J1390" s="815"/>
      <c r="K1390" s="514"/>
      <c r="L1390" s="437"/>
      <c r="M1390" s="437"/>
      <c r="N1390" s="437"/>
    </row>
    <row r="1391">
      <c r="A1391" s="814"/>
      <c r="B1391" s="814"/>
      <c r="C1391" s="814"/>
      <c r="D1391" s="815"/>
      <c r="E1391" s="837"/>
      <c r="F1391" s="817"/>
      <c r="G1391" s="818"/>
      <c r="H1391" s="819"/>
      <c r="I1391" s="820"/>
      <c r="J1391" s="815"/>
      <c r="K1391" s="514"/>
      <c r="L1391" s="437"/>
      <c r="M1391" s="437"/>
      <c r="N1391" s="437"/>
    </row>
    <row r="1392">
      <c r="A1392" s="814"/>
      <c r="B1392" s="814"/>
      <c r="C1392" s="814"/>
      <c r="D1392" s="815"/>
      <c r="E1392" s="837"/>
      <c r="F1392" s="817"/>
      <c r="G1392" s="818"/>
      <c r="H1392" s="819"/>
      <c r="I1392" s="820"/>
      <c r="J1392" s="815"/>
      <c r="K1392" s="514"/>
      <c r="L1392" s="437"/>
      <c r="M1392" s="437"/>
      <c r="N1392" s="437"/>
    </row>
    <row r="1393">
      <c r="A1393" s="814"/>
      <c r="B1393" s="814"/>
      <c r="C1393" s="814"/>
      <c r="D1393" s="815"/>
      <c r="E1393" s="837"/>
      <c r="F1393" s="817"/>
      <c r="G1393" s="818"/>
      <c r="H1393" s="819"/>
      <c r="I1393" s="820"/>
      <c r="J1393" s="815"/>
      <c r="K1393" s="514"/>
      <c r="L1393" s="437"/>
      <c r="M1393" s="437"/>
      <c r="N1393" s="437"/>
    </row>
    <row r="1394">
      <c r="A1394" s="814"/>
      <c r="B1394" s="814"/>
      <c r="C1394" s="814"/>
      <c r="D1394" s="815"/>
      <c r="E1394" s="837"/>
      <c r="F1394" s="817"/>
      <c r="G1394" s="818"/>
      <c r="H1394" s="819"/>
      <c r="I1394" s="820"/>
      <c r="J1394" s="815"/>
      <c r="K1394" s="514"/>
      <c r="L1394" s="437"/>
      <c r="M1394" s="437"/>
      <c r="N1394" s="437"/>
    </row>
    <row r="1395">
      <c r="A1395" s="814"/>
      <c r="B1395" s="814"/>
      <c r="C1395" s="814"/>
      <c r="D1395" s="815"/>
      <c r="E1395" s="837"/>
      <c r="F1395" s="817"/>
      <c r="G1395" s="818"/>
      <c r="H1395" s="819"/>
      <c r="I1395" s="820"/>
      <c r="J1395" s="815"/>
      <c r="K1395" s="514"/>
      <c r="L1395" s="437"/>
      <c r="M1395" s="437"/>
      <c r="N1395" s="437"/>
    </row>
    <row r="1396">
      <c r="A1396" s="814"/>
      <c r="B1396" s="814"/>
      <c r="C1396" s="814"/>
      <c r="D1396" s="815"/>
      <c r="E1396" s="837"/>
      <c r="F1396" s="817"/>
      <c r="G1396" s="818"/>
      <c r="H1396" s="819"/>
      <c r="I1396" s="820"/>
      <c r="J1396" s="815"/>
      <c r="K1396" s="514"/>
      <c r="L1396" s="437"/>
      <c r="M1396" s="437"/>
      <c r="N1396" s="437"/>
    </row>
    <row r="1397">
      <c r="A1397" s="814"/>
      <c r="B1397" s="814"/>
      <c r="C1397" s="814"/>
      <c r="D1397" s="815"/>
      <c r="E1397" s="837"/>
      <c r="F1397" s="817"/>
      <c r="G1397" s="818"/>
      <c r="H1397" s="819"/>
      <c r="I1397" s="820"/>
      <c r="J1397" s="815"/>
      <c r="K1397" s="514"/>
      <c r="L1397" s="437"/>
      <c r="M1397" s="437"/>
      <c r="N1397" s="437"/>
    </row>
    <row r="1398">
      <c r="A1398" s="814"/>
      <c r="B1398" s="814"/>
      <c r="C1398" s="814"/>
      <c r="D1398" s="815"/>
      <c r="E1398" s="837"/>
      <c r="F1398" s="817"/>
      <c r="G1398" s="818"/>
      <c r="H1398" s="819"/>
      <c r="I1398" s="820"/>
      <c r="J1398" s="815"/>
      <c r="K1398" s="514"/>
      <c r="L1398" s="437"/>
      <c r="M1398" s="437"/>
      <c r="N1398" s="437"/>
    </row>
    <row r="1399">
      <c r="A1399" s="814"/>
      <c r="B1399" s="814"/>
      <c r="C1399" s="814"/>
      <c r="D1399" s="815"/>
      <c r="E1399" s="837"/>
      <c r="F1399" s="817"/>
      <c r="G1399" s="818"/>
      <c r="H1399" s="819"/>
      <c r="I1399" s="820"/>
      <c r="J1399" s="815"/>
      <c r="K1399" s="514"/>
      <c r="L1399" s="437"/>
      <c r="M1399" s="437"/>
      <c r="N1399" s="437"/>
    </row>
    <row r="1400">
      <c r="A1400" s="814"/>
      <c r="B1400" s="814"/>
      <c r="C1400" s="814"/>
      <c r="D1400" s="815"/>
      <c r="E1400" s="837"/>
      <c r="F1400" s="817"/>
      <c r="G1400" s="818"/>
      <c r="H1400" s="819"/>
      <c r="I1400" s="820"/>
      <c r="J1400" s="815"/>
      <c r="K1400" s="514"/>
      <c r="L1400" s="437"/>
      <c r="M1400" s="437"/>
      <c r="N1400" s="437"/>
    </row>
    <row r="1401">
      <c r="A1401" s="814"/>
      <c r="B1401" s="814"/>
      <c r="C1401" s="814"/>
      <c r="D1401" s="815"/>
      <c r="E1401" s="837"/>
      <c r="F1401" s="817"/>
      <c r="G1401" s="818"/>
      <c r="H1401" s="819"/>
      <c r="I1401" s="820"/>
      <c r="J1401" s="815"/>
      <c r="K1401" s="514"/>
      <c r="L1401" s="437"/>
      <c r="M1401" s="437"/>
      <c r="N1401" s="437"/>
    </row>
    <row r="1402">
      <c r="A1402" s="814"/>
      <c r="B1402" s="814"/>
      <c r="C1402" s="814"/>
      <c r="D1402" s="815"/>
      <c r="E1402" s="837"/>
      <c r="F1402" s="817"/>
      <c r="G1402" s="818"/>
      <c r="H1402" s="819"/>
      <c r="I1402" s="820"/>
      <c r="J1402" s="815"/>
      <c r="K1402" s="514"/>
      <c r="L1402" s="437"/>
      <c r="M1402" s="437"/>
      <c r="N1402" s="437"/>
    </row>
    <row r="1403">
      <c r="A1403" s="814"/>
      <c r="B1403" s="814"/>
      <c r="C1403" s="814"/>
      <c r="D1403" s="815"/>
      <c r="E1403" s="837"/>
      <c r="F1403" s="817"/>
      <c r="G1403" s="818"/>
      <c r="H1403" s="819"/>
      <c r="I1403" s="820"/>
      <c r="J1403" s="815"/>
      <c r="K1403" s="514"/>
      <c r="L1403" s="437"/>
      <c r="M1403" s="437"/>
      <c r="N1403" s="437"/>
    </row>
    <row r="1404">
      <c r="A1404" s="814"/>
      <c r="B1404" s="814"/>
      <c r="C1404" s="814"/>
      <c r="D1404" s="815"/>
      <c r="E1404" s="837"/>
      <c r="F1404" s="817"/>
      <c r="G1404" s="818"/>
      <c r="H1404" s="819"/>
      <c r="I1404" s="820"/>
      <c r="J1404" s="815"/>
      <c r="K1404" s="514"/>
      <c r="L1404" s="437"/>
      <c r="M1404" s="437"/>
      <c r="N1404" s="437"/>
    </row>
    <row r="1405">
      <c r="A1405" s="814"/>
      <c r="B1405" s="814"/>
      <c r="C1405" s="814"/>
      <c r="D1405" s="815"/>
      <c r="E1405" s="837"/>
      <c r="F1405" s="817"/>
      <c r="G1405" s="818"/>
      <c r="H1405" s="819"/>
      <c r="I1405" s="820"/>
      <c r="J1405" s="815"/>
      <c r="K1405" s="514"/>
      <c r="L1405" s="437"/>
      <c r="M1405" s="437"/>
      <c r="N1405" s="437"/>
    </row>
    <row r="1406">
      <c r="A1406" s="814"/>
      <c r="B1406" s="814"/>
      <c r="C1406" s="814"/>
      <c r="D1406" s="815"/>
      <c r="E1406" s="837"/>
      <c r="F1406" s="817"/>
      <c r="G1406" s="818"/>
      <c r="H1406" s="819"/>
      <c r="I1406" s="820"/>
      <c r="J1406" s="815"/>
      <c r="K1406" s="514"/>
      <c r="L1406" s="437"/>
      <c r="M1406" s="437"/>
      <c r="N1406" s="437"/>
    </row>
    <row r="1407">
      <c r="A1407" s="814"/>
      <c r="B1407" s="814"/>
      <c r="C1407" s="814"/>
      <c r="D1407" s="815"/>
      <c r="E1407" s="837"/>
      <c r="F1407" s="817"/>
      <c r="G1407" s="818"/>
      <c r="H1407" s="819"/>
      <c r="I1407" s="820"/>
      <c r="J1407" s="815"/>
      <c r="K1407" s="514"/>
      <c r="L1407" s="437"/>
      <c r="M1407" s="437"/>
      <c r="N1407" s="437"/>
    </row>
    <row r="1408">
      <c r="A1408" s="814"/>
      <c r="B1408" s="814"/>
      <c r="C1408" s="814"/>
      <c r="D1408" s="815"/>
      <c r="E1408" s="837"/>
      <c r="F1408" s="817"/>
      <c r="G1408" s="818"/>
      <c r="H1408" s="819"/>
      <c r="I1408" s="820"/>
      <c r="J1408" s="815"/>
      <c r="K1408" s="514"/>
      <c r="L1408" s="437"/>
      <c r="M1408" s="437"/>
      <c r="N1408" s="437"/>
    </row>
    <row r="1409">
      <c r="A1409" s="814"/>
      <c r="B1409" s="814"/>
      <c r="C1409" s="814"/>
      <c r="D1409" s="815"/>
      <c r="E1409" s="837"/>
      <c r="F1409" s="817"/>
      <c r="G1409" s="818"/>
      <c r="H1409" s="819"/>
      <c r="I1409" s="820"/>
      <c r="J1409" s="815"/>
      <c r="K1409" s="514"/>
      <c r="L1409" s="437"/>
      <c r="M1409" s="437"/>
      <c r="N1409" s="437"/>
    </row>
    <row r="1410">
      <c r="A1410" s="814"/>
      <c r="B1410" s="814"/>
      <c r="C1410" s="814"/>
      <c r="D1410" s="815"/>
      <c r="E1410" s="837"/>
      <c r="F1410" s="817"/>
      <c r="G1410" s="818"/>
      <c r="H1410" s="819"/>
      <c r="I1410" s="820"/>
      <c r="J1410" s="815"/>
      <c r="K1410" s="514"/>
      <c r="L1410" s="437"/>
      <c r="M1410" s="437"/>
      <c r="N1410" s="437"/>
    </row>
    <row r="1411">
      <c r="A1411" s="814"/>
      <c r="B1411" s="814"/>
      <c r="C1411" s="814"/>
      <c r="D1411" s="815"/>
      <c r="E1411" s="837"/>
      <c r="F1411" s="817"/>
      <c r="G1411" s="818"/>
      <c r="H1411" s="819"/>
      <c r="I1411" s="820"/>
      <c r="J1411" s="815"/>
      <c r="K1411" s="514"/>
      <c r="L1411" s="437"/>
      <c r="M1411" s="437"/>
      <c r="N1411" s="437"/>
    </row>
    <row r="1412">
      <c r="A1412" s="814"/>
      <c r="B1412" s="814"/>
      <c r="C1412" s="814"/>
      <c r="D1412" s="815"/>
      <c r="E1412" s="837"/>
      <c r="F1412" s="817"/>
      <c r="G1412" s="818"/>
      <c r="H1412" s="819"/>
      <c r="I1412" s="820"/>
      <c r="J1412" s="815"/>
      <c r="K1412" s="514"/>
      <c r="L1412" s="437"/>
      <c r="M1412" s="437"/>
      <c r="N1412" s="437"/>
    </row>
    <row r="1413">
      <c r="A1413" s="814"/>
      <c r="B1413" s="814"/>
      <c r="C1413" s="814"/>
      <c r="D1413" s="815"/>
      <c r="E1413" s="837"/>
      <c r="F1413" s="817"/>
      <c r="G1413" s="818"/>
      <c r="H1413" s="819"/>
      <c r="I1413" s="820"/>
      <c r="J1413" s="815"/>
      <c r="K1413" s="514"/>
      <c r="L1413" s="437"/>
      <c r="M1413" s="437"/>
      <c r="N1413" s="437"/>
    </row>
    <row r="1414">
      <c r="A1414" s="814"/>
      <c r="B1414" s="814"/>
      <c r="C1414" s="814"/>
      <c r="D1414" s="815"/>
      <c r="E1414" s="837"/>
      <c r="F1414" s="817"/>
      <c r="G1414" s="818"/>
      <c r="H1414" s="819"/>
      <c r="I1414" s="820"/>
      <c r="J1414" s="815"/>
      <c r="K1414" s="514"/>
      <c r="L1414" s="437"/>
      <c r="M1414" s="437"/>
      <c r="N1414" s="437"/>
    </row>
    <row r="1415">
      <c r="A1415" s="814"/>
      <c r="B1415" s="814"/>
      <c r="C1415" s="814"/>
      <c r="D1415" s="815"/>
      <c r="E1415" s="837"/>
      <c r="F1415" s="817"/>
      <c r="G1415" s="818"/>
      <c r="H1415" s="819"/>
      <c r="I1415" s="820"/>
      <c r="J1415" s="815"/>
      <c r="K1415" s="514"/>
      <c r="L1415" s="437"/>
      <c r="M1415" s="437"/>
      <c r="N1415" s="437"/>
    </row>
    <row r="1416">
      <c r="A1416" s="814"/>
      <c r="B1416" s="814"/>
      <c r="C1416" s="814"/>
      <c r="D1416" s="815"/>
      <c r="E1416" s="837"/>
      <c r="F1416" s="817"/>
      <c r="G1416" s="818"/>
      <c r="H1416" s="819"/>
      <c r="I1416" s="820"/>
      <c r="J1416" s="815"/>
      <c r="K1416" s="514"/>
      <c r="L1416" s="437"/>
      <c r="M1416" s="437"/>
      <c r="N1416" s="437"/>
    </row>
    <row r="1417">
      <c r="A1417" s="814"/>
      <c r="B1417" s="814"/>
      <c r="C1417" s="814"/>
      <c r="D1417" s="815"/>
      <c r="E1417" s="837"/>
      <c r="F1417" s="817"/>
      <c r="G1417" s="818"/>
      <c r="H1417" s="819"/>
      <c r="I1417" s="820"/>
      <c r="J1417" s="815"/>
      <c r="K1417" s="514"/>
      <c r="L1417" s="437"/>
      <c r="M1417" s="437"/>
      <c r="N1417" s="437"/>
    </row>
    <row r="1418">
      <c r="A1418" s="814"/>
      <c r="B1418" s="814"/>
      <c r="C1418" s="814"/>
      <c r="D1418" s="815"/>
      <c r="E1418" s="837"/>
      <c r="F1418" s="817"/>
      <c r="G1418" s="818"/>
      <c r="H1418" s="819"/>
      <c r="I1418" s="820"/>
      <c r="J1418" s="815"/>
      <c r="K1418" s="514"/>
      <c r="L1418" s="437"/>
      <c r="M1418" s="437"/>
      <c r="N1418" s="437"/>
    </row>
    <row r="1419">
      <c r="A1419" s="814"/>
      <c r="B1419" s="814"/>
      <c r="C1419" s="814"/>
      <c r="D1419" s="815"/>
      <c r="E1419" s="837"/>
      <c r="F1419" s="817"/>
      <c r="G1419" s="818"/>
      <c r="H1419" s="819"/>
      <c r="I1419" s="820"/>
      <c r="J1419" s="815"/>
      <c r="K1419" s="514"/>
      <c r="L1419" s="437"/>
      <c r="M1419" s="437"/>
      <c r="N1419" s="437"/>
    </row>
    <row r="1420">
      <c r="A1420" s="814"/>
      <c r="B1420" s="814"/>
      <c r="C1420" s="814"/>
      <c r="D1420" s="815"/>
      <c r="E1420" s="837"/>
      <c r="F1420" s="817"/>
      <c r="G1420" s="818"/>
      <c r="H1420" s="819"/>
      <c r="I1420" s="820"/>
      <c r="J1420" s="815"/>
      <c r="K1420" s="514"/>
      <c r="L1420" s="437"/>
      <c r="M1420" s="437"/>
      <c r="N1420" s="437"/>
    </row>
    <row r="1421">
      <c r="A1421" s="814"/>
      <c r="B1421" s="814"/>
      <c r="C1421" s="814"/>
      <c r="D1421" s="815"/>
      <c r="E1421" s="837"/>
      <c r="F1421" s="817"/>
      <c r="G1421" s="818"/>
      <c r="H1421" s="819"/>
      <c r="I1421" s="820"/>
      <c r="J1421" s="815"/>
      <c r="K1421" s="514"/>
      <c r="L1421" s="437"/>
      <c r="M1421" s="437"/>
      <c r="N1421" s="437"/>
    </row>
    <row r="1422">
      <c r="A1422" s="814"/>
      <c r="B1422" s="814"/>
      <c r="C1422" s="814"/>
      <c r="D1422" s="815"/>
      <c r="E1422" s="837"/>
      <c r="F1422" s="817"/>
      <c r="G1422" s="818"/>
      <c r="H1422" s="819"/>
      <c r="I1422" s="820"/>
      <c r="J1422" s="815"/>
      <c r="K1422" s="514"/>
      <c r="L1422" s="437"/>
      <c r="M1422" s="437"/>
      <c r="N1422" s="437"/>
    </row>
    <row r="1423">
      <c r="A1423" s="814"/>
      <c r="B1423" s="814"/>
      <c r="C1423" s="814"/>
      <c r="D1423" s="815"/>
      <c r="E1423" s="837"/>
      <c r="F1423" s="817"/>
      <c r="G1423" s="818"/>
      <c r="H1423" s="819"/>
      <c r="I1423" s="820"/>
      <c r="J1423" s="815"/>
      <c r="K1423" s="514"/>
      <c r="L1423" s="437"/>
      <c r="M1423" s="437"/>
      <c r="N1423" s="437"/>
    </row>
    <row r="1424">
      <c r="A1424" s="814"/>
      <c r="B1424" s="814"/>
      <c r="C1424" s="814"/>
      <c r="D1424" s="815"/>
      <c r="E1424" s="837"/>
      <c r="F1424" s="817"/>
      <c r="G1424" s="818"/>
      <c r="H1424" s="819"/>
      <c r="I1424" s="820"/>
      <c r="J1424" s="815"/>
      <c r="K1424" s="514"/>
      <c r="L1424" s="437"/>
      <c r="M1424" s="437"/>
      <c r="N1424" s="437"/>
    </row>
    <row r="1425">
      <c r="A1425" s="814"/>
      <c r="B1425" s="814"/>
      <c r="C1425" s="814"/>
      <c r="D1425" s="815"/>
      <c r="E1425" s="837"/>
      <c r="F1425" s="817"/>
      <c r="G1425" s="818"/>
      <c r="H1425" s="819"/>
      <c r="I1425" s="820"/>
      <c r="J1425" s="815"/>
      <c r="K1425" s="514"/>
      <c r="L1425" s="437"/>
      <c r="M1425" s="437"/>
      <c r="N1425" s="437"/>
    </row>
    <row r="1426">
      <c r="A1426" s="814"/>
      <c r="B1426" s="814"/>
      <c r="C1426" s="814"/>
      <c r="D1426" s="815"/>
      <c r="E1426" s="837"/>
      <c r="F1426" s="817"/>
      <c r="G1426" s="818"/>
      <c r="H1426" s="819"/>
      <c r="I1426" s="820"/>
      <c r="J1426" s="815"/>
      <c r="K1426" s="514"/>
      <c r="L1426" s="437"/>
      <c r="M1426" s="437"/>
      <c r="N1426" s="437"/>
    </row>
    <row r="1427">
      <c r="A1427" s="814"/>
      <c r="B1427" s="814"/>
      <c r="C1427" s="814"/>
      <c r="D1427" s="815"/>
      <c r="E1427" s="837"/>
      <c r="F1427" s="817"/>
      <c r="G1427" s="818"/>
      <c r="H1427" s="819"/>
      <c r="I1427" s="820"/>
      <c r="J1427" s="815"/>
      <c r="K1427" s="514"/>
      <c r="L1427" s="437"/>
      <c r="M1427" s="437"/>
      <c r="N1427" s="437"/>
    </row>
    <row r="1428">
      <c r="A1428" s="814"/>
      <c r="B1428" s="814"/>
      <c r="C1428" s="814"/>
      <c r="D1428" s="815"/>
      <c r="E1428" s="837"/>
      <c r="F1428" s="817"/>
      <c r="G1428" s="818"/>
      <c r="H1428" s="819"/>
      <c r="I1428" s="820"/>
      <c r="J1428" s="815"/>
      <c r="K1428" s="514"/>
      <c r="L1428" s="437"/>
      <c r="M1428" s="437"/>
      <c r="N1428" s="437"/>
    </row>
    <row r="1429">
      <c r="A1429" s="814"/>
      <c r="B1429" s="814"/>
      <c r="C1429" s="814"/>
      <c r="D1429" s="815"/>
      <c r="E1429" s="837"/>
      <c r="F1429" s="817"/>
      <c r="G1429" s="818"/>
      <c r="H1429" s="819"/>
      <c r="I1429" s="820"/>
      <c r="J1429" s="815"/>
      <c r="K1429" s="514"/>
      <c r="L1429" s="437"/>
      <c r="M1429" s="437"/>
      <c r="N1429" s="437"/>
    </row>
    <row r="1430">
      <c r="A1430" s="814"/>
      <c r="B1430" s="814"/>
      <c r="C1430" s="814"/>
      <c r="D1430" s="815"/>
      <c r="E1430" s="837"/>
      <c r="F1430" s="817"/>
      <c r="G1430" s="818"/>
      <c r="H1430" s="819"/>
      <c r="I1430" s="820"/>
      <c r="J1430" s="815"/>
      <c r="K1430" s="514"/>
      <c r="L1430" s="437"/>
      <c r="M1430" s="437"/>
      <c r="N1430" s="437"/>
    </row>
    <row r="1431">
      <c r="A1431" s="814"/>
      <c r="B1431" s="814"/>
      <c r="C1431" s="814"/>
      <c r="D1431" s="815"/>
      <c r="E1431" s="837"/>
      <c r="F1431" s="817"/>
      <c r="G1431" s="818"/>
      <c r="H1431" s="819"/>
      <c r="I1431" s="820"/>
      <c r="J1431" s="815"/>
      <c r="K1431" s="514"/>
      <c r="L1431" s="437"/>
      <c r="M1431" s="437"/>
      <c r="N1431" s="437"/>
    </row>
    <row r="1432">
      <c r="A1432" s="814"/>
      <c r="B1432" s="814"/>
      <c r="C1432" s="814"/>
      <c r="D1432" s="815"/>
      <c r="E1432" s="837"/>
      <c r="F1432" s="817"/>
      <c r="G1432" s="818"/>
      <c r="H1432" s="819"/>
      <c r="I1432" s="820"/>
      <c r="J1432" s="815"/>
      <c r="K1432" s="514"/>
      <c r="L1432" s="437"/>
      <c r="M1432" s="437"/>
      <c r="N1432" s="437"/>
    </row>
    <row r="1433">
      <c r="A1433" s="814"/>
      <c r="B1433" s="814"/>
      <c r="C1433" s="814"/>
      <c r="D1433" s="815"/>
      <c r="E1433" s="837"/>
      <c r="F1433" s="817"/>
      <c r="G1433" s="818"/>
      <c r="H1433" s="819"/>
      <c r="I1433" s="820"/>
      <c r="J1433" s="815"/>
      <c r="K1433" s="514"/>
      <c r="L1433" s="437"/>
      <c r="M1433" s="437"/>
      <c r="N1433" s="437"/>
    </row>
    <row r="1434">
      <c r="A1434" s="814"/>
      <c r="B1434" s="814"/>
      <c r="C1434" s="814"/>
      <c r="D1434" s="815"/>
      <c r="E1434" s="837"/>
      <c r="F1434" s="817"/>
      <c r="G1434" s="818"/>
      <c r="H1434" s="819"/>
      <c r="I1434" s="820"/>
      <c r="J1434" s="815"/>
      <c r="K1434" s="514"/>
      <c r="L1434" s="437"/>
      <c r="M1434" s="437"/>
      <c r="N1434" s="437"/>
    </row>
    <row r="1435">
      <c r="A1435" s="814"/>
      <c r="B1435" s="814"/>
      <c r="C1435" s="814"/>
      <c r="D1435" s="815"/>
      <c r="E1435" s="837"/>
      <c r="F1435" s="817"/>
      <c r="G1435" s="818"/>
      <c r="H1435" s="819"/>
      <c r="I1435" s="820"/>
      <c r="J1435" s="815"/>
      <c r="K1435" s="514"/>
      <c r="L1435" s="437"/>
      <c r="M1435" s="437"/>
      <c r="N1435" s="437"/>
    </row>
    <row r="1436">
      <c r="A1436" s="814"/>
      <c r="B1436" s="814"/>
      <c r="C1436" s="814"/>
      <c r="D1436" s="815"/>
      <c r="E1436" s="837"/>
      <c r="F1436" s="817"/>
      <c r="G1436" s="818"/>
      <c r="H1436" s="819"/>
      <c r="I1436" s="820"/>
      <c r="J1436" s="815"/>
      <c r="K1436" s="514"/>
      <c r="L1436" s="437"/>
      <c r="M1436" s="437"/>
      <c r="N1436" s="437"/>
    </row>
    <row r="1437">
      <c r="A1437" s="814"/>
      <c r="B1437" s="814"/>
      <c r="C1437" s="814"/>
      <c r="D1437" s="815"/>
      <c r="E1437" s="837"/>
      <c r="F1437" s="817"/>
      <c r="G1437" s="818"/>
      <c r="H1437" s="819"/>
      <c r="I1437" s="820"/>
      <c r="J1437" s="815"/>
      <c r="K1437" s="514"/>
      <c r="L1437" s="437"/>
      <c r="M1437" s="437"/>
      <c r="N1437" s="437"/>
    </row>
    <row r="1438">
      <c r="A1438" s="814"/>
      <c r="B1438" s="814"/>
      <c r="C1438" s="814"/>
      <c r="D1438" s="815"/>
      <c r="E1438" s="837"/>
      <c r="F1438" s="817"/>
      <c r="G1438" s="818"/>
      <c r="H1438" s="819"/>
      <c r="I1438" s="820"/>
      <c r="J1438" s="815"/>
      <c r="K1438" s="514"/>
      <c r="L1438" s="437"/>
      <c r="M1438" s="437"/>
      <c r="N1438" s="437"/>
    </row>
    <row r="1439">
      <c r="A1439" s="814"/>
      <c r="B1439" s="814"/>
      <c r="C1439" s="814"/>
      <c r="D1439" s="815"/>
      <c r="E1439" s="837"/>
      <c r="F1439" s="817"/>
      <c r="G1439" s="818"/>
      <c r="H1439" s="819"/>
      <c r="I1439" s="820"/>
      <c r="J1439" s="815"/>
      <c r="K1439" s="514"/>
      <c r="L1439" s="437"/>
      <c r="M1439" s="437"/>
      <c r="N1439" s="437"/>
    </row>
    <row r="1440">
      <c r="A1440" s="814"/>
      <c r="B1440" s="814"/>
      <c r="C1440" s="814"/>
      <c r="D1440" s="815"/>
      <c r="E1440" s="837"/>
      <c r="F1440" s="817"/>
      <c r="G1440" s="818"/>
      <c r="H1440" s="819"/>
      <c r="I1440" s="820"/>
      <c r="J1440" s="815"/>
      <c r="K1440" s="514"/>
      <c r="L1440" s="437"/>
      <c r="M1440" s="437"/>
      <c r="N1440" s="437"/>
    </row>
    <row r="1441">
      <c r="A1441" s="814"/>
      <c r="B1441" s="814"/>
      <c r="C1441" s="814"/>
      <c r="D1441" s="815"/>
      <c r="E1441" s="837"/>
      <c r="F1441" s="817"/>
      <c r="G1441" s="818"/>
      <c r="H1441" s="819"/>
      <c r="I1441" s="820"/>
      <c r="J1441" s="815"/>
      <c r="K1441" s="514"/>
      <c r="L1441" s="437"/>
      <c r="M1441" s="437"/>
      <c r="N1441" s="437"/>
    </row>
    <row r="1442">
      <c r="A1442" s="814"/>
      <c r="B1442" s="814"/>
      <c r="C1442" s="814"/>
      <c r="D1442" s="815"/>
      <c r="E1442" s="837"/>
      <c r="F1442" s="817"/>
      <c r="G1442" s="818"/>
      <c r="H1442" s="819"/>
      <c r="I1442" s="820"/>
      <c r="J1442" s="815"/>
      <c r="K1442" s="514"/>
      <c r="L1442" s="437"/>
      <c r="M1442" s="437"/>
      <c r="N1442" s="437"/>
    </row>
    <row r="1443">
      <c r="A1443" s="814"/>
      <c r="B1443" s="814"/>
      <c r="C1443" s="814"/>
      <c r="D1443" s="815"/>
      <c r="E1443" s="837"/>
      <c r="F1443" s="817"/>
      <c r="G1443" s="818"/>
      <c r="H1443" s="819"/>
      <c r="I1443" s="820"/>
      <c r="J1443" s="815"/>
      <c r="K1443" s="514"/>
      <c r="L1443" s="437"/>
      <c r="M1443" s="437"/>
      <c r="N1443" s="437"/>
    </row>
    <row r="1444">
      <c r="A1444" s="814"/>
      <c r="B1444" s="814"/>
      <c r="C1444" s="814"/>
      <c r="D1444" s="815"/>
      <c r="E1444" s="837"/>
      <c r="F1444" s="817"/>
      <c r="G1444" s="818"/>
      <c r="H1444" s="819"/>
      <c r="I1444" s="820"/>
      <c r="J1444" s="815"/>
      <c r="K1444" s="514"/>
      <c r="L1444" s="437"/>
      <c r="M1444" s="437"/>
      <c r="N1444" s="437"/>
    </row>
    <row r="1445">
      <c r="A1445" s="814"/>
      <c r="B1445" s="814"/>
      <c r="C1445" s="814"/>
      <c r="D1445" s="815"/>
      <c r="E1445" s="837"/>
      <c r="F1445" s="817"/>
      <c r="G1445" s="818"/>
      <c r="H1445" s="819"/>
      <c r="I1445" s="820"/>
      <c r="J1445" s="815"/>
      <c r="K1445" s="514"/>
      <c r="L1445" s="437"/>
      <c r="M1445" s="437"/>
      <c r="N1445" s="437"/>
    </row>
    <row r="1446">
      <c r="A1446" s="814"/>
      <c r="B1446" s="814"/>
      <c r="C1446" s="814"/>
      <c r="D1446" s="815"/>
      <c r="E1446" s="837"/>
      <c r="F1446" s="817"/>
      <c r="G1446" s="818"/>
      <c r="H1446" s="819"/>
      <c r="I1446" s="820"/>
      <c r="J1446" s="815"/>
      <c r="K1446" s="514"/>
      <c r="L1446" s="437"/>
      <c r="M1446" s="437"/>
      <c r="N1446" s="437"/>
    </row>
    <row r="1447">
      <c r="A1447" s="814"/>
      <c r="B1447" s="814"/>
      <c r="C1447" s="814"/>
      <c r="D1447" s="815"/>
      <c r="E1447" s="837"/>
      <c r="F1447" s="817"/>
      <c r="G1447" s="818"/>
      <c r="H1447" s="819"/>
      <c r="I1447" s="820"/>
      <c r="J1447" s="815"/>
      <c r="K1447" s="514"/>
      <c r="L1447" s="437"/>
      <c r="M1447" s="437"/>
      <c r="N1447" s="437"/>
    </row>
    <row r="1448">
      <c r="A1448" s="814"/>
      <c r="B1448" s="814"/>
      <c r="C1448" s="814"/>
      <c r="D1448" s="815"/>
      <c r="E1448" s="837"/>
      <c r="F1448" s="817"/>
      <c r="G1448" s="818"/>
      <c r="H1448" s="819"/>
      <c r="I1448" s="820"/>
      <c r="J1448" s="815"/>
      <c r="K1448" s="514"/>
      <c r="L1448" s="437"/>
      <c r="M1448" s="437"/>
      <c r="N1448" s="437"/>
    </row>
    <row r="1449">
      <c r="A1449" s="814"/>
      <c r="B1449" s="814"/>
      <c r="C1449" s="814"/>
      <c r="D1449" s="815"/>
      <c r="E1449" s="837"/>
      <c r="F1449" s="817"/>
      <c r="G1449" s="818"/>
      <c r="H1449" s="819"/>
      <c r="I1449" s="820"/>
      <c r="J1449" s="815"/>
      <c r="K1449" s="514"/>
      <c r="L1449" s="437"/>
      <c r="M1449" s="437"/>
      <c r="N1449" s="437"/>
    </row>
    <row r="1450">
      <c r="A1450" s="814"/>
      <c r="B1450" s="814"/>
      <c r="C1450" s="814"/>
      <c r="D1450" s="815"/>
      <c r="E1450" s="837"/>
      <c r="F1450" s="817"/>
      <c r="G1450" s="818"/>
      <c r="H1450" s="819"/>
      <c r="I1450" s="820"/>
      <c r="J1450" s="815"/>
      <c r="K1450" s="514"/>
      <c r="L1450" s="437"/>
      <c r="M1450" s="437"/>
      <c r="N1450" s="437"/>
    </row>
    <row r="1451">
      <c r="A1451" s="814"/>
      <c r="B1451" s="814"/>
      <c r="C1451" s="814"/>
      <c r="D1451" s="815"/>
      <c r="E1451" s="837"/>
      <c r="F1451" s="817"/>
      <c r="G1451" s="818"/>
      <c r="H1451" s="819"/>
      <c r="I1451" s="820"/>
      <c r="J1451" s="815"/>
      <c r="K1451" s="514"/>
      <c r="L1451" s="437"/>
      <c r="M1451" s="437"/>
      <c r="N1451" s="437"/>
    </row>
    <row r="1452">
      <c r="A1452" s="814"/>
      <c r="B1452" s="814"/>
      <c r="C1452" s="814"/>
      <c r="D1452" s="815"/>
      <c r="E1452" s="837"/>
      <c r="F1452" s="817"/>
      <c r="G1452" s="818"/>
      <c r="H1452" s="819"/>
      <c r="I1452" s="820"/>
      <c r="J1452" s="815"/>
      <c r="K1452" s="514"/>
      <c r="L1452" s="437"/>
      <c r="M1452" s="437"/>
      <c r="N1452" s="437"/>
    </row>
    <row r="1453">
      <c r="A1453" s="814"/>
      <c r="B1453" s="814"/>
      <c r="C1453" s="814"/>
      <c r="D1453" s="815"/>
      <c r="E1453" s="837"/>
      <c r="F1453" s="817"/>
      <c r="G1453" s="818"/>
      <c r="H1453" s="819"/>
      <c r="I1453" s="820"/>
      <c r="J1453" s="815"/>
      <c r="K1453" s="514"/>
      <c r="L1453" s="437"/>
      <c r="M1453" s="437"/>
      <c r="N1453" s="437"/>
    </row>
    <row r="1454">
      <c r="A1454" s="814"/>
      <c r="B1454" s="814"/>
      <c r="C1454" s="814"/>
      <c r="D1454" s="815"/>
      <c r="E1454" s="837"/>
      <c r="F1454" s="817"/>
      <c r="G1454" s="818"/>
      <c r="H1454" s="819"/>
      <c r="I1454" s="820"/>
      <c r="J1454" s="815"/>
      <c r="K1454" s="514"/>
      <c r="L1454" s="437"/>
      <c r="M1454" s="437"/>
      <c r="N1454" s="437"/>
    </row>
    <row r="1455">
      <c r="A1455" s="814"/>
      <c r="B1455" s="814"/>
      <c r="C1455" s="814"/>
      <c r="D1455" s="815"/>
      <c r="E1455" s="837"/>
      <c r="F1455" s="817"/>
      <c r="G1455" s="818"/>
      <c r="H1455" s="819"/>
      <c r="I1455" s="820"/>
      <c r="J1455" s="815"/>
      <c r="K1455" s="514"/>
      <c r="L1455" s="437"/>
      <c r="M1455" s="437"/>
      <c r="N1455" s="437"/>
    </row>
    <row r="1456">
      <c r="A1456" s="814"/>
      <c r="B1456" s="814"/>
      <c r="C1456" s="814"/>
      <c r="D1456" s="815"/>
      <c r="E1456" s="837"/>
      <c r="F1456" s="817"/>
      <c r="G1456" s="818"/>
      <c r="H1456" s="819"/>
      <c r="I1456" s="820"/>
      <c r="J1456" s="815"/>
      <c r="K1456" s="514"/>
      <c r="L1456" s="437"/>
      <c r="M1456" s="437"/>
      <c r="N1456" s="437"/>
    </row>
    <row r="1457">
      <c r="A1457" s="814"/>
      <c r="B1457" s="814"/>
      <c r="C1457" s="814"/>
      <c r="D1457" s="815"/>
      <c r="E1457" s="837"/>
      <c r="F1457" s="817"/>
      <c r="G1457" s="818"/>
      <c r="H1457" s="819"/>
      <c r="I1457" s="820"/>
      <c r="J1457" s="815"/>
      <c r="K1457" s="514"/>
      <c r="L1457" s="437"/>
      <c r="M1457" s="437"/>
      <c r="N1457" s="437"/>
    </row>
    <row r="1458">
      <c r="A1458" s="814"/>
      <c r="B1458" s="814"/>
      <c r="C1458" s="814"/>
      <c r="D1458" s="815"/>
      <c r="E1458" s="837"/>
      <c r="F1458" s="817"/>
      <c r="G1458" s="818"/>
      <c r="H1458" s="819"/>
      <c r="I1458" s="820"/>
      <c r="J1458" s="815"/>
      <c r="K1458" s="514"/>
      <c r="L1458" s="437"/>
      <c r="M1458" s="437"/>
      <c r="N1458" s="437"/>
    </row>
    <row r="1459">
      <c r="A1459" s="814"/>
      <c r="B1459" s="814"/>
      <c r="C1459" s="814"/>
      <c r="D1459" s="815"/>
      <c r="E1459" s="837"/>
      <c r="F1459" s="817"/>
      <c r="G1459" s="818"/>
      <c r="H1459" s="819"/>
      <c r="I1459" s="820"/>
      <c r="J1459" s="815"/>
      <c r="K1459" s="514"/>
      <c r="L1459" s="437"/>
      <c r="M1459" s="437"/>
      <c r="N1459" s="437"/>
    </row>
    <row r="1460">
      <c r="A1460" s="814"/>
      <c r="B1460" s="814"/>
      <c r="C1460" s="814"/>
      <c r="D1460" s="815"/>
      <c r="E1460" s="837"/>
      <c r="F1460" s="817"/>
      <c r="G1460" s="818"/>
      <c r="H1460" s="819"/>
      <c r="I1460" s="820"/>
      <c r="J1460" s="815"/>
      <c r="K1460" s="514"/>
      <c r="L1460" s="437"/>
      <c r="M1460" s="437"/>
      <c r="N1460" s="437"/>
    </row>
    <row r="1461">
      <c r="A1461" s="814"/>
      <c r="B1461" s="814"/>
      <c r="C1461" s="814"/>
      <c r="D1461" s="815"/>
      <c r="E1461" s="837"/>
      <c r="F1461" s="817"/>
      <c r="G1461" s="818"/>
      <c r="H1461" s="819"/>
      <c r="I1461" s="820"/>
      <c r="J1461" s="815"/>
      <c r="K1461" s="514"/>
      <c r="L1461" s="437"/>
      <c r="M1461" s="437"/>
      <c r="N1461" s="437"/>
    </row>
    <row r="1462">
      <c r="A1462" s="814"/>
      <c r="B1462" s="814"/>
      <c r="C1462" s="814"/>
      <c r="D1462" s="815"/>
      <c r="E1462" s="837"/>
      <c r="F1462" s="817"/>
      <c r="G1462" s="818"/>
      <c r="H1462" s="819"/>
      <c r="I1462" s="820"/>
      <c r="J1462" s="815"/>
      <c r="K1462" s="514"/>
      <c r="L1462" s="437"/>
      <c r="M1462" s="437"/>
      <c r="N1462" s="437"/>
    </row>
    <row r="1463">
      <c r="A1463" s="814"/>
      <c r="B1463" s="814"/>
      <c r="C1463" s="814"/>
      <c r="D1463" s="815"/>
      <c r="E1463" s="837"/>
      <c r="F1463" s="817"/>
      <c r="G1463" s="818"/>
      <c r="H1463" s="819"/>
      <c r="I1463" s="820"/>
      <c r="J1463" s="815"/>
      <c r="K1463" s="514"/>
      <c r="L1463" s="437"/>
      <c r="M1463" s="437"/>
      <c r="N1463" s="437"/>
    </row>
    <row r="1464">
      <c r="A1464" s="814"/>
      <c r="B1464" s="814"/>
      <c r="C1464" s="814"/>
      <c r="D1464" s="815"/>
      <c r="E1464" s="837"/>
      <c r="F1464" s="817"/>
      <c r="G1464" s="818"/>
      <c r="H1464" s="819"/>
      <c r="I1464" s="820"/>
      <c r="J1464" s="815"/>
      <c r="K1464" s="514"/>
      <c r="L1464" s="437"/>
      <c r="M1464" s="437"/>
      <c r="N1464" s="437"/>
    </row>
    <row r="1465">
      <c r="A1465" s="814"/>
      <c r="B1465" s="814"/>
      <c r="C1465" s="814"/>
      <c r="D1465" s="815"/>
      <c r="E1465" s="837"/>
      <c r="F1465" s="817"/>
      <c r="G1465" s="818"/>
      <c r="H1465" s="819"/>
      <c r="I1465" s="820"/>
      <c r="J1465" s="815"/>
      <c r="K1465" s="514"/>
      <c r="L1465" s="437"/>
      <c r="M1465" s="437"/>
      <c r="N1465" s="437"/>
    </row>
    <row r="1466">
      <c r="A1466" s="814"/>
      <c r="B1466" s="814"/>
      <c r="C1466" s="814"/>
      <c r="D1466" s="815"/>
      <c r="E1466" s="837"/>
      <c r="F1466" s="817"/>
      <c r="G1466" s="818"/>
      <c r="H1466" s="819"/>
      <c r="I1466" s="820"/>
      <c r="J1466" s="815"/>
      <c r="K1466" s="514"/>
      <c r="L1466" s="437"/>
      <c r="M1466" s="437"/>
      <c r="N1466" s="437"/>
    </row>
    <row r="1467">
      <c r="A1467" s="814"/>
      <c r="B1467" s="814"/>
      <c r="C1467" s="814"/>
      <c r="D1467" s="815"/>
      <c r="E1467" s="837"/>
      <c r="F1467" s="817"/>
      <c r="G1467" s="818"/>
      <c r="H1467" s="819"/>
      <c r="I1467" s="820"/>
      <c r="J1467" s="815"/>
      <c r="K1467" s="514"/>
      <c r="L1467" s="437"/>
      <c r="M1467" s="437"/>
      <c r="N1467" s="437"/>
    </row>
    <row r="1468">
      <c r="A1468" s="814"/>
      <c r="B1468" s="814"/>
      <c r="C1468" s="814"/>
      <c r="D1468" s="815"/>
      <c r="E1468" s="837"/>
      <c r="F1468" s="817"/>
      <c r="G1468" s="818"/>
      <c r="H1468" s="819"/>
      <c r="I1468" s="820"/>
      <c r="J1468" s="815"/>
      <c r="K1468" s="514"/>
      <c r="L1468" s="437"/>
      <c r="M1468" s="437"/>
      <c r="N1468" s="437"/>
    </row>
    <row r="1469">
      <c r="A1469" s="814"/>
      <c r="B1469" s="814"/>
      <c r="C1469" s="814"/>
      <c r="D1469" s="815"/>
      <c r="E1469" s="837"/>
      <c r="F1469" s="817"/>
      <c r="G1469" s="818"/>
      <c r="H1469" s="819"/>
      <c r="I1469" s="820"/>
      <c r="J1469" s="815"/>
      <c r="K1469" s="514"/>
      <c r="L1469" s="437"/>
      <c r="M1469" s="437"/>
      <c r="N1469" s="437"/>
    </row>
    <row r="1470">
      <c r="A1470" s="814"/>
      <c r="B1470" s="814"/>
      <c r="C1470" s="814"/>
      <c r="D1470" s="815"/>
      <c r="E1470" s="837"/>
      <c r="F1470" s="817"/>
      <c r="G1470" s="818"/>
      <c r="H1470" s="819"/>
      <c r="I1470" s="820"/>
      <c r="J1470" s="815"/>
      <c r="K1470" s="514"/>
      <c r="L1470" s="437"/>
      <c r="M1470" s="437"/>
      <c r="N1470" s="437"/>
    </row>
    <row r="1471">
      <c r="A1471" s="814"/>
      <c r="B1471" s="814"/>
      <c r="C1471" s="814"/>
      <c r="D1471" s="815"/>
      <c r="E1471" s="837"/>
      <c r="F1471" s="817"/>
      <c r="G1471" s="818"/>
      <c r="H1471" s="819"/>
      <c r="I1471" s="820"/>
      <c r="J1471" s="815"/>
      <c r="K1471" s="514"/>
      <c r="L1471" s="437"/>
      <c r="M1471" s="437"/>
      <c r="N1471" s="437"/>
    </row>
    <row r="1472">
      <c r="A1472" s="814"/>
      <c r="B1472" s="814"/>
      <c r="C1472" s="814"/>
      <c r="D1472" s="815"/>
      <c r="E1472" s="837"/>
      <c r="F1472" s="817"/>
      <c r="G1472" s="818"/>
      <c r="H1472" s="819"/>
      <c r="I1472" s="820"/>
      <c r="J1472" s="815"/>
      <c r="K1472" s="514"/>
      <c r="L1472" s="437"/>
      <c r="M1472" s="437"/>
      <c r="N1472" s="437"/>
    </row>
    <row r="1473">
      <c r="A1473" s="814"/>
      <c r="B1473" s="814"/>
      <c r="C1473" s="814"/>
      <c r="D1473" s="815"/>
      <c r="E1473" s="837"/>
      <c r="F1473" s="817"/>
      <c r="G1473" s="818"/>
      <c r="H1473" s="819"/>
      <c r="I1473" s="820"/>
      <c r="J1473" s="815"/>
      <c r="K1473" s="514"/>
      <c r="L1473" s="437"/>
      <c r="M1473" s="437"/>
      <c r="N1473" s="437"/>
    </row>
    <row r="1474">
      <c r="A1474" s="814"/>
      <c r="B1474" s="814"/>
      <c r="C1474" s="814"/>
      <c r="D1474" s="815"/>
      <c r="E1474" s="837"/>
      <c r="F1474" s="817"/>
      <c r="G1474" s="818"/>
      <c r="H1474" s="819"/>
      <c r="I1474" s="820"/>
      <c r="J1474" s="815"/>
      <c r="K1474" s="514"/>
      <c r="L1474" s="437"/>
      <c r="M1474" s="437"/>
      <c r="N1474" s="437"/>
    </row>
    <row r="1475">
      <c r="A1475" s="814"/>
      <c r="B1475" s="814"/>
      <c r="C1475" s="814"/>
      <c r="D1475" s="815"/>
      <c r="E1475" s="837"/>
      <c r="F1475" s="817"/>
      <c r="G1475" s="818"/>
      <c r="H1475" s="819"/>
      <c r="I1475" s="820"/>
      <c r="J1475" s="815"/>
      <c r="K1475" s="514"/>
      <c r="L1475" s="437"/>
      <c r="M1475" s="437"/>
      <c r="N1475" s="437"/>
    </row>
    <row r="1476">
      <c r="A1476" s="814"/>
      <c r="B1476" s="814"/>
      <c r="C1476" s="814"/>
      <c r="D1476" s="815"/>
      <c r="E1476" s="837"/>
      <c r="F1476" s="817"/>
      <c r="G1476" s="818"/>
      <c r="H1476" s="819"/>
      <c r="I1476" s="820"/>
      <c r="J1476" s="815"/>
      <c r="K1476" s="514"/>
      <c r="L1476" s="437"/>
      <c r="M1476" s="437"/>
      <c r="N1476" s="437"/>
    </row>
    <row r="1477">
      <c r="A1477" s="814"/>
      <c r="B1477" s="814"/>
      <c r="C1477" s="814"/>
      <c r="D1477" s="815"/>
      <c r="E1477" s="837"/>
      <c r="F1477" s="817"/>
      <c r="G1477" s="818"/>
      <c r="H1477" s="819"/>
      <c r="I1477" s="820"/>
      <c r="J1477" s="815"/>
      <c r="K1477" s="514"/>
      <c r="L1477" s="437"/>
      <c r="M1477" s="437"/>
      <c r="N1477" s="437"/>
    </row>
    <row r="1478">
      <c r="A1478" s="814"/>
      <c r="B1478" s="814"/>
      <c r="C1478" s="814"/>
      <c r="D1478" s="815"/>
      <c r="E1478" s="837"/>
      <c r="F1478" s="817"/>
      <c r="G1478" s="818"/>
      <c r="H1478" s="819"/>
      <c r="I1478" s="820"/>
      <c r="J1478" s="815"/>
      <c r="K1478" s="514"/>
      <c r="L1478" s="437"/>
      <c r="M1478" s="437"/>
      <c r="N1478" s="437"/>
    </row>
    <row r="1479">
      <c r="A1479" s="814"/>
      <c r="B1479" s="814"/>
      <c r="C1479" s="814"/>
      <c r="D1479" s="815"/>
      <c r="E1479" s="837"/>
      <c r="F1479" s="817"/>
      <c r="G1479" s="818"/>
      <c r="H1479" s="819"/>
      <c r="I1479" s="820"/>
      <c r="J1479" s="815"/>
      <c r="K1479" s="514"/>
      <c r="L1479" s="437"/>
      <c r="M1479" s="437"/>
      <c r="N1479" s="437"/>
    </row>
    <row r="1480">
      <c r="A1480" s="814"/>
      <c r="B1480" s="814"/>
      <c r="C1480" s="814"/>
      <c r="D1480" s="815"/>
      <c r="E1480" s="837"/>
      <c r="F1480" s="817"/>
      <c r="G1480" s="818"/>
      <c r="H1480" s="819"/>
      <c r="I1480" s="820"/>
      <c r="J1480" s="815"/>
      <c r="K1480" s="514"/>
      <c r="L1480" s="437"/>
      <c r="M1480" s="437"/>
      <c r="N1480" s="437"/>
    </row>
    <row r="1481">
      <c r="A1481" s="814"/>
      <c r="B1481" s="814"/>
      <c r="C1481" s="814"/>
      <c r="D1481" s="815"/>
      <c r="E1481" s="837"/>
      <c r="F1481" s="817"/>
      <c r="G1481" s="818"/>
      <c r="H1481" s="819"/>
      <c r="I1481" s="820"/>
      <c r="J1481" s="815"/>
      <c r="K1481" s="514"/>
      <c r="L1481" s="437"/>
      <c r="M1481" s="437"/>
      <c r="N1481" s="437"/>
    </row>
    <row r="1482">
      <c r="A1482" s="814"/>
      <c r="B1482" s="814"/>
      <c r="C1482" s="814"/>
      <c r="D1482" s="815"/>
      <c r="E1482" s="837"/>
      <c r="F1482" s="817"/>
      <c r="G1482" s="818"/>
      <c r="H1482" s="819"/>
      <c r="I1482" s="820"/>
      <c r="J1482" s="815"/>
      <c r="K1482" s="514"/>
      <c r="L1482" s="437"/>
      <c r="M1482" s="437"/>
      <c r="N1482" s="437"/>
    </row>
    <row r="1483">
      <c r="A1483" s="814"/>
      <c r="B1483" s="814"/>
      <c r="C1483" s="814"/>
      <c r="D1483" s="815"/>
      <c r="E1483" s="837"/>
      <c r="F1483" s="817"/>
      <c r="G1483" s="818"/>
      <c r="H1483" s="819"/>
      <c r="I1483" s="820"/>
      <c r="J1483" s="815"/>
      <c r="K1483" s="514"/>
      <c r="L1483" s="437"/>
      <c r="M1483" s="437"/>
      <c r="N1483" s="437"/>
    </row>
    <row r="1484">
      <c r="A1484" s="814"/>
      <c r="B1484" s="814"/>
      <c r="C1484" s="814"/>
      <c r="D1484" s="815"/>
      <c r="E1484" s="837"/>
      <c r="F1484" s="817"/>
      <c r="G1484" s="818"/>
      <c r="H1484" s="819"/>
      <c r="I1484" s="820"/>
      <c r="J1484" s="815"/>
      <c r="K1484" s="514"/>
      <c r="L1484" s="437"/>
      <c r="M1484" s="437"/>
      <c r="N1484" s="437"/>
    </row>
    <row r="1485">
      <c r="A1485" s="814"/>
      <c r="B1485" s="814"/>
      <c r="C1485" s="814"/>
      <c r="D1485" s="815"/>
      <c r="E1485" s="837"/>
      <c r="F1485" s="817"/>
      <c r="G1485" s="818"/>
      <c r="H1485" s="819"/>
      <c r="I1485" s="820"/>
      <c r="J1485" s="815"/>
      <c r="K1485" s="514"/>
      <c r="L1485" s="437"/>
      <c r="M1485" s="437"/>
      <c r="N1485" s="437"/>
    </row>
    <row r="1486">
      <c r="A1486" s="814"/>
      <c r="B1486" s="814"/>
      <c r="C1486" s="814"/>
      <c r="D1486" s="815"/>
      <c r="E1486" s="837"/>
      <c r="F1486" s="817"/>
      <c r="G1486" s="818"/>
      <c r="H1486" s="819"/>
      <c r="I1486" s="820"/>
      <c r="J1486" s="815"/>
      <c r="K1486" s="514"/>
      <c r="L1486" s="437"/>
      <c r="M1486" s="437"/>
      <c r="N1486" s="437"/>
    </row>
    <row r="1487">
      <c r="A1487" s="814"/>
      <c r="B1487" s="814"/>
      <c r="C1487" s="814"/>
      <c r="D1487" s="815"/>
      <c r="E1487" s="837"/>
      <c r="F1487" s="817"/>
      <c r="G1487" s="818"/>
      <c r="H1487" s="819"/>
      <c r="I1487" s="820"/>
      <c r="J1487" s="815"/>
      <c r="K1487" s="514"/>
      <c r="L1487" s="437"/>
      <c r="M1487" s="437"/>
      <c r="N1487" s="437"/>
    </row>
    <row r="1488">
      <c r="A1488" s="814"/>
      <c r="B1488" s="814"/>
      <c r="C1488" s="814"/>
      <c r="D1488" s="815"/>
      <c r="E1488" s="837"/>
      <c r="F1488" s="817"/>
      <c r="G1488" s="818"/>
      <c r="H1488" s="819"/>
      <c r="I1488" s="820"/>
      <c r="J1488" s="815"/>
      <c r="K1488" s="514"/>
      <c r="L1488" s="437"/>
      <c r="M1488" s="437"/>
      <c r="N1488" s="437"/>
    </row>
    <row r="1489">
      <c r="A1489" s="814"/>
      <c r="B1489" s="814"/>
      <c r="C1489" s="814"/>
      <c r="D1489" s="815"/>
      <c r="E1489" s="837"/>
      <c r="F1489" s="817"/>
      <c r="G1489" s="818"/>
      <c r="H1489" s="819"/>
      <c r="I1489" s="820"/>
      <c r="J1489" s="815"/>
      <c r="K1489" s="514"/>
      <c r="L1489" s="437"/>
      <c r="M1489" s="437"/>
      <c r="N1489" s="437"/>
    </row>
    <row r="1490">
      <c r="A1490" s="814"/>
      <c r="B1490" s="814"/>
      <c r="C1490" s="814"/>
      <c r="D1490" s="815"/>
      <c r="E1490" s="837"/>
      <c r="F1490" s="817"/>
      <c r="G1490" s="818"/>
      <c r="H1490" s="819"/>
      <c r="I1490" s="820"/>
      <c r="J1490" s="815"/>
      <c r="K1490" s="514"/>
      <c r="L1490" s="437"/>
      <c r="M1490" s="437"/>
      <c r="N1490" s="437"/>
    </row>
    <row r="1491">
      <c r="A1491" s="814"/>
      <c r="B1491" s="814"/>
      <c r="C1491" s="814"/>
      <c r="D1491" s="815"/>
      <c r="E1491" s="837"/>
      <c r="F1491" s="817"/>
      <c r="G1491" s="818"/>
      <c r="H1491" s="819"/>
      <c r="I1491" s="820"/>
      <c r="J1491" s="815"/>
      <c r="K1491" s="514"/>
      <c r="L1491" s="437"/>
      <c r="M1491" s="437"/>
      <c r="N1491" s="437"/>
    </row>
    <row r="1492">
      <c r="A1492" s="814"/>
      <c r="B1492" s="814"/>
      <c r="C1492" s="814"/>
      <c r="D1492" s="815"/>
      <c r="E1492" s="837"/>
      <c r="F1492" s="817"/>
      <c r="G1492" s="818"/>
      <c r="H1492" s="819"/>
      <c r="I1492" s="820"/>
      <c r="J1492" s="815"/>
      <c r="K1492" s="514"/>
      <c r="L1492" s="437"/>
      <c r="M1492" s="437"/>
      <c r="N1492" s="437"/>
    </row>
    <row r="1493">
      <c r="A1493" s="814"/>
      <c r="B1493" s="814"/>
      <c r="C1493" s="814"/>
      <c r="D1493" s="815"/>
      <c r="E1493" s="837"/>
      <c r="F1493" s="817"/>
      <c r="G1493" s="818"/>
      <c r="H1493" s="819"/>
      <c r="I1493" s="820"/>
      <c r="J1493" s="815"/>
      <c r="K1493" s="514"/>
      <c r="L1493" s="437"/>
      <c r="M1493" s="437"/>
      <c r="N1493" s="437"/>
    </row>
    <row r="1494">
      <c r="A1494" s="814"/>
      <c r="B1494" s="814"/>
      <c r="C1494" s="814"/>
      <c r="D1494" s="815"/>
      <c r="E1494" s="837"/>
      <c r="F1494" s="817"/>
      <c r="G1494" s="818"/>
      <c r="H1494" s="819"/>
      <c r="I1494" s="820"/>
      <c r="J1494" s="815"/>
      <c r="K1494" s="514"/>
      <c r="L1494" s="437"/>
      <c r="M1494" s="437"/>
      <c r="N1494" s="437"/>
    </row>
    <row r="1495">
      <c r="A1495" s="814"/>
      <c r="B1495" s="814"/>
      <c r="C1495" s="814"/>
      <c r="D1495" s="815"/>
      <c r="E1495" s="837"/>
      <c r="F1495" s="817"/>
      <c r="G1495" s="818"/>
      <c r="H1495" s="819"/>
      <c r="I1495" s="820"/>
      <c r="J1495" s="815"/>
      <c r="K1495" s="514"/>
      <c r="L1495" s="437"/>
      <c r="M1495" s="437"/>
      <c r="N1495" s="437"/>
    </row>
    <row r="1496">
      <c r="A1496" s="814"/>
      <c r="B1496" s="814"/>
      <c r="C1496" s="814"/>
      <c r="D1496" s="815"/>
      <c r="E1496" s="837"/>
      <c r="F1496" s="817"/>
      <c r="G1496" s="818"/>
      <c r="H1496" s="819"/>
      <c r="I1496" s="820"/>
      <c r="J1496" s="815"/>
      <c r="K1496" s="514"/>
      <c r="L1496" s="437"/>
      <c r="M1496" s="437"/>
      <c r="N1496" s="437"/>
    </row>
    <row r="1497">
      <c r="A1497" s="814"/>
      <c r="B1497" s="814"/>
      <c r="C1497" s="814"/>
      <c r="D1497" s="815"/>
      <c r="E1497" s="837"/>
      <c r="F1497" s="817"/>
      <c r="G1497" s="818"/>
      <c r="H1497" s="819"/>
      <c r="I1497" s="820"/>
      <c r="J1497" s="815"/>
      <c r="K1497" s="514"/>
      <c r="L1497" s="437"/>
      <c r="M1497" s="437"/>
      <c r="N1497" s="437"/>
    </row>
    <row r="1498">
      <c r="A1498" s="814"/>
      <c r="B1498" s="814"/>
      <c r="C1498" s="814"/>
      <c r="D1498" s="815"/>
      <c r="E1498" s="837"/>
      <c r="F1498" s="817"/>
      <c r="G1498" s="818"/>
      <c r="H1498" s="819"/>
      <c r="I1498" s="820"/>
      <c r="J1498" s="815"/>
      <c r="K1498" s="514"/>
      <c r="L1498" s="437"/>
      <c r="M1498" s="437"/>
      <c r="N1498" s="437"/>
    </row>
    <row r="1499">
      <c r="A1499" s="814"/>
      <c r="B1499" s="814"/>
      <c r="C1499" s="814"/>
      <c r="D1499" s="815"/>
      <c r="E1499" s="837"/>
      <c r="F1499" s="817"/>
      <c r="G1499" s="818"/>
      <c r="H1499" s="819"/>
      <c r="I1499" s="820"/>
      <c r="J1499" s="815"/>
      <c r="K1499" s="514"/>
      <c r="L1499" s="437"/>
      <c r="M1499" s="437"/>
      <c r="N1499" s="437"/>
    </row>
    <row r="1500">
      <c r="A1500" s="814"/>
      <c r="B1500" s="814"/>
      <c r="C1500" s="814"/>
      <c r="D1500" s="815"/>
      <c r="E1500" s="837"/>
      <c r="F1500" s="817"/>
      <c r="G1500" s="818"/>
      <c r="H1500" s="819"/>
      <c r="I1500" s="820"/>
      <c r="J1500" s="815"/>
      <c r="K1500" s="514"/>
      <c r="L1500" s="437"/>
      <c r="M1500" s="437"/>
      <c r="N1500" s="437"/>
    </row>
    <row r="1501">
      <c r="A1501" s="814"/>
      <c r="B1501" s="814"/>
      <c r="C1501" s="814"/>
      <c r="D1501" s="815"/>
      <c r="E1501" s="837"/>
      <c r="F1501" s="817"/>
      <c r="G1501" s="818"/>
      <c r="H1501" s="819"/>
      <c r="I1501" s="820"/>
      <c r="J1501" s="815"/>
      <c r="K1501" s="514"/>
      <c r="L1501" s="437"/>
      <c r="M1501" s="437"/>
      <c r="N1501" s="437"/>
    </row>
    <row r="1502">
      <c r="A1502" s="814"/>
      <c r="B1502" s="814"/>
      <c r="C1502" s="814"/>
      <c r="D1502" s="815"/>
      <c r="E1502" s="837"/>
      <c r="F1502" s="817"/>
      <c r="G1502" s="818"/>
      <c r="H1502" s="819"/>
      <c r="I1502" s="820"/>
      <c r="J1502" s="815"/>
      <c r="K1502" s="514"/>
      <c r="L1502" s="437"/>
      <c r="M1502" s="437"/>
      <c r="N1502" s="437"/>
    </row>
    <row r="1503">
      <c r="A1503" s="814"/>
      <c r="B1503" s="814"/>
      <c r="C1503" s="814"/>
      <c r="D1503" s="815"/>
      <c r="E1503" s="837"/>
      <c r="F1503" s="817"/>
      <c r="G1503" s="818"/>
      <c r="H1503" s="819"/>
      <c r="I1503" s="820"/>
      <c r="J1503" s="815"/>
      <c r="K1503" s="514"/>
      <c r="L1503" s="437"/>
      <c r="M1503" s="437"/>
      <c r="N1503" s="437"/>
    </row>
    <row r="1504">
      <c r="A1504" s="814"/>
      <c r="B1504" s="814"/>
      <c r="C1504" s="814"/>
      <c r="D1504" s="815"/>
      <c r="E1504" s="837"/>
      <c r="F1504" s="817"/>
      <c r="G1504" s="818"/>
      <c r="H1504" s="819"/>
      <c r="I1504" s="820"/>
      <c r="J1504" s="815"/>
      <c r="K1504" s="514"/>
      <c r="L1504" s="437"/>
      <c r="M1504" s="437"/>
      <c r="N1504" s="437"/>
    </row>
    <row r="1505">
      <c r="A1505" s="814"/>
      <c r="B1505" s="814"/>
      <c r="C1505" s="814"/>
      <c r="D1505" s="815"/>
      <c r="E1505" s="837"/>
      <c r="F1505" s="817"/>
      <c r="G1505" s="818"/>
      <c r="H1505" s="819"/>
      <c r="I1505" s="820"/>
      <c r="J1505" s="815"/>
      <c r="K1505" s="514"/>
      <c r="L1505" s="437"/>
      <c r="M1505" s="437"/>
      <c r="N1505" s="437"/>
    </row>
    <row r="1506">
      <c r="A1506" s="814"/>
      <c r="B1506" s="814"/>
      <c r="C1506" s="814"/>
      <c r="D1506" s="815"/>
      <c r="E1506" s="837"/>
      <c r="F1506" s="817"/>
      <c r="G1506" s="818"/>
      <c r="H1506" s="819"/>
      <c r="I1506" s="820"/>
      <c r="J1506" s="815"/>
      <c r="K1506" s="514"/>
      <c r="L1506" s="437"/>
      <c r="M1506" s="437"/>
      <c r="N1506" s="437"/>
    </row>
    <row r="1507">
      <c r="A1507" s="814"/>
      <c r="B1507" s="814"/>
      <c r="C1507" s="814"/>
      <c r="D1507" s="815"/>
      <c r="E1507" s="837"/>
      <c r="F1507" s="817"/>
      <c r="G1507" s="818"/>
      <c r="H1507" s="819"/>
      <c r="I1507" s="820"/>
      <c r="J1507" s="815"/>
      <c r="K1507" s="514"/>
      <c r="L1507" s="437"/>
      <c r="M1507" s="437"/>
      <c r="N1507" s="437"/>
    </row>
    <row r="1508">
      <c r="A1508" s="814"/>
      <c r="B1508" s="814"/>
      <c r="C1508" s="814"/>
      <c r="D1508" s="815"/>
      <c r="E1508" s="837"/>
      <c r="F1508" s="817"/>
      <c r="G1508" s="818"/>
      <c r="H1508" s="819"/>
      <c r="I1508" s="820"/>
      <c r="J1508" s="815"/>
      <c r="K1508" s="514"/>
      <c r="L1508" s="437"/>
      <c r="M1508" s="437"/>
      <c r="N1508" s="437"/>
    </row>
    <row r="1509">
      <c r="A1509" s="814"/>
      <c r="B1509" s="814"/>
      <c r="C1509" s="814"/>
      <c r="D1509" s="815"/>
      <c r="E1509" s="837"/>
      <c r="F1509" s="817"/>
      <c r="G1509" s="818"/>
      <c r="H1509" s="819"/>
      <c r="I1509" s="820"/>
      <c r="J1509" s="815"/>
      <c r="K1509" s="514"/>
      <c r="L1509" s="437"/>
      <c r="M1509" s="437"/>
      <c r="N1509" s="437"/>
    </row>
    <row r="1510">
      <c r="A1510" s="814"/>
      <c r="B1510" s="814"/>
      <c r="C1510" s="814"/>
      <c r="D1510" s="815"/>
      <c r="E1510" s="837"/>
      <c r="F1510" s="817"/>
      <c r="G1510" s="818"/>
      <c r="H1510" s="819"/>
      <c r="I1510" s="820"/>
      <c r="J1510" s="815"/>
      <c r="K1510" s="514"/>
      <c r="L1510" s="437"/>
      <c r="M1510" s="437"/>
      <c r="N1510" s="437"/>
    </row>
    <row r="1511">
      <c r="A1511" s="814"/>
      <c r="B1511" s="814"/>
      <c r="C1511" s="814"/>
      <c r="D1511" s="815"/>
      <c r="E1511" s="837"/>
      <c r="F1511" s="817"/>
      <c r="G1511" s="818"/>
      <c r="H1511" s="819"/>
      <c r="I1511" s="820"/>
      <c r="J1511" s="815"/>
      <c r="K1511" s="514"/>
      <c r="L1511" s="437"/>
      <c r="M1511" s="437"/>
      <c r="N1511" s="437"/>
    </row>
    <row r="1512">
      <c r="A1512" s="814"/>
      <c r="B1512" s="814"/>
      <c r="C1512" s="814"/>
      <c r="D1512" s="815"/>
      <c r="E1512" s="837"/>
      <c r="F1512" s="817"/>
      <c r="G1512" s="818"/>
      <c r="H1512" s="819"/>
      <c r="I1512" s="820"/>
      <c r="J1512" s="815"/>
      <c r="K1512" s="514"/>
      <c r="L1512" s="437"/>
      <c r="M1512" s="437"/>
      <c r="N1512" s="437"/>
    </row>
    <row r="1513">
      <c r="A1513" s="814"/>
      <c r="B1513" s="814"/>
      <c r="C1513" s="814"/>
      <c r="D1513" s="815"/>
      <c r="E1513" s="837"/>
      <c r="F1513" s="817"/>
      <c r="G1513" s="818"/>
      <c r="H1513" s="819"/>
      <c r="I1513" s="820"/>
      <c r="J1513" s="815"/>
      <c r="K1513" s="514"/>
      <c r="L1513" s="437"/>
      <c r="M1513" s="437"/>
      <c r="N1513" s="437"/>
    </row>
    <row r="1514">
      <c r="A1514" s="814"/>
      <c r="B1514" s="814"/>
      <c r="C1514" s="814"/>
      <c r="D1514" s="815"/>
      <c r="E1514" s="837"/>
      <c r="F1514" s="817"/>
      <c r="G1514" s="818"/>
      <c r="H1514" s="819"/>
      <c r="I1514" s="820"/>
      <c r="J1514" s="815"/>
      <c r="K1514" s="514"/>
      <c r="L1514" s="437"/>
      <c r="M1514" s="437"/>
      <c r="N1514" s="437"/>
    </row>
    <row r="1515">
      <c r="A1515" s="814"/>
      <c r="B1515" s="814"/>
      <c r="C1515" s="814"/>
      <c r="D1515" s="815"/>
      <c r="E1515" s="837"/>
      <c r="F1515" s="817"/>
      <c r="G1515" s="818"/>
      <c r="H1515" s="819"/>
      <c r="I1515" s="820"/>
      <c r="J1515" s="815"/>
      <c r="K1515" s="514"/>
      <c r="L1515" s="437"/>
      <c r="M1515" s="437"/>
      <c r="N1515" s="437"/>
    </row>
    <row r="1516">
      <c r="A1516" s="814"/>
      <c r="B1516" s="814"/>
      <c r="C1516" s="814"/>
      <c r="D1516" s="815"/>
      <c r="E1516" s="837"/>
      <c r="F1516" s="817"/>
      <c r="G1516" s="818"/>
      <c r="H1516" s="819"/>
      <c r="I1516" s="820"/>
      <c r="J1516" s="815"/>
      <c r="K1516" s="514"/>
      <c r="L1516" s="437"/>
      <c r="M1516" s="437"/>
      <c r="N1516" s="437"/>
    </row>
    <row r="1517">
      <c r="A1517" s="814"/>
      <c r="B1517" s="814"/>
      <c r="C1517" s="814"/>
      <c r="D1517" s="815"/>
      <c r="E1517" s="837"/>
      <c r="F1517" s="817"/>
      <c r="G1517" s="818"/>
      <c r="H1517" s="819"/>
      <c r="I1517" s="820"/>
      <c r="J1517" s="815"/>
      <c r="K1517" s="514"/>
      <c r="L1517" s="437"/>
      <c r="M1517" s="437"/>
      <c r="N1517" s="437"/>
    </row>
    <row r="1518">
      <c r="A1518" s="814"/>
      <c r="B1518" s="814"/>
      <c r="C1518" s="814"/>
      <c r="D1518" s="815"/>
      <c r="E1518" s="837"/>
      <c r="F1518" s="817"/>
      <c r="G1518" s="818"/>
      <c r="H1518" s="819"/>
      <c r="I1518" s="820"/>
      <c r="J1518" s="815"/>
      <c r="K1518" s="514"/>
      <c r="L1518" s="437"/>
      <c r="M1518" s="437"/>
      <c r="N1518" s="437"/>
    </row>
    <row r="1519">
      <c r="A1519" s="814"/>
      <c r="B1519" s="814"/>
      <c r="C1519" s="814"/>
      <c r="D1519" s="815"/>
      <c r="E1519" s="837"/>
      <c r="F1519" s="817"/>
      <c r="G1519" s="818"/>
      <c r="H1519" s="819"/>
      <c r="I1519" s="820"/>
      <c r="J1519" s="815"/>
      <c r="K1519" s="514"/>
      <c r="L1519" s="437"/>
      <c r="M1519" s="437"/>
      <c r="N1519" s="437"/>
    </row>
    <row r="1520">
      <c r="A1520" s="814"/>
      <c r="B1520" s="814"/>
      <c r="C1520" s="814"/>
      <c r="D1520" s="815"/>
      <c r="E1520" s="837"/>
      <c r="F1520" s="817"/>
      <c r="G1520" s="818"/>
      <c r="H1520" s="819"/>
      <c r="I1520" s="820"/>
      <c r="J1520" s="815"/>
      <c r="K1520" s="514"/>
      <c r="L1520" s="437"/>
      <c r="M1520" s="437"/>
      <c r="N1520" s="437"/>
    </row>
    <row r="1521">
      <c r="A1521" s="814"/>
      <c r="B1521" s="814"/>
      <c r="C1521" s="814"/>
      <c r="D1521" s="815"/>
      <c r="E1521" s="837"/>
      <c r="F1521" s="817"/>
      <c r="G1521" s="818"/>
      <c r="H1521" s="819"/>
      <c r="I1521" s="820"/>
      <c r="J1521" s="815"/>
      <c r="K1521" s="514"/>
      <c r="L1521" s="437"/>
      <c r="M1521" s="437"/>
      <c r="N1521" s="437"/>
    </row>
    <row r="1522">
      <c r="A1522" s="814"/>
      <c r="B1522" s="814"/>
      <c r="C1522" s="814"/>
      <c r="D1522" s="815"/>
      <c r="E1522" s="837"/>
      <c r="F1522" s="817"/>
      <c r="G1522" s="818"/>
      <c r="H1522" s="819"/>
      <c r="I1522" s="820"/>
      <c r="J1522" s="815"/>
      <c r="K1522" s="514"/>
      <c r="L1522" s="437"/>
      <c r="M1522" s="437"/>
      <c r="N1522" s="437"/>
    </row>
    <row r="1523">
      <c r="A1523" s="814"/>
      <c r="B1523" s="814"/>
      <c r="C1523" s="814"/>
      <c r="D1523" s="815"/>
      <c r="E1523" s="837"/>
      <c r="F1523" s="817"/>
      <c r="G1523" s="818"/>
      <c r="H1523" s="819"/>
      <c r="I1523" s="820"/>
      <c r="J1523" s="815"/>
      <c r="K1523" s="514"/>
      <c r="L1523" s="437"/>
      <c r="M1523" s="437"/>
      <c r="N1523" s="437"/>
    </row>
    <row r="1524">
      <c r="A1524" s="814"/>
      <c r="B1524" s="814"/>
      <c r="C1524" s="814"/>
      <c r="D1524" s="815"/>
      <c r="E1524" s="837"/>
      <c r="F1524" s="817"/>
      <c r="G1524" s="818"/>
      <c r="H1524" s="819"/>
      <c r="I1524" s="820"/>
      <c r="J1524" s="815"/>
      <c r="K1524" s="514"/>
      <c r="L1524" s="437"/>
      <c r="M1524" s="437"/>
      <c r="N1524" s="437"/>
    </row>
    <row r="1525">
      <c r="A1525" s="814"/>
      <c r="B1525" s="814"/>
      <c r="C1525" s="814"/>
      <c r="D1525" s="815"/>
      <c r="E1525" s="837"/>
      <c r="F1525" s="817"/>
      <c r="G1525" s="818"/>
      <c r="H1525" s="819"/>
      <c r="I1525" s="820"/>
      <c r="J1525" s="815"/>
      <c r="K1525" s="514"/>
      <c r="L1525" s="437"/>
      <c r="M1525" s="437"/>
      <c r="N1525" s="437"/>
    </row>
    <row r="1526">
      <c r="A1526" s="814"/>
      <c r="B1526" s="814"/>
      <c r="C1526" s="814"/>
      <c r="D1526" s="815"/>
      <c r="E1526" s="837"/>
      <c r="F1526" s="817"/>
      <c r="G1526" s="818"/>
      <c r="H1526" s="819"/>
      <c r="I1526" s="820"/>
      <c r="J1526" s="815"/>
      <c r="K1526" s="514"/>
      <c r="L1526" s="437"/>
      <c r="M1526" s="437"/>
      <c r="N1526" s="437"/>
    </row>
    <row r="1527">
      <c r="A1527" s="814"/>
      <c r="B1527" s="814"/>
      <c r="C1527" s="814"/>
      <c r="D1527" s="815"/>
      <c r="E1527" s="837"/>
      <c r="F1527" s="817"/>
      <c r="G1527" s="818"/>
      <c r="H1527" s="819"/>
      <c r="I1527" s="820"/>
      <c r="J1527" s="815"/>
      <c r="K1527" s="514"/>
      <c r="L1527" s="437"/>
      <c r="M1527" s="437"/>
      <c r="N1527" s="437"/>
    </row>
    <row r="1528">
      <c r="A1528" s="814"/>
      <c r="B1528" s="814"/>
      <c r="C1528" s="814"/>
      <c r="D1528" s="815"/>
      <c r="E1528" s="837"/>
      <c r="F1528" s="817"/>
      <c r="G1528" s="818"/>
      <c r="H1528" s="819"/>
      <c r="I1528" s="820"/>
      <c r="J1528" s="815"/>
      <c r="K1528" s="514"/>
      <c r="L1528" s="437"/>
      <c r="M1528" s="437"/>
      <c r="N1528" s="437"/>
    </row>
    <row r="1529">
      <c r="A1529" s="814"/>
      <c r="B1529" s="814"/>
      <c r="C1529" s="814"/>
      <c r="D1529" s="815"/>
      <c r="E1529" s="837"/>
      <c r="F1529" s="817"/>
      <c r="G1529" s="818"/>
      <c r="H1529" s="819"/>
      <c r="I1529" s="820"/>
      <c r="J1529" s="815"/>
      <c r="K1529" s="514"/>
      <c r="L1529" s="437"/>
      <c r="M1529" s="437"/>
      <c r="N1529" s="437"/>
    </row>
    <row r="1530">
      <c r="A1530" s="814"/>
      <c r="B1530" s="814"/>
      <c r="C1530" s="814"/>
      <c r="D1530" s="815"/>
      <c r="E1530" s="837"/>
      <c r="F1530" s="817"/>
      <c r="G1530" s="818"/>
      <c r="H1530" s="819"/>
      <c r="I1530" s="820"/>
      <c r="J1530" s="815"/>
      <c r="K1530" s="514"/>
      <c r="L1530" s="437"/>
      <c r="M1530" s="437"/>
      <c r="N1530" s="437"/>
    </row>
    <row r="1531">
      <c r="A1531" s="814"/>
      <c r="B1531" s="814"/>
      <c r="C1531" s="814"/>
      <c r="D1531" s="815"/>
      <c r="E1531" s="837"/>
      <c r="F1531" s="817"/>
      <c r="G1531" s="818"/>
      <c r="H1531" s="819"/>
      <c r="I1531" s="820"/>
      <c r="J1531" s="815"/>
      <c r="K1531" s="514"/>
      <c r="L1531" s="437"/>
      <c r="M1531" s="437"/>
      <c r="N1531" s="437"/>
    </row>
    <row r="1532">
      <c r="A1532" s="814"/>
      <c r="B1532" s="814"/>
      <c r="C1532" s="814"/>
      <c r="D1532" s="815"/>
      <c r="E1532" s="837"/>
      <c r="F1532" s="817"/>
      <c r="G1532" s="818"/>
      <c r="H1532" s="819"/>
      <c r="I1532" s="820"/>
      <c r="J1532" s="815"/>
      <c r="K1532" s="514"/>
      <c r="L1532" s="437"/>
      <c r="M1532" s="437"/>
      <c r="N1532" s="437"/>
    </row>
    <row r="1533">
      <c r="A1533" s="814"/>
      <c r="B1533" s="814"/>
      <c r="C1533" s="814"/>
      <c r="D1533" s="815"/>
      <c r="E1533" s="837"/>
      <c r="F1533" s="817"/>
      <c r="G1533" s="818"/>
      <c r="H1533" s="819"/>
      <c r="I1533" s="820"/>
      <c r="J1533" s="815"/>
      <c r="K1533" s="514"/>
      <c r="L1533" s="437"/>
      <c r="M1533" s="437"/>
      <c r="N1533" s="437"/>
    </row>
    <row r="1534">
      <c r="A1534" s="814"/>
      <c r="B1534" s="814"/>
      <c r="C1534" s="814"/>
      <c r="D1534" s="815"/>
      <c r="E1534" s="837"/>
      <c r="F1534" s="817"/>
      <c r="G1534" s="818"/>
      <c r="H1534" s="819"/>
      <c r="I1534" s="820"/>
      <c r="J1534" s="815"/>
      <c r="K1534" s="514"/>
      <c r="L1534" s="437"/>
      <c r="M1534" s="437"/>
      <c r="N1534" s="437"/>
    </row>
    <row r="1535">
      <c r="A1535" s="814"/>
      <c r="B1535" s="814"/>
      <c r="C1535" s="814"/>
      <c r="D1535" s="815"/>
      <c r="E1535" s="837"/>
      <c r="F1535" s="817"/>
      <c r="G1535" s="818"/>
      <c r="H1535" s="819"/>
      <c r="I1535" s="820"/>
      <c r="J1535" s="815"/>
      <c r="K1535" s="514"/>
      <c r="L1535" s="437"/>
      <c r="M1535" s="437"/>
      <c r="N1535" s="437"/>
    </row>
    <row r="1536">
      <c r="A1536" s="814"/>
      <c r="B1536" s="814"/>
      <c r="C1536" s="814"/>
      <c r="D1536" s="815"/>
      <c r="E1536" s="837"/>
      <c r="F1536" s="817"/>
      <c r="G1536" s="818"/>
      <c r="H1536" s="819"/>
      <c r="I1536" s="820"/>
      <c r="J1536" s="815"/>
      <c r="K1536" s="514"/>
      <c r="L1536" s="437"/>
      <c r="M1536" s="437"/>
      <c r="N1536" s="437"/>
    </row>
    <row r="1537">
      <c r="A1537" s="814"/>
      <c r="B1537" s="814"/>
      <c r="C1537" s="814"/>
      <c r="D1537" s="815"/>
      <c r="E1537" s="837"/>
      <c r="F1537" s="817"/>
      <c r="G1537" s="818"/>
      <c r="H1537" s="819"/>
      <c r="I1537" s="820"/>
      <c r="J1537" s="815"/>
      <c r="K1537" s="514"/>
      <c r="L1537" s="437"/>
      <c r="M1537" s="437"/>
      <c r="N1537" s="437"/>
    </row>
    <row r="1538">
      <c r="A1538" s="814"/>
      <c r="B1538" s="814"/>
      <c r="C1538" s="814"/>
      <c r="D1538" s="815"/>
      <c r="E1538" s="837"/>
      <c r="F1538" s="817"/>
      <c r="G1538" s="818"/>
      <c r="H1538" s="819"/>
      <c r="I1538" s="820"/>
      <c r="J1538" s="815"/>
      <c r="K1538" s="514"/>
      <c r="L1538" s="437"/>
      <c r="M1538" s="437"/>
      <c r="N1538" s="437"/>
    </row>
    <row r="1539">
      <c r="A1539" s="814"/>
      <c r="B1539" s="814"/>
      <c r="C1539" s="814"/>
      <c r="D1539" s="815"/>
      <c r="E1539" s="837"/>
      <c r="F1539" s="817"/>
      <c r="G1539" s="818"/>
      <c r="H1539" s="819"/>
      <c r="I1539" s="820"/>
      <c r="J1539" s="815"/>
      <c r="K1539" s="514"/>
      <c r="L1539" s="437"/>
      <c r="M1539" s="437"/>
      <c r="N1539" s="437"/>
    </row>
    <row r="1540">
      <c r="A1540" s="814"/>
      <c r="B1540" s="814"/>
      <c r="C1540" s="814"/>
      <c r="D1540" s="815"/>
      <c r="E1540" s="837"/>
      <c r="F1540" s="817"/>
      <c r="G1540" s="818"/>
      <c r="H1540" s="819"/>
      <c r="I1540" s="820"/>
      <c r="J1540" s="815"/>
      <c r="K1540" s="514"/>
      <c r="L1540" s="437"/>
      <c r="M1540" s="437"/>
      <c r="N1540" s="437"/>
    </row>
    <row r="1541">
      <c r="A1541" s="814"/>
      <c r="B1541" s="814"/>
      <c r="C1541" s="814"/>
      <c r="D1541" s="815"/>
      <c r="E1541" s="837"/>
      <c r="F1541" s="817"/>
      <c r="G1541" s="818"/>
      <c r="H1541" s="819"/>
      <c r="I1541" s="820"/>
      <c r="J1541" s="815"/>
      <c r="K1541" s="514"/>
      <c r="L1541" s="437"/>
      <c r="M1541" s="437"/>
      <c r="N1541" s="437"/>
    </row>
    <row r="1542">
      <c r="A1542" s="814"/>
      <c r="B1542" s="814"/>
      <c r="C1542" s="814"/>
      <c r="D1542" s="815"/>
      <c r="E1542" s="837"/>
      <c r="F1542" s="817"/>
      <c r="G1542" s="818"/>
      <c r="H1542" s="819"/>
      <c r="I1542" s="820"/>
      <c r="J1542" s="815"/>
      <c r="K1542" s="514"/>
      <c r="L1542" s="437"/>
      <c r="M1542" s="437"/>
      <c r="N1542" s="437"/>
    </row>
    <row r="1543">
      <c r="A1543" s="814"/>
      <c r="B1543" s="814"/>
      <c r="C1543" s="814"/>
      <c r="D1543" s="815"/>
      <c r="E1543" s="837"/>
      <c r="F1543" s="817"/>
      <c r="G1543" s="818"/>
      <c r="H1543" s="819"/>
      <c r="I1543" s="820"/>
      <c r="J1543" s="815"/>
      <c r="K1543" s="514"/>
      <c r="L1543" s="437"/>
      <c r="M1543" s="437"/>
      <c r="N1543" s="437"/>
    </row>
    <row r="1544">
      <c r="A1544" s="814"/>
      <c r="B1544" s="814"/>
      <c r="C1544" s="814"/>
      <c r="D1544" s="815"/>
      <c r="E1544" s="837"/>
      <c r="F1544" s="817"/>
      <c r="G1544" s="818"/>
      <c r="H1544" s="819"/>
      <c r="I1544" s="820"/>
      <c r="J1544" s="815"/>
      <c r="K1544" s="514"/>
      <c r="L1544" s="437"/>
      <c r="M1544" s="437"/>
      <c r="N1544" s="437"/>
    </row>
    <row r="1545">
      <c r="A1545" s="814"/>
      <c r="B1545" s="814"/>
      <c r="C1545" s="814"/>
      <c r="D1545" s="815"/>
      <c r="E1545" s="837"/>
      <c r="F1545" s="817"/>
      <c r="G1545" s="818"/>
      <c r="H1545" s="819"/>
      <c r="I1545" s="820"/>
      <c r="J1545" s="815"/>
      <c r="K1545" s="514"/>
      <c r="L1545" s="437"/>
      <c r="M1545" s="437"/>
      <c r="N1545" s="437"/>
    </row>
    <row r="1546">
      <c r="A1546" s="814"/>
      <c r="B1546" s="814"/>
      <c r="C1546" s="814"/>
      <c r="D1546" s="815"/>
      <c r="E1546" s="837"/>
      <c r="F1546" s="817"/>
      <c r="G1546" s="818"/>
      <c r="H1546" s="819"/>
      <c r="I1546" s="820"/>
      <c r="J1546" s="815"/>
      <c r="K1546" s="514"/>
      <c r="L1546" s="437"/>
      <c r="M1546" s="437"/>
      <c r="N1546" s="437"/>
    </row>
    <row r="1547">
      <c r="A1547" s="814"/>
      <c r="B1547" s="814"/>
      <c r="C1547" s="814"/>
      <c r="D1547" s="815"/>
      <c r="E1547" s="837"/>
      <c r="F1547" s="817"/>
      <c r="G1547" s="818"/>
      <c r="H1547" s="819"/>
      <c r="I1547" s="820"/>
      <c r="J1547" s="815"/>
      <c r="K1547" s="514"/>
      <c r="L1547" s="437"/>
      <c r="M1547" s="437"/>
      <c r="N1547" s="437"/>
    </row>
    <row r="1548">
      <c r="A1548" s="814"/>
      <c r="B1548" s="814"/>
      <c r="C1548" s="814"/>
      <c r="D1548" s="815"/>
      <c r="E1548" s="837"/>
      <c r="F1548" s="817"/>
      <c r="G1548" s="818"/>
      <c r="H1548" s="819"/>
      <c r="I1548" s="820"/>
      <c r="J1548" s="815"/>
      <c r="K1548" s="514"/>
      <c r="L1548" s="437"/>
      <c r="M1548" s="437"/>
      <c r="N1548" s="437"/>
    </row>
    <row r="1549">
      <c r="A1549" s="814"/>
      <c r="B1549" s="814"/>
      <c r="C1549" s="814"/>
      <c r="D1549" s="815"/>
      <c r="E1549" s="837"/>
      <c r="F1549" s="817"/>
      <c r="G1549" s="818"/>
      <c r="H1549" s="819"/>
      <c r="I1549" s="820"/>
      <c r="J1549" s="815"/>
      <c r="K1549" s="514"/>
      <c r="L1549" s="437"/>
      <c r="M1549" s="437"/>
      <c r="N1549" s="437"/>
    </row>
    <row r="1550">
      <c r="A1550" s="814"/>
      <c r="B1550" s="814"/>
      <c r="C1550" s="814"/>
      <c r="D1550" s="815"/>
      <c r="E1550" s="837"/>
      <c r="F1550" s="817"/>
      <c r="G1550" s="818"/>
      <c r="H1550" s="819"/>
      <c r="I1550" s="820"/>
      <c r="J1550" s="815"/>
      <c r="K1550" s="514"/>
      <c r="L1550" s="437"/>
      <c r="M1550" s="437"/>
      <c r="N1550" s="437"/>
    </row>
    <row r="1551">
      <c r="A1551" s="814"/>
      <c r="B1551" s="814"/>
      <c r="C1551" s="814"/>
      <c r="D1551" s="815"/>
      <c r="E1551" s="837"/>
      <c r="F1551" s="817"/>
      <c r="G1551" s="818"/>
      <c r="H1551" s="819"/>
      <c r="I1551" s="820"/>
      <c r="J1551" s="815"/>
      <c r="K1551" s="514"/>
      <c r="L1551" s="437"/>
      <c r="M1551" s="437"/>
      <c r="N1551" s="437"/>
    </row>
    <row r="1552">
      <c r="A1552" s="814"/>
      <c r="B1552" s="814"/>
      <c r="C1552" s="814"/>
      <c r="D1552" s="815"/>
      <c r="E1552" s="837"/>
      <c r="F1552" s="817"/>
      <c r="G1552" s="818"/>
      <c r="H1552" s="819"/>
      <c r="I1552" s="820"/>
      <c r="J1552" s="815"/>
      <c r="K1552" s="514"/>
      <c r="L1552" s="437"/>
      <c r="M1552" s="437"/>
      <c r="N1552" s="437"/>
    </row>
    <row r="1553">
      <c r="A1553" s="814"/>
      <c r="B1553" s="814"/>
      <c r="C1553" s="814"/>
      <c r="D1553" s="815"/>
      <c r="E1553" s="837"/>
      <c r="F1553" s="817"/>
      <c r="G1553" s="818"/>
      <c r="H1553" s="819"/>
      <c r="I1553" s="820"/>
      <c r="J1553" s="815"/>
      <c r="K1553" s="514"/>
      <c r="L1553" s="437"/>
      <c r="M1553" s="437"/>
      <c r="N1553" s="437"/>
    </row>
    <row r="1554">
      <c r="A1554" s="814"/>
      <c r="B1554" s="814"/>
      <c r="C1554" s="814"/>
      <c r="D1554" s="815"/>
      <c r="E1554" s="837"/>
      <c r="F1554" s="817"/>
      <c r="G1554" s="818"/>
      <c r="H1554" s="819"/>
      <c r="I1554" s="820"/>
      <c r="J1554" s="815"/>
      <c r="K1554" s="514"/>
      <c r="L1554" s="437"/>
      <c r="M1554" s="437"/>
      <c r="N1554" s="437"/>
    </row>
    <row r="1555">
      <c r="A1555" s="814"/>
      <c r="B1555" s="814"/>
      <c r="C1555" s="814"/>
      <c r="D1555" s="815"/>
      <c r="E1555" s="837"/>
      <c r="F1555" s="817"/>
      <c r="G1555" s="818"/>
      <c r="H1555" s="819"/>
      <c r="I1555" s="820"/>
      <c r="J1555" s="815"/>
      <c r="K1555" s="514"/>
      <c r="L1555" s="437"/>
      <c r="M1555" s="437"/>
      <c r="N1555" s="437"/>
    </row>
    <row r="1556">
      <c r="A1556" s="814"/>
      <c r="B1556" s="814"/>
      <c r="C1556" s="814"/>
      <c r="D1556" s="815"/>
      <c r="E1556" s="837"/>
      <c r="F1556" s="817"/>
      <c r="G1556" s="818"/>
      <c r="H1556" s="819"/>
      <c r="I1556" s="820"/>
      <c r="J1556" s="815"/>
      <c r="K1556" s="514"/>
      <c r="L1556" s="437"/>
      <c r="M1556" s="437"/>
      <c r="N1556" s="437"/>
    </row>
    <row r="1557">
      <c r="A1557" s="814"/>
      <c r="B1557" s="814"/>
      <c r="C1557" s="814"/>
      <c r="D1557" s="815"/>
      <c r="E1557" s="837"/>
      <c r="F1557" s="817"/>
      <c r="G1557" s="818"/>
      <c r="H1557" s="819"/>
      <c r="I1557" s="820"/>
      <c r="J1557" s="815"/>
      <c r="K1557" s="514"/>
      <c r="L1557" s="437"/>
      <c r="M1557" s="437"/>
      <c r="N1557" s="437"/>
    </row>
    <row r="1558">
      <c r="A1558" s="814"/>
      <c r="B1558" s="814"/>
      <c r="C1558" s="814"/>
      <c r="D1558" s="815"/>
      <c r="E1558" s="837"/>
      <c r="F1558" s="817"/>
      <c r="G1558" s="818"/>
      <c r="H1558" s="819"/>
      <c r="I1558" s="820"/>
      <c r="J1558" s="815"/>
      <c r="K1558" s="514"/>
      <c r="L1558" s="437"/>
      <c r="M1558" s="437"/>
      <c r="N1558" s="437"/>
    </row>
    <row r="1559">
      <c r="A1559" s="814"/>
      <c r="B1559" s="814"/>
      <c r="C1559" s="814"/>
      <c r="D1559" s="815"/>
      <c r="E1559" s="837"/>
      <c r="F1559" s="817"/>
      <c r="G1559" s="818"/>
      <c r="H1559" s="819"/>
      <c r="I1559" s="820"/>
      <c r="J1559" s="815"/>
      <c r="K1559" s="514"/>
      <c r="L1559" s="437"/>
      <c r="M1559" s="437"/>
      <c r="N1559" s="437"/>
    </row>
    <row r="1560">
      <c r="A1560" s="814"/>
      <c r="B1560" s="814"/>
      <c r="C1560" s="814"/>
      <c r="D1560" s="815"/>
      <c r="E1560" s="837"/>
      <c r="F1560" s="817"/>
      <c r="G1560" s="818"/>
      <c r="H1560" s="819"/>
      <c r="I1560" s="820"/>
      <c r="J1560" s="815"/>
      <c r="K1560" s="514"/>
      <c r="L1560" s="437"/>
      <c r="M1560" s="437"/>
      <c r="N1560" s="437"/>
    </row>
    <row r="1561">
      <c r="A1561" s="814"/>
      <c r="B1561" s="814"/>
      <c r="C1561" s="814"/>
      <c r="D1561" s="815"/>
      <c r="E1561" s="837"/>
      <c r="F1561" s="817"/>
      <c r="G1561" s="818"/>
      <c r="H1561" s="819"/>
      <c r="I1561" s="820"/>
      <c r="J1561" s="815"/>
      <c r="K1561" s="514"/>
      <c r="L1561" s="437"/>
      <c r="M1561" s="437"/>
      <c r="N1561" s="437"/>
    </row>
    <row r="1562">
      <c r="A1562" s="814"/>
      <c r="B1562" s="814"/>
      <c r="C1562" s="814"/>
      <c r="D1562" s="815"/>
      <c r="E1562" s="837"/>
      <c r="F1562" s="817"/>
      <c r="G1562" s="818"/>
      <c r="H1562" s="819"/>
      <c r="I1562" s="820"/>
      <c r="J1562" s="815"/>
      <c r="K1562" s="514"/>
      <c r="L1562" s="437"/>
      <c r="M1562" s="437"/>
      <c r="N1562" s="437"/>
    </row>
    <row r="1563">
      <c r="A1563" s="814"/>
      <c r="B1563" s="814"/>
      <c r="C1563" s="814"/>
      <c r="D1563" s="815"/>
      <c r="E1563" s="837"/>
      <c r="F1563" s="817"/>
      <c r="G1563" s="818"/>
      <c r="H1563" s="819"/>
      <c r="I1563" s="820"/>
      <c r="J1563" s="815"/>
      <c r="K1563" s="514"/>
      <c r="L1563" s="437"/>
      <c r="M1563" s="437"/>
      <c r="N1563" s="437"/>
    </row>
    <row r="1564">
      <c r="A1564" s="814"/>
      <c r="B1564" s="814"/>
      <c r="C1564" s="814"/>
      <c r="D1564" s="815"/>
      <c r="E1564" s="837"/>
      <c r="F1564" s="817"/>
      <c r="G1564" s="818"/>
      <c r="H1564" s="819"/>
      <c r="I1564" s="820"/>
      <c r="J1564" s="815"/>
      <c r="K1564" s="514"/>
      <c r="L1564" s="437"/>
      <c r="M1564" s="437"/>
      <c r="N1564" s="437"/>
    </row>
    <row r="1565">
      <c r="A1565" s="814"/>
      <c r="B1565" s="814"/>
      <c r="C1565" s="814"/>
      <c r="D1565" s="815"/>
      <c r="E1565" s="837"/>
      <c r="F1565" s="817"/>
      <c r="G1565" s="818"/>
      <c r="H1565" s="819"/>
      <c r="I1565" s="820"/>
      <c r="J1565" s="815"/>
      <c r="K1565" s="514"/>
      <c r="L1565" s="437"/>
      <c r="M1565" s="437"/>
      <c r="N1565" s="437"/>
    </row>
    <row r="1566">
      <c r="A1566" s="814"/>
      <c r="B1566" s="814"/>
      <c r="C1566" s="814"/>
      <c r="D1566" s="815"/>
      <c r="E1566" s="837"/>
      <c r="F1566" s="817"/>
      <c r="G1566" s="818"/>
      <c r="H1566" s="819"/>
      <c r="I1566" s="820"/>
      <c r="J1566" s="815"/>
      <c r="K1566" s="514"/>
      <c r="L1566" s="437"/>
      <c r="M1566" s="437"/>
      <c r="N1566" s="437"/>
    </row>
    <row r="1567">
      <c r="A1567" s="814"/>
      <c r="B1567" s="814"/>
      <c r="C1567" s="814"/>
      <c r="D1567" s="815"/>
      <c r="E1567" s="837"/>
      <c r="F1567" s="817"/>
      <c r="G1567" s="818"/>
      <c r="H1567" s="819"/>
      <c r="I1567" s="820"/>
      <c r="J1567" s="815"/>
      <c r="K1567" s="514"/>
      <c r="L1567" s="437"/>
      <c r="M1567" s="437"/>
      <c r="N1567" s="437"/>
    </row>
    <row r="1568">
      <c r="A1568" s="814"/>
      <c r="B1568" s="814"/>
      <c r="C1568" s="814"/>
      <c r="D1568" s="815"/>
      <c r="E1568" s="837"/>
      <c r="F1568" s="817"/>
      <c r="G1568" s="818"/>
      <c r="H1568" s="819"/>
      <c r="I1568" s="820"/>
      <c r="J1568" s="815"/>
      <c r="K1568" s="514"/>
      <c r="L1568" s="437"/>
      <c r="M1568" s="437"/>
      <c r="N1568" s="437"/>
    </row>
    <row r="1569">
      <c r="A1569" s="814"/>
      <c r="B1569" s="814"/>
      <c r="C1569" s="814"/>
      <c r="D1569" s="815"/>
      <c r="E1569" s="837"/>
      <c r="F1569" s="817"/>
      <c r="G1569" s="818"/>
      <c r="H1569" s="819"/>
      <c r="I1569" s="820"/>
      <c r="J1569" s="815"/>
      <c r="K1569" s="514"/>
      <c r="L1569" s="437"/>
      <c r="M1569" s="437"/>
      <c r="N1569" s="437"/>
    </row>
    <row r="1570">
      <c r="A1570" s="814"/>
      <c r="B1570" s="814"/>
      <c r="C1570" s="814"/>
      <c r="D1570" s="815"/>
      <c r="E1570" s="837"/>
      <c r="F1570" s="817"/>
      <c r="G1570" s="818"/>
      <c r="H1570" s="819"/>
      <c r="I1570" s="820"/>
      <c r="J1570" s="815"/>
      <c r="K1570" s="514"/>
      <c r="L1570" s="437"/>
      <c r="M1570" s="437"/>
      <c r="N1570" s="437"/>
    </row>
    <row r="1571">
      <c r="A1571" s="814"/>
      <c r="B1571" s="814"/>
      <c r="C1571" s="814"/>
      <c r="D1571" s="815"/>
      <c r="E1571" s="837"/>
      <c r="F1571" s="817"/>
      <c r="G1571" s="818"/>
      <c r="H1571" s="819"/>
      <c r="I1571" s="820"/>
      <c r="J1571" s="815"/>
      <c r="K1571" s="514"/>
      <c r="L1571" s="437"/>
      <c r="M1571" s="437"/>
      <c r="N1571" s="437"/>
    </row>
    <row r="1572">
      <c r="A1572" s="814"/>
      <c r="B1572" s="814"/>
      <c r="C1572" s="814"/>
      <c r="D1572" s="815"/>
      <c r="E1572" s="837"/>
      <c r="F1572" s="817"/>
      <c r="G1572" s="818"/>
      <c r="H1572" s="819"/>
      <c r="I1572" s="820"/>
      <c r="J1572" s="815"/>
      <c r="K1572" s="514"/>
      <c r="L1572" s="437"/>
      <c r="M1572" s="437"/>
      <c r="N1572" s="437"/>
    </row>
    <row r="1573">
      <c r="A1573" s="814"/>
      <c r="B1573" s="814"/>
      <c r="C1573" s="814"/>
      <c r="D1573" s="815"/>
      <c r="E1573" s="837"/>
      <c r="F1573" s="817"/>
      <c r="G1573" s="818"/>
      <c r="H1573" s="819"/>
      <c r="I1573" s="820"/>
      <c r="J1573" s="815"/>
      <c r="K1573" s="514"/>
      <c r="L1573" s="437"/>
      <c r="M1573" s="437"/>
      <c r="N1573" s="437"/>
    </row>
    <row r="1574">
      <c r="A1574" s="814"/>
      <c r="B1574" s="814"/>
      <c r="C1574" s="814"/>
      <c r="D1574" s="815"/>
      <c r="E1574" s="837"/>
      <c r="F1574" s="817"/>
      <c r="G1574" s="818"/>
      <c r="H1574" s="819"/>
      <c r="I1574" s="820"/>
      <c r="J1574" s="815"/>
      <c r="K1574" s="514"/>
      <c r="L1574" s="437"/>
      <c r="M1574" s="437"/>
      <c r="N1574" s="437"/>
    </row>
    <row r="1575">
      <c r="A1575" s="814"/>
      <c r="B1575" s="814"/>
      <c r="C1575" s="814"/>
      <c r="D1575" s="815"/>
      <c r="E1575" s="837"/>
      <c r="F1575" s="817"/>
      <c r="G1575" s="818"/>
      <c r="H1575" s="819"/>
      <c r="I1575" s="820"/>
      <c r="J1575" s="815"/>
      <c r="K1575" s="514"/>
      <c r="L1575" s="437"/>
      <c r="M1575" s="437"/>
      <c r="N1575" s="437"/>
    </row>
    <row r="1576">
      <c r="A1576" s="814"/>
      <c r="B1576" s="814"/>
      <c r="C1576" s="814"/>
      <c r="D1576" s="815"/>
      <c r="E1576" s="837"/>
      <c r="F1576" s="817"/>
      <c r="G1576" s="818"/>
      <c r="H1576" s="819"/>
      <c r="I1576" s="820"/>
      <c r="J1576" s="815"/>
      <c r="K1576" s="514"/>
      <c r="L1576" s="437"/>
      <c r="M1576" s="437"/>
      <c r="N1576" s="437"/>
    </row>
    <row r="1577">
      <c r="A1577" s="814"/>
      <c r="B1577" s="814"/>
      <c r="C1577" s="814"/>
      <c r="D1577" s="815"/>
      <c r="E1577" s="837"/>
      <c r="F1577" s="817"/>
      <c r="G1577" s="818"/>
      <c r="H1577" s="819"/>
      <c r="I1577" s="820"/>
      <c r="J1577" s="815"/>
      <c r="K1577" s="514"/>
      <c r="L1577" s="437"/>
      <c r="M1577" s="437"/>
      <c r="N1577" s="437"/>
    </row>
    <row r="1578">
      <c r="A1578" s="814"/>
      <c r="B1578" s="814"/>
      <c r="C1578" s="814"/>
      <c r="D1578" s="815"/>
      <c r="E1578" s="837"/>
      <c r="F1578" s="817"/>
      <c r="G1578" s="818"/>
      <c r="H1578" s="819"/>
      <c r="I1578" s="820"/>
      <c r="J1578" s="815"/>
      <c r="K1578" s="514"/>
      <c r="L1578" s="437"/>
      <c r="M1578" s="437"/>
      <c r="N1578" s="437"/>
    </row>
    <row r="1579">
      <c r="A1579" s="814"/>
      <c r="B1579" s="814"/>
      <c r="C1579" s="814"/>
      <c r="D1579" s="815"/>
      <c r="E1579" s="837"/>
      <c r="F1579" s="817"/>
      <c r="G1579" s="818"/>
      <c r="H1579" s="819"/>
      <c r="I1579" s="820"/>
      <c r="J1579" s="815"/>
      <c r="K1579" s="514"/>
      <c r="L1579" s="437"/>
      <c r="M1579" s="437"/>
      <c r="N1579" s="437"/>
    </row>
    <row r="1580">
      <c r="A1580" s="814"/>
      <c r="B1580" s="814"/>
      <c r="C1580" s="814"/>
      <c r="D1580" s="815"/>
      <c r="E1580" s="837"/>
      <c r="F1580" s="817"/>
      <c r="G1580" s="818"/>
      <c r="H1580" s="819"/>
      <c r="I1580" s="820"/>
      <c r="J1580" s="815"/>
      <c r="K1580" s="514"/>
      <c r="L1580" s="437"/>
      <c r="M1580" s="437"/>
      <c r="N1580" s="437"/>
    </row>
    <row r="1581">
      <c r="A1581" s="814"/>
      <c r="B1581" s="814"/>
      <c r="C1581" s="814"/>
      <c r="D1581" s="815"/>
      <c r="E1581" s="837"/>
      <c r="F1581" s="817"/>
      <c r="G1581" s="818"/>
      <c r="H1581" s="819"/>
      <c r="I1581" s="820"/>
      <c r="J1581" s="815"/>
      <c r="K1581" s="514"/>
      <c r="L1581" s="437"/>
      <c r="M1581" s="437"/>
      <c r="N1581" s="437"/>
    </row>
    <row r="1582">
      <c r="A1582" s="814"/>
      <c r="B1582" s="814"/>
      <c r="C1582" s="814"/>
      <c r="D1582" s="815"/>
      <c r="E1582" s="837"/>
      <c r="F1582" s="817"/>
      <c r="G1582" s="818"/>
      <c r="H1582" s="819"/>
      <c r="I1582" s="820"/>
      <c r="J1582" s="815"/>
      <c r="K1582" s="514"/>
      <c r="L1582" s="437"/>
      <c r="M1582" s="437"/>
      <c r="N1582" s="437"/>
    </row>
    <row r="1583">
      <c r="A1583" s="814"/>
      <c r="B1583" s="814"/>
      <c r="C1583" s="814"/>
      <c r="D1583" s="815"/>
      <c r="E1583" s="837"/>
      <c r="F1583" s="817"/>
      <c r="G1583" s="818"/>
      <c r="H1583" s="819"/>
      <c r="I1583" s="820"/>
      <c r="J1583" s="815"/>
      <c r="K1583" s="514"/>
      <c r="L1583" s="437"/>
      <c r="M1583" s="437"/>
      <c r="N1583" s="437"/>
    </row>
    <row r="1584">
      <c r="A1584" s="814"/>
      <c r="B1584" s="814"/>
      <c r="C1584" s="814"/>
      <c r="D1584" s="815"/>
      <c r="E1584" s="837"/>
      <c r="F1584" s="817"/>
      <c r="G1584" s="818"/>
      <c r="H1584" s="819"/>
      <c r="I1584" s="820"/>
      <c r="J1584" s="815"/>
      <c r="K1584" s="514"/>
      <c r="L1584" s="437"/>
      <c r="M1584" s="437"/>
      <c r="N1584" s="437"/>
    </row>
    <row r="1585">
      <c r="A1585" s="814"/>
      <c r="B1585" s="814"/>
      <c r="C1585" s="814"/>
      <c r="D1585" s="815"/>
      <c r="E1585" s="837"/>
      <c r="F1585" s="817"/>
      <c r="G1585" s="818"/>
      <c r="H1585" s="819"/>
      <c r="I1585" s="820"/>
      <c r="J1585" s="815"/>
      <c r="K1585" s="514"/>
      <c r="L1585" s="437"/>
      <c r="M1585" s="437"/>
      <c r="N1585" s="437"/>
    </row>
    <row r="1586">
      <c r="A1586" s="814"/>
      <c r="B1586" s="814"/>
      <c r="C1586" s="814"/>
      <c r="D1586" s="815"/>
      <c r="E1586" s="837"/>
      <c r="F1586" s="817"/>
      <c r="G1586" s="818"/>
      <c r="H1586" s="819"/>
      <c r="I1586" s="820"/>
      <c r="J1586" s="815"/>
      <c r="K1586" s="514"/>
      <c r="L1586" s="437"/>
      <c r="M1586" s="437"/>
      <c r="N1586" s="437"/>
    </row>
    <row r="1587">
      <c r="A1587" s="814"/>
      <c r="B1587" s="814"/>
      <c r="C1587" s="814"/>
      <c r="D1587" s="815"/>
      <c r="E1587" s="837"/>
      <c r="F1587" s="817"/>
      <c r="G1587" s="818"/>
      <c r="H1587" s="819"/>
      <c r="I1587" s="820"/>
      <c r="J1587" s="815"/>
      <c r="K1587" s="514"/>
      <c r="L1587" s="437"/>
      <c r="M1587" s="437"/>
      <c r="N1587" s="437"/>
    </row>
    <row r="1588">
      <c r="A1588" s="814"/>
      <c r="B1588" s="814"/>
      <c r="C1588" s="814"/>
      <c r="D1588" s="815"/>
      <c r="E1588" s="837"/>
      <c r="F1588" s="817"/>
      <c r="G1588" s="818"/>
      <c r="H1588" s="819"/>
      <c r="I1588" s="820"/>
      <c r="J1588" s="815"/>
      <c r="K1588" s="514"/>
      <c r="L1588" s="437"/>
      <c r="M1588" s="437"/>
      <c r="N1588" s="437"/>
    </row>
    <row r="1589">
      <c r="A1589" s="814"/>
      <c r="B1589" s="814"/>
      <c r="C1589" s="814"/>
      <c r="D1589" s="815"/>
      <c r="E1589" s="837"/>
      <c r="F1589" s="817"/>
      <c r="G1589" s="818"/>
      <c r="H1589" s="819"/>
      <c r="I1589" s="820"/>
      <c r="J1589" s="815"/>
      <c r="K1589" s="514"/>
      <c r="L1589" s="437"/>
      <c r="M1589" s="437"/>
      <c r="N1589" s="437"/>
    </row>
    <row r="1590">
      <c r="A1590" s="814"/>
      <c r="B1590" s="814"/>
      <c r="C1590" s="814"/>
      <c r="D1590" s="815"/>
      <c r="E1590" s="837"/>
      <c r="F1590" s="817"/>
      <c r="G1590" s="818"/>
      <c r="H1590" s="819"/>
      <c r="I1590" s="820"/>
      <c r="J1590" s="815"/>
      <c r="K1590" s="514"/>
      <c r="L1590" s="437"/>
      <c r="M1590" s="437"/>
      <c r="N1590" s="437"/>
    </row>
    <row r="1591">
      <c r="A1591" s="814"/>
      <c r="B1591" s="814"/>
      <c r="C1591" s="814"/>
      <c r="D1591" s="815"/>
      <c r="E1591" s="837"/>
      <c r="F1591" s="817"/>
      <c r="G1591" s="818"/>
      <c r="H1591" s="819"/>
      <c r="I1591" s="820"/>
      <c r="J1591" s="815"/>
      <c r="K1591" s="514"/>
      <c r="L1591" s="437"/>
      <c r="M1591" s="437"/>
      <c r="N1591" s="437"/>
    </row>
    <row r="1592">
      <c r="A1592" s="814"/>
      <c r="B1592" s="814"/>
      <c r="C1592" s="814"/>
      <c r="D1592" s="815"/>
      <c r="E1592" s="837"/>
      <c r="F1592" s="817"/>
      <c r="G1592" s="818"/>
      <c r="H1592" s="819"/>
      <c r="I1592" s="820"/>
      <c r="J1592" s="815"/>
      <c r="K1592" s="514"/>
      <c r="L1592" s="437"/>
      <c r="M1592" s="437"/>
      <c r="N1592" s="437"/>
    </row>
    <row r="1593">
      <c r="A1593" s="814"/>
      <c r="B1593" s="814"/>
      <c r="C1593" s="814"/>
      <c r="D1593" s="815"/>
      <c r="E1593" s="837"/>
      <c r="F1593" s="817"/>
      <c r="G1593" s="818"/>
      <c r="H1593" s="819"/>
      <c r="I1593" s="820"/>
      <c r="J1593" s="815"/>
      <c r="K1593" s="514"/>
      <c r="L1593" s="437"/>
      <c r="M1593" s="437"/>
      <c r="N1593" s="437"/>
    </row>
  </sheetData>
  <customSheetViews>
    <customSheetView guid="{5C0D9FE9-C6D3-4D16-898D-E9CE6D14D223}" filter="1" showAutoFilter="1">
      <autoFilter ref="$A$1:$L$412">
        <filterColumn colId="11">
          <filters>
            <filter val="Rachat"/>
            <filter val="RACHAT"/>
            <filter val="RI"/>
          </filters>
        </filterColumn>
      </autoFilter>
    </customSheetView>
    <customSheetView guid="{7F7A0D3A-7C0E-4A7A-ACCF-16A7717C675B}" filter="1" showAutoFilter="1">
      <autoFilter ref="$A$1:$L$193">
        <filterColumn colId="0">
          <filters>
            <filter val="Xiaomi"/>
            <filter val="OPPO"/>
            <filter val="Toutes les ILV pour ce début d'année sont à retrouver ici"/>
            <filter val="SAMSUNG"/>
            <filter val="samsung"/>
            <filter val="CROSSCALL"/>
            <filter val="ODR"/>
          </filters>
        </filterColumn>
        <sortState ref="A1:L193">
          <sortCondition ref="A1:A193"/>
        </sortState>
      </autoFilter>
    </customSheetView>
    <customSheetView guid="{1753BDEE-823E-41E5-AD58-CC32D694BC12}" filter="1" showAutoFilter="1">
      <autoFilter ref="$A$1:$L$193">
        <filterColumn colId="11">
          <filters>
            <filter val="Rachat"/>
            <filter val="RACHAT"/>
          </filters>
        </filterColumn>
      </autoFilter>
    </customSheetView>
    <customSheetView guid="{C24AA198-4F1C-435B-B331-9D6B75A36765}" filter="1" showAutoFilter="1">
      <autoFilter ref="$A$1:$L$661"/>
    </customSheetView>
    <customSheetView guid="{EDE69FE5-65C3-4950-B5B4-EC735D27C5B4}" filter="1" showAutoFilter="1">
      <autoFilter ref="$A$1:$L$192">
        <filterColumn colId="5">
          <filters blank="1">
            <filter val="12/11/2023"/>
            <filter val="07/01/2024"/>
            <filter val="20/07/2023"/>
            <filter val="16/08/2023"/>
            <filter val="16/02/2024"/>
            <filter val="03/10/2023"/>
            <filter val="OPPO"/>
            <filter val="31/10/2023"/>
            <filter val="09/01/2024"/>
            <filter val="05/10/2025"/>
            <filter val="10/11/2023"/>
            <filter val="25/12/2023"/>
            <filter val="14/11/2023"/>
            <filter val="18/02/2024"/>
            <filter val="31/08/2023"/>
            <filter val="21/09/2023"/>
            <filter val="10/08/2023"/>
            <filter val="22/10/2023"/>
            <filter val="16/11/2023"/>
            <filter val="16/11/2025"/>
            <filter val="CROSSCALL"/>
            <filter val="04/09/2023"/>
            <filter val="ODR"/>
            <filter val="05/11/2023"/>
            <filter val="14/01/2024"/>
            <filter val="05/11/2025"/>
            <filter val="11/10/2023"/>
            <filter val="Pas de date"/>
            <filter val="31/03/2024"/>
            <filter val="BONUS RACHAT"/>
            <filter val="SAMSUNG"/>
            <filter val="16/01/2024"/>
            <filter val="31/03/2026"/>
            <filter val="02/01/2024"/>
            <filter val="29/02/2024"/>
            <filter val="29/10/2023"/>
            <filter val="25/07/2023"/>
            <filter val="01/10/2023"/>
            <filter val="15/10/2023"/>
            <filter val="23/07/2023"/>
            <filter val="17/08/2023"/>
            <filter val="15/08/2023"/>
            <filter val="02/10/2023"/>
            <filter val="06/01/2026"/>
            <filter val="24/12/2023"/>
            <filter val="23/01/2024"/>
            <filter val="30/10/2023"/>
            <filter val="11/09/2023"/>
            <filter val="24/09/2023"/>
            <filter val="15/11/2023"/>
            <filter val="30/07/2023"/>
            <filter val="11/02/2024"/>
            <filter val="23/10/2023"/>
            <filter val="01/12/2023"/>
            <filter val="31/12/2023"/>
            <filter val="03/09/2023"/>
            <filter val="15/01/2024"/>
            <filter val="28/07/2023"/>
            <filter val="Toutes les ILV pour ce début d'année sont à retrouver ici"/>
            <filter val="17/12/2023"/>
            <filter val="10/12/2023"/>
            <filter val="28/02/2024"/>
            <filter val="14/02/2024"/>
            <filter val="30/03/2024"/>
            <filter val="30/09/2023"/>
            <filter val="27/11/2023"/>
            <filter val="24/12/2023&#10;12h"/>
          </filters>
        </filterColumn>
        <filterColumn colId="11">
          <filters>
            <filter val="Rachat"/>
            <filter val="RACHAT"/>
          </filters>
        </filterColumn>
      </autoFilter>
    </customSheetView>
  </customSheetViews>
  <mergeCells count="27">
    <mergeCell ref="E107:F107"/>
    <mergeCell ref="A153:J153"/>
    <mergeCell ref="A154:J154"/>
    <mergeCell ref="A155:J155"/>
    <mergeCell ref="A163:J163"/>
    <mergeCell ref="A165:J165"/>
    <mergeCell ref="A167:J167"/>
    <mergeCell ref="A257:J257"/>
    <mergeCell ref="A286:J286"/>
    <mergeCell ref="A332:J332"/>
    <mergeCell ref="A336:J336"/>
    <mergeCell ref="A347:J347"/>
    <mergeCell ref="A380:J380"/>
    <mergeCell ref="A382:J382"/>
    <mergeCell ref="A549:J549"/>
    <mergeCell ref="A557:J557"/>
    <mergeCell ref="A582:J582"/>
    <mergeCell ref="A584:J584"/>
    <mergeCell ref="A594:J594"/>
    <mergeCell ref="A596:J596"/>
    <mergeCell ref="A400:J400"/>
    <mergeCell ref="A401:J401"/>
    <mergeCell ref="A435:J435"/>
    <mergeCell ref="E436:F436"/>
    <mergeCell ref="A437:J437"/>
    <mergeCell ref="A438:J438"/>
    <mergeCell ref="A548:J548"/>
  </mergeCells>
  <hyperlinks>
    <hyperlink r:id="rId1" ref="I6"/>
    <hyperlink r:id="rId2" ref="I8"/>
    <hyperlink r:id="rId3" ref="I9"/>
    <hyperlink r:id="rId4" ref="I19"/>
    <hyperlink r:id="rId5" ref="I25"/>
    <hyperlink r:id="rId6" ref="I26"/>
    <hyperlink r:id="rId7" ref="I27"/>
    <hyperlink r:id="rId8" ref="I29"/>
    <hyperlink r:id="rId9" ref="I30"/>
    <hyperlink r:id="rId10" ref="I33"/>
    <hyperlink r:id="rId11" ref="I34"/>
    <hyperlink r:id="rId12" ref="I35"/>
    <hyperlink r:id="rId13" ref="I36"/>
    <hyperlink r:id="rId14" ref="I37"/>
    <hyperlink r:id="rId15" ref="I44"/>
    <hyperlink r:id="rId16" ref="I45"/>
    <hyperlink r:id="rId17" ref="I46"/>
    <hyperlink r:id="rId18" ref="I47"/>
    <hyperlink r:id="rId19" ref="I53"/>
    <hyperlink r:id="rId20" ref="I57"/>
    <hyperlink r:id="rId21" ref="I62"/>
    <hyperlink r:id="rId22" ref="I64"/>
    <hyperlink r:id="rId23" ref="I65"/>
    <hyperlink r:id="rId24" ref="I66"/>
    <hyperlink r:id="rId25" ref="I82"/>
    <hyperlink r:id="rId26" ref="I85"/>
    <hyperlink r:id="rId27" ref="I92"/>
    <hyperlink r:id="rId28" ref="I95"/>
    <hyperlink r:id="rId29" ref="I97"/>
    <hyperlink r:id="rId30" ref="I99"/>
    <hyperlink r:id="rId31" ref="I101"/>
    <hyperlink r:id="rId32" ref="I102"/>
    <hyperlink r:id="rId33" ref="I107"/>
    <hyperlink r:id="rId34" ref="I108"/>
    <hyperlink r:id="rId35" ref="I109"/>
    <hyperlink r:id="rId36" ref="I112"/>
    <hyperlink r:id="rId37" ref="I113"/>
    <hyperlink r:id="rId38" ref="I114"/>
    <hyperlink r:id="rId39" ref="I115"/>
    <hyperlink r:id="rId40" ref="I119"/>
    <hyperlink r:id="rId41" ref="I123"/>
    <hyperlink r:id="rId42" ref="I127"/>
    <hyperlink r:id="rId43" ref="I128"/>
    <hyperlink r:id="rId44" ref="I140"/>
    <hyperlink r:id="rId45" ref="I141"/>
    <hyperlink r:id="rId46" ref="I142"/>
    <hyperlink r:id="rId47" ref="I149"/>
    <hyperlink r:id="rId48" ref="I150"/>
    <hyperlink r:id="rId49" ref="A153"/>
    <hyperlink r:id="rId50" ref="I156"/>
    <hyperlink r:id="rId51" ref="I157"/>
    <hyperlink r:id="rId52" ref="I158"/>
    <hyperlink r:id="rId53" ref="I159"/>
    <hyperlink r:id="rId54" ref="I160"/>
    <hyperlink r:id="rId55" ref="I161"/>
    <hyperlink r:id="rId56" ref="I162"/>
    <hyperlink r:id="rId57" ref="I164"/>
    <hyperlink r:id="rId58" ref="I166"/>
    <hyperlink r:id="rId59" ref="I168"/>
    <hyperlink r:id="rId60" ref="I169"/>
    <hyperlink r:id="rId61" ref="I170"/>
    <hyperlink r:id="rId62" ref="I171"/>
    <hyperlink r:id="rId63" ref="I172"/>
    <hyperlink r:id="rId64" ref="I173"/>
    <hyperlink r:id="rId65" ref="I174"/>
    <hyperlink r:id="rId66" ref="I175"/>
    <hyperlink r:id="rId67" ref="I176"/>
    <hyperlink r:id="rId68" ref="I177"/>
    <hyperlink r:id="rId69" ref="I178"/>
    <hyperlink r:id="rId70" ref="I179"/>
    <hyperlink r:id="rId71" ref="I180"/>
    <hyperlink r:id="rId72" ref="I181"/>
    <hyperlink r:id="rId73" ref="I182"/>
    <hyperlink r:id="rId74" ref="I194"/>
    <hyperlink r:id="rId75" ref="I198"/>
    <hyperlink r:id="rId76" ref="I201"/>
    <hyperlink r:id="rId77" ref="I202"/>
    <hyperlink r:id="rId78" ref="I203"/>
    <hyperlink r:id="rId79" ref="I204"/>
    <hyperlink r:id="rId80" ref="I205"/>
    <hyperlink r:id="rId81" ref="I206"/>
    <hyperlink r:id="rId82" ref="I207"/>
    <hyperlink r:id="rId83" ref="I208"/>
    <hyperlink r:id="rId84" ref="I209"/>
    <hyperlink r:id="rId85" ref="I210"/>
    <hyperlink r:id="rId86" ref="I218"/>
    <hyperlink r:id="rId87" ref="I219"/>
    <hyperlink r:id="rId88" ref="I220"/>
    <hyperlink r:id="rId89" ref="I221"/>
    <hyperlink r:id="rId90" ref="I222"/>
    <hyperlink r:id="rId91" ref="I223"/>
    <hyperlink r:id="rId92" ref="I224"/>
    <hyperlink r:id="rId93" ref="I225"/>
    <hyperlink r:id="rId94" ref="I226"/>
    <hyperlink r:id="rId95" ref="I227"/>
    <hyperlink r:id="rId96" ref="I228"/>
    <hyperlink r:id="rId97" ref="I229"/>
    <hyperlink r:id="rId98" ref="I230"/>
    <hyperlink r:id="rId99" ref="I231"/>
    <hyperlink r:id="rId100" ref="I232"/>
    <hyperlink r:id="rId101" ref="I234"/>
    <hyperlink r:id="rId102" ref="I235"/>
    <hyperlink r:id="rId103" ref="I236"/>
    <hyperlink r:id="rId104" ref="I237"/>
    <hyperlink r:id="rId105" ref="I239"/>
    <hyperlink r:id="rId106" ref="I240"/>
    <hyperlink r:id="rId107" ref="I241"/>
    <hyperlink r:id="rId108" ref="I243"/>
    <hyperlink r:id="rId109" ref="I244"/>
    <hyperlink r:id="rId110" ref="I245"/>
    <hyperlink r:id="rId111" ref="I246"/>
    <hyperlink r:id="rId112" ref="I247"/>
    <hyperlink r:id="rId113" ref="I248"/>
    <hyperlink r:id="rId114" ref="I249"/>
    <hyperlink r:id="rId115" ref="I250"/>
    <hyperlink r:id="rId116" ref="I251"/>
    <hyperlink r:id="rId117" ref="I252"/>
    <hyperlink r:id="rId118" ref="I253"/>
    <hyperlink r:id="rId119" ref="I254"/>
    <hyperlink r:id="rId120" ref="I255"/>
    <hyperlink r:id="rId121" ref="I256"/>
    <hyperlink r:id="rId122" ref="I258"/>
    <hyperlink r:id="rId123" ref="I259"/>
    <hyperlink r:id="rId124" ref="I260"/>
    <hyperlink r:id="rId125" ref="I261"/>
    <hyperlink r:id="rId126" ref="I262"/>
    <hyperlink r:id="rId127" ref="I263"/>
    <hyperlink r:id="rId128" ref="I264"/>
    <hyperlink r:id="rId129" ref="I265"/>
    <hyperlink r:id="rId130" ref="I266"/>
    <hyperlink r:id="rId131" ref="I267"/>
    <hyperlink r:id="rId132" ref="I268"/>
    <hyperlink r:id="rId133" ref="I270"/>
    <hyperlink r:id="rId134" ref="I274"/>
    <hyperlink r:id="rId135" ref="I275"/>
    <hyperlink r:id="rId136" ref="I276"/>
    <hyperlink r:id="rId137" ref="I277"/>
    <hyperlink r:id="rId138" ref="I278"/>
    <hyperlink r:id="rId139" ref="I282"/>
    <hyperlink r:id="rId140" ref="I283"/>
    <hyperlink r:id="rId141" ref="I285"/>
    <hyperlink r:id="rId142" ref="I289"/>
    <hyperlink r:id="rId143" ref="I295"/>
    <hyperlink r:id="rId144" ref="I296"/>
    <hyperlink r:id="rId145" ref="I297"/>
    <hyperlink r:id="rId146" ref="I298"/>
    <hyperlink r:id="rId147" ref="I299"/>
    <hyperlink r:id="rId148" ref="I300"/>
    <hyperlink r:id="rId149" ref="I301"/>
    <hyperlink r:id="rId150" ref="I302"/>
    <hyperlink r:id="rId151" ref="I303"/>
    <hyperlink r:id="rId152" ref="I304"/>
    <hyperlink r:id="rId153" ref="I305"/>
    <hyperlink r:id="rId154" ref="I306"/>
    <hyperlink r:id="rId155" ref="I307"/>
    <hyperlink r:id="rId156" ref="I308"/>
    <hyperlink r:id="rId157" ref="I309"/>
    <hyperlink r:id="rId158" ref="I310"/>
    <hyperlink r:id="rId159" ref="I311"/>
    <hyperlink r:id="rId160" ref="I312"/>
    <hyperlink r:id="rId161" ref="I313"/>
    <hyperlink r:id="rId162" ref="I314"/>
    <hyperlink r:id="rId163" ref="I315"/>
    <hyperlink r:id="rId164" ref="I316"/>
    <hyperlink r:id="rId165" ref="I317"/>
    <hyperlink r:id="rId166" ref="I319"/>
    <hyperlink r:id="rId167" ref="I320"/>
    <hyperlink r:id="rId168" ref="I326"/>
    <hyperlink r:id="rId169" ref="I337"/>
    <hyperlink r:id="rId170" ref="A348"/>
    <hyperlink r:id="rId171" ref="A349"/>
    <hyperlink r:id="rId172" ref="I349"/>
    <hyperlink r:id="rId173" ref="I350"/>
    <hyperlink r:id="rId174" ref="I351"/>
    <hyperlink r:id="rId175" ref="I352"/>
    <hyperlink r:id="rId176" ref="I353"/>
    <hyperlink r:id="rId177" ref="I354"/>
    <hyperlink r:id="rId178" ref="I355"/>
    <hyperlink r:id="rId179" ref="I356"/>
    <hyperlink r:id="rId180" ref="I360"/>
    <hyperlink r:id="rId181" ref="I361"/>
    <hyperlink r:id="rId182" ref="I362"/>
    <hyperlink r:id="rId183" ref="I363"/>
    <hyperlink r:id="rId184" ref="I364"/>
    <hyperlink r:id="rId185" ref="I365"/>
    <hyperlink r:id="rId186" ref="I367"/>
    <hyperlink r:id="rId187" ref="I368"/>
    <hyperlink r:id="rId188" ref="I370"/>
    <hyperlink r:id="rId189" ref="I371"/>
    <hyperlink r:id="rId190" ref="I372"/>
    <hyperlink r:id="rId191" ref="I373"/>
    <hyperlink r:id="rId192" ref="I374"/>
    <hyperlink r:id="rId193" ref="I376"/>
    <hyperlink r:id="rId194" ref="I377"/>
    <hyperlink r:id="rId195" ref="I378"/>
    <hyperlink r:id="rId196" ref="I379"/>
    <hyperlink r:id="rId197" ref="I391"/>
    <hyperlink r:id="rId198" ref="I392"/>
    <hyperlink r:id="rId199" ref="I393"/>
    <hyperlink r:id="rId200" ref="I399"/>
    <hyperlink r:id="rId201" ref="D404"/>
    <hyperlink r:id="rId202" ref="I404"/>
    <hyperlink r:id="rId203" ref="I408"/>
    <hyperlink r:id="rId204" ref="I409"/>
    <hyperlink r:id="rId205" ref="I413"/>
    <hyperlink r:id="rId206" ref="I416"/>
    <hyperlink r:id="rId207" ref="I417"/>
    <hyperlink r:id="rId208" ref="I418"/>
    <hyperlink r:id="rId209" ref="I419"/>
    <hyperlink r:id="rId210" ref="I420"/>
    <hyperlink r:id="rId211" ref="I421"/>
    <hyperlink r:id="rId212" ref="I422"/>
    <hyperlink r:id="rId213" ref="I423"/>
    <hyperlink r:id="rId214" ref="I427"/>
    <hyperlink r:id="rId215" ref="I428"/>
    <hyperlink r:id="rId216" ref="I429"/>
    <hyperlink r:id="rId217" ref="I430"/>
    <hyperlink r:id="rId218" ref="I432"/>
    <hyperlink r:id="rId219" ref="I434"/>
    <hyperlink r:id="rId220" ref="I444"/>
    <hyperlink r:id="rId221" ref="I445"/>
    <hyperlink r:id="rId222" ref="I446"/>
    <hyperlink r:id="rId223" ref="I447"/>
    <hyperlink r:id="rId224" ref="I449"/>
    <hyperlink r:id="rId225" ref="I450"/>
    <hyperlink r:id="rId226" ref="I451"/>
    <hyperlink r:id="rId227" ref="I453"/>
    <hyperlink r:id="rId228" ref="I457"/>
    <hyperlink r:id="rId229" ref="I458"/>
    <hyperlink r:id="rId230" ref="I461"/>
    <hyperlink r:id="rId231" ref="I462"/>
    <hyperlink r:id="rId232" ref="I465"/>
    <hyperlink r:id="rId233" ref="I466"/>
    <hyperlink r:id="rId234" ref="I467"/>
    <hyperlink r:id="rId235" ref="I469"/>
    <hyperlink r:id="rId236" ref="I470"/>
    <hyperlink r:id="rId237" ref="I474"/>
    <hyperlink r:id="rId238" ref="I475"/>
    <hyperlink r:id="rId239" ref="I476"/>
    <hyperlink r:id="rId240" ref="I477"/>
    <hyperlink r:id="rId241" ref="I479"/>
    <hyperlink r:id="rId242" ref="I480"/>
    <hyperlink r:id="rId243" ref="I481"/>
    <hyperlink r:id="rId244" ref="I483"/>
    <hyperlink r:id="rId245" ref="I484"/>
    <hyperlink r:id="rId246" ref="I485"/>
    <hyperlink r:id="rId247" ref="I489"/>
    <hyperlink r:id="rId248" ref="I490"/>
    <hyperlink r:id="rId249" ref="I491"/>
    <hyperlink r:id="rId250" ref="I492"/>
    <hyperlink r:id="rId251" ref="I497"/>
    <hyperlink r:id="rId252" ref="I498"/>
    <hyperlink r:id="rId253" ref="I499"/>
    <hyperlink r:id="rId254" ref="I500"/>
    <hyperlink r:id="rId255" ref="I501"/>
    <hyperlink r:id="rId256" ref="I502"/>
    <hyperlink r:id="rId257" ref="I503"/>
    <hyperlink r:id="rId258" ref="I504"/>
    <hyperlink r:id="rId259" ref="I505"/>
    <hyperlink r:id="rId260" ref="I507"/>
    <hyperlink r:id="rId261" ref="I508"/>
    <hyperlink r:id="rId262" ref="I510"/>
    <hyperlink r:id="rId263" ref="I511"/>
    <hyperlink r:id="rId264" ref="I512"/>
    <hyperlink r:id="rId265" ref="I517"/>
    <hyperlink r:id="rId266" ref="I518"/>
    <hyperlink r:id="rId267" ref="I519"/>
    <hyperlink r:id="rId268" ref="I520"/>
    <hyperlink r:id="rId269" ref="I521"/>
    <hyperlink r:id="rId270" ref="I522"/>
    <hyperlink r:id="rId271" ref="I523"/>
    <hyperlink r:id="rId272" ref="I524"/>
    <hyperlink r:id="rId273" ref="I525"/>
    <hyperlink r:id="rId274" ref="I526"/>
    <hyperlink r:id="rId275" ref="I527"/>
    <hyperlink r:id="rId276" ref="I528"/>
    <hyperlink r:id="rId277" ref="I529"/>
    <hyperlink r:id="rId278" ref="I532"/>
    <hyperlink r:id="rId279" ref="I533"/>
    <hyperlink r:id="rId280" ref="I534"/>
    <hyperlink r:id="rId281" ref="I535"/>
    <hyperlink r:id="rId282" ref="I536"/>
    <hyperlink r:id="rId283" ref="I537"/>
    <hyperlink r:id="rId284" ref="I538"/>
    <hyperlink r:id="rId285" ref="I539"/>
    <hyperlink r:id="rId286" ref="I540"/>
    <hyperlink r:id="rId287" ref="I541"/>
    <hyperlink r:id="rId288" ref="I542"/>
    <hyperlink r:id="rId289" ref="I543"/>
    <hyperlink r:id="rId290" ref="I544"/>
    <hyperlink r:id="rId291" ref="I545"/>
    <hyperlink r:id="rId292" ref="I552"/>
    <hyperlink r:id="rId293" ref="I561"/>
    <hyperlink r:id="rId294" ref="I562"/>
    <hyperlink r:id="rId295" ref="I563"/>
    <hyperlink r:id="rId296" ref="I564"/>
    <hyperlink r:id="rId297" ref="I565"/>
    <hyperlink r:id="rId298" ref="I566"/>
    <hyperlink r:id="rId299" ref="I567"/>
    <hyperlink r:id="rId300" ref="I568"/>
    <hyperlink r:id="rId301" ref="I569"/>
    <hyperlink r:id="rId302" ref="I571"/>
    <hyperlink r:id="rId303" ref="I572"/>
    <hyperlink r:id="rId304" ref="I573"/>
    <hyperlink r:id="rId305" ref="I574"/>
    <hyperlink r:id="rId306" ref="I575"/>
    <hyperlink r:id="rId307" ref="I577"/>
    <hyperlink r:id="rId308" ref="I578"/>
    <hyperlink r:id="rId309" ref="I579"/>
    <hyperlink r:id="rId310" ref="I580"/>
    <hyperlink r:id="rId311" ref="I583"/>
    <hyperlink r:id="rId312" ref="I586"/>
    <hyperlink r:id="rId313" ref="I587"/>
    <hyperlink r:id="rId314" ref="I588"/>
    <hyperlink r:id="rId315" ref="I589"/>
    <hyperlink r:id="rId316" ref="I590"/>
    <hyperlink r:id="rId317" ref="I591"/>
    <hyperlink r:id="rId318" ref="I592"/>
    <hyperlink r:id="rId319" ref="I593"/>
    <hyperlink r:id="rId320" ref="I595"/>
    <hyperlink r:id="rId321" ref="I597"/>
    <hyperlink r:id="rId322" ref="I598"/>
    <hyperlink r:id="rId323" ref="I599"/>
    <hyperlink r:id="rId324" ref="I600"/>
    <hyperlink r:id="rId325" ref="I601"/>
    <hyperlink r:id="rId326" ref="I602"/>
    <hyperlink r:id="rId327" ref="I603"/>
    <hyperlink r:id="rId328" ref="I604"/>
    <hyperlink r:id="rId329" ref="I605"/>
    <hyperlink r:id="rId330" ref="I606"/>
    <hyperlink r:id="rId331" ref="I607"/>
    <hyperlink r:id="rId332" ref="I608"/>
    <hyperlink r:id="rId333" ref="I609"/>
    <hyperlink r:id="rId334" ref="I610"/>
    <hyperlink r:id="rId335" ref="I611"/>
    <hyperlink r:id="rId336" ref="I612"/>
    <hyperlink r:id="rId337" ref="I613"/>
    <hyperlink r:id="rId338" ref="I614"/>
    <hyperlink r:id="rId339" ref="I615"/>
    <hyperlink r:id="rId340" ref="I616"/>
    <hyperlink r:id="rId341" ref="I617"/>
    <hyperlink r:id="rId342" ref="I618"/>
    <hyperlink r:id="rId343" ref="I619"/>
    <hyperlink r:id="rId344" ref="I620"/>
    <hyperlink r:id="rId345" ref="I621"/>
    <hyperlink r:id="rId346" ref="I622"/>
    <hyperlink r:id="rId347" ref="I623"/>
    <hyperlink r:id="rId348" ref="I624"/>
    <hyperlink r:id="rId349" ref="I625"/>
    <hyperlink r:id="rId350" ref="I626"/>
    <hyperlink r:id="rId351" ref="I627"/>
    <hyperlink r:id="rId352" ref="I628"/>
    <hyperlink r:id="rId353" ref="I629"/>
    <hyperlink r:id="rId354" ref="I642"/>
    <hyperlink r:id="rId355" ref="I643"/>
    <hyperlink r:id="rId356" ref="I644"/>
    <hyperlink r:id="rId357" ref="I645"/>
    <hyperlink r:id="rId358" ref="I649"/>
    <hyperlink r:id="rId359" ref="I650"/>
    <hyperlink r:id="rId360" ref="I651"/>
    <hyperlink r:id="rId361" ref="I652"/>
    <hyperlink r:id="rId362" ref="I653"/>
    <hyperlink r:id="rId363" ref="I655"/>
    <hyperlink r:id="rId364" ref="I658"/>
    <hyperlink r:id="rId365" ref="I659"/>
    <hyperlink r:id="rId366" ref="I660"/>
  </hyperlinks>
  <printOptions gridLines="1" horizontalCentered="1"/>
  <pageMargins bottom="0.75" footer="0.0" header="0.0" left="0.25" right="0.25" top="0.75"/>
  <pageSetup fitToHeight="0" paperSize="9" cellComments="atEnd" orientation="landscape" pageOrder="overThenDown"/>
  <drawing r:id="rId367"/>
  <tableParts count="3">
    <tablePart r:id="rId371"/>
    <tablePart r:id="rId372"/>
    <tablePart r:id="rId373"/>
  </tableParts>
</worksheet>
</file>